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robert_dewit_csulb_edu/Documents/Data Dell DT H Now/Finance/2021-2022/Budget 2021-2022/Reports/"/>
    </mc:Choice>
  </mc:AlternateContent>
  <bookViews>
    <workbookView xWindow="0" yWindow="0" windowWidth="20480" windowHeight="7170" tabRatio="824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Departme...d98832a7_1JM3RT2" sheetId="5" state="hidden" r:id="rId5"/>
    <sheet name="Div 1" sheetId="6" r:id="rId6"/>
    <sheet name="OSR_Div 1_7H47HR" sheetId="7" state="hidden" r:id="rId7"/>
    <sheet name="OSR_Departmen...8d60b0a9_LRO52K" sheetId="8" state="hidden" r:id="rId8"/>
    <sheet name="Div 2" sheetId="9" r:id="rId9"/>
    <sheet name="OSR_Div 2_1PQ800A" sheetId="10" state="hidden" r:id="rId10"/>
    <sheet name="OSR_Div 1 (2)...60d38de4_4QI4Q6" sheetId="11" state="hidden" r:id="rId11"/>
    <sheet name="Div 3" sheetId="12" r:id="rId12"/>
    <sheet name="OSR_Div 3_18723PH" sheetId="13" state="hidden" r:id="rId13"/>
    <sheet name="OSR_Div 2 (2)...83999c3b_3K6S7J" sheetId="14" state="hidden" r:id="rId14"/>
    <sheet name="Div 4" sheetId="15" r:id="rId15"/>
    <sheet name="OSR_Div 4_1740TMT" sheetId="16" state="hidden" r:id="rId16"/>
    <sheet name="OSR_Div 3 (2...16ef99b0_1BL531N" sheetId="17" state="hidden" r:id="rId17"/>
    <sheet name="300" sheetId="18" r:id="rId18"/>
    <sheet name="OSR_300_IYZXI6" sheetId="19" state="hidden" r:id="rId19"/>
    <sheet name="OSR_Div 6 (2)...8ec2597d_FX16B4" sheetId="20" state="hidden" r:id="rId20"/>
    <sheet name="300 &amp; 317" sheetId="21" r:id="rId21"/>
    <sheet name="OSR_300 &amp; 317_1C00ID4" sheetId="22" state="hidden" r:id="rId22"/>
    <sheet name="OSR_300 (2)_...965c358c_1J3CWC7" sheetId="23" state="hidden" r:id="rId23"/>
    <sheet name="310" sheetId="24" r:id="rId24"/>
    <sheet name="OSR_310_1CMTOSB" sheetId="25" state="hidden" r:id="rId25"/>
    <sheet name="OSR_300 (3)_8...a19059e2_MZASHR" sheetId="26" state="hidden" r:id="rId26"/>
    <sheet name="330" sheetId="27" r:id="rId27"/>
    <sheet name="OSR_330_10VFP5Y" sheetId="28" state="hidden" r:id="rId28"/>
    <sheet name="OSR_300 (4)_...b24ffd57_12811NH" sheetId="29" state="hidden" r:id="rId29"/>
    <sheet name="308" sheetId="30" r:id="rId30"/>
    <sheet name="OSR_308_UAWDAG" sheetId="31" state="hidden" r:id="rId31"/>
    <sheet name="OSR_300 (5)_...3c335af5_106IST9" sheetId="32" state="hidden" r:id="rId32"/>
    <sheet name="331" sheetId="33" r:id="rId33"/>
    <sheet name="OSR_331_10VKQAJ" sheetId="34" state="hidden" r:id="rId34"/>
    <sheet name="OSR_308 (2)_...ebdcc348_1P8CHWV" sheetId="35" state="hidden" r:id="rId35"/>
    <sheet name="332" sheetId="36" r:id="rId36"/>
    <sheet name="OSR_332_6NDVBW" sheetId="37" state="hidden" r:id="rId37"/>
    <sheet name="OSR_308 (3)_4...2ed67dc6_RAY0OL" sheetId="38" state="hidden" r:id="rId38"/>
    <sheet name="310 &amp; 491" sheetId="39" r:id="rId39"/>
    <sheet name="OSR_310 &amp; 491_1NGRCS9" sheetId="40" state="hidden" r:id="rId40"/>
    <sheet name="OSR_300 &amp; 31...1409328e_1O9UKA8" sheetId="41" state="hidden" r:id="rId41"/>
    <sheet name="491" sheetId="42" r:id="rId42"/>
    <sheet name="OSR_491_9Z9JH5" sheetId="43" state="hidden" r:id="rId43"/>
    <sheet name="OSR_332 (2)_3...e34ec29d_JLRJT1" sheetId="44" state="hidden" r:id="rId44"/>
    <sheet name="492" sheetId="45" r:id="rId45"/>
    <sheet name="OSR_492_943FP1" sheetId="46" state="hidden" r:id="rId46"/>
    <sheet name="OSR_332 (3)_...44c206a1_1CYBES5" sheetId="47" state="hidden" r:id="rId47"/>
    <sheet name="Div 5" sheetId="48" r:id="rId48"/>
    <sheet name="OSR_Div 5_16NAZO2" sheetId="49" state="hidden" r:id="rId49"/>
    <sheet name="OSR_Div 4 (2)...0760b92d_E0ZNFF" sheetId="50" state="hidden" r:id="rId50"/>
    <sheet name="Div 6" sheetId="51" r:id="rId51"/>
    <sheet name="OSR_Div 6_P37YY7" sheetId="52" state="hidden" r:id="rId52"/>
    <sheet name="OSR_Div 5 (2...5289d0b0_1IZM0LI" sheetId="53" state="hidden" r:id="rId53"/>
    <sheet name="100" sheetId="54" r:id="rId54"/>
    <sheet name="200" sheetId="55" r:id="rId55"/>
    <sheet name="201" sheetId="56" r:id="rId56"/>
    <sheet name="202" sheetId="57" r:id="rId57"/>
    <sheet name="203" sheetId="58" r:id="rId58"/>
    <sheet name="204" sheetId="59" r:id="rId59"/>
    <sheet name="205" sheetId="60" r:id="rId60"/>
    <sheet name="206" sheetId="61" r:id="rId61"/>
    <sheet name="301" sheetId="62" r:id="rId62"/>
    <sheet name="306" sheetId="63" r:id="rId63"/>
    <sheet name="307" sheetId="64" r:id="rId64"/>
    <sheet name="309" sheetId="65" r:id="rId65"/>
    <sheet name="311" sheetId="66" r:id="rId66"/>
    <sheet name="312" sheetId="67" r:id="rId67"/>
    <sheet name="313" sheetId="68" r:id="rId68"/>
    <sheet name="314" sheetId="69" r:id="rId69"/>
    <sheet name="315" sheetId="70" r:id="rId70"/>
    <sheet name="316" sheetId="71" r:id="rId71"/>
    <sheet name="317" sheetId="72" r:id="rId72"/>
    <sheet name="318" sheetId="73" r:id="rId73"/>
    <sheet name="320" sheetId="74" r:id="rId74"/>
    <sheet name="321" sheetId="75" r:id="rId75"/>
    <sheet name="322" sheetId="76" r:id="rId76"/>
    <sheet name="323" sheetId="77" r:id="rId77"/>
    <sheet name="324" sheetId="78" r:id="rId78"/>
    <sheet name="325" sheetId="79" r:id="rId79"/>
    <sheet name="326" sheetId="80" r:id="rId80"/>
    <sheet name="327" sheetId="81" r:id="rId81"/>
    <sheet name="335" sheetId="82" r:id="rId82"/>
    <sheet name="405" sheetId="83" r:id="rId83"/>
    <sheet name="406" sheetId="84" r:id="rId84"/>
    <sheet name="411" sheetId="85" r:id="rId85"/>
    <sheet name="412" sheetId="86" r:id="rId86"/>
    <sheet name="413" sheetId="87" r:id="rId87"/>
    <sheet name="414" sheetId="88" r:id="rId88"/>
    <sheet name="415" sheetId="89" r:id="rId89"/>
    <sheet name="418" sheetId="90" r:id="rId90"/>
    <sheet name="420" sheetId="91" r:id="rId91"/>
    <sheet name="423" sheetId="92" r:id="rId92"/>
    <sheet name="424" sheetId="93" r:id="rId93"/>
    <sheet name="425" sheetId="94" r:id="rId94"/>
    <sheet name="430" sheetId="95" r:id="rId95"/>
    <sheet name="433" sheetId="96" r:id="rId96"/>
    <sheet name="435" sheetId="97" r:id="rId97"/>
    <sheet name="444" sheetId="98" r:id="rId98"/>
    <sheet name="445" sheetId="99" r:id="rId99"/>
    <sheet name="450" sheetId="100" r:id="rId100"/>
    <sheet name="455" sheetId="101" r:id="rId101"/>
    <sheet name="501" sheetId="102" r:id="rId102"/>
    <sheet name="Department" sheetId="103" state="hidden" r:id="rId103"/>
    <sheet name="OSR_Department_111BY5M" sheetId="104" state="hidden" r:id="rId104"/>
    <sheet name="OSR_Summary (...49b95efc_FG4FCN" sheetId="105" state="hidden" r:id="rId105"/>
  </sheets>
  <definedNames>
    <definedName name="OSRRefD11x_0" localSheetId="55">'201'!$D$11</definedName>
    <definedName name="OSRRefD11x_0" localSheetId="56">'202'!$D$11</definedName>
    <definedName name="OSRRefD11x_0" localSheetId="17">'300'!$D$11:$D$133</definedName>
    <definedName name="OSRRefD11x_0" localSheetId="20">'300 &amp; 317'!$D$11:$D$151</definedName>
    <definedName name="OSRRefD11x_0" localSheetId="63">'307'!$D$11:$D$60</definedName>
    <definedName name="OSRRefD11x_0" localSheetId="29">'308'!$D$11:$D$54</definedName>
    <definedName name="OSRRefD11x_0" localSheetId="64">'309'!$D$11:$D$13</definedName>
    <definedName name="OSRRefD11x_0" localSheetId="23">'310'!$D$11:$D$27</definedName>
    <definedName name="OSRRefD11x_0" localSheetId="38">'310 &amp; 491'!$D$11:$D$36</definedName>
    <definedName name="OSRRefD11x_0" localSheetId="65">'311'!$D$11:$D$43</definedName>
    <definedName name="OSRRefD11x_0" localSheetId="66">'312'!$D$11:$D$34</definedName>
    <definedName name="OSRRefD11x_0" localSheetId="67">'313'!$D$11:$D$23</definedName>
    <definedName name="OSRRefD11x_0" localSheetId="68">'314'!$D$11:$D$35</definedName>
    <definedName name="OSRRefD11x_0" localSheetId="69">'315'!$D$11:$D$32</definedName>
    <definedName name="OSRRefD11x_0" localSheetId="70">'316'!$D$11:$D$30</definedName>
    <definedName name="OSRRefD11x_0" localSheetId="71">'317'!$D$11:$D$38</definedName>
    <definedName name="OSRRefD11x_0" localSheetId="73">'320'!$D$11:$D$20</definedName>
    <definedName name="OSRRefD11x_0" localSheetId="74">'321'!$D$11:$D$14</definedName>
    <definedName name="OSRRefD11x_0" localSheetId="75">'322'!$D$11:$D$13</definedName>
    <definedName name="OSRRefD11x_0" localSheetId="76">'323'!$D$11:$D$12</definedName>
    <definedName name="OSRRefD11x_0" localSheetId="77">'324'!$D$11:$D$14</definedName>
    <definedName name="OSRRefD11x_0" localSheetId="78">'325'!$D$11:$D$14</definedName>
    <definedName name="OSRRefD11x_0" localSheetId="79">'326'!$D$11:$D$55</definedName>
    <definedName name="OSRRefD11x_0" localSheetId="80">'327'!$D$11:$D$13</definedName>
    <definedName name="OSRRefD11x_0" localSheetId="26">'330'!$D$11:$D$66</definedName>
    <definedName name="OSRRefD11x_0" localSheetId="32">'331'!$D$11:$D$61</definedName>
    <definedName name="OSRRefD11x_0" localSheetId="35">'332'!$D$11:$D$41</definedName>
    <definedName name="OSRRefD11x_0" localSheetId="82">'405'!$D$11:$D$15</definedName>
    <definedName name="OSRRefD11x_0" localSheetId="83">'406'!$D$11:$D$12</definedName>
    <definedName name="OSRRefD11x_0" localSheetId="85">'412'!$D$11:$D$14</definedName>
    <definedName name="OSRRefD11x_0" localSheetId="86">'413'!$D$11:$D$14</definedName>
    <definedName name="OSRRefD11x_0" localSheetId="87">'414'!$D$11:$D$14</definedName>
    <definedName name="OSRRefD11x_0" localSheetId="88">'415'!$D$11:$D$14</definedName>
    <definedName name="OSRRefD11x_0" localSheetId="89">'418'!$D$11:$D$14</definedName>
    <definedName name="OSRRefD11x_0" localSheetId="90">'420'!$D$11:$D$12</definedName>
    <definedName name="OSRRefD11x_0" localSheetId="92">'424'!$D$11:$D$14</definedName>
    <definedName name="OSRRefD11x_0" localSheetId="93">'425'!$D$11:$D$15</definedName>
    <definedName name="OSRRefD11x_0" localSheetId="95">'433'!$D$11:$D$16</definedName>
    <definedName name="OSRRefD11x_0" localSheetId="96">'435'!$D$11:$D$13</definedName>
    <definedName name="OSRRefD11x_0" localSheetId="97">'444'!$D$11:$D$14</definedName>
    <definedName name="OSRRefD11x_0" localSheetId="98">'445'!$D$11:$D$13</definedName>
    <definedName name="OSRRefD11x_0" localSheetId="99">'450'!$D$11:$D$14</definedName>
    <definedName name="OSRRefD11x_0" localSheetId="41">'491'!$D$11:$D$24</definedName>
    <definedName name="OSRRefD11x_0" localSheetId="44">'492'!$D$11:$D$18</definedName>
    <definedName name="OSRRefD11x_0" localSheetId="101">'501'!$D$11:$D$12</definedName>
    <definedName name="OSRRefD11x_0" localSheetId="8">'Div 2'!$D$11</definedName>
    <definedName name="OSRRefD11x_0" localSheetId="11">'Div 3'!$D$11:$D$136</definedName>
    <definedName name="OSRRefD11x_0" localSheetId="14">'Div 4'!$D$11:$D$25</definedName>
    <definedName name="OSRRefD11x_0" localSheetId="47">'Div 5'!$D$11:$D$12</definedName>
    <definedName name="OSRRefD11x_0" localSheetId="50">'Div 6'!$D$11:$D$38</definedName>
    <definedName name="OSRRefD11x_0" localSheetId="2">Summary!$D$11:$D$164</definedName>
    <definedName name="OSRRefD14x_0" localSheetId="17">'300'!$D$136:$D$197</definedName>
    <definedName name="OSRRefD14x_0" localSheetId="20">'300 &amp; 317'!$D$154:$D$222</definedName>
    <definedName name="OSRRefD14x_0" localSheetId="61">'301'!$D$13</definedName>
    <definedName name="OSRRefD14x_0" localSheetId="63">'307'!$D$63:$D$93</definedName>
    <definedName name="OSRRefD14x_0" localSheetId="29">'308'!$D$57:$D$82</definedName>
    <definedName name="OSRRefD14x_0" localSheetId="64">'309'!$D$16:$D$18</definedName>
    <definedName name="OSRRefD14x_0" localSheetId="23">'310'!$D$30:$D$32</definedName>
    <definedName name="OSRRefD14x_0" localSheetId="38">'310 &amp; 491'!$D$39:$D$42</definedName>
    <definedName name="OSRRefD14x_0" localSheetId="65">'311'!$D$46:$D$64</definedName>
    <definedName name="OSRRefD14x_0" localSheetId="66">'312'!$D$37:$D$51</definedName>
    <definedName name="OSRRefD14x_0" localSheetId="67">'313'!$D$26:$D$28</definedName>
    <definedName name="OSRRefD14x_0" localSheetId="68">'314'!$D$38:$D$54</definedName>
    <definedName name="OSRRefD14x_0" localSheetId="69">'315'!$D$35:$D$50</definedName>
    <definedName name="OSRRefD14x_0" localSheetId="70">'316'!$D$33</definedName>
    <definedName name="OSRRefD14x_0" localSheetId="71">'317'!$D$41:$D$56</definedName>
    <definedName name="OSRRefD14x_0" localSheetId="73">'320'!$D$23:$D$28</definedName>
    <definedName name="OSRRefD14x_0" localSheetId="74">'321'!$D$17:$D$19</definedName>
    <definedName name="OSRRefD14x_0" localSheetId="75">'322'!$D$16:$D$18</definedName>
    <definedName name="OSRRefD14x_0" localSheetId="77">'324'!$D$17:$D$19</definedName>
    <definedName name="OSRRefD14x_0" localSheetId="78">'325'!$D$17:$D$19</definedName>
    <definedName name="OSRRefD14x_0" localSheetId="79">'326'!$D$58:$D$87</definedName>
    <definedName name="OSRRefD14x_0" localSheetId="80">'327'!$D$16:$D$18</definedName>
    <definedName name="OSRRefD14x_0" localSheetId="26">'330'!$D$69:$D$101</definedName>
    <definedName name="OSRRefD14x_0" localSheetId="32">'331'!$D$64:$D$98</definedName>
    <definedName name="OSRRefD14x_0" localSheetId="35">'332'!$D$44:$D$50</definedName>
    <definedName name="OSRRefD14x_0" localSheetId="82">'405'!$D$18:$D$20</definedName>
    <definedName name="OSRRefD14x_0" localSheetId="83">'406'!$D$15:$D$16</definedName>
    <definedName name="OSRRefD14x_0" localSheetId="85">'412'!$D$17:$D$20</definedName>
    <definedName name="OSRRefD14x_0" localSheetId="86">'413'!$D$17:$D$19</definedName>
    <definedName name="OSRRefD14x_0" localSheetId="87">'414'!$D$17:$D$19</definedName>
    <definedName name="OSRRefD14x_0" localSheetId="88">'415'!$D$17:$D$19</definedName>
    <definedName name="OSRRefD14x_0" localSheetId="89">'418'!$D$17:$D$19</definedName>
    <definedName name="OSRRefD14x_0" localSheetId="90">'420'!$D$15:$D$16</definedName>
    <definedName name="OSRRefD14x_0" localSheetId="91">'423'!$D$13</definedName>
    <definedName name="OSRRefD14x_0" localSheetId="92">'424'!$D$17:$D$18</definedName>
    <definedName name="OSRRefD14x_0" localSheetId="93">'425'!$D$18:$D$19</definedName>
    <definedName name="OSRRefD14x_0" localSheetId="95">'433'!$D$19:$D$21</definedName>
    <definedName name="OSRRefD14x_0" localSheetId="96">'435'!$D$16:$D$17</definedName>
    <definedName name="OSRRefD14x_0" localSheetId="97">'444'!$D$17:$D$19</definedName>
    <definedName name="OSRRefD14x_0" localSheetId="98">'445'!$D$16:$D$17</definedName>
    <definedName name="OSRRefD14x_0" localSheetId="99">'450'!$D$17:$D$19</definedName>
    <definedName name="OSRRefD14x_0" localSheetId="41">'491'!$D$27:$D$30</definedName>
    <definedName name="OSRRefD14x_0" localSheetId="44">'492'!$D$21:$D$23</definedName>
    <definedName name="OSRRefD14x_0" localSheetId="11">'Div 3'!$D$139:$D$202</definedName>
    <definedName name="OSRRefD14x_0" localSheetId="14">'Div 4'!$D$28:$D$31</definedName>
    <definedName name="OSRRefD14x_0" localSheetId="50">'Div 6'!$D$41:$D$56</definedName>
    <definedName name="OSRRefD14x_0" localSheetId="2">Summary!$D$167:$D$238</definedName>
    <definedName name="OSRRefD21_0x_0" localSheetId="54">'200'!$D$19:$D$20</definedName>
    <definedName name="OSRRefD21_0x_0" localSheetId="55">'201'!$D$20:$D$28</definedName>
    <definedName name="OSRRefD21_0x_0" localSheetId="56">'202'!$D$20:$D$28</definedName>
    <definedName name="OSRRefD21_0x_0" localSheetId="57">'203'!$D$19:$D$28</definedName>
    <definedName name="OSRRefD21_0x_0" localSheetId="58">'204'!$D$19:$D$28</definedName>
    <definedName name="OSRRefD21_0x_0" localSheetId="59">'205'!$D$19:$D$27</definedName>
    <definedName name="OSRRefD21_0x_0" localSheetId="60">'206'!$D$19:$D$27</definedName>
    <definedName name="OSRRefD21_0x_0" localSheetId="17">'300'!$D$204:$D$213</definedName>
    <definedName name="OSRRefD21_0x_0" localSheetId="20">'300 &amp; 317'!$D$229:$D$238</definedName>
    <definedName name="OSRRefD21_0x_0" localSheetId="61">'301'!$D$20:$D$28</definedName>
    <definedName name="OSRRefD21_0x_0" localSheetId="62">'306'!$D$19:$D$28</definedName>
    <definedName name="OSRRefD21_0x_0" localSheetId="63">'307'!$D$100:$D$108</definedName>
    <definedName name="OSRRefD21_0x_0" localSheetId="29">'308'!$D$89:$D$98</definedName>
    <definedName name="OSRRefD21_0x_0" localSheetId="64">'309'!$D$25:$D$33</definedName>
    <definedName name="OSRRefD21_0x_0" localSheetId="23">'310'!$D$39:$D$47</definedName>
    <definedName name="OSRRefD21_0x_0" localSheetId="38">'310 &amp; 491'!$D$49:$D$58</definedName>
    <definedName name="OSRRefD21_0x_0" localSheetId="65">'311'!$D$71:$D$80</definedName>
    <definedName name="OSRRefD21_0x_0" localSheetId="66">'312'!$D$58:$D$66</definedName>
    <definedName name="OSRRefD21_0x_0" localSheetId="67">'313'!$D$35:$D$43</definedName>
    <definedName name="OSRRefD21_0x_0" localSheetId="68">'314'!$D$61:$D$69</definedName>
    <definedName name="OSRRefD21_0x_0" localSheetId="69">'315'!$D$57:$D$65</definedName>
    <definedName name="OSRRefD21_0x_0" localSheetId="70">'316'!$D$40:$D$48</definedName>
    <definedName name="OSRRefD21_0x_0" localSheetId="71">'317'!$D$63:$D$72</definedName>
    <definedName name="OSRRefD21_0x_0" localSheetId="72">'318'!$D$19:$D$25</definedName>
    <definedName name="OSRRefD21_0x_0" localSheetId="73">'320'!$D$35:$D$42</definedName>
    <definedName name="OSRRefD21_0x_0" localSheetId="74">'321'!$D$26:$D$34</definedName>
    <definedName name="OSRRefD21_0x_0" localSheetId="75">'322'!$D$25:$D$33</definedName>
    <definedName name="OSRRefD21_0x_0" localSheetId="76">'323'!$D$21:$D$27</definedName>
    <definedName name="OSRRefD21_0x_0" localSheetId="77">'324'!$D$26:$D$33</definedName>
    <definedName name="OSRRefD21_0x_0" localSheetId="78">'325'!$D$26:$D$34</definedName>
    <definedName name="OSRRefD21_0x_0" localSheetId="79">'326'!$D$94:$D$102</definedName>
    <definedName name="OSRRefD21_0x_0" localSheetId="80">'327'!$D$25</definedName>
    <definedName name="OSRRefD21_0x_0" localSheetId="26">'330'!$D$108:$D$117</definedName>
    <definedName name="OSRRefD21_0x_0" localSheetId="32">'331'!$D$105:$D$113</definedName>
    <definedName name="OSRRefD21_0x_0" localSheetId="35">'332'!$D$57:$D$65</definedName>
    <definedName name="OSRRefD21_0x_0" localSheetId="81">'335'!$D$19:$D$26</definedName>
    <definedName name="OSRRefD21_0x_0" localSheetId="82">'405'!$D$27:$D$36</definedName>
    <definedName name="OSRRefD21_0x_0" localSheetId="83">'406'!$D$23:$D$30</definedName>
    <definedName name="OSRRefD21_0x_0" localSheetId="84">'411'!$D$19:$D$28</definedName>
    <definedName name="OSRRefD21_0x_0" localSheetId="85">'412'!$D$27:$D$36</definedName>
    <definedName name="OSRRefD21_0x_0" localSheetId="86">'413'!$D$26:$D$35</definedName>
    <definedName name="OSRRefD21_0x_0" localSheetId="87">'414'!$D$26:$D$34</definedName>
    <definedName name="OSRRefD21_0x_0" localSheetId="88">'415'!$D$26:$D$35</definedName>
    <definedName name="OSRRefD21_0x_0" localSheetId="89">'418'!$D$26:$D$34</definedName>
    <definedName name="OSRRefD21_0x_0" localSheetId="90">'420'!$D$23:$D$30</definedName>
    <definedName name="OSRRefD21_0x_0" localSheetId="91">'423'!$D$20:$D$28</definedName>
    <definedName name="OSRRefD21_0x_0" localSheetId="92">'424'!$D$25:$D$31</definedName>
    <definedName name="OSRRefD21_0x_0" localSheetId="93">'425'!$D$26:$D$34</definedName>
    <definedName name="OSRRefD21_0x_0" localSheetId="94">'430'!$D$19:$D$27</definedName>
    <definedName name="OSRRefD21_0x_0" localSheetId="95">'433'!$D$28:$D$37</definedName>
    <definedName name="OSRRefD21_0x_0" localSheetId="96">'435'!$D$24:$D$26</definedName>
    <definedName name="OSRRefD21_0x_0" localSheetId="97">'444'!$D$26:$D$35</definedName>
    <definedName name="OSRRefD21_0x_0" localSheetId="98">'445'!$D$24:$D$26</definedName>
    <definedName name="OSRRefD21_0x_0" localSheetId="99">'450'!$D$26:$D$35</definedName>
    <definedName name="OSRRefD21_0x_0" localSheetId="100">'455'!$D$19:$D$26</definedName>
    <definedName name="OSRRefD21_0x_0" localSheetId="41">'491'!$D$37:$D$46</definedName>
    <definedName name="OSRRefD21_0x_0" localSheetId="44">'492'!$D$30:$D$39</definedName>
    <definedName name="OSRRefD21_0x_0" localSheetId="101">'501'!$D$21:$D$29</definedName>
    <definedName name="OSRRefD21_0x_0" localSheetId="8">'Div 2'!$D$20:$D$30</definedName>
    <definedName name="OSRRefD21_0x_0" localSheetId="11">'Div 3'!$D$209:$D$218</definedName>
    <definedName name="OSRRefD21_0x_0" localSheetId="14">'Div 4'!$D$38:$D$47</definedName>
    <definedName name="OSRRefD21_0x_0" localSheetId="47">'Div 5'!$D$21:$D$29</definedName>
    <definedName name="OSRRefD21_0x_0" localSheetId="50">'Div 6'!$D$63:$D$72</definedName>
    <definedName name="OSRRefD21_0x_0" localSheetId="2">Summary!$D$245:$D$254</definedName>
    <definedName name="OSRRefD21_10x_0" localSheetId="55">'201'!$D$58</definedName>
    <definedName name="OSRRefD21_10x_0" localSheetId="56">'202'!$D$59:$D$61</definedName>
    <definedName name="OSRRefD21_10x_0" localSheetId="57">'203'!$D$60:$D$62</definedName>
    <definedName name="OSRRefD21_10x_0" localSheetId="58">'204'!$D$63:$D$66</definedName>
    <definedName name="OSRRefD21_10x_0" localSheetId="60">'206'!$D$59:$D$60</definedName>
    <definedName name="OSRRefD21_10x_0" localSheetId="17">'300'!$D$249:$D$250</definedName>
    <definedName name="OSRRefD21_10x_0" localSheetId="20">'300 &amp; 317'!$D$274:$D$275</definedName>
    <definedName name="OSRRefD21_10x_0" localSheetId="61">'301'!$D$63</definedName>
    <definedName name="OSRRefD21_10x_0" localSheetId="62">'306'!$D$63</definedName>
    <definedName name="OSRRefD21_10x_0" localSheetId="63">'307'!$D$162</definedName>
    <definedName name="OSRRefD21_10x_0" localSheetId="29">'308'!$D$142:$D$144</definedName>
    <definedName name="OSRRefD21_10x_0" localSheetId="64">'309'!$D$62:$D$63</definedName>
    <definedName name="OSRRefD21_10x_0" localSheetId="23">'310'!$D$78:$D$79</definedName>
    <definedName name="OSRRefD21_10x_0" localSheetId="38">'310 &amp; 491'!$D$92:$D$93</definedName>
    <definedName name="OSRRefD21_10x_0" localSheetId="65">'311'!$D$120:$D$122</definedName>
    <definedName name="OSRRefD21_10x_0" localSheetId="67">'313'!$D$73:$D$75</definedName>
    <definedName name="OSRRefD21_10x_0" localSheetId="68">'314'!$D$105:$D$108</definedName>
    <definedName name="OSRRefD21_10x_0" localSheetId="69">'315'!$D$102</definedName>
    <definedName name="OSRRefD21_10x_0" localSheetId="70">'316'!$D$80</definedName>
    <definedName name="OSRRefD21_10x_0" localSheetId="71">'317'!$D$110:$D$111</definedName>
    <definedName name="OSRRefD21_10x_0" localSheetId="73">'320'!$D$75</definedName>
    <definedName name="OSRRefD21_10x_0" localSheetId="74">'321'!$D$66:$D$67</definedName>
    <definedName name="OSRRefD21_10x_0" localSheetId="75">'322'!$D$62</definedName>
    <definedName name="OSRRefD21_10x_0" localSheetId="78">'325'!$D$64</definedName>
    <definedName name="OSRRefD21_10x_0" localSheetId="79">'326'!$D$135</definedName>
    <definedName name="OSRRefD21_10x_0" localSheetId="26">'330'!$D$171</definedName>
    <definedName name="OSRRefD21_10x_0" localSheetId="32">'331'!$D$146</definedName>
    <definedName name="OSRRefD21_10x_0" localSheetId="35">'332'!$D$98:$D$100</definedName>
    <definedName name="OSRRefD21_10x_0" localSheetId="82">'405'!$D$66:$D$68</definedName>
    <definedName name="OSRRefD21_10x_0" localSheetId="83">'406'!$D$55:$D$57</definedName>
    <definedName name="OSRRefD21_10x_0" localSheetId="84">'411'!$D$60</definedName>
    <definedName name="OSRRefD21_10x_0" localSheetId="85">'412'!$D$66</definedName>
    <definedName name="OSRRefD21_10x_0" localSheetId="86">'413'!$D$69:$D$78</definedName>
    <definedName name="OSRRefD21_10x_0" localSheetId="87">'414'!$D$63:$D$64</definedName>
    <definedName name="OSRRefD21_10x_0" localSheetId="88">'415'!$D$65</definedName>
    <definedName name="OSRRefD21_10x_0" localSheetId="89">'418'!$D$64</definedName>
    <definedName name="OSRRefD21_10x_0" localSheetId="91">'423'!$D$59</definedName>
    <definedName name="OSRRefD21_10x_0" localSheetId="92">'424'!$D$57</definedName>
    <definedName name="OSRRefD21_10x_0" localSheetId="93">'425'!$D$64</definedName>
    <definedName name="OSRRefD21_10x_0" localSheetId="94">'430'!$D$61</definedName>
    <definedName name="OSRRefD21_10x_0" localSheetId="95">'433'!$D$66</definedName>
    <definedName name="OSRRefD21_10x_0" localSheetId="96">'435'!$D$50:$D$56</definedName>
    <definedName name="OSRRefD21_10x_0" localSheetId="97">'444'!$D$64</definedName>
    <definedName name="OSRRefD21_10x_0" localSheetId="98">'445'!$D$49:$D$52</definedName>
    <definedName name="OSRRefD21_10x_0" localSheetId="99">'450'!$D$65</definedName>
    <definedName name="OSRRefD21_10x_0" localSheetId="41">'491'!$D$80</definedName>
    <definedName name="OSRRefD21_10x_0" localSheetId="44">'492'!$D$69</definedName>
    <definedName name="OSRRefD21_10x_0" localSheetId="101">'501'!$D$59</definedName>
    <definedName name="OSRRefD21_10x_0" localSheetId="8">'Div 2'!$D$61:$D$62</definedName>
    <definedName name="OSRRefD21_10x_0" localSheetId="11">'Div 3'!$D$254:$D$255</definedName>
    <definedName name="OSRRefD21_10x_0" localSheetId="14">'Div 4'!$D$81</definedName>
    <definedName name="OSRRefD21_10x_0" localSheetId="47">'Div 5'!$D$59</definedName>
    <definedName name="OSRRefD21_10x_0" localSheetId="50">'Div 6'!$D$110:$D$111</definedName>
    <definedName name="OSRRefD21_10x_0" localSheetId="2">Summary!$D$290:$D$291</definedName>
    <definedName name="OSRRefD21_11x_0" localSheetId="55">'201'!$D$60</definedName>
    <definedName name="OSRRefD21_11x_0" localSheetId="56">'202'!$D$63</definedName>
    <definedName name="OSRRefD21_11x_0" localSheetId="57">'203'!$D$64:$D$65</definedName>
    <definedName name="OSRRefD21_11x_0" localSheetId="58">'204'!$D$68:$D$69</definedName>
    <definedName name="OSRRefD21_11x_0" localSheetId="60">'206'!$D$62</definedName>
    <definedName name="OSRRefD21_11x_0" localSheetId="17">'300'!$D$252:$D$254</definedName>
    <definedName name="OSRRefD21_11x_0" localSheetId="20">'300 &amp; 317'!$D$277:$D$279</definedName>
    <definedName name="OSRRefD21_11x_0" localSheetId="61">'301'!$D$65</definedName>
    <definedName name="OSRRefD21_11x_0" localSheetId="62">'306'!$D$65</definedName>
    <definedName name="OSRRefD21_11x_0" localSheetId="63">'307'!$D$164</definedName>
    <definedName name="OSRRefD21_11x_0" localSheetId="29">'308'!$D$146</definedName>
    <definedName name="OSRRefD21_11x_0" localSheetId="64">'309'!$D$65:$D$67</definedName>
    <definedName name="OSRRefD21_11x_0" localSheetId="23">'310'!$D$81</definedName>
    <definedName name="OSRRefD21_11x_0" localSheetId="38">'310 &amp; 491'!$D$95:$D$97</definedName>
    <definedName name="OSRRefD21_11x_0" localSheetId="65">'311'!$D$124</definedName>
    <definedName name="OSRRefD21_11x_0" localSheetId="67">'313'!$D$77:$D$78</definedName>
    <definedName name="OSRRefD21_11x_0" localSheetId="68">'314'!$D$110</definedName>
    <definedName name="OSRRefD21_11x_0" localSheetId="69">'315'!$D$104:$D$106</definedName>
    <definedName name="OSRRefD21_11x_0" localSheetId="70">'316'!$D$82:$D$87</definedName>
    <definedName name="OSRRefD21_11x_0" localSheetId="71">'317'!$D$113</definedName>
    <definedName name="OSRRefD21_11x_0" localSheetId="73">'320'!$D$77</definedName>
    <definedName name="OSRRefD21_11x_0" localSheetId="74">'321'!$D$69:$D$71</definedName>
    <definedName name="OSRRefD21_11x_0" localSheetId="75">'322'!$D$64</definedName>
    <definedName name="OSRRefD21_11x_0" localSheetId="78">'325'!$D$66</definedName>
    <definedName name="OSRRefD21_11x_0" localSheetId="79">'326'!$D$137:$D$157</definedName>
    <definedName name="OSRRefD21_11x_0" localSheetId="26">'330'!$D$173</definedName>
    <definedName name="OSRRefD21_11x_0" localSheetId="32">'331'!$D$148:$D$168</definedName>
    <definedName name="OSRRefD21_11x_0" localSheetId="35">'332'!$D$102:$D$103</definedName>
    <definedName name="OSRRefD21_11x_0" localSheetId="82">'405'!$D$70</definedName>
    <definedName name="OSRRefD21_11x_0" localSheetId="83">'406'!$D$59</definedName>
    <definedName name="OSRRefD21_11x_0" localSheetId="84">'411'!$D$62</definedName>
    <definedName name="OSRRefD21_11x_0" localSheetId="85">'412'!$D$68:$D$70</definedName>
    <definedName name="OSRRefD21_11x_0" localSheetId="86">'413'!$D$80:$D$81</definedName>
    <definedName name="OSRRefD21_11x_0" localSheetId="87">'414'!$D$66</definedName>
    <definedName name="OSRRefD21_11x_0" localSheetId="88">'415'!$D$67:$D$70</definedName>
    <definedName name="OSRRefD21_11x_0" localSheetId="89">'418'!$D$66:$D$67</definedName>
    <definedName name="OSRRefD21_11x_0" localSheetId="91">'423'!$D$61</definedName>
    <definedName name="OSRRefD21_11x_0" localSheetId="92">'424'!$D$59:$D$61</definedName>
    <definedName name="OSRRefD21_11x_0" localSheetId="93">'425'!$D$66:$D$69</definedName>
    <definedName name="OSRRefD21_11x_0" localSheetId="94">'430'!$D$63:$D$64</definedName>
    <definedName name="OSRRefD21_11x_0" localSheetId="95">'433'!$D$68</definedName>
    <definedName name="OSRRefD21_11x_0" localSheetId="96">'435'!$D$58</definedName>
    <definedName name="OSRRefD21_11x_0" localSheetId="97">'444'!$D$66</definedName>
    <definedName name="OSRRefD21_11x_0" localSheetId="98">'445'!$D$54</definedName>
    <definedName name="OSRRefD21_11x_0" localSheetId="99">'450'!$D$67</definedName>
    <definedName name="OSRRefD21_11x_0" localSheetId="41">'491'!$D$82:$D$83</definedName>
    <definedName name="OSRRefD21_11x_0" localSheetId="44">'492'!$D$71</definedName>
    <definedName name="OSRRefD21_11x_0" localSheetId="101">'501'!$D$61:$D$64</definedName>
    <definedName name="OSRRefD21_11x_0" localSheetId="8">'Div 2'!$D$64:$D$65</definedName>
    <definedName name="OSRRefD21_11x_0" localSheetId="11">'Div 3'!$D$257:$D$259</definedName>
    <definedName name="OSRRefD21_11x_0" localSheetId="14">'Div 4'!$D$83:$D$84</definedName>
    <definedName name="OSRRefD21_11x_0" localSheetId="47">'Div 5'!$D$61:$D$64</definedName>
    <definedName name="OSRRefD21_11x_0" localSheetId="50">'Div 6'!$D$113</definedName>
    <definedName name="OSRRefD21_11x_0" localSheetId="2">Summary!$D$293:$D$295</definedName>
    <definedName name="OSRRefD21_12x_0" localSheetId="55">'201'!$D$62</definedName>
    <definedName name="OSRRefD21_12x_0" localSheetId="56">'202'!$D$65</definedName>
    <definedName name="OSRRefD21_12x_0" localSheetId="57">'203'!$D$67:$D$71</definedName>
    <definedName name="OSRRefD21_12x_0" localSheetId="58">'204'!$D$71</definedName>
    <definedName name="OSRRefD21_12x_0" localSheetId="60">'206'!$D$64:$D$65</definedName>
    <definedName name="OSRRefD21_12x_0" localSheetId="17">'300'!$D$256</definedName>
    <definedName name="OSRRefD21_12x_0" localSheetId="20">'300 &amp; 317'!$D$281</definedName>
    <definedName name="OSRRefD21_12x_0" localSheetId="61">'301'!$D$67</definedName>
    <definedName name="OSRRefD21_12x_0" localSheetId="62">'306'!$D$67</definedName>
    <definedName name="OSRRefD21_12x_0" localSheetId="63">'307'!$D$166:$D$167</definedName>
    <definedName name="OSRRefD21_12x_0" localSheetId="29">'308'!$D$148:$D$149</definedName>
    <definedName name="OSRRefD21_12x_0" localSheetId="64">'309'!$D$69</definedName>
    <definedName name="OSRRefD21_12x_0" localSheetId="23">'310'!$D$83</definedName>
    <definedName name="OSRRefD21_12x_0" localSheetId="38">'310 &amp; 491'!$D$99</definedName>
    <definedName name="OSRRefD21_12x_0" localSheetId="65">'311'!$D$126:$D$127</definedName>
    <definedName name="OSRRefD21_12x_0" localSheetId="67">'313'!$D$80:$D$81</definedName>
    <definedName name="OSRRefD21_12x_0" localSheetId="68">'314'!$D$112</definedName>
    <definedName name="OSRRefD21_12x_0" localSheetId="69">'315'!$D$108:$D$110</definedName>
    <definedName name="OSRRefD21_12x_0" localSheetId="70">'316'!$D$89</definedName>
    <definedName name="OSRRefD21_12x_0" localSheetId="71">'317'!$D$115:$D$118</definedName>
    <definedName name="OSRRefD21_12x_0" localSheetId="73">'320'!$D$79</definedName>
    <definedName name="OSRRefD21_12x_0" localSheetId="74">'321'!$D$73:$D$74</definedName>
    <definedName name="OSRRefD21_12x_0" localSheetId="75">'322'!$D$66:$D$67</definedName>
    <definedName name="OSRRefD21_12x_0" localSheetId="78">'325'!$D$68:$D$71</definedName>
    <definedName name="OSRRefD21_12x_0" localSheetId="79">'326'!$D$159</definedName>
    <definedName name="OSRRefD21_12x_0" localSheetId="26">'330'!$D$175:$D$176</definedName>
    <definedName name="OSRRefD21_12x_0" localSheetId="32">'331'!$D$170</definedName>
    <definedName name="OSRRefD21_12x_0" localSheetId="35">'332'!$D$105:$D$110</definedName>
    <definedName name="OSRRefD21_12x_0" localSheetId="82">'405'!$D$72:$D$75</definedName>
    <definedName name="OSRRefD21_12x_0" localSheetId="83">'406'!$D$61:$D$63</definedName>
    <definedName name="OSRRefD21_12x_0" localSheetId="84">'411'!$D$64</definedName>
    <definedName name="OSRRefD21_12x_0" localSheetId="85">'412'!$D$72</definedName>
    <definedName name="OSRRefD21_12x_0" localSheetId="86">'413'!$D$83</definedName>
    <definedName name="OSRRefD21_12x_0" localSheetId="87">'414'!$D$68:$D$70</definedName>
    <definedName name="OSRRefD21_12x_0" localSheetId="88">'415'!$D$72</definedName>
    <definedName name="OSRRefD21_12x_0" localSheetId="89">'418'!$D$69:$D$72</definedName>
    <definedName name="OSRRefD21_12x_0" localSheetId="91">'423'!$D$63</definedName>
    <definedName name="OSRRefD21_12x_0" localSheetId="92">'424'!$D$63:$D$69</definedName>
    <definedName name="OSRRefD21_12x_0" localSheetId="93">'425'!$D$71:$D$72</definedName>
    <definedName name="OSRRefD21_12x_0" localSheetId="95">'433'!$D$70</definedName>
    <definedName name="OSRRefD21_12x_0" localSheetId="96">'435'!$D$60</definedName>
    <definedName name="OSRRefD21_12x_0" localSheetId="97">'444'!$D$68</definedName>
    <definedName name="OSRRefD21_12x_0" localSheetId="98">'445'!$D$56</definedName>
    <definedName name="OSRRefD21_12x_0" localSheetId="99">'450'!$D$69:$D$71</definedName>
    <definedName name="OSRRefD21_12x_0" localSheetId="41">'491'!$D$85</definedName>
    <definedName name="OSRRefD21_12x_0" localSheetId="44">'492'!$D$73</definedName>
    <definedName name="OSRRefD21_12x_0" localSheetId="101">'501'!$D$66</definedName>
    <definedName name="OSRRefD21_12x_0" localSheetId="8">'Div 2'!$D$67:$D$68</definedName>
    <definedName name="OSRRefD21_12x_0" localSheetId="11">'Div 3'!$D$261</definedName>
    <definedName name="OSRRefD21_12x_0" localSheetId="14">'Div 4'!$D$86</definedName>
    <definedName name="OSRRefD21_12x_0" localSheetId="47">'Div 5'!$D$66</definedName>
    <definedName name="OSRRefD21_12x_0" localSheetId="50">'Div 6'!$D$115:$D$118</definedName>
    <definedName name="OSRRefD21_12x_0" localSheetId="2">Summary!$D$297</definedName>
    <definedName name="OSRRefD21_13x_0" localSheetId="55">'201'!$D$64:$D$67</definedName>
    <definedName name="OSRRefD21_13x_0" localSheetId="56">'202'!$D$67:$D$69</definedName>
    <definedName name="OSRRefD21_13x_0" localSheetId="57">'203'!$D$73</definedName>
    <definedName name="OSRRefD21_13x_0" localSheetId="58">'204'!$D$73:$D$74</definedName>
    <definedName name="OSRRefD21_13x_0" localSheetId="17">'300'!$D$258:$D$294</definedName>
    <definedName name="OSRRefD21_13x_0" localSheetId="20">'300 &amp; 317'!$D$283:$D$322</definedName>
    <definedName name="OSRRefD21_13x_0" localSheetId="61">'301'!$D$69:$D$70</definedName>
    <definedName name="OSRRefD21_13x_0" localSheetId="63">'307'!$D$169:$D$170</definedName>
    <definedName name="OSRRefD21_13x_0" localSheetId="29">'308'!$D$151:$D$154</definedName>
    <definedName name="OSRRefD21_13x_0" localSheetId="64">'309'!$D$71:$D$79</definedName>
    <definedName name="OSRRefD21_13x_0" localSheetId="23">'310'!$D$85</definedName>
    <definedName name="OSRRefD21_13x_0" localSheetId="38">'310 &amp; 491'!$D$101</definedName>
    <definedName name="OSRRefD21_13x_0" localSheetId="65">'311'!$D$129:$D$132</definedName>
    <definedName name="OSRRefD21_13x_0" localSheetId="67">'313'!$D$83:$D$89</definedName>
    <definedName name="OSRRefD21_13x_0" localSheetId="68">'314'!$D$114</definedName>
    <definedName name="OSRRefD21_13x_0" localSheetId="69">'315'!$D$112:$D$113</definedName>
    <definedName name="OSRRefD21_13x_0" localSheetId="70">'316'!$D$91</definedName>
    <definedName name="OSRRefD21_13x_0" localSheetId="71">'317'!$D$120</definedName>
    <definedName name="OSRRefD21_13x_0" localSheetId="74">'321'!$D$76:$D$83</definedName>
    <definedName name="OSRRefD21_13x_0" localSheetId="75">'322'!$D$69:$D$71</definedName>
    <definedName name="OSRRefD21_13x_0" localSheetId="78">'325'!$D$73:$D$76</definedName>
    <definedName name="OSRRefD21_13x_0" localSheetId="79">'326'!$D$161</definedName>
    <definedName name="OSRRefD21_13x_0" localSheetId="26">'330'!$D$178:$D$179</definedName>
    <definedName name="OSRRefD21_13x_0" localSheetId="32">'331'!$D$172</definedName>
    <definedName name="OSRRefD21_13x_0" localSheetId="35">'332'!$D$112</definedName>
    <definedName name="OSRRefD21_13x_0" localSheetId="82">'405'!$D$77:$D$78</definedName>
    <definedName name="OSRRefD21_13x_0" localSheetId="83">'406'!$D$65:$D$70</definedName>
    <definedName name="OSRRefD21_13x_0" localSheetId="84">'411'!$D$66</definedName>
    <definedName name="OSRRefD21_13x_0" localSheetId="85">'412'!$D$74:$D$78</definedName>
    <definedName name="OSRRefD21_13x_0" localSheetId="86">'413'!$D$85:$D$86</definedName>
    <definedName name="OSRRefD21_13x_0" localSheetId="87">'414'!$D$72</definedName>
    <definedName name="OSRRefD21_13x_0" localSheetId="88">'415'!$D$74:$D$78</definedName>
    <definedName name="OSRRefD21_13x_0" localSheetId="89">'418'!$D$74:$D$77</definedName>
    <definedName name="OSRRefD21_13x_0" localSheetId="92">'424'!$D$71</definedName>
    <definedName name="OSRRefD21_13x_0" localSheetId="93">'425'!$D$74:$D$81</definedName>
    <definedName name="OSRRefD21_13x_0" localSheetId="95">'433'!$D$72:$D$74</definedName>
    <definedName name="OSRRefD21_13x_0" localSheetId="96">'435'!$D$62</definedName>
    <definedName name="OSRRefD21_13x_0" localSheetId="97">'444'!$D$70:$D$73</definedName>
    <definedName name="OSRRefD21_13x_0" localSheetId="98">'445'!$D$58</definedName>
    <definedName name="OSRRefD21_13x_0" localSheetId="99">'450'!$D$73:$D$76</definedName>
    <definedName name="OSRRefD21_13x_0" localSheetId="41">'491'!$D$87</definedName>
    <definedName name="OSRRefD21_13x_0" localSheetId="44">'492'!$D$75:$D$76</definedName>
    <definedName name="OSRRefD21_13x_0" localSheetId="101">'501'!$D$68:$D$71</definedName>
    <definedName name="OSRRefD21_13x_0" localSheetId="8">'Div 2'!$D$70</definedName>
    <definedName name="OSRRefD21_13x_0" localSheetId="11">'Div 3'!$D$263</definedName>
    <definedName name="OSRRefD21_13x_0" localSheetId="14">'Div 4'!$D$88</definedName>
    <definedName name="OSRRefD21_13x_0" localSheetId="47">'Div 5'!$D$68:$D$71</definedName>
    <definedName name="OSRRefD21_13x_0" localSheetId="50">'Div 6'!$D$120</definedName>
    <definedName name="OSRRefD21_13x_0" localSheetId="2">Summary!$D$299</definedName>
    <definedName name="OSRRefD21_14x_0" localSheetId="55">'201'!$D$69:$D$71</definedName>
    <definedName name="OSRRefD21_14x_0" localSheetId="56">'202'!$D$71</definedName>
    <definedName name="OSRRefD21_14x_0" localSheetId="57">'203'!$D$75</definedName>
    <definedName name="OSRRefD21_14x_0" localSheetId="17">'300'!$D$296:$D$297</definedName>
    <definedName name="OSRRefD21_14x_0" localSheetId="20">'300 &amp; 317'!$D$324:$D$325</definedName>
    <definedName name="OSRRefD21_14x_0" localSheetId="61">'301'!$D$72:$D$73</definedName>
    <definedName name="OSRRefD21_14x_0" localSheetId="63">'307'!$D$172</definedName>
    <definedName name="OSRRefD21_14x_0" localSheetId="29">'308'!$D$156:$D$157</definedName>
    <definedName name="OSRRefD21_14x_0" localSheetId="64">'309'!$D$81</definedName>
    <definedName name="OSRRefD21_14x_0" localSheetId="23">'310'!$D$87</definedName>
    <definedName name="OSRRefD21_14x_0" localSheetId="38">'310 &amp; 491'!$D$103</definedName>
    <definedName name="OSRRefD21_14x_0" localSheetId="65">'311'!$D$134:$D$135</definedName>
    <definedName name="OSRRefD21_14x_0" localSheetId="67">'313'!$D$91:$D$92</definedName>
    <definedName name="OSRRefD21_14x_0" localSheetId="69">'315'!$D$115:$D$122</definedName>
    <definedName name="OSRRefD21_14x_0" localSheetId="70">'316'!$D$93</definedName>
    <definedName name="OSRRefD21_14x_0" localSheetId="71">'317'!$D$122</definedName>
    <definedName name="OSRRefD21_14x_0" localSheetId="74">'321'!$D$85:$D$86</definedName>
    <definedName name="OSRRefD21_14x_0" localSheetId="75">'322'!$D$73:$D$74</definedName>
    <definedName name="OSRRefD21_14x_0" localSheetId="78">'325'!$D$78:$D$79</definedName>
    <definedName name="OSRRefD21_14x_0" localSheetId="79">'326'!$D$163:$D$165</definedName>
    <definedName name="OSRRefD21_14x_0" localSheetId="26">'330'!$D$181</definedName>
    <definedName name="OSRRefD21_14x_0" localSheetId="32">'331'!$D$174:$D$177</definedName>
    <definedName name="OSRRefD21_14x_0" localSheetId="35">'332'!$D$114</definedName>
    <definedName name="OSRRefD21_14x_0" localSheetId="82">'405'!$D$80:$D$89</definedName>
    <definedName name="OSRRefD21_14x_0" localSheetId="83">'406'!$D$72</definedName>
    <definedName name="OSRRefD21_14x_0" localSheetId="84">'411'!$D$68:$D$71</definedName>
    <definedName name="OSRRefD21_14x_0" localSheetId="85">'412'!$D$80:$D$89</definedName>
    <definedName name="OSRRefD21_14x_0" localSheetId="87">'414'!$D$74:$D$82</definedName>
    <definedName name="OSRRefD21_14x_0" localSheetId="88">'415'!$D$80:$D$81</definedName>
    <definedName name="OSRRefD21_14x_0" localSheetId="89">'418'!$D$79:$D$80</definedName>
    <definedName name="OSRRefD21_14x_0" localSheetId="93">'425'!$D$83</definedName>
    <definedName name="OSRRefD21_14x_0" localSheetId="95">'433'!$D$76:$D$79</definedName>
    <definedName name="OSRRefD21_14x_0" localSheetId="97">'444'!$D$75:$D$78</definedName>
    <definedName name="OSRRefD21_14x_0" localSheetId="99">'450'!$D$78</definedName>
    <definedName name="OSRRefD21_14x_0" localSheetId="41">'491'!$D$89</definedName>
    <definedName name="OSRRefD21_14x_0" localSheetId="44">'492'!$D$78</definedName>
    <definedName name="OSRRefD21_14x_0" localSheetId="101">'501'!$D$73</definedName>
    <definedName name="OSRRefD21_14x_0" localSheetId="8">'Div 2'!$D$72:$D$75</definedName>
    <definedName name="OSRRefD21_14x_0" localSheetId="11">'Div 3'!$D$265:$D$301</definedName>
    <definedName name="OSRRefD21_14x_0" localSheetId="14">'Div 4'!$D$90:$D$91</definedName>
    <definedName name="OSRRefD21_14x_0" localSheetId="47">'Div 5'!$D$73</definedName>
    <definedName name="OSRRefD21_14x_0" localSheetId="50">'Div 6'!$D$122</definedName>
    <definedName name="OSRRefD21_14x_0" localSheetId="2">Summary!$D$301:$D$340</definedName>
    <definedName name="OSRRefD21_15x_0" localSheetId="55">'201'!$D$73</definedName>
    <definedName name="OSRRefD21_15x_0" localSheetId="56">'202'!$D$73</definedName>
    <definedName name="OSRRefD21_15x_0" localSheetId="57">'203'!$D$77:$D$78</definedName>
    <definedName name="OSRRefD21_15x_0" localSheetId="17">'300'!$D$299</definedName>
    <definedName name="OSRRefD21_15x_0" localSheetId="20">'300 &amp; 317'!$D$327</definedName>
    <definedName name="OSRRefD21_15x_0" localSheetId="61">'301'!$D$75</definedName>
    <definedName name="OSRRefD21_15x_0" localSheetId="63">'307'!$D$174:$D$179</definedName>
    <definedName name="OSRRefD21_15x_0" localSheetId="29">'308'!$D$159</definedName>
    <definedName name="OSRRefD21_15x_0" localSheetId="64">'309'!$D$83</definedName>
    <definedName name="OSRRefD21_15x_0" localSheetId="23">'310'!$D$89:$D$92</definedName>
    <definedName name="OSRRefD21_15x_0" localSheetId="38">'310 &amp; 491'!$D$105</definedName>
    <definedName name="OSRRefD21_15x_0" localSheetId="65">'311'!$D$137</definedName>
    <definedName name="OSRRefD21_15x_0" localSheetId="67">'313'!$D$94</definedName>
    <definedName name="OSRRefD21_15x_0" localSheetId="69">'315'!$D$124</definedName>
    <definedName name="OSRRefD21_15x_0" localSheetId="70">'316'!$D$95</definedName>
    <definedName name="OSRRefD21_15x_0" localSheetId="71">'317'!$D$124:$D$125</definedName>
    <definedName name="OSRRefD21_15x_0" localSheetId="74">'321'!$D$88</definedName>
    <definedName name="OSRRefD21_15x_0" localSheetId="75">'322'!$D$76:$D$84</definedName>
    <definedName name="OSRRefD21_15x_0" localSheetId="78">'325'!$D$81:$D$88</definedName>
    <definedName name="OSRRefD21_15x_0" localSheetId="79">'326'!$D$167:$D$169</definedName>
    <definedName name="OSRRefD21_15x_0" localSheetId="26">'330'!$D$183:$D$189</definedName>
    <definedName name="OSRRefD21_15x_0" localSheetId="32">'331'!$D$179:$D$181</definedName>
    <definedName name="OSRRefD21_15x_0" localSheetId="35">'332'!$D$116</definedName>
    <definedName name="OSRRefD21_15x_0" localSheetId="82">'405'!$D$91</definedName>
    <definedName name="OSRRefD21_15x_0" localSheetId="83">'406'!$D$74</definedName>
    <definedName name="OSRRefD21_15x_0" localSheetId="84">'411'!$D$73</definedName>
    <definedName name="OSRRefD21_15x_0" localSheetId="85">'412'!$D$91:$D$92</definedName>
    <definedName name="OSRRefD21_15x_0" localSheetId="87">'414'!$D$84</definedName>
    <definedName name="OSRRefD21_15x_0" localSheetId="88">'415'!$D$83:$D$91</definedName>
    <definedName name="OSRRefD21_15x_0" localSheetId="89">'418'!$D$82:$D$92</definedName>
    <definedName name="OSRRefD21_15x_0" localSheetId="93">'425'!$D$85</definedName>
    <definedName name="OSRRefD21_15x_0" localSheetId="95">'433'!$D$81</definedName>
    <definedName name="OSRRefD21_15x_0" localSheetId="97">'444'!$D$80:$D$81</definedName>
    <definedName name="OSRRefD21_15x_0" localSheetId="99">'450'!$D$80:$D$89</definedName>
    <definedName name="OSRRefD21_15x_0" localSheetId="41">'491'!$D$91</definedName>
    <definedName name="OSRRefD21_15x_0" localSheetId="44">'492'!$D$80:$D$83</definedName>
    <definedName name="OSRRefD21_15x_0" localSheetId="101">'501'!$D$75</definedName>
    <definedName name="OSRRefD21_15x_0" localSheetId="8">'Div 2'!$D$77:$D$80</definedName>
    <definedName name="OSRRefD21_15x_0" localSheetId="11">'Div 3'!$D$303:$D$304</definedName>
    <definedName name="OSRRefD21_15x_0" localSheetId="14">'Div 4'!$D$93</definedName>
    <definedName name="OSRRefD21_15x_0" localSheetId="47">'Div 5'!$D$75</definedName>
    <definedName name="OSRRefD21_15x_0" localSheetId="50">'Div 6'!$D$124:$D$125</definedName>
    <definedName name="OSRRefD21_15x_0" localSheetId="2">Summary!$D$342:$D$343</definedName>
    <definedName name="OSRRefD21_16x_0" localSheetId="55">'201'!$D$75:$D$78</definedName>
    <definedName name="OSRRefD21_16x_0" localSheetId="56">'202'!$D$75:$D$76</definedName>
    <definedName name="OSRRefD21_16x_0" localSheetId="17">'300'!$D$301:$D$304</definedName>
    <definedName name="OSRRefD21_16x_0" localSheetId="20">'300 &amp; 317'!$D$329:$D$332</definedName>
    <definedName name="OSRRefD21_16x_0" localSheetId="61">'301'!$D$77:$D$80</definedName>
    <definedName name="OSRRefD21_16x_0" localSheetId="63">'307'!$D$181:$D$182</definedName>
    <definedName name="OSRRefD21_16x_0" localSheetId="29">'308'!$D$161:$D$162</definedName>
    <definedName name="OSRRefD21_16x_0" localSheetId="64">'309'!$D$85:$D$86</definedName>
    <definedName name="OSRRefD21_16x_0" localSheetId="23">'310'!$D$94:$D$95</definedName>
    <definedName name="OSRRefD21_16x_0" localSheetId="38">'310 &amp; 491'!$D$107</definedName>
    <definedName name="OSRRefD21_16x_0" localSheetId="65">'311'!$D$139:$D$140</definedName>
    <definedName name="OSRRefD21_16x_0" localSheetId="67">'313'!$D$96:$D$97</definedName>
    <definedName name="OSRRefD21_16x_0" localSheetId="69">'315'!$D$126</definedName>
    <definedName name="OSRRefD21_16x_0" localSheetId="74">'321'!$D$90:$D$91</definedName>
    <definedName name="OSRRefD21_16x_0" localSheetId="75">'322'!$D$86</definedName>
    <definedName name="OSRRefD21_16x_0" localSheetId="78">'325'!$D$90:$D$91</definedName>
    <definedName name="OSRRefD21_16x_0" localSheetId="79">'326'!$D$171:$D$172</definedName>
    <definedName name="OSRRefD21_16x_0" localSheetId="26">'330'!$D$191:$D$192</definedName>
    <definedName name="OSRRefD21_16x_0" localSheetId="32">'331'!$D$183:$D$185</definedName>
    <definedName name="OSRRefD21_16x_0" localSheetId="35">'332'!$D$118</definedName>
    <definedName name="OSRRefD21_16x_0" localSheetId="82">'405'!$D$93</definedName>
    <definedName name="OSRRefD21_16x_0" localSheetId="83">'406'!$D$76:$D$77</definedName>
    <definedName name="OSRRefD21_16x_0" localSheetId="84">'411'!$D$75:$D$79</definedName>
    <definedName name="OSRRefD21_16x_0" localSheetId="85">'412'!$D$94</definedName>
    <definedName name="OSRRefD21_16x_0" localSheetId="87">'414'!$D$86</definedName>
    <definedName name="OSRRefD21_16x_0" localSheetId="88">'415'!$D$93:$D$94</definedName>
    <definedName name="OSRRefD21_16x_0" localSheetId="89">'418'!$D$94:$D$95</definedName>
    <definedName name="OSRRefD21_16x_0" localSheetId="93">'425'!$D$87:$D$89</definedName>
    <definedName name="OSRRefD21_16x_0" localSheetId="95">'433'!$D$83:$D$91</definedName>
    <definedName name="OSRRefD21_16x_0" localSheetId="97">'444'!$D$83:$D$92</definedName>
    <definedName name="OSRRefD21_16x_0" localSheetId="99">'450'!$D$91:$D$92</definedName>
    <definedName name="OSRRefD21_16x_0" localSheetId="41">'491'!$D$93</definedName>
    <definedName name="OSRRefD21_16x_0" localSheetId="44">'492'!$D$85:$D$88</definedName>
    <definedName name="OSRRefD21_16x_0" localSheetId="101">'501'!$D$77</definedName>
    <definedName name="OSRRefD21_16x_0" localSheetId="8">'Div 2'!$D$82:$D$83</definedName>
    <definedName name="OSRRefD21_16x_0" localSheetId="11">'Div 3'!$D$306</definedName>
    <definedName name="OSRRefD21_16x_0" localSheetId="14">'Div 4'!$D$95</definedName>
    <definedName name="OSRRefD21_16x_0" localSheetId="47">'Div 5'!$D$77</definedName>
    <definedName name="OSRRefD21_16x_0" localSheetId="2">Summary!$D$345</definedName>
    <definedName name="OSRRefD21_17x_0" localSheetId="55">'201'!$D$80:$D$81</definedName>
    <definedName name="OSRRefD21_17x_0" localSheetId="17">'300'!$D$306:$D$310</definedName>
    <definedName name="OSRRefD21_17x_0" localSheetId="20">'300 &amp; 317'!$D$334:$D$338</definedName>
    <definedName name="OSRRefD21_17x_0" localSheetId="61">'301'!$D$82</definedName>
    <definedName name="OSRRefD21_17x_0" localSheetId="63">'307'!$D$184</definedName>
    <definedName name="OSRRefD21_17x_0" localSheetId="29">'308'!$D$164</definedName>
    <definedName name="OSRRefD21_17x_0" localSheetId="23">'310'!$D$97:$D$100</definedName>
    <definedName name="OSRRefD21_17x_0" localSheetId="38">'310 &amp; 491'!$D$109:$D$112</definedName>
    <definedName name="OSRRefD21_17x_0" localSheetId="65">'311'!$D$142</definedName>
    <definedName name="OSRRefD21_17x_0" localSheetId="69">'315'!$D$128:$D$130</definedName>
    <definedName name="OSRRefD21_17x_0" localSheetId="74">'321'!$D$93</definedName>
    <definedName name="OSRRefD21_17x_0" localSheetId="75">'322'!$D$88</definedName>
    <definedName name="OSRRefD21_17x_0" localSheetId="78">'325'!$D$93</definedName>
    <definedName name="OSRRefD21_17x_0" localSheetId="79">'326'!$D$174:$D$181</definedName>
    <definedName name="OSRRefD21_17x_0" localSheetId="26">'330'!$D$194</definedName>
    <definedName name="OSRRefD21_17x_0" localSheetId="32">'331'!$D$187:$D$188</definedName>
    <definedName name="OSRRefD21_17x_0" localSheetId="82">'405'!$D$95</definedName>
    <definedName name="OSRRefD21_17x_0" localSheetId="84">'411'!$D$81:$D$82</definedName>
    <definedName name="OSRRefD21_17x_0" localSheetId="85">'412'!$D$96:$D$97</definedName>
    <definedName name="OSRRefD21_17x_0" localSheetId="87">'414'!$D$88</definedName>
    <definedName name="OSRRefD21_17x_0" localSheetId="88">'415'!$D$96</definedName>
    <definedName name="OSRRefD21_17x_0" localSheetId="89">'418'!$D$97</definedName>
    <definedName name="OSRRefD21_17x_0" localSheetId="95">'433'!$D$93</definedName>
    <definedName name="OSRRefD21_17x_0" localSheetId="97">'444'!$D$94:$D$95</definedName>
    <definedName name="OSRRefD21_17x_0" localSheetId="99">'450'!$D$94</definedName>
    <definedName name="OSRRefD21_17x_0" localSheetId="41">'491'!$D$95:$D$98</definedName>
    <definedName name="OSRRefD21_17x_0" localSheetId="44">'492'!$D$90:$D$91</definedName>
    <definedName name="OSRRefD21_17x_0" localSheetId="8">'Div 2'!$D$85:$D$86</definedName>
    <definedName name="OSRRefD21_17x_0" localSheetId="11">'Div 3'!$D$308:$D$311</definedName>
    <definedName name="OSRRefD21_17x_0" localSheetId="14">'Div 4'!$D$97:$D$100</definedName>
    <definedName name="OSRRefD21_17x_0" localSheetId="2">Summary!$D$347</definedName>
    <definedName name="OSRRefD21_18x_0" localSheetId="55">'201'!$D$83</definedName>
    <definedName name="OSRRefD21_18x_0" localSheetId="17">'300'!$D$312:$D$316</definedName>
    <definedName name="OSRRefD21_18x_0" localSheetId="20">'300 &amp; 317'!$D$340:$D$344</definedName>
    <definedName name="OSRRefD21_18x_0" localSheetId="61">'301'!$D$84:$D$87</definedName>
    <definedName name="OSRRefD21_18x_0" localSheetId="63">'307'!$D$186</definedName>
    <definedName name="OSRRefD21_18x_0" localSheetId="23">'310'!$D$102:$D$103</definedName>
    <definedName name="OSRRefD21_18x_0" localSheetId="38">'310 &amp; 491'!$D$114:$D$115</definedName>
    <definedName name="OSRRefD21_18x_0" localSheetId="75">'322'!$D$90:$D$92</definedName>
    <definedName name="OSRRefD21_18x_0" localSheetId="78">'325'!$D$95</definedName>
    <definedName name="OSRRefD21_18x_0" localSheetId="79">'326'!$D$183:$D$184</definedName>
    <definedName name="OSRRefD21_18x_0" localSheetId="26">'330'!$D$196</definedName>
    <definedName name="OSRRefD21_18x_0" localSheetId="32">'331'!$D$190:$D$198</definedName>
    <definedName name="OSRRefD21_18x_0" localSheetId="82">'405'!$D$97</definedName>
    <definedName name="OSRRefD21_18x_0" localSheetId="84">'411'!$D$84:$D$93</definedName>
    <definedName name="OSRRefD21_18x_0" localSheetId="85">'412'!$D$99</definedName>
    <definedName name="OSRRefD21_18x_0" localSheetId="88">'415'!$D$98:$D$99</definedName>
    <definedName name="OSRRefD21_18x_0" localSheetId="89">'418'!$D$99:$D$100</definedName>
    <definedName name="OSRRefD21_18x_0" localSheetId="95">'433'!$D$95</definedName>
    <definedName name="OSRRefD21_18x_0" localSheetId="97">'444'!$D$97</definedName>
    <definedName name="OSRRefD21_18x_0" localSheetId="99">'450'!$D$96:$D$98</definedName>
    <definedName name="OSRRefD21_18x_0" localSheetId="41">'491'!$D$100:$D$101</definedName>
    <definedName name="OSRRefD21_18x_0" localSheetId="44">'492'!$D$93:$D$102</definedName>
    <definedName name="OSRRefD21_18x_0" localSheetId="8">'Div 2'!$D$88:$D$94</definedName>
    <definedName name="OSRRefD21_18x_0" localSheetId="11">'Div 3'!$D$313:$D$317</definedName>
    <definedName name="OSRRefD21_18x_0" localSheetId="14">'Div 4'!$D$102:$D$103</definedName>
    <definedName name="OSRRefD21_18x_0" localSheetId="2">Summary!$D$349:$D$352</definedName>
    <definedName name="OSRRefD21_19x_0" localSheetId="55">'201'!$D$85:$D$86</definedName>
    <definedName name="OSRRefD21_19x_0" localSheetId="17">'300'!$D$318:$D$319</definedName>
    <definedName name="OSRRefD21_19x_0" localSheetId="20">'300 &amp; 317'!$D$346:$D$347</definedName>
    <definedName name="OSRRefD21_19x_0" localSheetId="61">'301'!$D$89:$D$90</definedName>
    <definedName name="OSRRefD21_19x_0" localSheetId="23">'310'!$D$105:$D$113</definedName>
    <definedName name="OSRRefD21_19x_0" localSheetId="38">'310 &amp; 491'!$D$117:$D$121</definedName>
    <definedName name="OSRRefD21_19x_0" localSheetId="75">'322'!$D$94</definedName>
    <definedName name="OSRRefD21_19x_0" localSheetId="78">'325'!$D$97</definedName>
    <definedName name="OSRRefD21_19x_0" localSheetId="79">'326'!$D$186</definedName>
    <definedName name="OSRRefD21_19x_0" localSheetId="32">'331'!$D$200:$D$201</definedName>
    <definedName name="OSRRefD21_19x_0" localSheetId="84">'411'!$D$95</definedName>
    <definedName name="OSRRefD21_19x_0" localSheetId="88">'415'!$D$101</definedName>
    <definedName name="OSRRefD21_19x_0" localSheetId="89">'418'!$D$102</definedName>
    <definedName name="OSRRefD21_19x_0" localSheetId="95">'433'!$D$97:$D$98</definedName>
    <definedName name="OSRRefD21_19x_0" localSheetId="97">'444'!$D$99</definedName>
    <definedName name="OSRRefD21_19x_0" localSheetId="41">'491'!$D$103:$D$107</definedName>
    <definedName name="OSRRefD21_19x_0" localSheetId="44">'492'!$D$104:$D$105</definedName>
    <definedName name="OSRRefD21_19x_0" localSheetId="8">'Div 2'!$D$96:$D$97</definedName>
    <definedName name="OSRRefD21_19x_0" localSheetId="11">'Div 3'!$D$319:$D$324</definedName>
    <definedName name="OSRRefD21_19x_0" localSheetId="14">'Div 4'!$D$105:$D$109</definedName>
    <definedName name="OSRRefD21_19x_0" localSheetId="2">Summary!$D$354:$D$358</definedName>
    <definedName name="OSRRefD21_1x_0" localSheetId="54">'200'!$D$22</definedName>
    <definedName name="OSRRefD21_1x_0" localSheetId="55">'201'!$D$30:$D$39</definedName>
    <definedName name="OSRRefD21_1x_0" localSheetId="56">'202'!$D$30:$D$39</definedName>
    <definedName name="OSRRefD21_1x_0" localSheetId="57">'203'!$D$30:$D$39</definedName>
    <definedName name="OSRRefD21_1x_0" localSheetId="58">'204'!$D$30:$D$39</definedName>
    <definedName name="OSRRefD21_1x_0" localSheetId="59">'205'!$D$29:$D$38</definedName>
    <definedName name="OSRRefD21_1x_0" localSheetId="60">'206'!$D$29:$D$38</definedName>
    <definedName name="OSRRefD21_1x_0" localSheetId="17">'300'!$D$215:$D$224</definedName>
    <definedName name="OSRRefD21_1x_0" localSheetId="20">'300 &amp; 317'!$D$240:$D$249</definedName>
    <definedName name="OSRRefD21_1x_0" localSheetId="61">'301'!$D$30:$D$39</definedName>
    <definedName name="OSRRefD21_1x_0" localSheetId="62">'306'!$D$30:$D$39</definedName>
    <definedName name="OSRRefD21_1x_0" localSheetId="63">'307'!$D$110:$D$119</definedName>
    <definedName name="OSRRefD21_1x_0" localSheetId="29">'308'!$D$100:$D$109</definedName>
    <definedName name="OSRRefD21_1x_0" localSheetId="64">'309'!$D$35:$D$44</definedName>
    <definedName name="OSRRefD21_1x_0" localSheetId="23">'310'!$D$49:$D$58</definedName>
    <definedName name="OSRRefD21_1x_0" localSheetId="38">'310 &amp; 491'!$D$60:$D$69</definedName>
    <definedName name="OSRRefD21_1x_0" localSheetId="65">'311'!$D$82:$D$91</definedName>
    <definedName name="OSRRefD21_1x_0" localSheetId="66">'312'!$D$68:$D$72</definedName>
    <definedName name="OSRRefD21_1x_0" localSheetId="67">'313'!$D$45:$D$54</definedName>
    <definedName name="OSRRefD21_1x_0" localSheetId="68">'314'!$D$71:$D$76</definedName>
    <definedName name="OSRRefD21_1x_0" localSheetId="69">'315'!$D$67:$D$76</definedName>
    <definedName name="OSRRefD21_1x_0" localSheetId="70">'316'!$D$50:$D$59</definedName>
    <definedName name="OSRRefD21_1x_0" localSheetId="71">'317'!$D$74:$D$83</definedName>
    <definedName name="OSRRefD21_1x_0" localSheetId="72">'318'!$D$27:$D$30</definedName>
    <definedName name="OSRRefD21_1x_0" localSheetId="73">'320'!$D$44:$D$50</definedName>
    <definedName name="OSRRefD21_1x_0" localSheetId="74">'321'!$D$36:$D$45</definedName>
    <definedName name="OSRRefD21_1x_0" localSheetId="75">'322'!$D$35:$D$44</definedName>
    <definedName name="OSRRefD21_1x_0" localSheetId="76">'323'!$D$29:$D$31</definedName>
    <definedName name="OSRRefD21_1x_0" localSheetId="77">'324'!$D$35:$D$44</definedName>
    <definedName name="OSRRefD21_1x_0" localSheetId="78">'325'!$D$36:$D$45</definedName>
    <definedName name="OSRRefD21_1x_0" localSheetId="79">'326'!$D$104:$D$113</definedName>
    <definedName name="OSRRefD21_1x_0" localSheetId="80">'327'!$D$27</definedName>
    <definedName name="OSRRefD21_1x_0" localSheetId="26">'330'!$D$119:$D$128</definedName>
    <definedName name="OSRRefD21_1x_0" localSheetId="32">'331'!$D$115:$D$124</definedName>
    <definedName name="OSRRefD21_1x_0" localSheetId="35">'332'!$D$67:$D$76</definedName>
    <definedName name="OSRRefD21_1x_0" localSheetId="81">'335'!$D$28:$D$32</definedName>
    <definedName name="OSRRefD21_1x_0" localSheetId="82">'405'!$D$38:$D$47</definedName>
    <definedName name="OSRRefD21_1x_0" localSheetId="83">'406'!$D$32:$D$37</definedName>
    <definedName name="OSRRefD21_1x_0" localSheetId="84">'411'!$D$30:$D$39</definedName>
    <definedName name="OSRRefD21_1x_0" localSheetId="85">'412'!$D$38:$D$47</definedName>
    <definedName name="OSRRefD21_1x_0" localSheetId="86">'413'!$D$37:$D$46</definedName>
    <definedName name="OSRRefD21_1x_0" localSheetId="87">'414'!$D$36:$D$45</definedName>
    <definedName name="OSRRefD21_1x_0" localSheetId="88">'415'!$D$37:$D$46</definedName>
    <definedName name="OSRRefD21_1x_0" localSheetId="89">'418'!$D$36:$D$45</definedName>
    <definedName name="OSRRefD21_1x_0" localSheetId="90">'420'!$D$32:$D$35</definedName>
    <definedName name="OSRRefD21_1x_0" localSheetId="91">'423'!$D$30:$D$39</definedName>
    <definedName name="OSRRefD21_1x_0" localSheetId="92">'424'!$D$33:$D$38</definedName>
    <definedName name="OSRRefD21_1x_0" localSheetId="93">'425'!$D$36:$D$41</definedName>
    <definedName name="OSRRefD21_1x_0" localSheetId="94">'430'!$D$29:$D$38</definedName>
    <definedName name="OSRRefD21_1x_0" localSheetId="95">'433'!$D$39:$D$48</definedName>
    <definedName name="OSRRefD21_1x_0" localSheetId="96">'435'!$D$28:$D$31</definedName>
    <definedName name="OSRRefD21_1x_0" localSheetId="97">'444'!$D$37:$D$46</definedName>
    <definedName name="OSRRefD21_1x_0" localSheetId="98">'445'!$D$28:$D$30</definedName>
    <definedName name="OSRRefD21_1x_0" localSheetId="99">'450'!$D$37:$D$46</definedName>
    <definedName name="OSRRefD21_1x_0" localSheetId="100">'455'!$D$28:$D$29</definedName>
    <definedName name="OSRRefD21_1x_0" localSheetId="41">'491'!$D$48:$D$57</definedName>
    <definedName name="OSRRefD21_1x_0" localSheetId="44">'492'!$D$41:$D$50</definedName>
    <definedName name="OSRRefD21_1x_0" localSheetId="101">'501'!$D$31:$D$40</definedName>
    <definedName name="OSRRefD21_1x_0" localSheetId="8">'Div 2'!$D$32:$D$41</definedName>
    <definedName name="OSRRefD21_1x_0" localSheetId="11">'Div 3'!$D$220:$D$229</definedName>
    <definedName name="OSRRefD21_1x_0" localSheetId="14">'Div 4'!$D$49:$D$58</definedName>
    <definedName name="OSRRefD21_1x_0" localSheetId="47">'Div 5'!$D$31:$D$40</definedName>
    <definedName name="OSRRefD21_1x_0" localSheetId="50">'Div 6'!$D$74:$D$83</definedName>
    <definedName name="OSRRefD21_1x_0" localSheetId="2">Summary!$D$256:$D$265</definedName>
    <definedName name="OSRRefD21_20x_0" localSheetId="17">'300'!$D$321:$D$329</definedName>
    <definedName name="OSRRefD21_20x_0" localSheetId="20">'300 &amp; 317'!$D$349:$D$357</definedName>
    <definedName name="OSRRefD21_20x_0" localSheetId="61">'301'!$D$92:$D$98</definedName>
    <definedName name="OSRRefD21_20x_0" localSheetId="23">'310'!$D$115:$D$116</definedName>
    <definedName name="OSRRefD21_20x_0" localSheetId="38">'310 &amp; 491'!$D$123:$D$124</definedName>
    <definedName name="OSRRefD21_20x_0" localSheetId="79">'326'!$D$188:$D$190</definedName>
    <definedName name="OSRRefD21_20x_0" localSheetId="32">'331'!$D$203</definedName>
    <definedName name="OSRRefD21_20x_0" localSheetId="84">'411'!$D$97</definedName>
    <definedName name="OSRRefD21_20x_0" localSheetId="95">'433'!$D$100</definedName>
    <definedName name="OSRRefD21_20x_0" localSheetId="97">'444'!$D$101</definedName>
    <definedName name="OSRRefD21_20x_0" localSheetId="41">'491'!$D$109:$D$110</definedName>
    <definedName name="OSRRefD21_20x_0" localSheetId="44">'492'!$D$107</definedName>
    <definedName name="OSRRefD21_20x_0" localSheetId="8">'Div 2'!$D$99</definedName>
    <definedName name="OSRRefD21_20x_0" localSheetId="11">'Div 3'!$D$326:$D$327</definedName>
    <definedName name="OSRRefD21_20x_0" localSheetId="14">'Div 4'!$D$111:$D$112</definedName>
    <definedName name="OSRRefD21_20x_0" localSheetId="2">Summary!$D$360:$D$365</definedName>
    <definedName name="OSRRefD21_21x_0" localSheetId="17">'300'!$D$331:$D$332</definedName>
    <definedName name="OSRRefD21_21x_0" localSheetId="20">'300 &amp; 317'!$D$359:$D$360</definedName>
    <definedName name="OSRRefD21_21x_0" localSheetId="61">'301'!$D$100:$D$101</definedName>
    <definedName name="OSRRefD21_21x_0" localSheetId="23">'310'!$D$118</definedName>
    <definedName name="OSRRefD21_21x_0" localSheetId="38">'310 &amp; 491'!$D$126:$D$136</definedName>
    <definedName name="OSRRefD21_21x_0" localSheetId="79">'326'!$D$192</definedName>
    <definedName name="OSRRefD21_21x_0" localSheetId="32">'331'!$D$205:$D$207</definedName>
    <definedName name="OSRRefD21_21x_0" localSheetId="84">'411'!$D$99:$D$101</definedName>
    <definedName name="OSRRefD21_21x_0" localSheetId="41">'491'!$D$112:$D$122</definedName>
    <definedName name="OSRRefD21_21x_0" localSheetId="44">'492'!$D$109:$D$111</definedName>
    <definedName name="OSRRefD21_21x_0" localSheetId="8">'Div 2'!$D$101:$D$102</definedName>
    <definedName name="OSRRefD21_21x_0" localSheetId="11">'Div 3'!$D$329:$D$338</definedName>
    <definedName name="OSRRefD21_21x_0" localSheetId="14">'Div 4'!$D$114:$D$124</definedName>
    <definedName name="OSRRefD21_21x_0" localSheetId="2">Summary!$D$367:$D$368</definedName>
    <definedName name="OSRRefD21_22x_0" localSheetId="17">'300'!$D$334</definedName>
    <definedName name="OSRRefD21_22x_0" localSheetId="20">'300 &amp; 317'!$D$362</definedName>
    <definedName name="OSRRefD21_22x_0" localSheetId="61">'301'!$D$103</definedName>
    <definedName name="OSRRefD21_22x_0" localSheetId="23">'310'!$D$120:$D$122</definedName>
    <definedName name="OSRRefD21_22x_0" localSheetId="38">'310 &amp; 491'!$D$138:$D$139</definedName>
    <definedName name="OSRRefD21_22x_0" localSheetId="32">'331'!$D$209</definedName>
    <definedName name="OSRRefD21_22x_0" localSheetId="84">'411'!$D$103</definedName>
    <definedName name="OSRRefD21_22x_0" localSheetId="41">'491'!$D$124:$D$125</definedName>
    <definedName name="OSRRefD21_22x_0" localSheetId="44">'492'!$D$113</definedName>
    <definedName name="OSRRefD21_22x_0" localSheetId="11">'Div 3'!$D$340:$D$341</definedName>
    <definedName name="OSRRefD21_22x_0" localSheetId="14">'Div 4'!$D$126:$D$127</definedName>
    <definedName name="OSRRefD21_22x_0" localSheetId="2">Summary!$D$370:$D$380</definedName>
    <definedName name="OSRRefD21_23x_0" localSheetId="17">'300'!$D$336:$D$338</definedName>
    <definedName name="OSRRefD21_23x_0" localSheetId="20">'300 &amp; 317'!$D$364:$D$366</definedName>
    <definedName name="OSRRefD21_23x_0" localSheetId="61">'301'!$D$105:$D$107</definedName>
    <definedName name="OSRRefD21_23x_0" localSheetId="23">'310'!$D$124</definedName>
    <definedName name="OSRRefD21_23x_0" localSheetId="38">'310 &amp; 491'!$D$141</definedName>
    <definedName name="OSRRefD21_23x_0" localSheetId="41">'491'!$D$127</definedName>
    <definedName name="OSRRefD21_23x_0" localSheetId="11">'Div 3'!$D$343</definedName>
    <definedName name="OSRRefD21_23x_0" localSheetId="14">'Div 4'!$D$129</definedName>
    <definedName name="OSRRefD21_23x_0" localSheetId="2">Summary!$D$382:$D$383</definedName>
    <definedName name="OSRRefD21_24x_0" localSheetId="17">'300'!$D$340</definedName>
    <definedName name="OSRRefD21_24x_0" localSheetId="20">'300 &amp; 317'!$D$368</definedName>
    <definedName name="OSRRefD21_24x_0" localSheetId="61">'301'!$D$109</definedName>
    <definedName name="OSRRefD21_24x_0" localSheetId="38">'310 &amp; 491'!$D$143:$D$145</definedName>
    <definedName name="OSRRefD21_24x_0" localSheetId="41">'491'!$D$129:$D$131</definedName>
    <definedName name="OSRRefD21_24x_0" localSheetId="11">'Div 3'!$D$345:$D$347</definedName>
    <definedName name="OSRRefD21_24x_0" localSheetId="14">'Div 4'!$D$131:$D$133</definedName>
    <definedName name="OSRRefD21_24x_0" localSheetId="2">Summary!$D$385</definedName>
    <definedName name="OSRRefD21_25x_0" localSheetId="38">'310 &amp; 491'!$D$147</definedName>
    <definedName name="OSRRefD21_25x_0" localSheetId="41">'491'!$D$133</definedName>
    <definedName name="OSRRefD21_25x_0" localSheetId="11">'Div 3'!$D$349</definedName>
    <definedName name="OSRRefD21_25x_0" localSheetId="14">'Div 4'!$D$135</definedName>
    <definedName name="OSRRefD21_25x_0" localSheetId="2">Summary!$D$387:$D$389</definedName>
    <definedName name="OSRRefD21_26x_0" localSheetId="2">Summary!$D$391</definedName>
    <definedName name="OSRRefD21_2x_0" localSheetId="54">'200'!$D$24</definedName>
    <definedName name="OSRRefD21_2x_0" localSheetId="55">'201'!$D$41</definedName>
    <definedName name="OSRRefD21_2x_0" localSheetId="56">'202'!$D$41</definedName>
    <definedName name="OSRRefD21_2x_0" localSheetId="57">'203'!$D$41</definedName>
    <definedName name="OSRRefD21_2x_0" localSheetId="58">'204'!$D$41</definedName>
    <definedName name="OSRRefD21_2x_0" localSheetId="59">'205'!$D$40</definedName>
    <definedName name="OSRRefD21_2x_0" localSheetId="60">'206'!$D$40</definedName>
    <definedName name="OSRRefD21_2x_0" localSheetId="17">'300'!$D$226</definedName>
    <definedName name="OSRRefD21_2x_0" localSheetId="20">'300 &amp; 317'!$D$251</definedName>
    <definedName name="OSRRefD21_2x_0" localSheetId="61">'301'!$D$41</definedName>
    <definedName name="OSRRefD21_2x_0" localSheetId="62">'306'!$D$41</definedName>
    <definedName name="OSRRefD21_2x_0" localSheetId="63">'307'!$D$121</definedName>
    <definedName name="OSRRefD21_2x_0" localSheetId="29">'308'!$D$111</definedName>
    <definedName name="OSRRefD21_2x_0" localSheetId="64">'309'!$D$46</definedName>
    <definedName name="OSRRefD21_2x_0" localSheetId="23">'310'!$D$60</definedName>
    <definedName name="OSRRefD21_2x_0" localSheetId="38">'310 &amp; 491'!$D$71</definedName>
    <definedName name="OSRRefD21_2x_0" localSheetId="65">'311'!$D$93</definedName>
    <definedName name="OSRRefD21_2x_0" localSheetId="66">'312'!$D$74</definedName>
    <definedName name="OSRRefD21_2x_0" localSheetId="67">'313'!$D$56</definedName>
    <definedName name="OSRRefD21_2x_0" localSheetId="68">'314'!$D$78</definedName>
    <definedName name="OSRRefD21_2x_0" localSheetId="69">'315'!$D$78</definedName>
    <definedName name="OSRRefD21_2x_0" localSheetId="70">'316'!$D$61</definedName>
    <definedName name="OSRRefD21_2x_0" localSheetId="71">'317'!$D$85</definedName>
    <definedName name="OSRRefD21_2x_0" localSheetId="72">'318'!$D$32</definedName>
    <definedName name="OSRRefD21_2x_0" localSheetId="73">'320'!$D$52</definedName>
    <definedName name="OSRRefD21_2x_0" localSheetId="74">'321'!$D$47</definedName>
    <definedName name="OSRRefD21_2x_0" localSheetId="75">'322'!$D$46</definedName>
    <definedName name="OSRRefD21_2x_0" localSheetId="76">'323'!$D$33</definedName>
    <definedName name="OSRRefD21_2x_0" localSheetId="77">'324'!$D$46</definedName>
    <definedName name="OSRRefD21_2x_0" localSheetId="78">'325'!$D$47</definedName>
    <definedName name="OSRRefD21_2x_0" localSheetId="79">'326'!$D$115</definedName>
    <definedName name="OSRRefD21_2x_0" localSheetId="80">'327'!$D$29</definedName>
    <definedName name="OSRRefD21_2x_0" localSheetId="26">'330'!$D$130</definedName>
    <definedName name="OSRRefD21_2x_0" localSheetId="32">'331'!$D$126</definedName>
    <definedName name="OSRRefD21_2x_0" localSheetId="35">'332'!$D$78</definedName>
    <definedName name="OSRRefD21_2x_0" localSheetId="81">'335'!$D$34</definedName>
    <definedName name="OSRRefD21_2x_0" localSheetId="82">'405'!$D$49</definedName>
    <definedName name="OSRRefD21_2x_0" localSheetId="83">'406'!$D$39</definedName>
    <definedName name="OSRRefD21_2x_0" localSheetId="84">'411'!$D$41</definedName>
    <definedName name="OSRRefD21_2x_0" localSheetId="85">'412'!$D$49</definedName>
    <definedName name="OSRRefD21_2x_0" localSheetId="86">'413'!$D$48</definedName>
    <definedName name="OSRRefD21_2x_0" localSheetId="87">'414'!$D$47</definedName>
    <definedName name="OSRRefD21_2x_0" localSheetId="88">'415'!$D$48</definedName>
    <definedName name="OSRRefD21_2x_0" localSheetId="89">'418'!$D$47</definedName>
    <definedName name="OSRRefD21_2x_0" localSheetId="90">'420'!$D$37</definedName>
    <definedName name="OSRRefD21_2x_0" localSheetId="91">'423'!$D$41</definedName>
    <definedName name="OSRRefD21_2x_0" localSheetId="92">'424'!$D$40</definedName>
    <definedName name="OSRRefD21_2x_0" localSheetId="93">'425'!$D$43</definedName>
    <definedName name="OSRRefD21_2x_0" localSheetId="94">'430'!$D$40</definedName>
    <definedName name="OSRRefD21_2x_0" localSheetId="95">'433'!$D$50</definedName>
    <definedName name="OSRRefD21_2x_0" localSheetId="96">'435'!$D$33</definedName>
    <definedName name="OSRRefD21_2x_0" localSheetId="97">'444'!$D$48</definedName>
    <definedName name="OSRRefD21_2x_0" localSheetId="98">'445'!$D$32</definedName>
    <definedName name="OSRRefD21_2x_0" localSheetId="99">'450'!$D$48</definedName>
    <definedName name="OSRRefD21_2x_0" localSheetId="100">'455'!$D$31</definedName>
    <definedName name="OSRRefD21_2x_0" localSheetId="41">'491'!$D$59</definedName>
    <definedName name="OSRRefD21_2x_0" localSheetId="44">'492'!$D$52</definedName>
    <definedName name="OSRRefD21_2x_0" localSheetId="101">'501'!$D$42</definedName>
    <definedName name="OSRRefD21_2x_0" localSheetId="8">'Div 2'!$D$43</definedName>
    <definedName name="OSRRefD21_2x_0" localSheetId="11">'Div 3'!$D$231</definedName>
    <definedName name="OSRRefD21_2x_0" localSheetId="14">'Div 4'!$D$60</definedName>
    <definedName name="OSRRefD21_2x_0" localSheetId="47">'Div 5'!$D$42</definedName>
    <definedName name="OSRRefD21_2x_0" localSheetId="50">'Div 6'!$D$85</definedName>
    <definedName name="OSRRefD21_2x_0" localSheetId="2">Summary!$D$267</definedName>
    <definedName name="OSRRefD21_3x_0" localSheetId="54">'200'!$D$26</definedName>
    <definedName name="OSRRefD21_3x_0" localSheetId="55">'201'!$D$43</definedName>
    <definedName name="OSRRefD21_3x_0" localSheetId="56">'202'!$D$43</definedName>
    <definedName name="OSRRefD21_3x_0" localSheetId="57">'203'!$D$43</definedName>
    <definedName name="OSRRefD21_3x_0" localSheetId="58">'204'!$D$43:$D$44</definedName>
    <definedName name="OSRRefD21_3x_0" localSheetId="59">'205'!$D$42</definedName>
    <definedName name="OSRRefD21_3x_0" localSheetId="60">'206'!$D$42</definedName>
    <definedName name="OSRRefD21_3x_0" localSheetId="17">'300'!$D$228:$D$230</definedName>
    <definedName name="OSRRefD21_3x_0" localSheetId="20">'300 &amp; 317'!$D$253:$D$255</definedName>
    <definedName name="OSRRefD21_3x_0" localSheetId="61">'301'!$D$43:$D$45</definedName>
    <definedName name="OSRRefD21_3x_0" localSheetId="62">'306'!$D$43</definedName>
    <definedName name="OSRRefD21_3x_0" localSheetId="63">'307'!$D$123</definedName>
    <definedName name="OSRRefD21_3x_0" localSheetId="29">'308'!$D$113:$D$114</definedName>
    <definedName name="OSRRefD21_3x_0" localSheetId="64">'309'!$D$48</definedName>
    <definedName name="OSRRefD21_3x_0" localSheetId="23">'310'!$D$62</definedName>
    <definedName name="OSRRefD21_3x_0" localSheetId="38">'310 &amp; 491'!$D$73:$D$74</definedName>
    <definedName name="OSRRefD21_3x_0" localSheetId="65">'311'!$D$95:$D$96</definedName>
    <definedName name="OSRRefD21_3x_0" localSheetId="66">'312'!$D$76</definedName>
    <definedName name="OSRRefD21_3x_0" localSheetId="67">'313'!$D$58</definedName>
    <definedName name="OSRRefD21_3x_0" localSheetId="68">'314'!$D$80:$D$81</definedName>
    <definedName name="OSRRefD21_3x_0" localSheetId="69">'315'!$D$80</definedName>
    <definedName name="OSRRefD21_3x_0" localSheetId="70">'316'!$D$63</definedName>
    <definedName name="OSRRefD21_3x_0" localSheetId="71">'317'!$D$87</definedName>
    <definedName name="OSRRefD21_3x_0" localSheetId="72">'318'!$D$34</definedName>
    <definedName name="OSRRefD21_3x_0" localSheetId="73">'320'!$D$54</definedName>
    <definedName name="OSRRefD21_3x_0" localSheetId="74">'321'!$D$49</definedName>
    <definedName name="OSRRefD21_3x_0" localSheetId="75">'322'!$D$48</definedName>
    <definedName name="OSRRefD21_3x_0" localSheetId="76">'323'!$D$35</definedName>
    <definedName name="OSRRefD21_3x_0" localSheetId="77">'324'!$D$48</definedName>
    <definedName name="OSRRefD21_3x_0" localSheetId="78">'325'!$D$49</definedName>
    <definedName name="OSRRefD21_3x_0" localSheetId="79">'326'!$D$117</definedName>
    <definedName name="OSRRefD21_3x_0" localSheetId="26">'330'!$D$132</definedName>
    <definedName name="OSRRefD21_3x_0" localSheetId="32">'331'!$D$128</definedName>
    <definedName name="OSRRefD21_3x_0" localSheetId="35">'332'!$D$80</definedName>
    <definedName name="OSRRefD21_3x_0" localSheetId="81">'335'!$D$36</definedName>
    <definedName name="OSRRefD21_3x_0" localSheetId="82">'405'!$D$51</definedName>
    <definedName name="OSRRefD21_3x_0" localSheetId="83">'406'!$D$41</definedName>
    <definedName name="OSRRefD21_3x_0" localSheetId="84">'411'!$D$43</definedName>
    <definedName name="OSRRefD21_3x_0" localSheetId="85">'412'!$D$51</definedName>
    <definedName name="OSRRefD21_3x_0" localSheetId="86">'413'!$D$50</definedName>
    <definedName name="OSRRefD21_3x_0" localSheetId="87">'414'!$D$49</definedName>
    <definedName name="OSRRefD21_3x_0" localSheetId="88">'415'!$D$50</definedName>
    <definedName name="OSRRefD21_3x_0" localSheetId="89">'418'!$D$49</definedName>
    <definedName name="OSRRefD21_3x_0" localSheetId="90">'420'!$D$39</definedName>
    <definedName name="OSRRefD21_3x_0" localSheetId="91">'423'!$D$43</definedName>
    <definedName name="OSRRefD21_3x_0" localSheetId="92">'424'!$D$42</definedName>
    <definedName name="OSRRefD21_3x_0" localSheetId="93">'425'!$D$45:$D$46</definedName>
    <definedName name="OSRRefD21_3x_0" localSheetId="94">'430'!$D$42</definedName>
    <definedName name="OSRRefD21_3x_0" localSheetId="95">'433'!$D$52</definedName>
    <definedName name="OSRRefD21_3x_0" localSheetId="96">'435'!$D$35</definedName>
    <definedName name="OSRRefD21_3x_0" localSheetId="97">'444'!$D$50</definedName>
    <definedName name="OSRRefD21_3x_0" localSheetId="98">'445'!$D$34</definedName>
    <definedName name="OSRRefD21_3x_0" localSheetId="99">'450'!$D$50</definedName>
    <definedName name="OSRRefD21_3x_0" localSheetId="100">'455'!$D$33</definedName>
    <definedName name="OSRRefD21_3x_0" localSheetId="41">'491'!$D$61:$D$62</definedName>
    <definedName name="OSRRefD21_3x_0" localSheetId="44">'492'!$D$54</definedName>
    <definedName name="OSRRefD21_3x_0" localSheetId="101">'501'!$D$44</definedName>
    <definedName name="OSRRefD21_3x_0" localSheetId="8">'Div 2'!$D$45</definedName>
    <definedName name="OSRRefD21_3x_0" localSheetId="11">'Div 3'!$D$233:$D$235</definedName>
    <definedName name="OSRRefD21_3x_0" localSheetId="14">'Div 4'!$D$62:$D$63</definedName>
    <definedName name="OSRRefD21_3x_0" localSheetId="47">'Div 5'!$D$44</definedName>
    <definedName name="OSRRefD21_3x_0" localSheetId="50">'Div 6'!$D$87</definedName>
    <definedName name="OSRRefD21_3x_0" localSheetId="2">Summary!$D$269:$D$271</definedName>
    <definedName name="OSRRefD21_4x_0" localSheetId="54">'200'!$D$28</definedName>
    <definedName name="OSRRefD21_4x_0" localSheetId="55">'201'!$D$45</definedName>
    <definedName name="OSRRefD21_4x_0" localSheetId="56">'202'!$D$45</definedName>
    <definedName name="OSRRefD21_4x_0" localSheetId="57">'203'!$D$45</definedName>
    <definedName name="OSRRefD21_4x_0" localSheetId="58">'204'!$D$46</definedName>
    <definedName name="OSRRefD21_4x_0" localSheetId="59">'205'!$D$44:$D$46</definedName>
    <definedName name="OSRRefD21_4x_0" localSheetId="60">'206'!$D$44</definedName>
    <definedName name="OSRRefD21_4x_0" localSheetId="17">'300'!$D$232</definedName>
    <definedName name="OSRRefD21_4x_0" localSheetId="20">'300 &amp; 317'!$D$257</definedName>
    <definedName name="OSRRefD21_4x_0" localSheetId="61">'301'!$D$47</definedName>
    <definedName name="OSRRefD21_4x_0" localSheetId="62">'306'!$D$45</definedName>
    <definedName name="OSRRefD21_4x_0" localSheetId="63">'307'!$D$125</definedName>
    <definedName name="OSRRefD21_4x_0" localSheetId="29">'308'!$D$116</definedName>
    <definedName name="OSRRefD21_4x_0" localSheetId="64">'309'!$D$50</definedName>
    <definedName name="OSRRefD21_4x_0" localSheetId="23">'310'!$D$64</definedName>
    <definedName name="OSRRefD21_4x_0" localSheetId="38">'310 &amp; 491'!$D$76</definedName>
    <definedName name="OSRRefD21_4x_0" localSheetId="65">'311'!$D$98</definedName>
    <definedName name="OSRRefD21_4x_0" localSheetId="66">'312'!$D$78:$D$79</definedName>
    <definedName name="OSRRefD21_4x_0" localSheetId="67">'313'!$D$60</definedName>
    <definedName name="OSRRefD21_4x_0" localSheetId="68">'314'!$D$83</definedName>
    <definedName name="OSRRefD21_4x_0" localSheetId="69">'315'!$D$82</definedName>
    <definedName name="OSRRefD21_4x_0" localSheetId="70">'316'!$D$65</definedName>
    <definedName name="OSRRefD21_4x_0" localSheetId="71">'317'!$D$89:$D$90</definedName>
    <definedName name="OSRRefD21_4x_0" localSheetId="72">'318'!$D$36</definedName>
    <definedName name="OSRRefD21_4x_0" localSheetId="73">'320'!$D$56</definedName>
    <definedName name="OSRRefD21_4x_0" localSheetId="74">'321'!$D$51</definedName>
    <definedName name="OSRRefD21_4x_0" localSheetId="75">'322'!$D$50</definedName>
    <definedName name="OSRRefD21_4x_0" localSheetId="76">'323'!$D$37</definedName>
    <definedName name="OSRRefD21_4x_0" localSheetId="78">'325'!$D$51</definedName>
    <definedName name="OSRRefD21_4x_0" localSheetId="79">'326'!$D$119</definedName>
    <definedName name="OSRRefD21_4x_0" localSheetId="26">'330'!$D$134</definedName>
    <definedName name="OSRRefD21_4x_0" localSheetId="32">'331'!$D$130</definedName>
    <definedName name="OSRRefD21_4x_0" localSheetId="35">'332'!$D$82</definedName>
    <definedName name="OSRRefD21_4x_0" localSheetId="81">'335'!$D$38</definedName>
    <definedName name="OSRRefD21_4x_0" localSheetId="82">'405'!$D$53</definedName>
    <definedName name="OSRRefD21_4x_0" localSheetId="83">'406'!$D$43</definedName>
    <definedName name="OSRRefD21_4x_0" localSheetId="84">'411'!$D$45</definedName>
    <definedName name="OSRRefD21_4x_0" localSheetId="85">'412'!$D$53</definedName>
    <definedName name="OSRRefD21_4x_0" localSheetId="86">'413'!$D$52</definedName>
    <definedName name="OSRRefD21_4x_0" localSheetId="87">'414'!$D$51</definedName>
    <definedName name="OSRRefD21_4x_0" localSheetId="88">'415'!$D$52</definedName>
    <definedName name="OSRRefD21_4x_0" localSheetId="89">'418'!$D$51</definedName>
    <definedName name="OSRRefD21_4x_0" localSheetId="90">'420'!$D$41</definedName>
    <definedName name="OSRRefD21_4x_0" localSheetId="91">'423'!$D$45</definedName>
    <definedName name="OSRRefD21_4x_0" localSheetId="92">'424'!$D$44</definedName>
    <definedName name="OSRRefD21_4x_0" localSheetId="93">'425'!$D$48</definedName>
    <definedName name="OSRRefD21_4x_0" localSheetId="94">'430'!$D$44</definedName>
    <definedName name="OSRRefD21_4x_0" localSheetId="95">'433'!$D$54</definedName>
    <definedName name="OSRRefD21_4x_0" localSheetId="96">'435'!$D$37</definedName>
    <definedName name="OSRRefD21_4x_0" localSheetId="97">'444'!$D$52</definedName>
    <definedName name="OSRRefD21_4x_0" localSheetId="98">'445'!$D$36</definedName>
    <definedName name="OSRRefD21_4x_0" localSheetId="99">'450'!$D$52</definedName>
    <definedName name="OSRRefD21_4x_0" localSheetId="41">'491'!$D$64</definedName>
    <definedName name="OSRRefD21_4x_0" localSheetId="44">'492'!$D$56</definedName>
    <definedName name="OSRRefD21_4x_0" localSheetId="101">'501'!$D$46</definedName>
    <definedName name="OSRRefD21_4x_0" localSheetId="8">'Div 2'!$D$47</definedName>
    <definedName name="OSRRefD21_4x_0" localSheetId="11">'Div 3'!$D$237</definedName>
    <definedName name="OSRRefD21_4x_0" localSheetId="14">'Div 4'!$D$65</definedName>
    <definedName name="OSRRefD21_4x_0" localSheetId="47">'Div 5'!$D$46</definedName>
    <definedName name="OSRRefD21_4x_0" localSheetId="50">'Div 6'!$D$89:$D$90</definedName>
    <definedName name="OSRRefD21_4x_0" localSheetId="2">Summary!$D$273</definedName>
    <definedName name="OSRRefD21_5x_0" localSheetId="54">'200'!$D$30:$D$31</definedName>
    <definedName name="OSRRefD21_5x_0" localSheetId="55">'201'!$D$47</definedName>
    <definedName name="OSRRefD21_5x_0" localSheetId="56">'202'!$D$47</definedName>
    <definedName name="OSRRefD21_5x_0" localSheetId="57">'203'!$D$47</definedName>
    <definedName name="OSRRefD21_5x_0" localSheetId="58">'204'!$D$48:$D$49</definedName>
    <definedName name="OSRRefD21_5x_0" localSheetId="59">'205'!$D$48</definedName>
    <definedName name="OSRRefD21_5x_0" localSheetId="60">'206'!$D$46</definedName>
    <definedName name="OSRRefD21_5x_0" localSheetId="17">'300'!$D$234:$D$237</definedName>
    <definedName name="OSRRefD21_5x_0" localSheetId="20">'300 &amp; 317'!$D$259:$D$262</definedName>
    <definedName name="OSRRefD21_5x_0" localSheetId="61">'301'!$D$49:$D$52</definedName>
    <definedName name="OSRRefD21_5x_0" localSheetId="62">'306'!$D$47:$D$48</definedName>
    <definedName name="OSRRefD21_5x_0" localSheetId="63">'307'!$D$127:$D$128</definedName>
    <definedName name="OSRRefD21_5x_0" localSheetId="29">'308'!$D$118</definedName>
    <definedName name="OSRRefD21_5x_0" localSheetId="64">'309'!$D$52</definedName>
    <definedName name="OSRRefD21_5x_0" localSheetId="23">'310'!$D$66:$D$67</definedName>
    <definedName name="OSRRefD21_5x_0" localSheetId="38">'310 &amp; 491'!$D$78:$D$81</definedName>
    <definedName name="OSRRefD21_5x_0" localSheetId="65">'311'!$D$100</definedName>
    <definedName name="OSRRefD21_5x_0" localSheetId="66">'312'!$D$81:$D$89</definedName>
    <definedName name="OSRRefD21_5x_0" localSheetId="67">'313'!$D$62</definedName>
    <definedName name="OSRRefD21_5x_0" localSheetId="68">'314'!$D$85:$D$86</definedName>
    <definedName name="OSRRefD21_5x_0" localSheetId="69">'315'!$D$84:$D$85</definedName>
    <definedName name="OSRRefD21_5x_0" localSheetId="70">'316'!$D$67</definedName>
    <definedName name="OSRRefD21_5x_0" localSheetId="71">'317'!$D$92</definedName>
    <definedName name="OSRRefD21_5x_0" localSheetId="72">'318'!$D$38</definedName>
    <definedName name="OSRRefD21_5x_0" localSheetId="73">'320'!$D$58:$D$59</definedName>
    <definedName name="OSRRefD21_5x_0" localSheetId="74">'321'!$D$53</definedName>
    <definedName name="OSRRefD21_5x_0" localSheetId="75">'322'!$D$52</definedName>
    <definedName name="OSRRefD21_5x_0" localSheetId="76">'323'!$D$39</definedName>
    <definedName name="OSRRefD21_5x_0" localSheetId="78">'325'!$D$53:$D$54</definedName>
    <definedName name="OSRRefD21_5x_0" localSheetId="79">'326'!$D$121:$D$122</definedName>
    <definedName name="OSRRefD21_5x_0" localSheetId="26">'330'!$D$136:$D$137</definedName>
    <definedName name="OSRRefD21_5x_0" localSheetId="32">'331'!$D$132:$D$133</definedName>
    <definedName name="OSRRefD21_5x_0" localSheetId="35">'332'!$D$84</definedName>
    <definedName name="OSRRefD21_5x_0" localSheetId="81">'335'!$D$40:$D$41</definedName>
    <definedName name="OSRRefD21_5x_0" localSheetId="82">'405'!$D$55:$D$56</definedName>
    <definedName name="OSRRefD21_5x_0" localSheetId="83">'406'!$D$45</definedName>
    <definedName name="OSRRefD21_5x_0" localSheetId="84">'411'!$D$47:$D$50</definedName>
    <definedName name="OSRRefD21_5x_0" localSheetId="85">'412'!$D$55:$D$56</definedName>
    <definedName name="OSRRefD21_5x_0" localSheetId="86">'413'!$D$54</definedName>
    <definedName name="OSRRefD21_5x_0" localSheetId="87">'414'!$D$53</definedName>
    <definedName name="OSRRefD21_5x_0" localSheetId="88">'415'!$D$54:$D$55</definedName>
    <definedName name="OSRRefD21_5x_0" localSheetId="89">'418'!$D$53:$D$54</definedName>
    <definedName name="OSRRefD21_5x_0" localSheetId="90">'420'!$D$43</definedName>
    <definedName name="OSRRefD21_5x_0" localSheetId="91">'423'!$D$47</definedName>
    <definedName name="OSRRefD21_5x_0" localSheetId="92">'424'!$D$46</definedName>
    <definedName name="OSRRefD21_5x_0" localSheetId="93">'425'!$D$50:$D$51</definedName>
    <definedName name="OSRRefD21_5x_0" localSheetId="94">'430'!$D$46</definedName>
    <definedName name="OSRRefD21_5x_0" localSheetId="95">'433'!$D$56</definedName>
    <definedName name="OSRRefD21_5x_0" localSheetId="96">'435'!$D$39</definedName>
    <definedName name="OSRRefD21_5x_0" localSheetId="97">'444'!$D$54</definedName>
    <definedName name="OSRRefD21_5x_0" localSheetId="98">'445'!$D$38</definedName>
    <definedName name="OSRRefD21_5x_0" localSheetId="99">'450'!$D$54:$D$55</definedName>
    <definedName name="OSRRefD21_5x_0" localSheetId="41">'491'!$D$66:$D$69</definedName>
    <definedName name="OSRRefD21_5x_0" localSheetId="44">'492'!$D$58:$D$59</definedName>
    <definedName name="OSRRefD21_5x_0" localSheetId="101">'501'!$D$48</definedName>
    <definedName name="OSRRefD21_5x_0" localSheetId="8">'Div 2'!$D$49</definedName>
    <definedName name="OSRRefD21_5x_0" localSheetId="11">'Div 3'!$D$239:$D$242</definedName>
    <definedName name="OSRRefD21_5x_0" localSheetId="14">'Div 4'!$D$67:$D$70</definedName>
    <definedName name="OSRRefD21_5x_0" localSheetId="47">'Div 5'!$D$48</definedName>
    <definedName name="OSRRefD21_5x_0" localSheetId="50">'Div 6'!$D$92</definedName>
    <definedName name="OSRRefD21_5x_0" localSheetId="2">Summary!$D$275:$D$278</definedName>
    <definedName name="OSRRefD21_6x_0" localSheetId="55">'201'!$D$49:$D$50</definedName>
    <definedName name="OSRRefD21_6x_0" localSheetId="56">'202'!$D$49:$D$50</definedName>
    <definedName name="OSRRefD21_6x_0" localSheetId="57">'203'!$D$49</definedName>
    <definedName name="OSRRefD21_6x_0" localSheetId="58">'204'!$D$51</definedName>
    <definedName name="OSRRefD21_6x_0" localSheetId="59">'205'!$D$50:$D$53</definedName>
    <definedName name="OSRRefD21_6x_0" localSheetId="60">'206'!$D$48</definedName>
    <definedName name="OSRRefD21_6x_0" localSheetId="17">'300'!$D$239:$D$240</definedName>
    <definedName name="OSRRefD21_6x_0" localSheetId="20">'300 &amp; 317'!$D$264:$D$265</definedName>
    <definedName name="OSRRefD21_6x_0" localSheetId="61">'301'!$D$54:$D$55</definedName>
    <definedName name="OSRRefD21_6x_0" localSheetId="62">'306'!$D$50</definedName>
    <definedName name="OSRRefD21_6x_0" localSheetId="63">'307'!$D$130</definedName>
    <definedName name="OSRRefD21_6x_0" localSheetId="29">'308'!$D$120:$D$121</definedName>
    <definedName name="OSRRefD21_6x_0" localSheetId="64">'309'!$D$54</definedName>
    <definedName name="OSRRefD21_6x_0" localSheetId="23">'310'!$D$69</definedName>
    <definedName name="OSRRefD21_6x_0" localSheetId="38">'310 &amp; 491'!$D$83:$D$84</definedName>
    <definedName name="OSRRefD21_6x_0" localSheetId="65">'311'!$D$102:$D$103</definedName>
    <definedName name="OSRRefD21_6x_0" localSheetId="66">'312'!$D$91:$D$92</definedName>
    <definedName name="OSRRefD21_6x_0" localSheetId="67">'313'!$D$64</definedName>
    <definedName name="OSRRefD21_6x_0" localSheetId="68">'314'!$D$88:$D$97</definedName>
    <definedName name="OSRRefD21_6x_0" localSheetId="69">'315'!$D$87</definedName>
    <definedName name="OSRRefD21_6x_0" localSheetId="70">'316'!$D$69</definedName>
    <definedName name="OSRRefD21_6x_0" localSheetId="71">'317'!$D$94</definedName>
    <definedName name="OSRRefD21_6x_0" localSheetId="72">'318'!$D$40</definedName>
    <definedName name="OSRRefD21_6x_0" localSheetId="73">'320'!$D$61</definedName>
    <definedName name="OSRRefD21_6x_0" localSheetId="74">'321'!$D$55</definedName>
    <definedName name="OSRRefD21_6x_0" localSheetId="75">'322'!$D$54</definedName>
    <definedName name="OSRRefD21_6x_0" localSheetId="76">'323'!$D$41</definedName>
    <definedName name="OSRRefD21_6x_0" localSheetId="78">'325'!$D$56</definedName>
    <definedName name="OSRRefD21_6x_0" localSheetId="79">'326'!$D$124:$D$125</definedName>
    <definedName name="OSRRefD21_6x_0" localSheetId="26">'330'!$D$139</definedName>
    <definedName name="OSRRefD21_6x_0" localSheetId="32">'331'!$D$135:$D$136</definedName>
    <definedName name="OSRRefD21_6x_0" localSheetId="35">'332'!$D$86</definedName>
    <definedName name="OSRRefD21_6x_0" localSheetId="81">'335'!$D$43:$D$45</definedName>
    <definedName name="OSRRefD21_6x_0" localSheetId="82">'405'!$D$58</definedName>
    <definedName name="OSRRefD21_6x_0" localSheetId="83">'406'!$D$47</definedName>
    <definedName name="OSRRefD21_6x_0" localSheetId="84">'411'!$D$52</definedName>
    <definedName name="OSRRefD21_6x_0" localSheetId="85">'412'!$D$58</definedName>
    <definedName name="OSRRefD21_6x_0" localSheetId="86">'413'!$D$56</definedName>
    <definedName name="OSRRefD21_6x_0" localSheetId="87">'414'!$D$55</definedName>
    <definedName name="OSRRefD21_6x_0" localSheetId="88">'415'!$D$57</definedName>
    <definedName name="OSRRefD21_6x_0" localSheetId="89">'418'!$D$56</definedName>
    <definedName name="OSRRefD21_6x_0" localSheetId="90">'420'!$D$45</definedName>
    <definedName name="OSRRefD21_6x_0" localSheetId="91">'423'!$D$49</definedName>
    <definedName name="OSRRefD21_6x_0" localSheetId="92">'424'!$D$48</definedName>
    <definedName name="OSRRefD21_6x_0" localSheetId="93">'425'!$D$53</definedName>
    <definedName name="OSRRefD21_6x_0" localSheetId="94">'430'!$D$48</definedName>
    <definedName name="OSRRefD21_6x_0" localSheetId="95">'433'!$D$58</definedName>
    <definedName name="OSRRefD21_6x_0" localSheetId="96">'435'!$D$41</definedName>
    <definedName name="OSRRefD21_6x_0" localSheetId="97">'444'!$D$56</definedName>
    <definedName name="OSRRefD21_6x_0" localSheetId="98">'445'!$D$40</definedName>
    <definedName name="OSRRefD21_6x_0" localSheetId="99">'450'!$D$57</definedName>
    <definedName name="OSRRefD21_6x_0" localSheetId="41">'491'!$D$71:$D$72</definedName>
    <definedName name="OSRRefD21_6x_0" localSheetId="44">'492'!$D$61</definedName>
    <definedName name="OSRRefD21_6x_0" localSheetId="101">'501'!$D$50:$D$51</definedName>
    <definedName name="OSRRefD21_6x_0" localSheetId="8">'Div 2'!$D$51:$D$52</definedName>
    <definedName name="OSRRefD21_6x_0" localSheetId="11">'Div 3'!$D$244:$D$245</definedName>
    <definedName name="OSRRefD21_6x_0" localSheetId="14">'Div 4'!$D$72:$D$73</definedName>
    <definedName name="OSRRefD21_6x_0" localSheetId="47">'Div 5'!$D$50:$D$51</definedName>
    <definedName name="OSRRefD21_6x_0" localSheetId="50">'Div 6'!$D$94</definedName>
    <definedName name="OSRRefD21_6x_0" localSheetId="2">Summary!$D$280:$D$281</definedName>
    <definedName name="OSRRefD21_7x_0" localSheetId="55">'201'!$D$52</definedName>
    <definedName name="OSRRefD21_7x_0" localSheetId="56">'202'!$D$52</definedName>
    <definedName name="OSRRefD21_7x_0" localSheetId="57">'203'!$D$51</definedName>
    <definedName name="OSRRefD21_7x_0" localSheetId="58">'204'!$D$53</definedName>
    <definedName name="OSRRefD21_7x_0" localSheetId="59">'205'!$D$55</definedName>
    <definedName name="OSRRefD21_7x_0" localSheetId="60">'206'!$D$50:$D$52</definedName>
    <definedName name="OSRRefD21_7x_0" localSheetId="17">'300'!$D$242:$D$243</definedName>
    <definedName name="OSRRefD21_7x_0" localSheetId="20">'300 &amp; 317'!$D$267:$D$268</definedName>
    <definedName name="OSRRefD21_7x_0" localSheetId="61">'301'!$D$57</definedName>
    <definedName name="OSRRefD21_7x_0" localSheetId="62">'306'!$D$52:$D$53</definedName>
    <definedName name="OSRRefD21_7x_0" localSheetId="63">'307'!$D$132:$D$133</definedName>
    <definedName name="OSRRefD21_7x_0" localSheetId="29">'308'!$D$123:$D$124</definedName>
    <definedName name="OSRRefD21_7x_0" localSheetId="64">'309'!$D$56</definedName>
    <definedName name="OSRRefD21_7x_0" localSheetId="23">'310'!$D$71</definedName>
    <definedName name="OSRRefD21_7x_0" localSheetId="38">'310 &amp; 491'!$D$86</definedName>
    <definedName name="OSRRefD21_7x_0" localSheetId="65">'311'!$D$105:$D$106</definedName>
    <definedName name="OSRRefD21_7x_0" localSheetId="66">'312'!$D$94</definedName>
    <definedName name="OSRRefD21_7x_0" localSheetId="67">'313'!$D$66:$D$67</definedName>
    <definedName name="OSRRefD21_7x_0" localSheetId="68">'314'!$D$99</definedName>
    <definedName name="OSRRefD21_7x_0" localSheetId="69">'315'!$D$89:$D$90</definedName>
    <definedName name="OSRRefD21_7x_0" localSheetId="70">'316'!$D$71:$D$72</definedName>
    <definedName name="OSRRefD21_7x_0" localSheetId="71">'317'!$D$96:$D$97</definedName>
    <definedName name="OSRRefD21_7x_0" localSheetId="72">'318'!$D$42</definedName>
    <definedName name="OSRRefD21_7x_0" localSheetId="73">'320'!$D$63:$D$66</definedName>
    <definedName name="OSRRefD21_7x_0" localSheetId="74">'321'!$D$57:$D$58</definedName>
    <definedName name="OSRRefD21_7x_0" localSheetId="75">'322'!$D$56</definedName>
    <definedName name="OSRRefD21_7x_0" localSheetId="76">'323'!$D$43:$D$45</definedName>
    <definedName name="OSRRefD21_7x_0" localSheetId="78">'325'!$D$58</definedName>
    <definedName name="OSRRefD21_7x_0" localSheetId="79">'326'!$D$127</definedName>
    <definedName name="OSRRefD21_7x_0" localSheetId="26">'330'!$D$141:$D$142</definedName>
    <definedName name="OSRRefD21_7x_0" localSheetId="32">'331'!$D$138</definedName>
    <definedName name="OSRRefD21_7x_0" localSheetId="35">'332'!$D$88:$D$89</definedName>
    <definedName name="OSRRefD21_7x_0" localSheetId="81">'335'!$D$47</definedName>
    <definedName name="OSRRefD21_7x_0" localSheetId="82">'405'!$D$60</definedName>
    <definedName name="OSRRefD21_7x_0" localSheetId="83">'406'!$D$49</definedName>
    <definedName name="OSRRefD21_7x_0" localSheetId="84">'411'!$D$54</definedName>
    <definedName name="OSRRefD21_7x_0" localSheetId="85">'412'!$D$60</definedName>
    <definedName name="OSRRefD21_7x_0" localSheetId="86">'413'!$D$58</definedName>
    <definedName name="OSRRefD21_7x_0" localSheetId="87">'414'!$D$57</definedName>
    <definedName name="OSRRefD21_7x_0" localSheetId="88">'415'!$D$59</definedName>
    <definedName name="OSRRefD21_7x_0" localSheetId="89">'418'!$D$58</definedName>
    <definedName name="OSRRefD21_7x_0" localSheetId="90">'420'!$D$47:$D$48</definedName>
    <definedName name="OSRRefD21_7x_0" localSheetId="91">'423'!$D$51:$D$53</definedName>
    <definedName name="OSRRefD21_7x_0" localSheetId="92">'424'!$D$50</definedName>
    <definedName name="OSRRefD21_7x_0" localSheetId="93">'425'!$D$55</definedName>
    <definedName name="OSRRefD21_7x_0" localSheetId="94">'430'!$D$50</definedName>
    <definedName name="OSRRefD21_7x_0" localSheetId="95">'433'!$D$60</definedName>
    <definedName name="OSRRefD21_7x_0" localSheetId="96">'435'!$D$43</definedName>
    <definedName name="OSRRefD21_7x_0" localSheetId="97">'444'!$D$58</definedName>
    <definedName name="OSRRefD21_7x_0" localSheetId="98">'445'!$D$42</definedName>
    <definedName name="OSRRefD21_7x_0" localSheetId="99">'450'!$D$59</definedName>
    <definedName name="OSRRefD21_7x_0" localSheetId="41">'491'!$D$74</definedName>
    <definedName name="OSRRefD21_7x_0" localSheetId="44">'492'!$D$63</definedName>
    <definedName name="OSRRefD21_7x_0" localSheetId="101">'501'!$D$53</definedName>
    <definedName name="OSRRefD21_7x_0" localSheetId="8">'Div 2'!$D$54:$D$55</definedName>
    <definedName name="OSRRefD21_7x_0" localSheetId="11">'Div 3'!$D$247:$D$248</definedName>
    <definedName name="OSRRefD21_7x_0" localSheetId="14">'Div 4'!$D$75</definedName>
    <definedName name="OSRRefD21_7x_0" localSheetId="47">'Div 5'!$D$53</definedName>
    <definedName name="OSRRefD21_7x_0" localSheetId="50">'Div 6'!$D$96:$D$97</definedName>
    <definedName name="OSRRefD21_7x_0" localSheetId="2">Summary!$D$283:$D$284</definedName>
    <definedName name="OSRRefD21_8x_0" localSheetId="55">'201'!$D$54</definedName>
    <definedName name="OSRRefD21_8x_0" localSheetId="56">'202'!$D$54</definedName>
    <definedName name="OSRRefD21_8x_0" localSheetId="57">'203'!$D$53:$D$54</definedName>
    <definedName name="OSRRefD21_8x_0" localSheetId="58">'204'!$D$55:$D$58</definedName>
    <definedName name="OSRRefD21_8x_0" localSheetId="59">'205'!$D$57</definedName>
    <definedName name="OSRRefD21_8x_0" localSheetId="60">'206'!$D$54</definedName>
    <definedName name="OSRRefD21_8x_0" localSheetId="17">'300'!$D$245</definedName>
    <definedName name="OSRRefD21_8x_0" localSheetId="20">'300 &amp; 317'!$D$270</definedName>
    <definedName name="OSRRefD21_8x_0" localSheetId="61">'301'!$D$59</definedName>
    <definedName name="OSRRefD21_8x_0" localSheetId="62">'306'!$D$55:$D$59</definedName>
    <definedName name="OSRRefD21_8x_0" localSheetId="63">'307'!$D$135</definedName>
    <definedName name="OSRRefD21_8x_0" localSheetId="29">'308'!$D$126:$D$138</definedName>
    <definedName name="OSRRefD21_8x_0" localSheetId="64">'309'!$D$58</definedName>
    <definedName name="OSRRefD21_8x_0" localSheetId="23">'310'!$D$73</definedName>
    <definedName name="OSRRefD21_8x_0" localSheetId="38">'310 &amp; 491'!$D$88</definedName>
    <definedName name="OSRRefD21_8x_0" localSheetId="65">'311'!$D$108:$D$116</definedName>
    <definedName name="OSRRefD21_8x_0" localSheetId="66">'312'!$D$96</definedName>
    <definedName name="OSRRefD21_8x_0" localSheetId="67">'313'!$D$69</definedName>
    <definedName name="OSRRefD21_8x_0" localSheetId="68">'314'!$D$101</definedName>
    <definedName name="OSRRefD21_8x_0" localSheetId="69">'315'!$D$92</definedName>
    <definedName name="OSRRefD21_8x_0" localSheetId="70">'316'!$D$74</definedName>
    <definedName name="OSRRefD21_8x_0" localSheetId="71">'317'!$D$99</definedName>
    <definedName name="OSRRefD21_8x_0" localSheetId="72">'318'!$D$44</definedName>
    <definedName name="OSRRefD21_8x_0" localSheetId="73">'320'!$D$68:$D$69</definedName>
    <definedName name="OSRRefD21_8x_0" localSheetId="74">'321'!$D$60</definedName>
    <definedName name="OSRRefD21_8x_0" localSheetId="75">'322'!$D$58</definedName>
    <definedName name="OSRRefD21_8x_0" localSheetId="78">'325'!$D$60</definedName>
    <definedName name="OSRRefD21_8x_0" localSheetId="79">'326'!$D$129:$D$130</definedName>
    <definedName name="OSRRefD21_8x_0" localSheetId="26">'330'!$D$144</definedName>
    <definedName name="OSRRefD21_8x_0" localSheetId="32">'331'!$D$140:$D$141</definedName>
    <definedName name="OSRRefD21_8x_0" localSheetId="35">'332'!$D$91</definedName>
    <definedName name="OSRRefD21_8x_0" localSheetId="81">'335'!$D$49</definedName>
    <definedName name="OSRRefD21_8x_0" localSheetId="82">'405'!$D$62</definedName>
    <definedName name="OSRRefD21_8x_0" localSheetId="83">'406'!$D$51</definedName>
    <definedName name="OSRRefD21_8x_0" localSheetId="84">'411'!$D$56</definedName>
    <definedName name="OSRRefD21_8x_0" localSheetId="85">'412'!$D$62</definedName>
    <definedName name="OSRRefD21_8x_0" localSheetId="86">'413'!$D$60:$D$63</definedName>
    <definedName name="OSRRefD21_8x_0" localSheetId="87">'414'!$D$59</definedName>
    <definedName name="OSRRefD21_8x_0" localSheetId="88">'415'!$D$61</definedName>
    <definedName name="OSRRefD21_8x_0" localSheetId="89">'418'!$D$60</definedName>
    <definedName name="OSRRefD21_8x_0" localSheetId="90">'420'!$D$50</definedName>
    <definedName name="OSRRefD21_8x_0" localSheetId="91">'423'!$D$55</definedName>
    <definedName name="OSRRefD21_8x_0" localSheetId="92">'424'!$D$52</definedName>
    <definedName name="OSRRefD21_8x_0" localSheetId="93">'425'!$D$57</definedName>
    <definedName name="OSRRefD21_8x_0" localSheetId="94">'430'!$D$52:$D$56</definedName>
    <definedName name="OSRRefD21_8x_0" localSheetId="95">'433'!$D$62</definedName>
    <definedName name="OSRRefD21_8x_0" localSheetId="96">'435'!$D$45</definedName>
    <definedName name="OSRRefD21_8x_0" localSheetId="97">'444'!$D$60</definedName>
    <definedName name="OSRRefD21_8x_0" localSheetId="98">'445'!$D$44:$D$45</definedName>
    <definedName name="OSRRefD21_8x_0" localSheetId="99">'450'!$D$61</definedName>
    <definedName name="OSRRefD21_8x_0" localSheetId="41">'491'!$D$76</definedName>
    <definedName name="OSRRefD21_8x_0" localSheetId="44">'492'!$D$65</definedName>
    <definedName name="OSRRefD21_8x_0" localSheetId="101">'501'!$D$55</definedName>
    <definedName name="OSRRefD21_8x_0" localSheetId="8">'Div 2'!$D$57</definedName>
    <definedName name="OSRRefD21_8x_0" localSheetId="11">'Div 3'!$D$250</definedName>
    <definedName name="OSRRefD21_8x_0" localSheetId="14">'Div 4'!$D$77</definedName>
    <definedName name="OSRRefD21_8x_0" localSheetId="47">'Div 5'!$D$55</definedName>
    <definedName name="OSRRefD21_8x_0" localSheetId="50">'Div 6'!$D$99</definedName>
    <definedName name="OSRRefD21_8x_0" localSheetId="2">Summary!$D$286</definedName>
    <definedName name="OSRRefD21_9x_0" localSheetId="55">'201'!$D$56</definedName>
    <definedName name="OSRRefD21_9x_0" localSheetId="56">'202'!$D$56:$D$57</definedName>
    <definedName name="OSRRefD21_9x_0" localSheetId="57">'203'!$D$56:$D$58</definedName>
    <definedName name="OSRRefD21_9x_0" localSheetId="58">'204'!$D$60:$D$61</definedName>
    <definedName name="OSRRefD21_9x_0" localSheetId="60">'206'!$D$56:$D$57</definedName>
    <definedName name="OSRRefD21_9x_0" localSheetId="17">'300'!$D$247</definedName>
    <definedName name="OSRRefD21_9x_0" localSheetId="20">'300 &amp; 317'!$D$272</definedName>
    <definedName name="OSRRefD21_9x_0" localSheetId="61">'301'!$D$61</definedName>
    <definedName name="OSRRefD21_9x_0" localSheetId="62">'306'!$D$61</definedName>
    <definedName name="OSRRefD21_9x_0" localSheetId="63">'307'!$D$137:$D$160</definedName>
    <definedName name="OSRRefD21_9x_0" localSheetId="29">'308'!$D$140</definedName>
    <definedName name="OSRRefD21_9x_0" localSheetId="64">'309'!$D$60</definedName>
    <definedName name="OSRRefD21_9x_0" localSheetId="23">'310'!$D$75:$D$76</definedName>
    <definedName name="OSRRefD21_9x_0" localSheetId="38">'310 &amp; 491'!$D$90</definedName>
    <definedName name="OSRRefD21_9x_0" localSheetId="65">'311'!$D$118</definedName>
    <definedName name="OSRRefD21_9x_0" localSheetId="66">'312'!$D$98</definedName>
    <definedName name="OSRRefD21_9x_0" localSheetId="67">'313'!$D$71</definedName>
    <definedName name="OSRRefD21_9x_0" localSheetId="68">'314'!$D$103</definedName>
    <definedName name="OSRRefD21_9x_0" localSheetId="69">'315'!$D$94:$D$100</definedName>
    <definedName name="OSRRefD21_9x_0" localSheetId="70">'316'!$D$76:$D$78</definedName>
    <definedName name="OSRRefD21_9x_0" localSheetId="71">'317'!$D$101:$D$108</definedName>
    <definedName name="OSRRefD21_9x_0" localSheetId="73">'320'!$D$71:$D$73</definedName>
    <definedName name="OSRRefD21_9x_0" localSheetId="74">'321'!$D$62:$D$64</definedName>
    <definedName name="OSRRefD21_9x_0" localSheetId="75">'322'!$D$60</definedName>
    <definedName name="OSRRefD21_9x_0" localSheetId="78">'325'!$D$62</definedName>
    <definedName name="OSRRefD21_9x_0" localSheetId="79">'326'!$D$132:$D$133</definedName>
    <definedName name="OSRRefD21_9x_0" localSheetId="26">'330'!$D$146:$D$169</definedName>
    <definedName name="OSRRefD21_9x_0" localSheetId="32">'331'!$D$143:$D$144</definedName>
    <definedName name="OSRRefD21_9x_0" localSheetId="35">'332'!$D$93:$D$96</definedName>
    <definedName name="OSRRefD21_9x_0" localSheetId="81">'335'!$D$51:$D$52</definedName>
    <definedName name="OSRRefD21_9x_0" localSheetId="82">'405'!$D$64</definedName>
    <definedName name="OSRRefD21_9x_0" localSheetId="83">'406'!$D$53</definedName>
    <definedName name="OSRRefD21_9x_0" localSheetId="84">'411'!$D$58</definedName>
    <definedName name="OSRRefD21_9x_0" localSheetId="85">'412'!$D$64</definedName>
    <definedName name="OSRRefD21_9x_0" localSheetId="86">'413'!$D$65:$D$67</definedName>
    <definedName name="OSRRefD21_9x_0" localSheetId="87">'414'!$D$61</definedName>
    <definedName name="OSRRefD21_9x_0" localSheetId="88">'415'!$D$63</definedName>
    <definedName name="OSRRefD21_9x_0" localSheetId="89">'418'!$D$62</definedName>
    <definedName name="OSRRefD21_9x_0" localSheetId="91">'423'!$D$57</definedName>
    <definedName name="OSRRefD21_9x_0" localSheetId="92">'424'!$D$54:$D$55</definedName>
    <definedName name="OSRRefD21_9x_0" localSheetId="93">'425'!$D$59:$D$62</definedName>
    <definedName name="OSRRefD21_9x_0" localSheetId="94">'430'!$D$58:$D$59</definedName>
    <definedName name="OSRRefD21_9x_0" localSheetId="95">'433'!$D$64</definedName>
    <definedName name="OSRRefD21_9x_0" localSheetId="96">'435'!$D$47:$D$48</definedName>
    <definedName name="OSRRefD21_9x_0" localSheetId="97">'444'!$D$62</definedName>
    <definedName name="OSRRefD21_9x_0" localSheetId="98">'445'!$D$47</definedName>
    <definedName name="OSRRefD21_9x_0" localSheetId="99">'450'!$D$63</definedName>
    <definedName name="OSRRefD21_9x_0" localSheetId="41">'491'!$D$78</definedName>
    <definedName name="OSRRefD21_9x_0" localSheetId="44">'492'!$D$67</definedName>
    <definedName name="OSRRefD21_9x_0" localSheetId="101">'501'!$D$57</definedName>
    <definedName name="OSRRefD21_9x_0" localSheetId="8">'Div 2'!$D$59</definedName>
    <definedName name="OSRRefD21_9x_0" localSheetId="11">'Div 3'!$D$252</definedName>
    <definedName name="OSRRefD21_9x_0" localSheetId="14">'Div 4'!$D$79</definedName>
    <definedName name="OSRRefD21_9x_0" localSheetId="47">'Div 5'!$D$57</definedName>
    <definedName name="OSRRefD21_9x_0" localSheetId="50">'Div 6'!$D$101:$D$108</definedName>
    <definedName name="OSRRefD21_9x_0" localSheetId="2">Summary!$D$288</definedName>
    <definedName name="OSRRefD21x_0" localSheetId="54">'200'!$D$19:$D$20,'200'!$D$22,'200'!$D$24,'200'!$D$26,'200'!$D$28,'200'!$D$30:$D$31</definedName>
    <definedName name="OSRRefD21x_0" localSheetId="55">'201'!$D$20:$D$28,'201'!$D$30:$D$39,'201'!$D$41,'201'!$D$43,'201'!$D$45,'201'!$D$47,'201'!$D$49:$D$50,'201'!$D$52,'201'!$D$54,'201'!$D$56,'201'!$D$58,'201'!$D$60,'201'!$D$62,'201'!$D$64:$D$67,'201'!$D$69:$D$71,'201'!$D$73,'201'!$D$75:$D$78,'201'!$D$80:$D$81,'201'!$D$83,'201'!$D$85:$D$86</definedName>
    <definedName name="OSRRefD21x_0" localSheetId="56">'202'!$D$20:$D$28,'202'!$D$30:$D$39,'202'!$D$41,'202'!$D$43,'202'!$D$45,'202'!$D$47,'202'!$D$49:$D$50,'202'!$D$52,'202'!$D$54,'202'!$D$56:$D$57,'202'!$D$59:$D$61,'202'!$D$63,'202'!$D$65,'202'!$D$67:$D$69,'202'!$D$71,'202'!$D$73,'202'!$D$75:$D$76</definedName>
    <definedName name="OSRRefD21x_0" localSheetId="57">'203'!$D$19:$D$28,'203'!$D$30:$D$39,'203'!$D$41,'203'!$D$43,'203'!$D$45,'203'!$D$47,'203'!$D$49,'203'!$D$51,'203'!$D$53:$D$54,'203'!$D$56:$D$58,'203'!$D$60:$D$62,'203'!$D$64:$D$65,'203'!$D$67:$D$71,'203'!$D$73,'203'!$D$75,'203'!$D$77:$D$78</definedName>
    <definedName name="OSRRefD21x_0" localSheetId="58">'204'!$D$19:$D$28,'204'!$D$30:$D$39,'204'!$D$41,'204'!$D$43:$D$44,'204'!$D$46,'204'!$D$48:$D$49,'204'!$D$51,'204'!$D$53,'204'!$D$55:$D$58,'204'!$D$60:$D$61,'204'!$D$63:$D$66,'204'!$D$68:$D$69,'204'!$D$71,'204'!$D$73:$D$74</definedName>
    <definedName name="OSRRefD21x_0" localSheetId="59">'205'!$D$19:$D$27,'205'!$D$29:$D$38,'205'!$D$40,'205'!$D$42,'205'!$D$44:$D$46,'205'!$D$48,'205'!$D$50:$D$53,'205'!$D$55,'205'!$D$57</definedName>
    <definedName name="OSRRefD21x_0" localSheetId="60">'206'!$D$19:$D$27,'206'!$D$29:$D$38,'206'!$D$40,'206'!$D$42,'206'!$D$44,'206'!$D$46,'206'!$D$48,'206'!$D$50:$D$52,'206'!$D$54,'206'!$D$56:$D$57,'206'!$D$59:$D$60,'206'!$D$62,'206'!$D$64:$D$65</definedName>
    <definedName name="OSRRefD21x_0" localSheetId="17">'300'!$D$204:$D$213,'300'!$D$215:$D$224,'300'!$D$226,'300'!$D$228:$D$230,'300'!$D$232,'300'!$D$234:$D$237,'300'!$D$239:$D$240,'300'!$D$242:$D$243,'300'!$D$245,'300'!$D$247,'300'!$D$249:$D$250,'300'!$D$252:$D$254,'300'!$D$256,'300'!$D$258:$D$294,'300'!$D$296:$D$297,'300'!$D$299,'300'!$D$301:$D$304,'300'!$D$306:$D$310,'300'!$D$312:$D$316,'300'!$D$318:$D$319,'300'!$D$321:$D$329,'300'!$D$331:$D$332,'300'!$D$334,'300'!$D$336:$D$338,'300'!$D$340</definedName>
    <definedName name="OSRRefD21x_0" localSheetId="20">'300 &amp; 317'!$D$229:$D$238,'300 &amp; 317'!$D$240:$D$249,'300 &amp; 317'!$D$251,'300 &amp; 317'!$D$253:$D$255,'300 &amp; 317'!$D$257,'300 &amp; 317'!$D$259:$D$262,'300 &amp; 317'!$D$264:$D$265,'300 &amp; 317'!$D$267:$D$268,'300 &amp; 317'!$D$270,'300 &amp; 317'!$D$272,'300 &amp; 317'!$D$274:$D$275,'300 &amp; 317'!$D$277:$D$279,'300 &amp; 317'!$D$281,'300 &amp; 317'!$D$283:$D$322,'300 &amp; 317'!$D$324:$D$325,'300 &amp; 317'!$D$327,'300 &amp; 317'!$D$329:$D$332,'300 &amp; 317'!$D$334:$D$338,'300 &amp; 317'!$D$340:$D$344,'300 &amp; 317'!$D$346:$D$347,'300 &amp; 317'!$D$349:$D$357,'300 &amp; 317'!$D$359:$D$360,'300 &amp; 317'!$D$362,'300 &amp; 317'!$D$364:$D$366,'300 &amp; 317'!$D$368</definedName>
    <definedName name="OSRRefD21x_0" localSheetId="61">'301'!$D$20:$D$28,'301'!$D$30:$D$39,'301'!$D$41,'301'!$D$43:$D$45,'301'!$D$47,'301'!$D$49:$D$52,'301'!$D$54:$D$55,'301'!$D$57,'301'!$D$59,'301'!$D$61,'301'!$D$63,'301'!$D$65,'301'!$D$67,'301'!$D$69:$D$70,'301'!$D$72:$D$73,'301'!$D$75,'301'!$D$77:$D$80,'301'!$D$82,'301'!$D$84:$D$87,'301'!$D$89:$D$90,'301'!$D$92:$D$98,'301'!$D$100:$D$101,'301'!$D$103,'301'!$D$105:$D$107,'301'!$D$109</definedName>
    <definedName name="OSRRefD21x_0" localSheetId="62">'306'!$D$19:$D$28,'306'!$D$30:$D$39,'306'!$D$41,'306'!$D$43,'306'!$D$45,'306'!$D$47:$D$48,'306'!$D$50,'306'!$D$52:$D$53,'306'!$D$55:$D$59,'306'!$D$61,'306'!$D$63,'306'!$D$65,'306'!$D$67</definedName>
    <definedName name="OSRRefD21x_0" localSheetId="63">'307'!$D$100:$D$108,'307'!$D$110:$D$119,'307'!$D$121,'307'!$D$123,'307'!$D$125,'307'!$D$127:$D$128,'307'!$D$130,'307'!$D$132:$D$133,'307'!$D$135,'307'!$D$137:$D$160,'307'!$D$162,'307'!$D$164,'307'!$D$166:$D$167,'307'!$D$169:$D$170,'307'!$D$172,'307'!$D$174:$D$179,'307'!$D$181:$D$182,'307'!$D$184,'307'!$D$186</definedName>
    <definedName name="OSRRefD21x_0" localSheetId="29">'308'!$D$89:$D$98,'308'!$D$100:$D$109,'308'!$D$111,'308'!$D$113:$D$114,'308'!$D$116,'308'!$D$118,'308'!$D$120:$D$121,'308'!$D$123:$D$124,'308'!$D$126:$D$138,'308'!$D$140,'308'!$D$142:$D$144,'308'!$D$146,'308'!$D$148:$D$149,'308'!$D$151:$D$154,'308'!$D$156:$D$157,'308'!$D$159,'308'!$D$161:$D$162,'308'!$D$164</definedName>
    <definedName name="OSRRefD21x_0" localSheetId="64">'309'!$D$25:$D$33,'309'!$D$35:$D$44,'309'!$D$46,'309'!$D$48,'309'!$D$50,'309'!$D$52,'309'!$D$54,'309'!$D$56,'309'!$D$58,'309'!$D$60,'309'!$D$62:$D$63,'309'!$D$65:$D$67,'309'!$D$69,'309'!$D$71:$D$79,'309'!$D$81,'309'!$D$83,'309'!$D$85:$D$86</definedName>
    <definedName name="OSRRefD21x_0" localSheetId="23">'310'!$D$39:$D$47,'310'!$D$49:$D$58,'310'!$D$60,'310'!$D$62,'310'!$D$64,'310'!$D$66:$D$67,'310'!$D$69,'310'!$D$71,'310'!$D$73,'310'!$D$75:$D$76,'310'!$D$78:$D$79,'310'!$D$81,'310'!$D$83,'310'!$D$85,'310'!$D$87,'310'!$D$89:$D$92,'310'!$D$94:$D$95,'310'!$D$97:$D$100,'310'!$D$102:$D$103,'310'!$D$105:$D$113,'310'!$D$115:$D$116,'310'!$D$118,'310'!$D$120:$D$122,'310'!$D$124</definedName>
    <definedName name="OSRRefD21x_0" localSheetId="38">'310 &amp; 491'!$D$49:$D$58,'310 &amp; 491'!$D$60:$D$69,'310 &amp; 491'!$D$71,'310 &amp; 491'!$D$73:$D$74,'310 &amp; 491'!$D$76,'310 &amp; 491'!$D$78:$D$81,'310 &amp; 491'!$D$83:$D$84,'310 &amp; 491'!$D$86,'310 &amp; 491'!$D$88,'310 &amp; 491'!$D$90,'310 &amp; 491'!$D$92:$D$93,'310 &amp; 491'!$D$95:$D$97,'310 &amp; 491'!$D$99,'310 &amp; 491'!$D$101,'310 &amp; 491'!$D$103,'310 &amp; 491'!$D$105,'310 &amp; 491'!$D$107,'310 &amp; 491'!$D$109:$D$112,'310 &amp; 491'!$D$114:$D$115,'310 &amp; 491'!$D$117:$D$121,'310 &amp; 491'!$D$123:$D$124,'310 &amp; 491'!$D$126:$D$136,'310 &amp; 491'!$D$138:$D$139,'310 &amp; 491'!$D$141,'310 &amp; 491'!$D$143:$D$145,'310 &amp; 491'!$D$147</definedName>
    <definedName name="OSRRefD21x_0" localSheetId="65">'311'!$D$71:$D$80,'311'!$D$82:$D$91,'311'!$D$93,'311'!$D$95:$D$96,'311'!$D$98,'311'!$D$100,'311'!$D$102:$D$103,'311'!$D$105:$D$106,'311'!$D$108:$D$116,'311'!$D$118,'311'!$D$120:$D$122,'311'!$D$124,'311'!$D$126:$D$127,'311'!$D$129:$D$132,'311'!$D$134:$D$135,'311'!$D$137,'311'!$D$139:$D$140,'311'!$D$142</definedName>
    <definedName name="OSRRefD21x_0" localSheetId="66">'312'!$D$58:$D$66,'312'!$D$68:$D$72,'312'!$D$74,'312'!$D$76,'312'!$D$78:$D$79,'312'!$D$81:$D$89,'312'!$D$91:$D$92,'312'!$D$94,'312'!$D$96,'312'!$D$98</definedName>
    <definedName name="OSRRefD21x_0" localSheetId="67">'313'!$D$35:$D$43,'313'!$D$45:$D$54,'313'!$D$56,'313'!$D$58,'313'!$D$60,'313'!$D$62,'313'!$D$64,'313'!$D$66:$D$67,'313'!$D$69,'313'!$D$71,'313'!$D$73:$D$75,'313'!$D$77:$D$78,'313'!$D$80:$D$81,'313'!$D$83:$D$89,'313'!$D$91:$D$92,'313'!$D$94,'313'!$D$96:$D$97</definedName>
    <definedName name="OSRRefD21x_0" localSheetId="68">'314'!$D$61:$D$69,'314'!$D$71:$D$76,'314'!$D$78,'314'!$D$80:$D$81,'314'!$D$83,'314'!$D$85:$D$86,'314'!$D$88:$D$97,'314'!$D$99,'314'!$D$101,'314'!$D$103,'314'!$D$105:$D$108,'314'!$D$110,'314'!$D$112,'314'!$D$114</definedName>
    <definedName name="OSRRefD21x_0" localSheetId="69">'315'!$D$57:$D$65,'315'!$D$67:$D$76,'315'!$D$78,'315'!$D$80,'315'!$D$82,'315'!$D$84:$D$85,'315'!$D$87,'315'!$D$89:$D$90,'315'!$D$92,'315'!$D$94:$D$100,'315'!$D$102,'315'!$D$104:$D$106,'315'!$D$108:$D$110,'315'!$D$112:$D$113,'315'!$D$115:$D$122,'315'!$D$124,'315'!$D$126,'315'!$D$128:$D$130</definedName>
    <definedName name="OSRRefD21x_0" localSheetId="70">'316'!$D$40:$D$48,'316'!$D$50:$D$59,'316'!$D$61,'316'!$D$63,'316'!$D$65,'316'!$D$67,'316'!$D$69,'316'!$D$71:$D$72,'316'!$D$74,'316'!$D$76:$D$78,'316'!$D$80,'316'!$D$82:$D$87,'316'!$D$89,'316'!$D$91,'316'!$D$93,'316'!$D$95</definedName>
    <definedName name="OSRRefD21x_0" localSheetId="71">'317'!$D$63:$D$72,'317'!$D$74:$D$83,'317'!$D$85,'317'!$D$87,'317'!$D$89:$D$90,'317'!$D$92,'317'!$D$94,'317'!$D$96:$D$97,'317'!$D$99,'317'!$D$101:$D$108,'317'!$D$110:$D$111,'317'!$D$113,'317'!$D$115:$D$118,'317'!$D$120,'317'!$D$122,'317'!$D$124:$D$125</definedName>
    <definedName name="OSRRefD21x_0" localSheetId="72">'318'!$D$19:$D$25,'318'!$D$27:$D$30,'318'!$D$32,'318'!$D$34,'318'!$D$36,'318'!$D$38,'318'!$D$40,'318'!$D$42,'318'!$D$44</definedName>
    <definedName name="OSRRefD21x_0" localSheetId="73">'320'!$D$35:$D$42,'320'!$D$44:$D$50,'320'!$D$52,'320'!$D$54,'320'!$D$56,'320'!$D$58:$D$59,'320'!$D$61,'320'!$D$63:$D$66,'320'!$D$68:$D$69,'320'!$D$71:$D$73,'320'!$D$75,'320'!$D$77,'320'!$D$79</definedName>
    <definedName name="OSRRefD21x_0" localSheetId="74">'321'!$D$26:$D$34,'321'!$D$36:$D$45,'321'!$D$47,'321'!$D$49,'321'!$D$51,'321'!$D$53,'321'!$D$55,'321'!$D$57:$D$58,'321'!$D$60,'321'!$D$62:$D$64,'321'!$D$66:$D$67,'321'!$D$69:$D$71,'321'!$D$73:$D$74,'321'!$D$76:$D$83,'321'!$D$85:$D$86,'321'!$D$88,'321'!$D$90:$D$91,'321'!$D$93</definedName>
    <definedName name="OSRRefD21x_0" localSheetId="75">'322'!$D$25:$D$33,'322'!$D$35:$D$44,'322'!$D$46,'322'!$D$48,'322'!$D$50,'322'!$D$52,'322'!$D$54,'322'!$D$56,'322'!$D$58,'322'!$D$60,'322'!$D$62,'322'!$D$64,'322'!$D$66:$D$67,'322'!$D$69:$D$71,'322'!$D$73:$D$74,'322'!$D$76:$D$84,'322'!$D$86,'322'!$D$88,'322'!$D$90:$D$92,'322'!$D$94</definedName>
    <definedName name="OSRRefD21x_0" localSheetId="76">'323'!$D$21:$D$27,'323'!$D$29:$D$31,'323'!$D$33,'323'!$D$35,'323'!$D$37,'323'!$D$39,'323'!$D$41,'323'!$D$43:$D$45</definedName>
    <definedName name="OSRRefD21x_0" localSheetId="77">'324'!$D$26:$D$33,'324'!$D$35:$D$44,'324'!$D$46,'324'!$D$48</definedName>
    <definedName name="OSRRefD21x_0" localSheetId="78">'325'!$D$26:$D$34,'325'!$D$36:$D$45,'325'!$D$47,'325'!$D$49,'325'!$D$51,'325'!$D$53:$D$54,'325'!$D$56,'325'!$D$58,'325'!$D$60,'325'!$D$62,'325'!$D$64,'325'!$D$66,'325'!$D$68:$D$71,'325'!$D$73:$D$76,'325'!$D$78:$D$79,'325'!$D$81:$D$88,'325'!$D$90:$D$91,'325'!$D$93,'325'!$D$95,'325'!$D$97</definedName>
    <definedName name="OSRRefD21x_0" localSheetId="79">'326'!$D$94:$D$102,'326'!$D$104:$D$113,'326'!$D$115,'326'!$D$117,'326'!$D$119,'326'!$D$121:$D$122,'326'!$D$124:$D$125,'326'!$D$127,'326'!$D$129:$D$130,'326'!$D$132:$D$133,'326'!$D$135,'326'!$D$137:$D$157,'326'!$D$159,'326'!$D$161,'326'!$D$163:$D$165,'326'!$D$167:$D$169,'326'!$D$171:$D$172,'326'!$D$174:$D$181,'326'!$D$183:$D$184,'326'!$D$186,'326'!$D$188:$D$190,'326'!$D$192</definedName>
    <definedName name="OSRRefD21x_0" localSheetId="80">'327'!$D$25,'327'!$D$27,'327'!$D$29</definedName>
    <definedName name="OSRRefD21x_0" localSheetId="26">'330'!$D$108:$D$117,'330'!$D$119:$D$128,'330'!$D$130,'330'!$D$132,'330'!$D$134,'330'!$D$136:$D$137,'330'!$D$139,'330'!$D$141:$D$142,'330'!$D$144,'330'!$D$146:$D$169,'330'!$D$171,'330'!$D$173,'330'!$D$175:$D$176,'330'!$D$178:$D$179,'330'!$D$181,'330'!$D$183:$D$189,'330'!$D$191:$D$192,'330'!$D$194,'330'!$D$196</definedName>
    <definedName name="OSRRefD21x_0" localSheetId="32">'331'!$D$105:$D$113,'331'!$D$115:$D$124,'331'!$D$126,'331'!$D$128,'331'!$D$130,'331'!$D$132:$D$133,'331'!$D$135:$D$136,'331'!$D$138,'331'!$D$140:$D$141,'331'!$D$143:$D$144,'331'!$D$146,'331'!$D$148:$D$168,'331'!$D$170,'331'!$D$172,'331'!$D$174:$D$177,'331'!$D$179:$D$181,'331'!$D$183:$D$185,'331'!$D$187:$D$188,'331'!$D$190:$D$198,'331'!$D$200:$D$201,'331'!$D$203,'331'!$D$205:$D$207,'331'!$D$209</definedName>
    <definedName name="OSRRefD21x_0" localSheetId="35">'332'!$D$57:$D$65,'332'!$D$67:$D$76,'332'!$D$78,'332'!$D$80,'332'!$D$82,'332'!$D$84,'332'!$D$86,'332'!$D$88:$D$89,'332'!$D$91,'332'!$D$93:$D$96,'332'!$D$98:$D$100,'332'!$D$102:$D$103,'332'!$D$105:$D$110,'332'!$D$112,'332'!$D$114,'332'!$D$116,'332'!$D$118</definedName>
    <definedName name="OSRRefD21x_0" localSheetId="81">'335'!$D$19:$D$26,'335'!$D$28:$D$32,'335'!$D$34,'335'!$D$36,'335'!$D$38,'335'!$D$40:$D$41,'335'!$D$43:$D$45,'335'!$D$47,'335'!$D$49,'335'!$D$51:$D$52</definedName>
    <definedName name="OSRRefD21x_0" localSheetId="82">'405'!$D$27:$D$36,'405'!$D$38:$D$47,'405'!$D$49,'405'!$D$51,'405'!$D$53,'405'!$D$55:$D$56,'405'!$D$58,'405'!$D$60,'405'!$D$62,'405'!$D$64,'405'!$D$66:$D$68,'405'!$D$70,'405'!$D$72:$D$75,'405'!$D$77:$D$78,'405'!$D$80:$D$89,'405'!$D$91,'405'!$D$93,'405'!$D$95,'405'!$D$97</definedName>
    <definedName name="OSRRefD21x_0" localSheetId="83">'406'!$D$23:$D$30,'406'!$D$32:$D$37,'406'!$D$39,'406'!$D$41,'406'!$D$43,'406'!$D$45,'406'!$D$47,'406'!$D$49,'406'!$D$51,'406'!$D$53,'406'!$D$55:$D$57,'406'!$D$59,'406'!$D$61:$D$63,'406'!$D$65:$D$70,'406'!$D$72,'406'!$D$74,'406'!$D$76:$D$77</definedName>
    <definedName name="OSRRefD21x_0" localSheetId="84">'411'!$D$19:$D$28,'411'!$D$30:$D$39,'411'!$D$41,'411'!$D$43,'411'!$D$45,'411'!$D$47:$D$50,'411'!$D$52,'411'!$D$54,'411'!$D$56,'411'!$D$58,'411'!$D$60,'411'!$D$62,'411'!$D$64,'411'!$D$66,'411'!$D$68:$D$71,'411'!$D$73,'411'!$D$75:$D$79,'411'!$D$81:$D$82,'411'!$D$84:$D$93,'411'!$D$95,'411'!$D$97,'411'!$D$99:$D$101,'411'!$D$103</definedName>
    <definedName name="OSRRefD21x_0" localSheetId="85">'412'!$D$27:$D$36,'412'!$D$38:$D$47,'412'!$D$49,'412'!$D$51,'412'!$D$53,'412'!$D$55:$D$56,'412'!$D$58,'412'!$D$60,'412'!$D$62,'412'!$D$64,'412'!$D$66,'412'!$D$68:$D$70,'412'!$D$72,'412'!$D$74:$D$78,'412'!$D$80:$D$89,'412'!$D$91:$D$92,'412'!$D$94,'412'!$D$96:$D$97,'412'!$D$99</definedName>
    <definedName name="OSRRefD21x_0" localSheetId="86">'413'!$D$26:$D$35,'413'!$D$37:$D$46,'413'!$D$48,'413'!$D$50,'413'!$D$52,'413'!$D$54,'413'!$D$56,'413'!$D$58,'413'!$D$60:$D$63,'413'!$D$65:$D$67,'413'!$D$69:$D$78,'413'!$D$80:$D$81,'413'!$D$83,'413'!$D$85:$D$86</definedName>
    <definedName name="OSRRefD21x_0" localSheetId="87">'414'!$D$26:$D$34,'414'!$D$36:$D$45,'414'!$D$47,'414'!$D$49,'414'!$D$51,'414'!$D$53,'414'!$D$55,'414'!$D$57,'414'!$D$59,'414'!$D$61,'414'!$D$63:$D$64,'414'!$D$66,'414'!$D$68:$D$70,'414'!$D$72,'414'!$D$74:$D$82,'414'!$D$84,'414'!$D$86,'414'!$D$88</definedName>
    <definedName name="OSRRefD21x_0" localSheetId="88">'415'!$D$26:$D$35,'415'!$D$37:$D$46,'415'!$D$48,'415'!$D$50,'415'!$D$52,'415'!$D$54:$D$55,'415'!$D$57,'415'!$D$59,'415'!$D$61,'415'!$D$63,'415'!$D$65,'415'!$D$67:$D$70,'415'!$D$72,'415'!$D$74:$D$78,'415'!$D$80:$D$81,'415'!$D$83:$D$91,'415'!$D$93:$D$94,'415'!$D$96,'415'!$D$98:$D$99,'415'!$D$101</definedName>
    <definedName name="OSRRefD21x_0" localSheetId="89">'418'!$D$26:$D$34,'418'!$D$36:$D$45,'418'!$D$47,'418'!$D$49,'418'!$D$51,'418'!$D$53:$D$54,'418'!$D$56,'418'!$D$58,'418'!$D$60,'418'!$D$62,'418'!$D$64,'418'!$D$66:$D$67,'418'!$D$69:$D$72,'418'!$D$74:$D$77,'418'!$D$79:$D$80,'418'!$D$82:$D$92,'418'!$D$94:$D$95,'418'!$D$97,'418'!$D$99:$D$100,'418'!$D$102</definedName>
    <definedName name="OSRRefD21x_0" localSheetId="90">'420'!$D$23:$D$30,'420'!$D$32:$D$35,'420'!$D$37,'420'!$D$39,'420'!$D$41,'420'!$D$43,'420'!$D$45,'420'!$D$47:$D$48,'420'!$D$50</definedName>
    <definedName name="OSRRefD21x_0" localSheetId="91">'423'!$D$20:$D$28,'423'!$D$30:$D$39,'423'!$D$41,'423'!$D$43,'423'!$D$45,'423'!$D$47,'423'!$D$49,'423'!$D$51:$D$53,'423'!$D$55,'423'!$D$57,'423'!$D$59,'423'!$D$61,'423'!$D$63</definedName>
    <definedName name="OSRRefD21x_0" localSheetId="92">'424'!$D$25:$D$31,'424'!$D$33:$D$38,'424'!$D$40,'424'!$D$42,'424'!$D$44,'424'!$D$46,'424'!$D$48,'424'!$D$50,'424'!$D$52,'424'!$D$54:$D$55,'424'!$D$57,'424'!$D$59:$D$61,'424'!$D$63:$D$69,'424'!$D$71</definedName>
    <definedName name="OSRRefD21x_0" localSheetId="93">'425'!$D$26:$D$34,'425'!$D$36:$D$41,'425'!$D$43,'425'!$D$45:$D$46,'425'!$D$48,'425'!$D$50:$D$51,'425'!$D$53,'425'!$D$55,'425'!$D$57,'425'!$D$59:$D$62,'425'!$D$64,'425'!$D$66:$D$69,'425'!$D$71:$D$72,'425'!$D$74:$D$81,'425'!$D$83,'425'!$D$85,'425'!$D$87:$D$89</definedName>
    <definedName name="OSRRefD21x_0" localSheetId="94">'430'!$D$19:$D$27,'430'!$D$29:$D$38,'430'!$D$40,'430'!$D$42,'430'!$D$44,'430'!$D$46,'430'!$D$48,'430'!$D$50,'430'!$D$52:$D$56,'430'!$D$58:$D$59,'430'!$D$61,'430'!$D$63:$D$64</definedName>
    <definedName name="OSRRefD21x_0" localSheetId="95">'433'!$D$28:$D$37,'433'!$D$39:$D$48,'433'!$D$50,'433'!$D$52,'433'!$D$54,'433'!$D$56,'433'!$D$58,'433'!$D$60,'433'!$D$62,'433'!$D$64,'433'!$D$66,'433'!$D$68,'433'!$D$70,'433'!$D$72:$D$74,'433'!$D$76:$D$79,'433'!$D$81,'433'!$D$83:$D$91,'433'!$D$93,'433'!$D$95,'433'!$D$97:$D$98,'433'!$D$100</definedName>
    <definedName name="OSRRefD21x_0" localSheetId="96">'435'!$D$24:$D$26,'435'!$D$28:$D$31,'435'!$D$33,'435'!$D$35,'435'!$D$37,'435'!$D$39,'435'!$D$41,'435'!$D$43,'435'!$D$45,'435'!$D$47:$D$48,'435'!$D$50:$D$56,'435'!$D$58,'435'!$D$60,'435'!$D$62</definedName>
    <definedName name="OSRRefD21x_0" localSheetId="97">'444'!$D$26:$D$35,'444'!$D$37:$D$46,'444'!$D$48,'444'!$D$50,'444'!$D$52,'444'!$D$54,'444'!$D$56,'444'!$D$58,'444'!$D$60,'444'!$D$62,'444'!$D$64,'444'!$D$66,'444'!$D$68,'444'!$D$70:$D$73,'444'!$D$75:$D$78,'444'!$D$80:$D$81,'444'!$D$83:$D$92,'444'!$D$94:$D$95,'444'!$D$97,'444'!$D$99,'444'!$D$101</definedName>
    <definedName name="OSRRefD21x_0" localSheetId="98">'445'!$D$24:$D$26,'445'!$D$28:$D$30,'445'!$D$32,'445'!$D$34,'445'!$D$36,'445'!$D$38,'445'!$D$40,'445'!$D$42,'445'!$D$44:$D$45,'445'!$D$47,'445'!$D$49:$D$52,'445'!$D$54,'445'!$D$56,'445'!$D$58</definedName>
    <definedName name="OSRRefD21x_0" localSheetId="99">'450'!$D$26:$D$35,'450'!$D$37:$D$46,'450'!$D$48,'450'!$D$50,'450'!$D$52,'450'!$D$54:$D$55,'450'!$D$57,'450'!$D$59,'450'!$D$61,'450'!$D$63,'450'!$D$65,'450'!$D$67,'450'!$D$69:$D$71,'450'!$D$73:$D$76,'450'!$D$78,'450'!$D$80:$D$89,'450'!$D$91:$D$92,'450'!$D$94,'450'!$D$96:$D$98</definedName>
    <definedName name="OSRRefD21x_0" localSheetId="100">'455'!$D$19:$D$26,'455'!$D$28:$D$29,'455'!$D$31,'455'!$D$33</definedName>
    <definedName name="OSRRefD21x_0" localSheetId="41">'491'!$D$37:$D$46,'491'!$D$48:$D$57,'491'!$D$59,'491'!$D$61:$D$62,'491'!$D$64,'491'!$D$66:$D$69,'491'!$D$71:$D$72,'491'!$D$74,'491'!$D$76,'491'!$D$78,'491'!$D$80,'491'!$D$82:$D$83,'491'!$D$85,'491'!$D$87,'491'!$D$89,'491'!$D$91,'491'!$D$93,'491'!$D$95:$D$98,'491'!$D$100:$D$101,'491'!$D$103:$D$107,'491'!$D$109:$D$110,'491'!$D$112:$D$122,'491'!$D$124:$D$125,'491'!$D$127,'491'!$D$129:$D$131,'491'!$D$133</definedName>
    <definedName name="OSRRefD21x_0" localSheetId="44">'492'!$D$30:$D$39,'492'!$D$41:$D$50,'492'!$D$52,'492'!$D$54,'492'!$D$56,'492'!$D$58:$D$59,'492'!$D$61,'492'!$D$63,'492'!$D$65,'492'!$D$67,'492'!$D$69,'492'!$D$71,'492'!$D$73,'492'!$D$75:$D$76,'492'!$D$78,'492'!$D$80:$D$83,'492'!$D$85:$D$88,'492'!$D$90:$D$91,'492'!$D$93:$D$102,'492'!$D$104:$D$105,'492'!$D$107,'492'!$D$109:$D$111,'492'!$D$113</definedName>
    <definedName name="OSRRefD21x_0" localSheetId="101">'501'!$D$21:$D$29,'501'!$D$31:$D$40,'501'!$D$42,'501'!$D$44,'501'!$D$46,'501'!$D$48,'501'!$D$50:$D$51,'501'!$D$53,'501'!$D$55,'501'!$D$57,'501'!$D$59,'501'!$D$61:$D$64,'501'!$D$66,'501'!$D$68:$D$71,'501'!$D$73,'501'!$D$75,'501'!$D$77</definedName>
    <definedName name="OSRRefD21x_0" localSheetId="8">'Div 2'!$D$20:$D$30,'Div 2'!$D$32:$D$41,'Div 2'!$D$43,'Div 2'!$D$45,'Div 2'!$D$47,'Div 2'!$D$49,'Div 2'!$D$51:$D$52,'Div 2'!$D$54:$D$55,'Div 2'!$D$57,'Div 2'!$D$59,'Div 2'!$D$61:$D$62,'Div 2'!$D$64:$D$65,'Div 2'!$D$67:$D$68,'Div 2'!$D$70,'Div 2'!$D$72:$D$75,'Div 2'!$D$77:$D$80,'Div 2'!$D$82:$D$83,'Div 2'!$D$85:$D$86,'Div 2'!$D$88:$D$94,'Div 2'!$D$96:$D$97,'Div 2'!$D$99,'Div 2'!$D$101:$D$102</definedName>
    <definedName name="OSRRefD21x_0" localSheetId="11">'Div 3'!$D$209:$D$218,'Div 3'!$D$220:$D$229,'Div 3'!$D$231,'Div 3'!$D$233:$D$235,'Div 3'!$D$237,'Div 3'!$D$239:$D$242,'Div 3'!$D$244:$D$245,'Div 3'!$D$247:$D$248,'Div 3'!$D$250,'Div 3'!$D$252,'Div 3'!$D$254:$D$255,'Div 3'!$D$257:$D$259,'Div 3'!$D$261,'Div 3'!$D$263,'Div 3'!$D$265:$D$301,'Div 3'!$D$303:$D$304,'Div 3'!$D$306,'Div 3'!$D$308:$D$311,'Div 3'!$D$313:$D$317,'Div 3'!$D$319:$D$324,'Div 3'!$D$326:$D$327,'Div 3'!$D$329:$D$338,'Div 3'!$D$340:$D$341,'Div 3'!$D$343,'Div 3'!$D$345:$D$347,'Div 3'!$D$349</definedName>
    <definedName name="OSRRefD21x_0" localSheetId="14">'Div 4'!$D$38:$D$47,'Div 4'!$D$49:$D$58,'Div 4'!$D$60,'Div 4'!$D$62:$D$63,'Div 4'!$D$65,'Div 4'!$D$67:$D$70,'Div 4'!$D$72:$D$73,'Div 4'!$D$75,'Div 4'!$D$77,'Div 4'!$D$79,'Div 4'!$D$81,'Div 4'!$D$83:$D$84,'Div 4'!$D$86,'Div 4'!$D$88,'Div 4'!$D$90:$D$91,'Div 4'!$D$93,'Div 4'!$D$95,'Div 4'!$D$97:$D$100,'Div 4'!$D$102:$D$103,'Div 4'!$D$105:$D$109,'Div 4'!$D$111:$D$112,'Div 4'!$D$114:$D$124,'Div 4'!$D$126:$D$127,'Div 4'!$D$129,'Div 4'!$D$131:$D$133,'Div 4'!$D$135</definedName>
    <definedName name="OSRRefD21x_0" localSheetId="47">'Div 5'!$D$21:$D$29,'Div 5'!$D$31:$D$40,'Div 5'!$D$42,'Div 5'!$D$44,'Div 5'!$D$46,'Div 5'!$D$48,'Div 5'!$D$50:$D$51,'Div 5'!$D$53,'Div 5'!$D$55,'Div 5'!$D$57,'Div 5'!$D$59,'Div 5'!$D$61:$D$64,'Div 5'!$D$66,'Div 5'!$D$68:$D$71,'Div 5'!$D$73,'Div 5'!$D$75,'Div 5'!$D$77</definedName>
    <definedName name="OSRRefD21x_0" localSheetId="50">'Div 6'!$D$63:$D$72,'Div 6'!$D$74:$D$83,'Div 6'!$D$85,'Div 6'!$D$87,'Div 6'!$D$89:$D$90,'Div 6'!$D$92,'Div 6'!$D$94,'Div 6'!$D$96:$D$97,'Div 6'!$D$99,'Div 6'!$D$101:$D$108,'Div 6'!$D$110:$D$111,'Div 6'!$D$113,'Div 6'!$D$115:$D$118,'Div 6'!$D$120,'Div 6'!$D$122,'Div 6'!$D$124:$D$125</definedName>
    <definedName name="OSRRefD21x_0" localSheetId="2">Summary!$D$245:$D$254,Summary!$D$256:$D$265,Summary!$D$267,Summary!$D$269:$D$271,Summary!$D$273,Summary!$D$275:$D$278,Summary!$D$280:$D$281,Summary!$D$283:$D$284,Summary!$D$286,Summary!$D$288,Summary!$D$290:$D$291,Summary!$D$293:$D$295,Summary!$D$297,Summary!$D$299,Summary!$D$301:$D$340,Summary!$D$342:$D$343,Summary!$D$345,Summary!$D$347,Summary!$D$349:$D$352,Summary!$D$354:$D$358,Summary!$D$360:$D$365,Summary!$D$367:$D$368,Summary!$D$370:$D$380,Summary!$D$382:$D$383,Summary!$D$385,Summary!$D$387:$D$389,Summary!$D$391</definedName>
    <definedName name="OSRRefD24x_0" localSheetId="56">'202'!$D$79:$D$81</definedName>
    <definedName name="OSRRefD24x_0" localSheetId="17">'300'!$D$343:$D$358</definedName>
    <definedName name="OSRRefD24x_0" localSheetId="20">'300 &amp; 317'!$D$371:$D$390</definedName>
    <definedName name="OSRRefD24x_0" localSheetId="61">'301'!$D$112:$D$114</definedName>
    <definedName name="OSRRefD24x_0" localSheetId="63">'307'!$D$189</definedName>
    <definedName name="OSRRefD24x_0" localSheetId="29">'308'!$D$167:$D$170</definedName>
    <definedName name="OSRRefD24x_0" localSheetId="64">'309'!$D$89</definedName>
    <definedName name="OSRRefD24x_0" localSheetId="23">'310'!$D$127</definedName>
    <definedName name="OSRRefD24x_0" localSheetId="38">'310 &amp; 491'!$D$150:$D$153</definedName>
    <definedName name="OSRRefD24x_0" localSheetId="65">'311'!$D$145:$D$148</definedName>
    <definedName name="OSRRefD24x_0" localSheetId="66">'312'!$D$101</definedName>
    <definedName name="OSRRefD24x_0" localSheetId="68">'314'!$D$117</definedName>
    <definedName name="OSRRefD24x_0" localSheetId="69">'315'!$D$133:$D$135</definedName>
    <definedName name="OSRRefD24x_0" localSheetId="70">'316'!$D$98</definedName>
    <definedName name="OSRRefD24x_0" localSheetId="71">'317'!$D$128:$D$133</definedName>
    <definedName name="OSRRefD24x_0" localSheetId="73">'320'!$D$82:$D$93</definedName>
    <definedName name="OSRRefD24x_0" localSheetId="26">'330'!$D$199</definedName>
    <definedName name="OSRRefD24x_0" localSheetId="32">'331'!$D$212:$D$214</definedName>
    <definedName name="OSRRefD24x_0" localSheetId="35">'332'!$D$121:$D$133</definedName>
    <definedName name="OSRRefD24x_0" localSheetId="84">'411'!$D$106:$D$107</definedName>
    <definedName name="OSRRefD24x_0" localSheetId="86">'413'!$D$89</definedName>
    <definedName name="OSRRefD24x_0" localSheetId="88">'415'!$D$104</definedName>
    <definedName name="OSRRefD24x_0" localSheetId="89">'418'!$D$105</definedName>
    <definedName name="OSRRefD24x_0" localSheetId="91">'423'!$D$66:$D$68</definedName>
    <definedName name="OSRRefD24x_0" localSheetId="92">'424'!$D$74</definedName>
    <definedName name="OSRRefD24x_0" localSheetId="93">'425'!$D$92</definedName>
    <definedName name="OSRRefD24x_0" localSheetId="100">'455'!$D$36:$D$38</definedName>
    <definedName name="OSRRefD24x_0" localSheetId="41">'491'!$D$136:$D$139</definedName>
    <definedName name="OSRRefD24x_0" localSheetId="101">'501'!$D$80:$D$82</definedName>
    <definedName name="OSRRefD24x_0" localSheetId="8">'Div 2'!$D$105:$D$107</definedName>
    <definedName name="OSRRefD24x_0" localSheetId="11">'Div 3'!$D$352:$D$367</definedName>
    <definedName name="OSRRefD24x_0" localSheetId="14">'Div 4'!$D$138:$D$141</definedName>
    <definedName name="OSRRefD24x_0" localSheetId="47">'Div 5'!$D$80:$D$82</definedName>
    <definedName name="OSRRefD24x_0" localSheetId="50">'Div 6'!$D$128:$D$133</definedName>
    <definedName name="OSRRefD24x_0" localSheetId="2">Summary!$D$394:$D$414</definedName>
    <definedName name="OSRRefF11x_0" localSheetId="55">'201'!$F$11</definedName>
    <definedName name="OSRRefF11x_0" localSheetId="56">'202'!$F$11</definedName>
    <definedName name="OSRRefF11x_0" localSheetId="17">'300'!$F$11:$F$133</definedName>
    <definedName name="OSRRefF11x_0" localSheetId="20">'300 &amp; 317'!$F$11:$F$151</definedName>
    <definedName name="OSRRefF11x_0" localSheetId="63">'307'!$F$11:$F$60</definedName>
    <definedName name="OSRRefF11x_0" localSheetId="29">'308'!$F$11:$F$54</definedName>
    <definedName name="OSRRefF11x_0" localSheetId="64">'309'!$F$11:$F$13</definedName>
    <definedName name="OSRRefF11x_0" localSheetId="23">'310'!$F$11:$F$27</definedName>
    <definedName name="OSRRefF11x_0" localSheetId="38">'310 &amp; 491'!$F$11:$F$36</definedName>
    <definedName name="OSRRefF11x_0" localSheetId="65">'311'!$F$11:$F$43</definedName>
    <definedName name="OSRRefF11x_0" localSheetId="66">'312'!$F$11:$F$34</definedName>
    <definedName name="OSRRefF11x_0" localSheetId="67">'313'!$F$11:$F$23</definedName>
    <definedName name="OSRRefF11x_0" localSheetId="68">'314'!$F$11:$F$35</definedName>
    <definedName name="OSRRefF11x_0" localSheetId="69">'315'!$F$11:$F$32</definedName>
    <definedName name="OSRRefF11x_0" localSheetId="70">'316'!$F$11:$F$30</definedName>
    <definedName name="OSRRefF11x_0" localSheetId="71">'317'!$F$11:$F$38</definedName>
    <definedName name="OSRRefF11x_0" localSheetId="73">'320'!$F$11:$F$20</definedName>
    <definedName name="OSRRefF11x_0" localSheetId="74">'321'!$F$11:$F$14</definedName>
    <definedName name="OSRRefF11x_0" localSheetId="75">'322'!$F$11:$F$13</definedName>
    <definedName name="OSRRefF11x_0" localSheetId="76">'323'!$F$11:$F$12</definedName>
    <definedName name="OSRRefF11x_0" localSheetId="77">'324'!$F$11:$F$14</definedName>
    <definedName name="OSRRefF11x_0" localSheetId="78">'325'!$F$11:$F$14</definedName>
    <definedName name="OSRRefF11x_0" localSheetId="79">'326'!$F$11:$F$55</definedName>
    <definedName name="OSRRefF11x_0" localSheetId="80">'327'!$F$11:$F$13</definedName>
    <definedName name="OSRRefF11x_0" localSheetId="26">'330'!$F$11:$F$66</definedName>
    <definedName name="OSRRefF11x_0" localSheetId="32">'331'!$F$11:$F$61</definedName>
    <definedName name="OSRRefF11x_0" localSheetId="35">'332'!$F$11:$F$41</definedName>
    <definedName name="OSRRefF11x_0" localSheetId="82">'405'!$F$11:$F$15</definedName>
    <definedName name="OSRRefF11x_0" localSheetId="83">'406'!$F$11:$F$12</definedName>
    <definedName name="OSRRefF11x_0" localSheetId="85">'412'!$F$11:$F$14</definedName>
    <definedName name="OSRRefF11x_0" localSheetId="86">'413'!$F$11:$F$14</definedName>
    <definedName name="OSRRefF11x_0" localSheetId="87">'414'!$F$11:$F$14</definedName>
    <definedName name="OSRRefF11x_0" localSheetId="88">'415'!$F$11:$F$14</definedName>
    <definedName name="OSRRefF11x_0" localSheetId="89">'418'!$F$11:$F$14</definedName>
    <definedName name="OSRRefF11x_0" localSheetId="90">'420'!$F$11:$F$12</definedName>
    <definedName name="OSRRefF11x_0" localSheetId="92">'424'!$F$11:$F$14</definedName>
    <definedName name="OSRRefF11x_0" localSheetId="93">'425'!$F$11:$F$15</definedName>
    <definedName name="OSRRefF11x_0" localSheetId="95">'433'!$F$11:$F$16</definedName>
    <definedName name="OSRRefF11x_0" localSheetId="96">'435'!$F$11:$F$13</definedName>
    <definedName name="OSRRefF11x_0" localSheetId="97">'444'!$F$11:$F$14</definedName>
    <definedName name="OSRRefF11x_0" localSheetId="98">'445'!$F$11:$F$13</definedName>
    <definedName name="OSRRefF11x_0" localSheetId="99">'450'!$F$11:$F$14</definedName>
    <definedName name="OSRRefF11x_0" localSheetId="41">'491'!$F$11:$F$24</definedName>
    <definedName name="OSRRefF11x_0" localSheetId="44">'492'!$F$11:$F$18</definedName>
    <definedName name="OSRRefF11x_0" localSheetId="101">'501'!$F$11:$F$12</definedName>
    <definedName name="OSRRefF11x_0" localSheetId="8">'Div 2'!$F$11</definedName>
    <definedName name="OSRRefF11x_0" localSheetId="11">'Div 3'!$F$11:$F$136</definedName>
    <definedName name="OSRRefF11x_0" localSheetId="14">'Div 4'!$F$11:$F$25</definedName>
    <definedName name="OSRRefF11x_0" localSheetId="47">'Div 5'!$F$11:$F$12</definedName>
    <definedName name="OSRRefF11x_0" localSheetId="50">'Div 6'!$F$11:$F$38</definedName>
    <definedName name="OSRRefF11x_0" localSheetId="2">Summary!$F$11:$F$164</definedName>
    <definedName name="OSRRefF14x_0" localSheetId="17">'300'!$F$136:$F$197</definedName>
    <definedName name="OSRRefF14x_0" localSheetId="20">'300 &amp; 317'!$F$154:$F$222</definedName>
    <definedName name="OSRRefF14x_0" localSheetId="61">'301'!$F$13</definedName>
    <definedName name="OSRRefF14x_0" localSheetId="63">'307'!$F$63:$F$93</definedName>
    <definedName name="OSRRefF14x_0" localSheetId="29">'308'!$F$57:$F$82</definedName>
    <definedName name="OSRRefF14x_0" localSheetId="64">'309'!$F$16:$F$18</definedName>
    <definedName name="OSRRefF14x_0" localSheetId="23">'310'!$F$30:$F$32</definedName>
    <definedName name="OSRRefF14x_0" localSheetId="38">'310 &amp; 491'!$F$39:$F$42</definedName>
    <definedName name="OSRRefF14x_0" localSheetId="65">'311'!$F$46:$F$64</definedName>
    <definedName name="OSRRefF14x_0" localSheetId="66">'312'!$F$37:$F$51</definedName>
    <definedName name="OSRRefF14x_0" localSheetId="67">'313'!$F$26:$F$28</definedName>
    <definedName name="OSRRefF14x_0" localSheetId="68">'314'!$F$38:$F$54</definedName>
    <definedName name="OSRRefF14x_0" localSheetId="69">'315'!$F$35:$F$50</definedName>
    <definedName name="OSRRefF14x_0" localSheetId="70">'316'!$F$33</definedName>
    <definedName name="OSRRefF14x_0" localSheetId="71">'317'!$F$41:$F$56</definedName>
    <definedName name="OSRRefF14x_0" localSheetId="73">'320'!$F$23:$F$28</definedName>
    <definedName name="OSRRefF14x_0" localSheetId="74">'321'!$F$17:$F$19</definedName>
    <definedName name="OSRRefF14x_0" localSheetId="75">'322'!$F$16:$F$18</definedName>
    <definedName name="OSRRefF14x_0" localSheetId="77">'324'!$F$17:$F$19</definedName>
    <definedName name="OSRRefF14x_0" localSheetId="78">'325'!$F$17:$F$19</definedName>
    <definedName name="OSRRefF14x_0" localSheetId="79">'326'!$F$58:$F$87</definedName>
    <definedName name="OSRRefF14x_0" localSheetId="80">'327'!$F$16:$F$18</definedName>
    <definedName name="OSRRefF14x_0" localSheetId="26">'330'!$F$69:$F$101</definedName>
    <definedName name="OSRRefF14x_0" localSheetId="32">'331'!$F$64:$F$98</definedName>
    <definedName name="OSRRefF14x_0" localSheetId="35">'332'!$F$44:$F$50</definedName>
    <definedName name="OSRRefF14x_0" localSheetId="82">'405'!$F$18:$F$20</definedName>
    <definedName name="OSRRefF14x_0" localSheetId="83">'406'!$F$15:$F$16</definedName>
    <definedName name="OSRRefF14x_0" localSheetId="85">'412'!$F$17:$F$20</definedName>
    <definedName name="OSRRefF14x_0" localSheetId="86">'413'!$F$17:$F$19</definedName>
    <definedName name="OSRRefF14x_0" localSheetId="87">'414'!$F$17:$F$19</definedName>
    <definedName name="OSRRefF14x_0" localSheetId="88">'415'!$F$17:$F$19</definedName>
    <definedName name="OSRRefF14x_0" localSheetId="89">'418'!$F$17:$F$19</definedName>
    <definedName name="OSRRefF14x_0" localSheetId="90">'420'!$F$15:$F$16</definedName>
    <definedName name="OSRRefF14x_0" localSheetId="91">'423'!$F$13</definedName>
    <definedName name="OSRRefF14x_0" localSheetId="92">'424'!$F$17:$F$18</definedName>
    <definedName name="OSRRefF14x_0" localSheetId="93">'425'!$F$18:$F$19</definedName>
    <definedName name="OSRRefF14x_0" localSheetId="95">'433'!$F$19:$F$21</definedName>
    <definedName name="OSRRefF14x_0" localSheetId="96">'435'!$F$16:$F$17</definedName>
    <definedName name="OSRRefF14x_0" localSheetId="97">'444'!$F$17:$F$19</definedName>
    <definedName name="OSRRefF14x_0" localSheetId="98">'445'!$F$16:$F$17</definedName>
    <definedName name="OSRRefF14x_0" localSheetId="99">'450'!$F$17:$F$19</definedName>
    <definedName name="OSRRefF14x_0" localSheetId="41">'491'!$F$27:$F$30</definedName>
    <definedName name="OSRRefF14x_0" localSheetId="44">'492'!$F$21:$F$23</definedName>
    <definedName name="OSRRefF14x_0" localSheetId="11">'Div 3'!$F$139:$F$202</definedName>
    <definedName name="OSRRefF14x_0" localSheetId="14">'Div 4'!$F$28:$F$31</definedName>
    <definedName name="OSRRefF14x_0" localSheetId="50">'Div 6'!$F$41:$F$56</definedName>
    <definedName name="OSRRefF14x_0" localSheetId="2">Summary!$F$167:$F$238</definedName>
    <definedName name="OSRRefF21_0x_0" localSheetId="54">'200'!$F$19:$F$20</definedName>
    <definedName name="OSRRefF21_0x_0" localSheetId="55">'201'!$F$20:$F$28</definedName>
    <definedName name="OSRRefF21_0x_0" localSheetId="56">'202'!$F$20:$F$28</definedName>
    <definedName name="OSRRefF21_0x_0" localSheetId="57">'203'!$F$19:$F$28</definedName>
    <definedName name="OSRRefF21_0x_0" localSheetId="58">'204'!$F$19:$F$28</definedName>
    <definedName name="OSRRefF21_0x_0" localSheetId="59">'205'!$F$19:$F$27</definedName>
    <definedName name="OSRRefF21_0x_0" localSheetId="60">'206'!$F$19:$F$27</definedName>
    <definedName name="OSRRefF21_0x_0" localSheetId="17">'300'!$F$204:$F$213</definedName>
    <definedName name="OSRRefF21_0x_0" localSheetId="20">'300 &amp; 317'!$F$229:$F$238</definedName>
    <definedName name="OSRRefF21_0x_0" localSheetId="61">'301'!$F$20:$F$28</definedName>
    <definedName name="OSRRefF21_0x_0" localSheetId="62">'306'!$F$19:$F$28</definedName>
    <definedName name="OSRRefF21_0x_0" localSheetId="63">'307'!$F$100:$F$108</definedName>
    <definedName name="OSRRefF21_0x_0" localSheetId="29">'308'!$F$89:$F$98</definedName>
    <definedName name="OSRRefF21_0x_0" localSheetId="64">'309'!$F$25:$F$33</definedName>
    <definedName name="OSRRefF21_0x_0" localSheetId="23">'310'!$F$39:$F$47</definedName>
    <definedName name="OSRRefF21_0x_0" localSheetId="38">'310 &amp; 491'!$F$49:$F$58</definedName>
    <definedName name="OSRRefF21_0x_0" localSheetId="65">'311'!$F$71:$F$80</definedName>
    <definedName name="OSRRefF21_0x_0" localSheetId="66">'312'!$F$58:$F$66</definedName>
    <definedName name="OSRRefF21_0x_0" localSheetId="67">'313'!$F$35:$F$43</definedName>
    <definedName name="OSRRefF21_0x_0" localSheetId="68">'314'!$F$61:$F$69</definedName>
    <definedName name="OSRRefF21_0x_0" localSheetId="69">'315'!$F$57:$F$65</definedName>
    <definedName name="OSRRefF21_0x_0" localSheetId="70">'316'!$F$40:$F$48</definedName>
    <definedName name="OSRRefF21_0x_0" localSheetId="71">'317'!$F$63:$F$72</definedName>
    <definedName name="OSRRefF21_0x_0" localSheetId="72">'318'!$F$19:$F$25</definedName>
    <definedName name="OSRRefF21_0x_0" localSheetId="73">'320'!$F$35:$F$42</definedName>
    <definedName name="OSRRefF21_0x_0" localSheetId="74">'321'!$F$26:$F$34</definedName>
    <definedName name="OSRRefF21_0x_0" localSheetId="75">'322'!$F$25:$F$33</definedName>
    <definedName name="OSRRefF21_0x_0" localSheetId="76">'323'!$F$21:$F$27</definedName>
    <definedName name="OSRRefF21_0x_0" localSheetId="77">'324'!$F$26:$F$33</definedName>
    <definedName name="OSRRefF21_0x_0" localSheetId="78">'325'!$F$26:$F$34</definedName>
    <definedName name="OSRRefF21_0x_0" localSheetId="79">'326'!$F$94:$F$102</definedName>
    <definedName name="OSRRefF21_0x_0" localSheetId="80">'327'!$F$25</definedName>
    <definedName name="OSRRefF21_0x_0" localSheetId="26">'330'!$F$108:$F$117</definedName>
    <definedName name="OSRRefF21_0x_0" localSheetId="32">'331'!$F$105:$F$113</definedName>
    <definedName name="OSRRefF21_0x_0" localSheetId="35">'332'!$F$57:$F$65</definedName>
    <definedName name="OSRRefF21_0x_0" localSheetId="81">'335'!$F$19:$F$26</definedName>
    <definedName name="OSRRefF21_0x_0" localSheetId="82">'405'!$F$27:$F$36</definedName>
    <definedName name="OSRRefF21_0x_0" localSheetId="83">'406'!$F$23:$F$30</definedName>
    <definedName name="OSRRefF21_0x_0" localSheetId="84">'411'!$F$19:$F$28</definedName>
    <definedName name="OSRRefF21_0x_0" localSheetId="85">'412'!$F$27:$F$36</definedName>
    <definedName name="OSRRefF21_0x_0" localSheetId="86">'413'!$F$26:$F$35</definedName>
    <definedName name="OSRRefF21_0x_0" localSheetId="87">'414'!$F$26:$F$34</definedName>
    <definedName name="OSRRefF21_0x_0" localSheetId="88">'415'!$F$26:$F$35</definedName>
    <definedName name="OSRRefF21_0x_0" localSheetId="89">'418'!$F$26:$F$34</definedName>
    <definedName name="OSRRefF21_0x_0" localSheetId="90">'420'!$F$23:$F$30</definedName>
    <definedName name="OSRRefF21_0x_0" localSheetId="91">'423'!$F$20:$F$28</definedName>
    <definedName name="OSRRefF21_0x_0" localSheetId="92">'424'!$F$25:$F$31</definedName>
    <definedName name="OSRRefF21_0x_0" localSheetId="93">'425'!$F$26:$F$34</definedName>
    <definedName name="OSRRefF21_0x_0" localSheetId="94">'430'!$F$19:$F$27</definedName>
    <definedName name="OSRRefF21_0x_0" localSheetId="95">'433'!$F$28:$F$37</definedName>
    <definedName name="OSRRefF21_0x_0" localSheetId="96">'435'!$F$24:$F$26</definedName>
    <definedName name="OSRRefF21_0x_0" localSheetId="97">'444'!$F$26:$F$35</definedName>
    <definedName name="OSRRefF21_0x_0" localSheetId="98">'445'!$F$24:$F$26</definedName>
    <definedName name="OSRRefF21_0x_0" localSheetId="99">'450'!$F$26:$F$35</definedName>
    <definedName name="OSRRefF21_0x_0" localSheetId="100">'455'!$F$19:$F$26</definedName>
    <definedName name="OSRRefF21_0x_0" localSheetId="41">'491'!$F$37:$F$46</definedName>
    <definedName name="OSRRefF21_0x_0" localSheetId="44">'492'!$F$30:$F$39</definedName>
    <definedName name="OSRRefF21_0x_0" localSheetId="101">'501'!$F$21:$F$29</definedName>
    <definedName name="OSRRefF21_0x_0" localSheetId="8">'Div 2'!$F$20:$F$30</definedName>
    <definedName name="OSRRefF21_0x_0" localSheetId="11">'Div 3'!$F$209:$F$218</definedName>
    <definedName name="OSRRefF21_0x_0" localSheetId="14">'Div 4'!$F$38:$F$47</definedName>
    <definedName name="OSRRefF21_0x_0" localSheetId="47">'Div 5'!$F$21:$F$29</definedName>
    <definedName name="OSRRefF21_0x_0" localSheetId="50">'Div 6'!$F$63:$F$72</definedName>
    <definedName name="OSRRefF21_0x_0" localSheetId="2">Summary!$F$245:$F$254</definedName>
    <definedName name="OSRRefF21_10x_0" localSheetId="55">'201'!$F$58</definedName>
    <definedName name="OSRRefF21_10x_0" localSheetId="56">'202'!$F$59:$F$61</definedName>
    <definedName name="OSRRefF21_10x_0" localSheetId="57">'203'!$F$60:$F$62</definedName>
    <definedName name="OSRRefF21_10x_0" localSheetId="58">'204'!$F$63:$F$66</definedName>
    <definedName name="OSRRefF21_10x_0" localSheetId="60">'206'!$F$59:$F$60</definedName>
    <definedName name="OSRRefF21_10x_0" localSheetId="17">'300'!$F$249:$F$250</definedName>
    <definedName name="OSRRefF21_10x_0" localSheetId="20">'300 &amp; 317'!$F$274:$F$275</definedName>
    <definedName name="OSRRefF21_10x_0" localSheetId="61">'301'!$F$63</definedName>
    <definedName name="OSRRefF21_10x_0" localSheetId="62">'306'!$F$63</definedName>
    <definedName name="OSRRefF21_10x_0" localSheetId="63">'307'!$F$162</definedName>
    <definedName name="OSRRefF21_10x_0" localSheetId="29">'308'!$F$142:$F$144</definedName>
    <definedName name="OSRRefF21_10x_0" localSheetId="64">'309'!$F$62:$F$63</definedName>
    <definedName name="OSRRefF21_10x_0" localSheetId="23">'310'!$F$78:$F$79</definedName>
    <definedName name="OSRRefF21_10x_0" localSheetId="38">'310 &amp; 491'!$F$92:$F$93</definedName>
    <definedName name="OSRRefF21_10x_0" localSheetId="65">'311'!$F$120:$F$122</definedName>
    <definedName name="OSRRefF21_10x_0" localSheetId="67">'313'!$F$73:$F$75</definedName>
    <definedName name="OSRRefF21_10x_0" localSheetId="68">'314'!$F$105:$F$108</definedName>
    <definedName name="OSRRefF21_10x_0" localSheetId="69">'315'!$F$102</definedName>
    <definedName name="OSRRefF21_10x_0" localSheetId="70">'316'!$F$80</definedName>
    <definedName name="OSRRefF21_10x_0" localSheetId="71">'317'!$F$110:$F$111</definedName>
    <definedName name="OSRRefF21_10x_0" localSheetId="73">'320'!$F$75</definedName>
    <definedName name="OSRRefF21_10x_0" localSheetId="74">'321'!$F$66:$F$67</definedName>
    <definedName name="OSRRefF21_10x_0" localSheetId="75">'322'!$F$62</definedName>
    <definedName name="OSRRefF21_10x_0" localSheetId="78">'325'!$F$64</definedName>
    <definedName name="OSRRefF21_10x_0" localSheetId="79">'326'!$F$135</definedName>
    <definedName name="OSRRefF21_10x_0" localSheetId="26">'330'!$F$171</definedName>
    <definedName name="OSRRefF21_10x_0" localSheetId="32">'331'!$F$146</definedName>
    <definedName name="OSRRefF21_10x_0" localSheetId="35">'332'!$F$98:$F$100</definedName>
    <definedName name="OSRRefF21_10x_0" localSheetId="82">'405'!$F$66:$F$68</definedName>
    <definedName name="OSRRefF21_10x_0" localSheetId="83">'406'!$F$55:$F$57</definedName>
    <definedName name="OSRRefF21_10x_0" localSheetId="84">'411'!$F$60</definedName>
    <definedName name="OSRRefF21_10x_0" localSheetId="85">'412'!$F$66</definedName>
    <definedName name="OSRRefF21_10x_0" localSheetId="86">'413'!$F$69:$F$78</definedName>
    <definedName name="OSRRefF21_10x_0" localSheetId="87">'414'!$F$63:$F$64</definedName>
    <definedName name="OSRRefF21_10x_0" localSheetId="88">'415'!$F$65</definedName>
    <definedName name="OSRRefF21_10x_0" localSheetId="89">'418'!$F$64</definedName>
    <definedName name="OSRRefF21_10x_0" localSheetId="91">'423'!$F$59</definedName>
    <definedName name="OSRRefF21_10x_0" localSheetId="92">'424'!$F$57</definedName>
    <definedName name="OSRRefF21_10x_0" localSheetId="93">'425'!$F$64</definedName>
    <definedName name="OSRRefF21_10x_0" localSheetId="94">'430'!$F$61</definedName>
    <definedName name="OSRRefF21_10x_0" localSheetId="95">'433'!$F$66</definedName>
    <definedName name="OSRRefF21_10x_0" localSheetId="96">'435'!$F$50:$F$56</definedName>
    <definedName name="OSRRefF21_10x_0" localSheetId="97">'444'!$F$64</definedName>
    <definedName name="OSRRefF21_10x_0" localSheetId="98">'445'!$F$49:$F$52</definedName>
    <definedName name="OSRRefF21_10x_0" localSheetId="99">'450'!$F$65</definedName>
    <definedName name="OSRRefF21_10x_0" localSheetId="41">'491'!$F$80</definedName>
    <definedName name="OSRRefF21_10x_0" localSheetId="44">'492'!$F$69</definedName>
    <definedName name="OSRRefF21_10x_0" localSheetId="101">'501'!$F$59</definedName>
    <definedName name="OSRRefF21_10x_0" localSheetId="8">'Div 2'!$F$61:$F$62</definedName>
    <definedName name="OSRRefF21_10x_0" localSheetId="11">'Div 3'!$F$254:$F$255</definedName>
    <definedName name="OSRRefF21_10x_0" localSheetId="14">'Div 4'!$F$81</definedName>
    <definedName name="OSRRefF21_10x_0" localSheetId="47">'Div 5'!$F$59</definedName>
    <definedName name="OSRRefF21_10x_0" localSheetId="50">'Div 6'!$F$110:$F$111</definedName>
    <definedName name="OSRRefF21_10x_0" localSheetId="2">Summary!$F$290:$F$291</definedName>
    <definedName name="OSRRefF21_11x_0" localSheetId="55">'201'!$F$60</definedName>
    <definedName name="OSRRefF21_11x_0" localSheetId="56">'202'!$F$63</definedName>
    <definedName name="OSRRefF21_11x_0" localSheetId="57">'203'!$F$64:$F$65</definedName>
    <definedName name="OSRRefF21_11x_0" localSheetId="58">'204'!$F$68:$F$69</definedName>
    <definedName name="OSRRefF21_11x_0" localSheetId="60">'206'!$F$62</definedName>
    <definedName name="OSRRefF21_11x_0" localSheetId="17">'300'!$F$252:$F$254</definedName>
    <definedName name="OSRRefF21_11x_0" localSheetId="20">'300 &amp; 317'!$F$277:$F$279</definedName>
    <definedName name="OSRRefF21_11x_0" localSheetId="61">'301'!$F$65</definedName>
    <definedName name="OSRRefF21_11x_0" localSheetId="62">'306'!$F$65</definedName>
    <definedName name="OSRRefF21_11x_0" localSheetId="63">'307'!$F$164</definedName>
    <definedName name="OSRRefF21_11x_0" localSheetId="29">'308'!$F$146</definedName>
    <definedName name="OSRRefF21_11x_0" localSheetId="64">'309'!$F$65:$F$67</definedName>
    <definedName name="OSRRefF21_11x_0" localSheetId="23">'310'!$F$81</definedName>
    <definedName name="OSRRefF21_11x_0" localSheetId="38">'310 &amp; 491'!$F$95:$F$97</definedName>
    <definedName name="OSRRefF21_11x_0" localSheetId="65">'311'!$F$124</definedName>
    <definedName name="OSRRefF21_11x_0" localSheetId="67">'313'!$F$77:$F$78</definedName>
    <definedName name="OSRRefF21_11x_0" localSheetId="68">'314'!$F$110</definedName>
    <definedName name="OSRRefF21_11x_0" localSheetId="69">'315'!$F$104:$F$106</definedName>
    <definedName name="OSRRefF21_11x_0" localSheetId="70">'316'!$F$82:$F$87</definedName>
    <definedName name="OSRRefF21_11x_0" localSheetId="71">'317'!$F$113</definedName>
    <definedName name="OSRRefF21_11x_0" localSheetId="73">'320'!$F$77</definedName>
    <definedName name="OSRRefF21_11x_0" localSheetId="74">'321'!$F$69:$F$71</definedName>
    <definedName name="OSRRefF21_11x_0" localSheetId="75">'322'!$F$64</definedName>
    <definedName name="OSRRefF21_11x_0" localSheetId="78">'325'!$F$66</definedName>
    <definedName name="OSRRefF21_11x_0" localSheetId="79">'326'!$F$137:$F$157</definedName>
    <definedName name="OSRRefF21_11x_0" localSheetId="26">'330'!$F$173</definedName>
    <definedName name="OSRRefF21_11x_0" localSheetId="32">'331'!$F$148:$F$168</definedName>
    <definedName name="OSRRefF21_11x_0" localSheetId="35">'332'!$F$102:$F$103</definedName>
    <definedName name="OSRRefF21_11x_0" localSheetId="82">'405'!$F$70</definedName>
    <definedName name="OSRRefF21_11x_0" localSheetId="83">'406'!$F$59</definedName>
    <definedName name="OSRRefF21_11x_0" localSheetId="84">'411'!$F$62</definedName>
    <definedName name="OSRRefF21_11x_0" localSheetId="85">'412'!$F$68:$F$70</definedName>
    <definedName name="OSRRefF21_11x_0" localSheetId="86">'413'!$F$80:$F$81</definedName>
    <definedName name="OSRRefF21_11x_0" localSheetId="87">'414'!$F$66</definedName>
    <definedName name="OSRRefF21_11x_0" localSheetId="88">'415'!$F$67:$F$70</definedName>
    <definedName name="OSRRefF21_11x_0" localSheetId="89">'418'!$F$66:$F$67</definedName>
    <definedName name="OSRRefF21_11x_0" localSheetId="91">'423'!$F$61</definedName>
    <definedName name="OSRRefF21_11x_0" localSheetId="92">'424'!$F$59:$F$61</definedName>
    <definedName name="OSRRefF21_11x_0" localSheetId="93">'425'!$F$66:$F$69</definedName>
    <definedName name="OSRRefF21_11x_0" localSheetId="94">'430'!$F$63:$F$64</definedName>
    <definedName name="OSRRefF21_11x_0" localSheetId="95">'433'!$F$68</definedName>
    <definedName name="OSRRefF21_11x_0" localSheetId="96">'435'!$F$58</definedName>
    <definedName name="OSRRefF21_11x_0" localSheetId="97">'444'!$F$66</definedName>
    <definedName name="OSRRefF21_11x_0" localSheetId="98">'445'!$F$54</definedName>
    <definedName name="OSRRefF21_11x_0" localSheetId="99">'450'!$F$67</definedName>
    <definedName name="OSRRefF21_11x_0" localSheetId="41">'491'!$F$82:$F$83</definedName>
    <definedName name="OSRRefF21_11x_0" localSheetId="44">'492'!$F$71</definedName>
    <definedName name="OSRRefF21_11x_0" localSheetId="101">'501'!$F$61:$F$64</definedName>
    <definedName name="OSRRefF21_11x_0" localSheetId="8">'Div 2'!$F$64:$F$65</definedName>
    <definedName name="OSRRefF21_11x_0" localSheetId="11">'Div 3'!$F$257:$F$259</definedName>
    <definedName name="OSRRefF21_11x_0" localSheetId="14">'Div 4'!$F$83:$F$84</definedName>
    <definedName name="OSRRefF21_11x_0" localSheetId="47">'Div 5'!$F$61:$F$64</definedName>
    <definedName name="OSRRefF21_11x_0" localSheetId="50">'Div 6'!$F$113</definedName>
    <definedName name="OSRRefF21_11x_0" localSheetId="2">Summary!$F$293:$F$295</definedName>
    <definedName name="OSRRefF21_12x_0" localSheetId="55">'201'!$F$62</definedName>
    <definedName name="OSRRefF21_12x_0" localSheetId="56">'202'!$F$65</definedName>
    <definedName name="OSRRefF21_12x_0" localSheetId="57">'203'!$F$67:$F$71</definedName>
    <definedName name="OSRRefF21_12x_0" localSheetId="58">'204'!$F$71</definedName>
    <definedName name="OSRRefF21_12x_0" localSheetId="60">'206'!$F$64:$F$65</definedName>
    <definedName name="OSRRefF21_12x_0" localSheetId="17">'300'!$F$256</definedName>
    <definedName name="OSRRefF21_12x_0" localSheetId="20">'300 &amp; 317'!$F$281</definedName>
    <definedName name="OSRRefF21_12x_0" localSheetId="61">'301'!$F$67</definedName>
    <definedName name="OSRRefF21_12x_0" localSheetId="62">'306'!$F$67</definedName>
    <definedName name="OSRRefF21_12x_0" localSheetId="63">'307'!$F$166:$F$167</definedName>
    <definedName name="OSRRefF21_12x_0" localSheetId="29">'308'!$F$148:$F$149</definedName>
    <definedName name="OSRRefF21_12x_0" localSheetId="64">'309'!$F$69</definedName>
    <definedName name="OSRRefF21_12x_0" localSheetId="23">'310'!$F$83</definedName>
    <definedName name="OSRRefF21_12x_0" localSheetId="38">'310 &amp; 491'!$F$99</definedName>
    <definedName name="OSRRefF21_12x_0" localSheetId="65">'311'!$F$126:$F$127</definedName>
    <definedName name="OSRRefF21_12x_0" localSheetId="67">'313'!$F$80:$F$81</definedName>
    <definedName name="OSRRefF21_12x_0" localSheetId="68">'314'!$F$112</definedName>
    <definedName name="OSRRefF21_12x_0" localSheetId="69">'315'!$F$108:$F$110</definedName>
    <definedName name="OSRRefF21_12x_0" localSheetId="70">'316'!$F$89</definedName>
    <definedName name="OSRRefF21_12x_0" localSheetId="71">'317'!$F$115:$F$118</definedName>
    <definedName name="OSRRefF21_12x_0" localSheetId="73">'320'!$F$79</definedName>
    <definedName name="OSRRefF21_12x_0" localSheetId="74">'321'!$F$73:$F$74</definedName>
    <definedName name="OSRRefF21_12x_0" localSheetId="75">'322'!$F$66:$F$67</definedName>
    <definedName name="OSRRefF21_12x_0" localSheetId="78">'325'!$F$68:$F$71</definedName>
    <definedName name="OSRRefF21_12x_0" localSheetId="79">'326'!$F$159</definedName>
    <definedName name="OSRRefF21_12x_0" localSheetId="26">'330'!$F$175:$F$176</definedName>
    <definedName name="OSRRefF21_12x_0" localSheetId="32">'331'!$F$170</definedName>
    <definedName name="OSRRefF21_12x_0" localSheetId="35">'332'!$F$105:$F$110</definedName>
    <definedName name="OSRRefF21_12x_0" localSheetId="82">'405'!$F$72:$F$75</definedName>
    <definedName name="OSRRefF21_12x_0" localSheetId="83">'406'!$F$61:$F$63</definedName>
    <definedName name="OSRRefF21_12x_0" localSheetId="84">'411'!$F$64</definedName>
    <definedName name="OSRRefF21_12x_0" localSheetId="85">'412'!$F$72</definedName>
    <definedName name="OSRRefF21_12x_0" localSheetId="86">'413'!$F$83</definedName>
    <definedName name="OSRRefF21_12x_0" localSheetId="87">'414'!$F$68:$F$70</definedName>
    <definedName name="OSRRefF21_12x_0" localSheetId="88">'415'!$F$72</definedName>
    <definedName name="OSRRefF21_12x_0" localSheetId="89">'418'!$F$69:$F$72</definedName>
    <definedName name="OSRRefF21_12x_0" localSheetId="91">'423'!$F$63</definedName>
    <definedName name="OSRRefF21_12x_0" localSheetId="92">'424'!$F$63:$F$69</definedName>
    <definedName name="OSRRefF21_12x_0" localSheetId="93">'425'!$F$71:$F$72</definedName>
    <definedName name="OSRRefF21_12x_0" localSheetId="95">'433'!$F$70</definedName>
    <definedName name="OSRRefF21_12x_0" localSheetId="96">'435'!$F$60</definedName>
    <definedName name="OSRRefF21_12x_0" localSheetId="97">'444'!$F$68</definedName>
    <definedName name="OSRRefF21_12x_0" localSheetId="98">'445'!$F$56</definedName>
    <definedName name="OSRRefF21_12x_0" localSheetId="99">'450'!$F$69:$F$71</definedName>
    <definedName name="OSRRefF21_12x_0" localSheetId="41">'491'!$F$85</definedName>
    <definedName name="OSRRefF21_12x_0" localSheetId="44">'492'!$F$73</definedName>
    <definedName name="OSRRefF21_12x_0" localSheetId="101">'501'!$F$66</definedName>
    <definedName name="OSRRefF21_12x_0" localSheetId="8">'Div 2'!$F$67:$F$68</definedName>
    <definedName name="OSRRefF21_12x_0" localSheetId="11">'Div 3'!$F$261</definedName>
    <definedName name="OSRRefF21_12x_0" localSheetId="14">'Div 4'!$F$86</definedName>
    <definedName name="OSRRefF21_12x_0" localSheetId="47">'Div 5'!$F$66</definedName>
    <definedName name="OSRRefF21_12x_0" localSheetId="50">'Div 6'!$F$115:$F$118</definedName>
    <definedName name="OSRRefF21_12x_0" localSheetId="2">Summary!$F$297</definedName>
    <definedName name="OSRRefF21_13x_0" localSheetId="55">'201'!$F$64:$F$67</definedName>
    <definedName name="OSRRefF21_13x_0" localSheetId="56">'202'!$F$67:$F$69</definedName>
    <definedName name="OSRRefF21_13x_0" localSheetId="57">'203'!$F$73</definedName>
    <definedName name="OSRRefF21_13x_0" localSheetId="58">'204'!$F$73:$F$74</definedName>
    <definedName name="OSRRefF21_13x_0" localSheetId="17">'300'!$F$258:$F$294</definedName>
    <definedName name="OSRRefF21_13x_0" localSheetId="20">'300 &amp; 317'!$F$283:$F$322</definedName>
    <definedName name="OSRRefF21_13x_0" localSheetId="61">'301'!$F$69:$F$70</definedName>
    <definedName name="OSRRefF21_13x_0" localSheetId="63">'307'!$F$169:$F$170</definedName>
    <definedName name="OSRRefF21_13x_0" localSheetId="29">'308'!$F$151:$F$154</definedName>
    <definedName name="OSRRefF21_13x_0" localSheetId="64">'309'!$F$71:$F$79</definedName>
    <definedName name="OSRRefF21_13x_0" localSheetId="23">'310'!$F$85</definedName>
    <definedName name="OSRRefF21_13x_0" localSheetId="38">'310 &amp; 491'!$F$101</definedName>
    <definedName name="OSRRefF21_13x_0" localSheetId="65">'311'!$F$129:$F$132</definedName>
    <definedName name="OSRRefF21_13x_0" localSheetId="67">'313'!$F$83:$F$89</definedName>
    <definedName name="OSRRefF21_13x_0" localSheetId="68">'314'!$F$114</definedName>
    <definedName name="OSRRefF21_13x_0" localSheetId="69">'315'!$F$112:$F$113</definedName>
    <definedName name="OSRRefF21_13x_0" localSheetId="70">'316'!$F$91</definedName>
    <definedName name="OSRRefF21_13x_0" localSheetId="71">'317'!$F$120</definedName>
    <definedName name="OSRRefF21_13x_0" localSheetId="74">'321'!$F$76:$F$83</definedName>
    <definedName name="OSRRefF21_13x_0" localSheetId="75">'322'!$F$69:$F$71</definedName>
    <definedName name="OSRRefF21_13x_0" localSheetId="78">'325'!$F$73:$F$76</definedName>
    <definedName name="OSRRefF21_13x_0" localSheetId="79">'326'!$F$161</definedName>
    <definedName name="OSRRefF21_13x_0" localSheetId="26">'330'!$F$178:$F$179</definedName>
    <definedName name="OSRRefF21_13x_0" localSheetId="32">'331'!$F$172</definedName>
    <definedName name="OSRRefF21_13x_0" localSheetId="35">'332'!$F$112</definedName>
    <definedName name="OSRRefF21_13x_0" localSheetId="82">'405'!$F$77:$F$78</definedName>
    <definedName name="OSRRefF21_13x_0" localSheetId="83">'406'!$F$65:$F$70</definedName>
    <definedName name="OSRRefF21_13x_0" localSheetId="84">'411'!$F$66</definedName>
    <definedName name="OSRRefF21_13x_0" localSheetId="85">'412'!$F$74:$F$78</definedName>
    <definedName name="OSRRefF21_13x_0" localSheetId="86">'413'!$F$85:$F$86</definedName>
    <definedName name="OSRRefF21_13x_0" localSheetId="87">'414'!$F$72</definedName>
    <definedName name="OSRRefF21_13x_0" localSheetId="88">'415'!$F$74:$F$78</definedName>
    <definedName name="OSRRefF21_13x_0" localSheetId="89">'418'!$F$74:$F$77</definedName>
    <definedName name="OSRRefF21_13x_0" localSheetId="92">'424'!$F$71</definedName>
    <definedName name="OSRRefF21_13x_0" localSheetId="93">'425'!$F$74:$F$81</definedName>
    <definedName name="OSRRefF21_13x_0" localSheetId="95">'433'!$F$72:$F$74</definedName>
    <definedName name="OSRRefF21_13x_0" localSheetId="96">'435'!$F$62</definedName>
    <definedName name="OSRRefF21_13x_0" localSheetId="97">'444'!$F$70:$F$73</definedName>
    <definedName name="OSRRefF21_13x_0" localSheetId="98">'445'!$F$58</definedName>
    <definedName name="OSRRefF21_13x_0" localSheetId="99">'450'!$F$73:$F$76</definedName>
    <definedName name="OSRRefF21_13x_0" localSheetId="41">'491'!$F$87</definedName>
    <definedName name="OSRRefF21_13x_0" localSheetId="44">'492'!$F$75:$F$76</definedName>
    <definedName name="OSRRefF21_13x_0" localSheetId="101">'501'!$F$68:$F$71</definedName>
    <definedName name="OSRRefF21_13x_0" localSheetId="8">'Div 2'!$F$70</definedName>
    <definedName name="OSRRefF21_13x_0" localSheetId="11">'Div 3'!$F$263</definedName>
    <definedName name="OSRRefF21_13x_0" localSheetId="14">'Div 4'!$F$88</definedName>
    <definedName name="OSRRefF21_13x_0" localSheetId="47">'Div 5'!$F$68:$F$71</definedName>
    <definedName name="OSRRefF21_13x_0" localSheetId="50">'Div 6'!$F$120</definedName>
    <definedName name="OSRRefF21_13x_0" localSheetId="2">Summary!$F$299</definedName>
    <definedName name="OSRRefF21_14x_0" localSheetId="55">'201'!$F$69:$F$71</definedName>
    <definedName name="OSRRefF21_14x_0" localSheetId="56">'202'!$F$71</definedName>
    <definedName name="OSRRefF21_14x_0" localSheetId="57">'203'!$F$75</definedName>
    <definedName name="OSRRefF21_14x_0" localSheetId="17">'300'!$F$296:$F$297</definedName>
    <definedName name="OSRRefF21_14x_0" localSheetId="20">'300 &amp; 317'!$F$324:$F$325</definedName>
    <definedName name="OSRRefF21_14x_0" localSheetId="61">'301'!$F$72:$F$73</definedName>
    <definedName name="OSRRefF21_14x_0" localSheetId="63">'307'!$F$172</definedName>
    <definedName name="OSRRefF21_14x_0" localSheetId="29">'308'!$F$156:$F$157</definedName>
    <definedName name="OSRRefF21_14x_0" localSheetId="64">'309'!$F$81</definedName>
    <definedName name="OSRRefF21_14x_0" localSheetId="23">'310'!$F$87</definedName>
    <definedName name="OSRRefF21_14x_0" localSheetId="38">'310 &amp; 491'!$F$103</definedName>
    <definedName name="OSRRefF21_14x_0" localSheetId="65">'311'!$F$134:$F$135</definedName>
    <definedName name="OSRRefF21_14x_0" localSheetId="67">'313'!$F$91:$F$92</definedName>
    <definedName name="OSRRefF21_14x_0" localSheetId="69">'315'!$F$115:$F$122</definedName>
    <definedName name="OSRRefF21_14x_0" localSheetId="70">'316'!$F$93</definedName>
    <definedName name="OSRRefF21_14x_0" localSheetId="71">'317'!$F$122</definedName>
    <definedName name="OSRRefF21_14x_0" localSheetId="74">'321'!$F$85:$F$86</definedName>
    <definedName name="OSRRefF21_14x_0" localSheetId="75">'322'!$F$73:$F$74</definedName>
    <definedName name="OSRRefF21_14x_0" localSheetId="78">'325'!$F$78:$F$79</definedName>
    <definedName name="OSRRefF21_14x_0" localSheetId="79">'326'!$F$163:$F$165</definedName>
    <definedName name="OSRRefF21_14x_0" localSheetId="26">'330'!$F$181</definedName>
    <definedName name="OSRRefF21_14x_0" localSheetId="32">'331'!$F$174:$F$177</definedName>
    <definedName name="OSRRefF21_14x_0" localSheetId="35">'332'!$F$114</definedName>
    <definedName name="OSRRefF21_14x_0" localSheetId="82">'405'!$F$80:$F$89</definedName>
    <definedName name="OSRRefF21_14x_0" localSheetId="83">'406'!$F$72</definedName>
    <definedName name="OSRRefF21_14x_0" localSheetId="84">'411'!$F$68:$F$71</definedName>
    <definedName name="OSRRefF21_14x_0" localSheetId="85">'412'!$F$80:$F$89</definedName>
    <definedName name="OSRRefF21_14x_0" localSheetId="87">'414'!$F$74:$F$82</definedName>
    <definedName name="OSRRefF21_14x_0" localSheetId="88">'415'!$F$80:$F$81</definedName>
    <definedName name="OSRRefF21_14x_0" localSheetId="89">'418'!$F$79:$F$80</definedName>
    <definedName name="OSRRefF21_14x_0" localSheetId="93">'425'!$F$83</definedName>
    <definedName name="OSRRefF21_14x_0" localSheetId="95">'433'!$F$76:$F$79</definedName>
    <definedName name="OSRRefF21_14x_0" localSheetId="97">'444'!$F$75:$F$78</definedName>
    <definedName name="OSRRefF21_14x_0" localSheetId="99">'450'!$F$78</definedName>
    <definedName name="OSRRefF21_14x_0" localSheetId="41">'491'!$F$89</definedName>
    <definedName name="OSRRefF21_14x_0" localSheetId="44">'492'!$F$78</definedName>
    <definedName name="OSRRefF21_14x_0" localSheetId="101">'501'!$F$73</definedName>
    <definedName name="OSRRefF21_14x_0" localSheetId="8">'Div 2'!$F$72:$F$75</definedName>
    <definedName name="OSRRefF21_14x_0" localSheetId="11">'Div 3'!$F$265:$F$301</definedName>
    <definedName name="OSRRefF21_14x_0" localSheetId="14">'Div 4'!$F$90:$F$91</definedName>
    <definedName name="OSRRefF21_14x_0" localSheetId="47">'Div 5'!$F$73</definedName>
    <definedName name="OSRRefF21_14x_0" localSheetId="50">'Div 6'!$F$122</definedName>
    <definedName name="OSRRefF21_14x_0" localSheetId="2">Summary!$F$301:$F$340</definedName>
    <definedName name="OSRRefF21_15x_0" localSheetId="55">'201'!$F$73</definedName>
    <definedName name="OSRRefF21_15x_0" localSheetId="56">'202'!$F$73</definedName>
    <definedName name="OSRRefF21_15x_0" localSheetId="57">'203'!$F$77:$F$78</definedName>
    <definedName name="OSRRefF21_15x_0" localSheetId="17">'300'!$F$299</definedName>
    <definedName name="OSRRefF21_15x_0" localSheetId="20">'300 &amp; 317'!$F$327</definedName>
    <definedName name="OSRRefF21_15x_0" localSheetId="61">'301'!$F$75</definedName>
    <definedName name="OSRRefF21_15x_0" localSheetId="63">'307'!$F$174:$F$179</definedName>
    <definedName name="OSRRefF21_15x_0" localSheetId="29">'308'!$F$159</definedName>
    <definedName name="OSRRefF21_15x_0" localSheetId="64">'309'!$F$83</definedName>
    <definedName name="OSRRefF21_15x_0" localSheetId="23">'310'!$F$89:$F$92</definedName>
    <definedName name="OSRRefF21_15x_0" localSheetId="38">'310 &amp; 491'!$F$105</definedName>
    <definedName name="OSRRefF21_15x_0" localSheetId="65">'311'!$F$137</definedName>
    <definedName name="OSRRefF21_15x_0" localSheetId="67">'313'!$F$94</definedName>
    <definedName name="OSRRefF21_15x_0" localSheetId="69">'315'!$F$124</definedName>
    <definedName name="OSRRefF21_15x_0" localSheetId="70">'316'!$F$95</definedName>
    <definedName name="OSRRefF21_15x_0" localSheetId="71">'317'!$F$124:$F$125</definedName>
    <definedName name="OSRRefF21_15x_0" localSheetId="74">'321'!$F$88</definedName>
    <definedName name="OSRRefF21_15x_0" localSheetId="75">'322'!$F$76:$F$84</definedName>
    <definedName name="OSRRefF21_15x_0" localSheetId="78">'325'!$F$81:$F$88</definedName>
    <definedName name="OSRRefF21_15x_0" localSheetId="79">'326'!$F$167:$F$169</definedName>
    <definedName name="OSRRefF21_15x_0" localSheetId="26">'330'!$F$183:$F$189</definedName>
    <definedName name="OSRRefF21_15x_0" localSheetId="32">'331'!$F$179:$F$181</definedName>
    <definedName name="OSRRefF21_15x_0" localSheetId="35">'332'!$F$116</definedName>
    <definedName name="OSRRefF21_15x_0" localSheetId="82">'405'!$F$91</definedName>
    <definedName name="OSRRefF21_15x_0" localSheetId="83">'406'!$F$74</definedName>
    <definedName name="OSRRefF21_15x_0" localSheetId="84">'411'!$F$73</definedName>
    <definedName name="OSRRefF21_15x_0" localSheetId="85">'412'!$F$91:$F$92</definedName>
    <definedName name="OSRRefF21_15x_0" localSheetId="87">'414'!$F$84</definedName>
    <definedName name="OSRRefF21_15x_0" localSheetId="88">'415'!$F$83:$F$91</definedName>
    <definedName name="OSRRefF21_15x_0" localSheetId="89">'418'!$F$82:$F$92</definedName>
    <definedName name="OSRRefF21_15x_0" localSheetId="93">'425'!$F$85</definedName>
    <definedName name="OSRRefF21_15x_0" localSheetId="95">'433'!$F$81</definedName>
    <definedName name="OSRRefF21_15x_0" localSheetId="97">'444'!$F$80:$F$81</definedName>
    <definedName name="OSRRefF21_15x_0" localSheetId="99">'450'!$F$80:$F$89</definedName>
    <definedName name="OSRRefF21_15x_0" localSheetId="41">'491'!$F$91</definedName>
    <definedName name="OSRRefF21_15x_0" localSheetId="44">'492'!$F$80:$F$83</definedName>
    <definedName name="OSRRefF21_15x_0" localSheetId="101">'501'!$F$75</definedName>
    <definedName name="OSRRefF21_15x_0" localSheetId="8">'Div 2'!$F$77:$F$80</definedName>
    <definedName name="OSRRefF21_15x_0" localSheetId="11">'Div 3'!$F$303:$F$304</definedName>
    <definedName name="OSRRefF21_15x_0" localSheetId="14">'Div 4'!$F$93</definedName>
    <definedName name="OSRRefF21_15x_0" localSheetId="47">'Div 5'!$F$75</definedName>
    <definedName name="OSRRefF21_15x_0" localSheetId="50">'Div 6'!$F$124:$F$125</definedName>
    <definedName name="OSRRefF21_15x_0" localSheetId="2">Summary!$F$342:$F$343</definedName>
    <definedName name="OSRRefF21_16x_0" localSheetId="55">'201'!$F$75:$F$78</definedName>
    <definedName name="OSRRefF21_16x_0" localSheetId="56">'202'!$F$75:$F$76</definedName>
    <definedName name="OSRRefF21_16x_0" localSheetId="17">'300'!$F$301:$F$304</definedName>
    <definedName name="OSRRefF21_16x_0" localSheetId="20">'300 &amp; 317'!$F$329:$F$332</definedName>
    <definedName name="OSRRefF21_16x_0" localSheetId="61">'301'!$F$77:$F$80</definedName>
    <definedName name="OSRRefF21_16x_0" localSheetId="63">'307'!$F$181:$F$182</definedName>
    <definedName name="OSRRefF21_16x_0" localSheetId="29">'308'!$F$161:$F$162</definedName>
    <definedName name="OSRRefF21_16x_0" localSheetId="64">'309'!$F$85:$F$86</definedName>
    <definedName name="OSRRefF21_16x_0" localSheetId="23">'310'!$F$94:$F$95</definedName>
    <definedName name="OSRRefF21_16x_0" localSheetId="38">'310 &amp; 491'!$F$107</definedName>
    <definedName name="OSRRefF21_16x_0" localSheetId="65">'311'!$F$139:$F$140</definedName>
    <definedName name="OSRRefF21_16x_0" localSheetId="67">'313'!$F$96:$F$97</definedName>
    <definedName name="OSRRefF21_16x_0" localSheetId="69">'315'!$F$126</definedName>
    <definedName name="OSRRefF21_16x_0" localSheetId="74">'321'!$F$90:$F$91</definedName>
    <definedName name="OSRRefF21_16x_0" localSheetId="75">'322'!$F$86</definedName>
    <definedName name="OSRRefF21_16x_0" localSheetId="78">'325'!$F$90:$F$91</definedName>
    <definedName name="OSRRefF21_16x_0" localSheetId="79">'326'!$F$171:$F$172</definedName>
    <definedName name="OSRRefF21_16x_0" localSheetId="26">'330'!$F$191:$F$192</definedName>
    <definedName name="OSRRefF21_16x_0" localSheetId="32">'331'!$F$183:$F$185</definedName>
    <definedName name="OSRRefF21_16x_0" localSheetId="35">'332'!$F$118</definedName>
    <definedName name="OSRRefF21_16x_0" localSheetId="82">'405'!$F$93</definedName>
    <definedName name="OSRRefF21_16x_0" localSheetId="83">'406'!$F$76:$F$77</definedName>
    <definedName name="OSRRefF21_16x_0" localSheetId="84">'411'!$F$75:$F$79</definedName>
    <definedName name="OSRRefF21_16x_0" localSheetId="85">'412'!$F$94</definedName>
    <definedName name="OSRRefF21_16x_0" localSheetId="87">'414'!$F$86</definedName>
    <definedName name="OSRRefF21_16x_0" localSheetId="88">'415'!$F$93:$F$94</definedName>
    <definedName name="OSRRefF21_16x_0" localSheetId="89">'418'!$F$94:$F$95</definedName>
    <definedName name="OSRRefF21_16x_0" localSheetId="93">'425'!$F$87:$F$89</definedName>
    <definedName name="OSRRefF21_16x_0" localSheetId="95">'433'!$F$83:$F$91</definedName>
    <definedName name="OSRRefF21_16x_0" localSheetId="97">'444'!$F$83:$F$92</definedName>
    <definedName name="OSRRefF21_16x_0" localSheetId="99">'450'!$F$91:$F$92</definedName>
    <definedName name="OSRRefF21_16x_0" localSheetId="41">'491'!$F$93</definedName>
    <definedName name="OSRRefF21_16x_0" localSheetId="44">'492'!$F$85:$F$88</definedName>
    <definedName name="OSRRefF21_16x_0" localSheetId="101">'501'!$F$77</definedName>
    <definedName name="OSRRefF21_16x_0" localSheetId="8">'Div 2'!$F$82:$F$83</definedName>
    <definedName name="OSRRefF21_16x_0" localSheetId="11">'Div 3'!$F$306</definedName>
    <definedName name="OSRRefF21_16x_0" localSheetId="14">'Div 4'!$F$95</definedName>
    <definedName name="OSRRefF21_16x_0" localSheetId="47">'Div 5'!$F$77</definedName>
    <definedName name="OSRRefF21_16x_0" localSheetId="2">Summary!$F$345</definedName>
    <definedName name="OSRRefF21_17x_0" localSheetId="55">'201'!$F$80:$F$81</definedName>
    <definedName name="OSRRefF21_17x_0" localSheetId="17">'300'!$F$306:$F$310</definedName>
    <definedName name="OSRRefF21_17x_0" localSheetId="20">'300 &amp; 317'!$F$334:$F$338</definedName>
    <definedName name="OSRRefF21_17x_0" localSheetId="61">'301'!$F$82</definedName>
    <definedName name="OSRRefF21_17x_0" localSheetId="63">'307'!$F$184</definedName>
    <definedName name="OSRRefF21_17x_0" localSheetId="29">'308'!$F$164</definedName>
    <definedName name="OSRRefF21_17x_0" localSheetId="23">'310'!$F$97:$F$100</definedName>
    <definedName name="OSRRefF21_17x_0" localSheetId="38">'310 &amp; 491'!$F$109:$F$112</definedName>
    <definedName name="OSRRefF21_17x_0" localSheetId="65">'311'!$F$142</definedName>
    <definedName name="OSRRefF21_17x_0" localSheetId="69">'315'!$F$128:$F$130</definedName>
    <definedName name="OSRRefF21_17x_0" localSheetId="74">'321'!$F$93</definedName>
    <definedName name="OSRRefF21_17x_0" localSheetId="75">'322'!$F$88</definedName>
    <definedName name="OSRRefF21_17x_0" localSheetId="78">'325'!$F$93</definedName>
    <definedName name="OSRRefF21_17x_0" localSheetId="79">'326'!$F$174:$F$181</definedName>
    <definedName name="OSRRefF21_17x_0" localSheetId="26">'330'!$F$194</definedName>
    <definedName name="OSRRefF21_17x_0" localSheetId="32">'331'!$F$187:$F$188</definedName>
    <definedName name="OSRRefF21_17x_0" localSheetId="82">'405'!$F$95</definedName>
    <definedName name="OSRRefF21_17x_0" localSheetId="84">'411'!$F$81:$F$82</definedName>
    <definedName name="OSRRefF21_17x_0" localSheetId="85">'412'!$F$96:$F$97</definedName>
    <definedName name="OSRRefF21_17x_0" localSheetId="87">'414'!$F$88</definedName>
    <definedName name="OSRRefF21_17x_0" localSheetId="88">'415'!$F$96</definedName>
    <definedName name="OSRRefF21_17x_0" localSheetId="89">'418'!$F$97</definedName>
    <definedName name="OSRRefF21_17x_0" localSheetId="95">'433'!$F$93</definedName>
    <definedName name="OSRRefF21_17x_0" localSheetId="97">'444'!$F$94:$F$95</definedName>
    <definedName name="OSRRefF21_17x_0" localSheetId="99">'450'!$F$94</definedName>
    <definedName name="OSRRefF21_17x_0" localSheetId="41">'491'!$F$95:$F$98</definedName>
    <definedName name="OSRRefF21_17x_0" localSheetId="44">'492'!$F$90:$F$91</definedName>
    <definedName name="OSRRefF21_17x_0" localSheetId="8">'Div 2'!$F$85:$F$86</definedName>
    <definedName name="OSRRefF21_17x_0" localSheetId="11">'Div 3'!$F$308:$F$311</definedName>
    <definedName name="OSRRefF21_17x_0" localSheetId="14">'Div 4'!$F$97:$F$100</definedName>
    <definedName name="OSRRefF21_17x_0" localSheetId="2">Summary!$F$347</definedName>
    <definedName name="OSRRefF21_18x_0" localSheetId="55">'201'!$F$83</definedName>
    <definedName name="OSRRefF21_18x_0" localSheetId="17">'300'!$F$312:$F$316</definedName>
    <definedName name="OSRRefF21_18x_0" localSheetId="20">'300 &amp; 317'!$F$340:$F$344</definedName>
    <definedName name="OSRRefF21_18x_0" localSheetId="61">'301'!$F$84:$F$87</definedName>
    <definedName name="OSRRefF21_18x_0" localSheetId="63">'307'!$F$186</definedName>
    <definedName name="OSRRefF21_18x_0" localSheetId="23">'310'!$F$102:$F$103</definedName>
    <definedName name="OSRRefF21_18x_0" localSheetId="38">'310 &amp; 491'!$F$114:$F$115</definedName>
    <definedName name="OSRRefF21_18x_0" localSheetId="75">'322'!$F$90:$F$92</definedName>
    <definedName name="OSRRefF21_18x_0" localSheetId="78">'325'!$F$95</definedName>
    <definedName name="OSRRefF21_18x_0" localSheetId="79">'326'!$F$183:$F$184</definedName>
    <definedName name="OSRRefF21_18x_0" localSheetId="26">'330'!$F$196</definedName>
    <definedName name="OSRRefF21_18x_0" localSheetId="32">'331'!$F$190:$F$198</definedName>
    <definedName name="OSRRefF21_18x_0" localSheetId="82">'405'!$F$97</definedName>
    <definedName name="OSRRefF21_18x_0" localSheetId="84">'411'!$F$84:$F$93</definedName>
    <definedName name="OSRRefF21_18x_0" localSheetId="85">'412'!$F$99</definedName>
    <definedName name="OSRRefF21_18x_0" localSheetId="88">'415'!$F$98:$F$99</definedName>
    <definedName name="OSRRefF21_18x_0" localSheetId="89">'418'!$F$99:$F$100</definedName>
    <definedName name="OSRRefF21_18x_0" localSheetId="95">'433'!$F$95</definedName>
    <definedName name="OSRRefF21_18x_0" localSheetId="97">'444'!$F$97</definedName>
    <definedName name="OSRRefF21_18x_0" localSheetId="99">'450'!$F$96:$F$98</definedName>
    <definedName name="OSRRefF21_18x_0" localSheetId="41">'491'!$F$100:$F$101</definedName>
    <definedName name="OSRRefF21_18x_0" localSheetId="44">'492'!$F$93:$F$102</definedName>
    <definedName name="OSRRefF21_18x_0" localSheetId="8">'Div 2'!$F$88:$F$94</definedName>
    <definedName name="OSRRefF21_18x_0" localSheetId="11">'Div 3'!$F$313:$F$317</definedName>
    <definedName name="OSRRefF21_18x_0" localSheetId="14">'Div 4'!$F$102:$F$103</definedName>
    <definedName name="OSRRefF21_18x_0" localSheetId="2">Summary!$F$349:$F$352</definedName>
    <definedName name="OSRRefF21_19x_0" localSheetId="55">'201'!$F$85:$F$86</definedName>
    <definedName name="OSRRefF21_19x_0" localSheetId="17">'300'!$F$318:$F$319</definedName>
    <definedName name="OSRRefF21_19x_0" localSheetId="20">'300 &amp; 317'!$F$346:$F$347</definedName>
    <definedName name="OSRRefF21_19x_0" localSheetId="61">'301'!$F$89:$F$90</definedName>
    <definedName name="OSRRefF21_19x_0" localSheetId="23">'310'!$F$105:$F$113</definedName>
    <definedName name="OSRRefF21_19x_0" localSheetId="38">'310 &amp; 491'!$F$117:$F$121</definedName>
    <definedName name="OSRRefF21_19x_0" localSheetId="75">'322'!$F$94</definedName>
    <definedName name="OSRRefF21_19x_0" localSheetId="78">'325'!$F$97</definedName>
    <definedName name="OSRRefF21_19x_0" localSheetId="79">'326'!$F$186</definedName>
    <definedName name="OSRRefF21_19x_0" localSheetId="32">'331'!$F$200:$F$201</definedName>
    <definedName name="OSRRefF21_19x_0" localSheetId="84">'411'!$F$95</definedName>
    <definedName name="OSRRefF21_19x_0" localSheetId="88">'415'!$F$101</definedName>
    <definedName name="OSRRefF21_19x_0" localSheetId="89">'418'!$F$102</definedName>
    <definedName name="OSRRefF21_19x_0" localSheetId="95">'433'!$F$97:$F$98</definedName>
    <definedName name="OSRRefF21_19x_0" localSheetId="97">'444'!$F$99</definedName>
    <definedName name="OSRRefF21_19x_0" localSheetId="41">'491'!$F$103:$F$107</definedName>
    <definedName name="OSRRefF21_19x_0" localSheetId="44">'492'!$F$104:$F$105</definedName>
    <definedName name="OSRRefF21_19x_0" localSheetId="8">'Div 2'!$F$96:$F$97</definedName>
    <definedName name="OSRRefF21_19x_0" localSheetId="11">'Div 3'!$F$319:$F$324</definedName>
    <definedName name="OSRRefF21_19x_0" localSheetId="14">'Div 4'!$F$105:$F$109</definedName>
    <definedName name="OSRRefF21_19x_0" localSheetId="2">Summary!$F$354:$F$358</definedName>
    <definedName name="OSRRefF21_1x_0" localSheetId="54">'200'!$F$22</definedName>
    <definedName name="OSRRefF21_1x_0" localSheetId="55">'201'!$F$30:$F$39</definedName>
    <definedName name="OSRRefF21_1x_0" localSheetId="56">'202'!$F$30:$F$39</definedName>
    <definedName name="OSRRefF21_1x_0" localSheetId="57">'203'!$F$30:$F$39</definedName>
    <definedName name="OSRRefF21_1x_0" localSheetId="58">'204'!$F$30:$F$39</definedName>
    <definedName name="OSRRefF21_1x_0" localSheetId="59">'205'!$F$29:$F$38</definedName>
    <definedName name="OSRRefF21_1x_0" localSheetId="60">'206'!$F$29:$F$38</definedName>
    <definedName name="OSRRefF21_1x_0" localSheetId="17">'300'!$F$215:$F$224</definedName>
    <definedName name="OSRRefF21_1x_0" localSheetId="20">'300 &amp; 317'!$F$240:$F$249</definedName>
    <definedName name="OSRRefF21_1x_0" localSheetId="61">'301'!$F$30:$F$39</definedName>
    <definedName name="OSRRefF21_1x_0" localSheetId="62">'306'!$F$30:$F$39</definedName>
    <definedName name="OSRRefF21_1x_0" localSheetId="63">'307'!$F$110:$F$119</definedName>
    <definedName name="OSRRefF21_1x_0" localSheetId="29">'308'!$F$100:$F$109</definedName>
    <definedName name="OSRRefF21_1x_0" localSheetId="64">'309'!$F$35:$F$44</definedName>
    <definedName name="OSRRefF21_1x_0" localSheetId="23">'310'!$F$49:$F$58</definedName>
    <definedName name="OSRRefF21_1x_0" localSheetId="38">'310 &amp; 491'!$F$60:$F$69</definedName>
    <definedName name="OSRRefF21_1x_0" localSheetId="65">'311'!$F$82:$F$91</definedName>
    <definedName name="OSRRefF21_1x_0" localSheetId="66">'312'!$F$68:$F$72</definedName>
    <definedName name="OSRRefF21_1x_0" localSheetId="67">'313'!$F$45:$F$54</definedName>
    <definedName name="OSRRefF21_1x_0" localSheetId="68">'314'!$F$71:$F$76</definedName>
    <definedName name="OSRRefF21_1x_0" localSheetId="69">'315'!$F$67:$F$76</definedName>
    <definedName name="OSRRefF21_1x_0" localSheetId="70">'316'!$F$50:$F$59</definedName>
    <definedName name="OSRRefF21_1x_0" localSheetId="71">'317'!$F$74:$F$83</definedName>
    <definedName name="OSRRefF21_1x_0" localSheetId="72">'318'!$F$27:$F$30</definedName>
    <definedName name="OSRRefF21_1x_0" localSheetId="73">'320'!$F$44:$F$50</definedName>
    <definedName name="OSRRefF21_1x_0" localSheetId="74">'321'!$F$36:$F$45</definedName>
    <definedName name="OSRRefF21_1x_0" localSheetId="75">'322'!$F$35:$F$44</definedName>
    <definedName name="OSRRefF21_1x_0" localSheetId="76">'323'!$F$29:$F$31</definedName>
    <definedName name="OSRRefF21_1x_0" localSheetId="77">'324'!$F$35:$F$44</definedName>
    <definedName name="OSRRefF21_1x_0" localSheetId="78">'325'!$F$36:$F$45</definedName>
    <definedName name="OSRRefF21_1x_0" localSheetId="79">'326'!$F$104:$F$113</definedName>
    <definedName name="OSRRefF21_1x_0" localSheetId="80">'327'!$F$27</definedName>
    <definedName name="OSRRefF21_1x_0" localSheetId="26">'330'!$F$119:$F$128</definedName>
    <definedName name="OSRRefF21_1x_0" localSheetId="32">'331'!$F$115:$F$124</definedName>
    <definedName name="OSRRefF21_1x_0" localSheetId="35">'332'!$F$67:$F$76</definedName>
    <definedName name="OSRRefF21_1x_0" localSheetId="81">'335'!$F$28:$F$32</definedName>
    <definedName name="OSRRefF21_1x_0" localSheetId="82">'405'!$F$38:$F$47</definedName>
    <definedName name="OSRRefF21_1x_0" localSheetId="83">'406'!$F$32:$F$37</definedName>
    <definedName name="OSRRefF21_1x_0" localSheetId="84">'411'!$F$30:$F$39</definedName>
    <definedName name="OSRRefF21_1x_0" localSheetId="85">'412'!$F$38:$F$47</definedName>
    <definedName name="OSRRefF21_1x_0" localSheetId="86">'413'!$F$37:$F$46</definedName>
    <definedName name="OSRRefF21_1x_0" localSheetId="87">'414'!$F$36:$F$45</definedName>
    <definedName name="OSRRefF21_1x_0" localSheetId="88">'415'!$F$37:$F$46</definedName>
    <definedName name="OSRRefF21_1x_0" localSheetId="89">'418'!$F$36:$F$45</definedName>
    <definedName name="OSRRefF21_1x_0" localSheetId="90">'420'!$F$32:$F$35</definedName>
    <definedName name="OSRRefF21_1x_0" localSheetId="91">'423'!$F$30:$F$39</definedName>
    <definedName name="OSRRefF21_1x_0" localSheetId="92">'424'!$F$33:$F$38</definedName>
    <definedName name="OSRRefF21_1x_0" localSheetId="93">'425'!$F$36:$F$41</definedName>
    <definedName name="OSRRefF21_1x_0" localSheetId="94">'430'!$F$29:$F$38</definedName>
    <definedName name="OSRRefF21_1x_0" localSheetId="95">'433'!$F$39:$F$48</definedName>
    <definedName name="OSRRefF21_1x_0" localSheetId="96">'435'!$F$28:$F$31</definedName>
    <definedName name="OSRRefF21_1x_0" localSheetId="97">'444'!$F$37:$F$46</definedName>
    <definedName name="OSRRefF21_1x_0" localSheetId="98">'445'!$F$28:$F$30</definedName>
    <definedName name="OSRRefF21_1x_0" localSheetId="99">'450'!$F$37:$F$46</definedName>
    <definedName name="OSRRefF21_1x_0" localSheetId="100">'455'!$F$28:$F$29</definedName>
    <definedName name="OSRRefF21_1x_0" localSheetId="41">'491'!$F$48:$F$57</definedName>
    <definedName name="OSRRefF21_1x_0" localSheetId="44">'492'!$F$41:$F$50</definedName>
    <definedName name="OSRRefF21_1x_0" localSheetId="101">'501'!$F$31:$F$40</definedName>
    <definedName name="OSRRefF21_1x_0" localSheetId="8">'Div 2'!$F$32:$F$41</definedName>
    <definedName name="OSRRefF21_1x_0" localSheetId="11">'Div 3'!$F$220:$F$229</definedName>
    <definedName name="OSRRefF21_1x_0" localSheetId="14">'Div 4'!$F$49:$F$58</definedName>
    <definedName name="OSRRefF21_1x_0" localSheetId="47">'Div 5'!$F$31:$F$40</definedName>
    <definedName name="OSRRefF21_1x_0" localSheetId="50">'Div 6'!$F$74:$F$83</definedName>
    <definedName name="OSRRefF21_1x_0" localSheetId="2">Summary!$F$256:$F$265</definedName>
    <definedName name="OSRRefF21_20x_0" localSheetId="17">'300'!$F$321:$F$329</definedName>
    <definedName name="OSRRefF21_20x_0" localSheetId="20">'300 &amp; 317'!$F$349:$F$357</definedName>
    <definedName name="OSRRefF21_20x_0" localSheetId="61">'301'!$F$92:$F$98</definedName>
    <definedName name="OSRRefF21_20x_0" localSheetId="23">'310'!$F$115:$F$116</definedName>
    <definedName name="OSRRefF21_20x_0" localSheetId="38">'310 &amp; 491'!$F$123:$F$124</definedName>
    <definedName name="OSRRefF21_20x_0" localSheetId="79">'326'!$F$188:$F$190</definedName>
    <definedName name="OSRRefF21_20x_0" localSheetId="32">'331'!$F$203</definedName>
    <definedName name="OSRRefF21_20x_0" localSheetId="84">'411'!$F$97</definedName>
    <definedName name="OSRRefF21_20x_0" localSheetId="95">'433'!$F$100</definedName>
    <definedName name="OSRRefF21_20x_0" localSheetId="97">'444'!$F$101</definedName>
    <definedName name="OSRRefF21_20x_0" localSheetId="41">'491'!$F$109:$F$110</definedName>
    <definedName name="OSRRefF21_20x_0" localSheetId="44">'492'!$F$107</definedName>
    <definedName name="OSRRefF21_20x_0" localSheetId="8">'Div 2'!$F$99</definedName>
    <definedName name="OSRRefF21_20x_0" localSheetId="11">'Div 3'!$F$326:$F$327</definedName>
    <definedName name="OSRRefF21_20x_0" localSheetId="14">'Div 4'!$F$111:$F$112</definedName>
    <definedName name="OSRRefF21_20x_0" localSheetId="2">Summary!$F$360:$F$365</definedName>
    <definedName name="OSRRefF21_21x_0" localSheetId="17">'300'!$F$331:$F$332</definedName>
    <definedName name="OSRRefF21_21x_0" localSheetId="20">'300 &amp; 317'!$F$359:$F$360</definedName>
    <definedName name="OSRRefF21_21x_0" localSheetId="61">'301'!$F$100:$F$101</definedName>
    <definedName name="OSRRefF21_21x_0" localSheetId="23">'310'!$F$118</definedName>
    <definedName name="OSRRefF21_21x_0" localSheetId="38">'310 &amp; 491'!$F$126:$F$136</definedName>
    <definedName name="OSRRefF21_21x_0" localSheetId="79">'326'!$F$192</definedName>
    <definedName name="OSRRefF21_21x_0" localSheetId="32">'331'!$F$205:$F$207</definedName>
    <definedName name="OSRRefF21_21x_0" localSheetId="84">'411'!$F$99:$F$101</definedName>
    <definedName name="OSRRefF21_21x_0" localSheetId="41">'491'!$F$112:$F$122</definedName>
    <definedName name="OSRRefF21_21x_0" localSheetId="44">'492'!$F$109:$F$111</definedName>
    <definedName name="OSRRefF21_21x_0" localSheetId="8">'Div 2'!$F$101:$F$102</definedName>
    <definedName name="OSRRefF21_21x_0" localSheetId="11">'Div 3'!$F$329:$F$338</definedName>
    <definedName name="OSRRefF21_21x_0" localSheetId="14">'Div 4'!$F$114:$F$124</definedName>
    <definedName name="OSRRefF21_21x_0" localSheetId="2">Summary!$F$367:$F$368</definedName>
    <definedName name="OSRRefF21_22x_0" localSheetId="17">'300'!$F$334</definedName>
    <definedName name="OSRRefF21_22x_0" localSheetId="20">'300 &amp; 317'!$F$362</definedName>
    <definedName name="OSRRefF21_22x_0" localSheetId="61">'301'!$F$103</definedName>
    <definedName name="OSRRefF21_22x_0" localSheetId="23">'310'!$F$120:$F$122</definedName>
    <definedName name="OSRRefF21_22x_0" localSheetId="38">'310 &amp; 491'!$F$138:$F$139</definedName>
    <definedName name="OSRRefF21_22x_0" localSheetId="32">'331'!$F$209</definedName>
    <definedName name="OSRRefF21_22x_0" localSheetId="84">'411'!$F$103</definedName>
    <definedName name="OSRRefF21_22x_0" localSheetId="41">'491'!$F$124:$F$125</definedName>
    <definedName name="OSRRefF21_22x_0" localSheetId="44">'492'!$F$113</definedName>
    <definedName name="OSRRefF21_22x_0" localSheetId="11">'Div 3'!$F$340:$F$341</definedName>
    <definedName name="OSRRefF21_22x_0" localSheetId="14">'Div 4'!$F$126:$F$127</definedName>
    <definedName name="OSRRefF21_22x_0" localSheetId="2">Summary!$F$370:$F$380</definedName>
    <definedName name="OSRRefF21_23x_0" localSheetId="17">'300'!$F$336:$F$338</definedName>
    <definedName name="OSRRefF21_23x_0" localSheetId="20">'300 &amp; 317'!$F$364:$F$366</definedName>
    <definedName name="OSRRefF21_23x_0" localSheetId="61">'301'!$F$105:$F$107</definedName>
    <definedName name="OSRRefF21_23x_0" localSheetId="23">'310'!$F$124</definedName>
    <definedName name="OSRRefF21_23x_0" localSheetId="38">'310 &amp; 491'!$F$141</definedName>
    <definedName name="OSRRefF21_23x_0" localSheetId="41">'491'!$F$127</definedName>
    <definedName name="OSRRefF21_23x_0" localSheetId="11">'Div 3'!$F$343</definedName>
    <definedName name="OSRRefF21_23x_0" localSheetId="14">'Div 4'!$F$129</definedName>
    <definedName name="OSRRefF21_23x_0" localSheetId="2">Summary!$F$382:$F$383</definedName>
    <definedName name="OSRRefF21_24x_0" localSheetId="17">'300'!$F$340</definedName>
    <definedName name="OSRRefF21_24x_0" localSheetId="20">'300 &amp; 317'!$F$368</definedName>
    <definedName name="OSRRefF21_24x_0" localSheetId="61">'301'!$F$109</definedName>
    <definedName name="OSRRefF21_24x_0" localSheetId="38">'310 &amp; 491'!$F$143:$F$145</definedName>
    <definedName name="OSRRefF21_24x_0" localSheetId="41">'491'!$F$129:$F$131</definedName>
    <definedName name="OSRRefF21_24x_0" localSheetId="11">'Div 3'!$F$345:$F$347</definedName>
    <definedName name="OSRRefF21_24x_0" localSheetId="14">'Div 4'!$F$131:$F$133</definedName>
    <definedName name="OSRRefF21_24x_0" localSheetId="2">Summary!$F$385</definedName>
    <definedName name="OSRRefF21_25x_0" localSheetId="38">'310 &amp; 491'!$F$147</definedName>
    <definedName name="OSRRefF21_25x_0" localSheetId="41">'491'!$F$133</definedName>
    <definedName name="OSRRefF21_25x_0" localSheetId="11">'Div 3'!$F$349</definedName>
    <definedName name="OSRRefF21_25x_0" localSheetId="14">'Div 4'!$F$135</definedName>
    <definedName name="OSRRefF21_25x_0" localSheetId="2">Summary!$F$387:$F$389</definedName>
    <definedName name="OSRRefF21_26x_0" localSheetId="2">Summary!$F$391</definedName>
    <definedName name="OSRRefF21_2x_0" localSheetId="54">'200'!$F$24</definedName>
    <definedName name="OSRRefF21_2x_0" localSheetId="55">'201'!$F$41</definedName>
    <definedName name="OSRRefF21_2x_0" localSheetId="56">'202'!$F$41</definedName>
    <definedName name="OSRRefF21_2x_0" localSheetId="57">'203'!$F$41</definedName>
    <definedName name="OSRRefF21_2x_0" localSheetId="58">'204'!$F$41</definedName>
    <definedName name="OSRRefF21_2x_0" localSheetId="59">'205'!$F$40</definedName>
    <definedName name="OSRRefF21_2x_0" localSheetId="60">'206'!$F$40</definedName>
    <definedName name="OSRRefF21_2x_0" localSheetId="17">'300'!$F$226</definedName>
    <definedName name="OSRRefF21_2x_0" localSheetId="20">'300 &amp; 317'!$F$251</definedName>
    <definedName name="OSRRefF21_2x_0" localSheetId="61">'301'!$F$41</definedName>
    <definedName name="OSRRefF21_2x_0" localSheetId="62">'306'!$F$41</definedName>
    <definedName name="OSRRefF21_2x_0" localSheetId="63">'307'!$F$121</definedName>
    <definedName name="OSRRefF21_2x_0" localSheetId="29">'308'!$F$111</definedName>
    <definedName name="OSRRefF21_2x_0" localSheetId="64">'309'!$F$46</definedName>
    <definedName name="OSRRefF21_2x_0" localSheetId="23">'310'!$F$60</definedName>
    <definedName name="OSRRefF21_2x_0" localSheetId="38">'310 &amp; 491'!$F$71</definedName>
    <definedName name="OSRRefF21_2x_0" localSheetId="65">'311'!$F$93</definedName>
    <definedName name="OSRRefF21_2x_0" localSheetId="66">'312'!$F$74</definedName>
    <definedName name="OSRRefF21_2x_0" localSheetId="67">'313'!$F$56</definedName>
    <definedName name="OSRRefF21_2x_0" localSheetId="68">'314'!$F$78</definedName>
    <definedName name="OSRRefF21_2x_0" localSheetId="69">'315'!$F$78</definedName>
    <definedName name="OSRRefF21_2x_0" localSheetId="70">'316'!$F$61</definedName>
    <definedName name="OSRRefF21_2x_0" localSheetId="71">'317'!$F$85</definedName>
    <definedName name="OSRRefF21_2x_0" localSheetId="72">'318'!$F$32</definedName>
    <definedName name="OSRRefF21_2x_0" localSheetId="73">'320'!$F$52</definedName>
    <definedName name="OSRRefF21_2x_0" localSheetId="74">'321'!$F$47</definedName>
    <definedName name="OSRRefF21_2x_0" localSheetId="75">'322'!$F$46</definedName>
    <definedName name="OSRRefF21_2x_0" localSheetId="76">'323'!$F$33</definedName>
    <definedName name="OSRRefF21_2x_0" localSheetId="77">'324'!$F$46</definedName>
    <definedName name="OSRRefF21_2x_0" localSheetId="78">'325'!$F$47</definedName>
    <definedName name="OSRRefF21_2x_0" localSheetId="79">'326'!$F$115</definedName>
    <definedName name="OSRRefF21_2x_0" localSheetId="80">'327'!$F$29</definedName>
    <definedName name="OSRRefF21_2x_0" localSheetId="26">'330'!$F$130</definedName>
    <definedName name="OSRRefF21_2x_0" localSheetId="32">'331'!$F$126</definedName>
    <definedName name="OSRRefF21_2x_0" localSheetId="35">'332'!$F$78</definedName>
    <definedName name="OSRRefF21_2x_0" localSheetId="81">'335'!$F$34</definedName>
    <definedName name="OSRRefF21_2x_0" localSheetId="82">'405'!$F$49</definedName>
    <definedName name="OSRRefF21_2x_0" localSheetId="83">'406'!$F$39</definedName>
    <definedName name="OSRRefF21_2x_0" localSheetId="84">'411'!$F$41</definedName>
    <definedName name="OSRRefF21_2x_0" localSheetId="85">'412'!$F$49</definedName>
    <definedName name="OSRRefF21_2x_0" localSheetId="86">'413'!$F$48</definedName>
    <definedName name="OSRRefF21_2x_0" localSheetId="87">'414'!$F$47</definedName>
    <definedName name="OSRRefF21_2x_0" localSheetId="88">'415'!$F$48</definedName>
    <definedName name="OSRRefF21_2x_0" localSheetId="89">'418'!$F$47</definedName>
    <definedName name="OSRRefF21_2x_0" localSheetId="90">'420'!$F$37</definedName>
    <definedName name="OSRRefF21_2x_0" localSheetId="91">'423'!$F$41</definedName>
    <definedName name="OSRRefF21_2x_0" localSheetId="92">'424'!$F$40</definedName>
    <definedName name="OSRRefF21_2x_0" localSheetId="93">'425'!$F$43</definedName>
    <definedName name="OSRRefF21_2x_0" localSheetId="94">'430'!$F$40</definedName>
    <definedName name="OSRRefF21_2x_0" localSheetId="95">'433'!$F$50</definedName>
    <definedName name="OSRRefF21_2x_0" localSheetId="96">'435'!$F$33</definedName>
    <definedName name="OSRRefF21_2x_0" localSheetId="97">'444'!$F$48</definedName>
    <definedName name="OSRRefF21_2x_0" localSheetId="98">'445'!$F$32</definedName>
    <definedName name="OSRRefF21_2x_0" localSheetId="99">'450'!$F$48</definedName>
    <definedName name="OSRRefF21_2x_0" localSheetId="100">'455'!$F$31</definedName>
    <definedName name="OSRRefF21_2x_0" localSheetId="41">'491'!$F$59</definedName>
    <definedName name="OSRRefF21_2x_0" localSheetId="44">'492'!$F$52</definedName>
    <definedName name="OSRRefF21_2x_0" localSheetId="101">'501'!$F$42</definedName>
    <definedName name="OSRRefF21_2x_0" localSheetId="8">'Div 2'!$F$43</definedName>
    <definedName name="OSRRefF21_2x_0" localSheetId="11">'Div 3'!$F$231</definedName>
    <definedName name="OSRRefF21_2x_0" localSheetId="14">'Div 4'!$F$60</definedName>
    <definedName name="OSRRefF21_2x_0" localSheetId="47">'Div 5'!$F$42</definedName>
    <definedName name="OSRRefF21_2x_0" localSheetId="50">'Div 6'!$F$85</definedName>
    <definedName name="OSRRefF21_2x_0" localSheetId="2">Summary!$F$267</definedName>
    <definedName name="OSRRefF21_3x_0" localSheetId="54">'200'!$F$26</definedName>
    <definedName name="OSRRefF21_3x_0" localSheetId="55">'201'!$F$43</definedName>
    <definedName name="OSRRefF21_3x_0" localSheetId="56">'202'!$F$43</definedName>
    <definedName name="OSRRefF21_3x_0" localSheetId="57">'203'!$F$43</definedName>
    <definedName name="OSRRefF21_3x_0" localSheetId="58">'204'!$F$43:$F$44</definedName>
    <definedName name="OSRRefF21_3x_0" localSheetId="59">'205'!$F$42</definedName>
    <definedName name="OSRRefF21_3x_0" localSheetId="60">'206'!$F$42</definedName>
    <definedName name="OSRRefF21_3x_0" localSheetId="17">'300'!$F$228:$F$230</definedName>
    <definedName name="OSRRefF21_3x_0" localSheetId="20">'300 &amp; 317'!$F$253:$F$255</definedName>
    <definedName name="OSRRefF21_3x_0" localSheetId="61">'301'!$F$43:$F$45</definedName>
    <definedName name="OSRRefF21_3x_0" localSheetId="62">'306'!$F$43</definedName>
    <definedName name="OSRRefF21_3x_0" localSheetId="63">'307'!$F$123</definedName>
    <definedName name="OSRRefF21_3x_0" localSheetId="29">'308'!$F$113:$F$114</definedName>
    <definedName name="OSRRefF21_3x_0" localSheetId="64">'309'!$F$48</definedName>
    <definedName name="OSRRefF21_3x_0" localSheetId="23">'310'!$F$62</definedName>
    <definedName name="OSRRefF21_3x_0" localSheetId="38">'310 &amp; 491'!$F$73:$F$74</definedName>
    <definedName name="OSRRefF21_3x_0" localSheetId="65">'311'!$F$95:$F$96</definedName>
    <definedName name="OSRRefF21_3x_0" localSheetId="66">'312'!$F$76</definedName>
    <definedName name="OSRRefF21_3x_0" localSheetId="67">'313'!$F$58</definedName>
    <definedName name="OSRRefF21_3x_0" localSheetId="68">'314'!$F$80:$F$81</definedName>
    <definedName name="OSRRefF21_3x_0" localSheetId="69">'315'!$F$80</definedName>
    <definedName name="OSRRefF21_3x_0" localSheetId="70">'316'!$F$63</definedName>
    <definedName name="OSRRefF21_3x_0" localSheetId="71">'317'!$F$87</definedName>
    <definedName name="OSRRefF21_3x_0" localSheetId="72">'318'!$F$34</definedName>
    <definedName name="OSRRefF21_3x_0" localSheetId="73">'320'!$F$54</definedName>
    <definedName name="OSRRefF21_3x_0" localSheetId="74">'321'!$F$49</definedName>
    <definedName name="OSRRefF21_3x_0" localSheetId="75">'322'!$F$48</definedName>
    <definedName name="OSRRefF21_3x_0" localSheetId="76">'323'!$F$35</definedName>
    <definedName name="OSRRefF21_3x_0" localSheetId="77">'324'!$F$48</definedName>
    <definedName name="OSRRefF21_3x_0" localSheetId="78">'325'!$F$49</definedName>
    <definedName name="OSRRefF21_3x_0" localSheetId="79">'326'!$F$117</definedName>
    <definedName name="OSRRefF21_3x_0" localSheetId="26">'330'!$F$132</definedName>
    <definedName name="OSRRefF21_3x_0" localSheetId="32">'331'!$F$128</definedName>
    <definedName name="OSRRefF21_3x_0" localSheetId="35">'332'!$F$80</definedName>
    <definedName name="OSRRefF21_3x_0" localSheetId="81">'335'!$F$36</definedName>
    <definedName name="OSRRefF21_3x_0" localSheetId="82">'405'!$F$51</definedName>
    <definedName name="OSRRefF21_3x_0" localSheetId="83">'406'!$F$41</definedName>
    <definedName name="OSRRefF21_3x_0" localSheetId="84">'411'!$F$43</definedName>
    <definedName name="OSRRefF21_3x_0" localSheetId="85">'412'!$F$51</definedName>
    <definedName name="OSRRefF21_3x_0" localSheetId="86">'413'!$F$50</definedName>
    <definedName name="OSRRefF21_3x_0" localSheetId="87">'414'!$F$49</definedName>
    <definedName name="OSRRefF21_3x_0" localSheetId="88">'415'!$F$50</definedName>
    <definedName name="OSRRefF21_3x_0" localSheetId="89">'418'!$F$49</definedName>
    <definedName name="OSRRefF21_3x_0" localSheetId="90">'420'!$F$39</definedName>
    <definedName name="OSRRefF21_3x_0" localSheetId="91">'423'!$F$43</definedName>
    <definedName name="OSRRefF21_3x_0" localSheetId="92">'424'!$F$42</definedName>
    <definedName name="OSRRefF21_3x_0" localSheetId="93">'425'!$F$45:$F$46</definedName>
    <definedName name="OSRRefF21_3x_0" localSheetId="94">'430'!$F$42</definedName>
    <definedName name="OSRRefF21_3x_0" localSheetId="95">'433'!$F$52</definedName>
    <definedName name="OSRRefF21_3x_0" localSheetId="96">'435'!$F$35</definedName>
    <definedName name="OSRRefF21_3x_0" localSheetId="97">'444'!$F$50</definedName>
    <definedName name="OSRRefF21_3x_0" localSheetId="98">'445'!$F$34</definedName>
    <definedName name="OSRRefF21_3x_0" localSheetId="99">'450'!$F$50</definedName>
    <definedName name="OSRRefF21_3x_0" localSheetId="100">'455'!$F$33</definedName>
    <definedName name="OSRRefF21_3x_0" localSheetId="41">'491'!$F$61:$F$62</definedName>
    <definedName name="OSRRefF21_3x_0" localSheetId="44">'492'!$F$54</definedName>
    <definedName name="OSRRefF21_3x_0" localSheetId="101">'501'!$F$44</definedName>
    <definedName name="OSRRefF21_3x_0" localSheetId="8">'Div 2'!$F$45</definedName>
    <definedName name="OSRRefF21_3x_0" localSheetId="11">'Div 3'!$F$233:$F$235</definedName>
    <definedName name="OSRRefF21_3x_0" localSheetId="14">'Div 4'!$F$62:$F$63</definedName>
    <definedName name="OSRRefF21_3x_0" localSheetId="47">'Div 5'!$F$44</definedName>
    <definedName name="OSRRefF21_3x_0" localSheetId="50">'Div 6'!$F$87</definedName>
    <definedName name="OSRRefF21_3x_0" localSheetId="2">Summary!$F$269:$F$271</definedName>
    <definedName name="OSRRefF21_4x_0" localSheetId="54">'200'!$F$28</definedName>
    <definedName name="OSRRefF21_4x_0" localSheetId="55">'201'!$F$45</definedName>
    <definedName name="OSRRefF21_4x_0" localSheetId="56">'202'!$F$45</definedName>
    <definedName name="OSRRefF21_4x_0" localSheetId="57">'203'!$F$45</definedName>
    <definedName name="OSRRefF21_4x_0" localSheetId="58">'204'!$F$46</definedName>
    <definedName name="OSRRefF21_4x_0" localSheetId="59">'205'!$F$44:$F$46</definedName>
    <definedName name="OSRRefF21_4x_0" localSheetId="60">'206'!$F$44</definedName>
    <definedName name="OSRRefF21_4x_0" localSheetId="17">'300'!$F$232</definedName>
    <definedName name="OSRRefF21_4x_0" localSheetId="20">'300 &amp; 317'!$F$257</definedName>
    <definedName name="OSRRefF21_4x_0" localSheetId="61">'301'!$F$47</definedName>
    <definedName name="OSRRefF21_4x_0" localSheetId="62">'306'!$F$45</definedName>
    <definedName name="OSRRefF21_4x_0" localSheetId="63">'307'!$F$125</definedName>
    <definedName name="OSRRefF21_4x_0" localSheetId="29">'308'!$F$116</definedName>
    <definedName name="OSRRefF21_4x_0" localSheetId="64">'309'!$F$50</definedName>
    <definedName name="OSRRefF21_4x_0" localSheetId="23">'310'!$F$64</definedName>
    <definedName name="OSRRefF21_4x_0" localSheetId="38">'310 &amp; 491'!$F$76</definedName>
    <definedName name="OSRRefF21_4x_0" localSheetId="65">'311'!$F$98</definedName>
    <definedName name="OSRRefF21_4x_0" localSheetId="66">'312'!$F$78:$F$79</definedName>
    <definedName name="OSRRefF21_4x_0" localSheetId="67">'313'!$F$60</definedName>
    <definedName name="OSRRefF21_4x_0" localSheetId="68">'314'!$F$83</definedName>
    <definedName name="OSRRefF21_4x_0" localSheetId="69">'315'!$F$82</definedName>
    <definedName name="OSRRefF21_4x_0" localSheetId="70">'316'!$F$65</definedName>
    <definedName name="OSRRefF21_4x_0" localSheetId="71">'317'!$F$89:$F$90</definedName>
    <definedName name="OSRRefF21_4x_0" localSheetId="72">'318'!$F$36</definedName>
    <definedName name="OSRRefF21_4x_0" localSheetId="73">'320'!$F$56</definedName>
    <definedName name="OSRRefF21_4x_0" localSheetId="74">'321'!$F$51</definedName>
    <definedName name="OSRRefF21_4x_0" localSheetId="75">'322'!$F$50</definedName>
    <definedName name="OSRRefF21_4x_0" localSheetId="76">'323'!$F$37</definedName>
    <definedName name="OSRRefF21_4x_0" localSheetId="78">'325'!$F$51</definedName>
    <definedName name="OSRRefF21_4x_0" localSheetId="79">'326'!$F$119</definedName>
    <definedName name="OSRRefF21_4x_0" localSheetId="26">'330'!$F$134</definedName>
    <definedName name="OSRRefF21_4x_0" localSheetId="32">'331'!$F$130</definedName>
    <definedName name="OSRRefF21_4x_0" localSheetId="35">'332'!$F$82</definedName>
    <definedName name="OSRRefF21_4x_0" localSheetId="81">'335'!$F$38</definedName>
    <definedName name="OSRRefF21_4x_0" localSheetId="82">'405'!$F$53</definedName>
    <definedName name="OSRRefF21_4x_0" localSheetId="83">'406'!$F$43</definedName>
    <definedName name="OSRRefF21_4x_0" localSheetId="84">'411'!$F$45</definedName>
    <definedName name="OSRRefF21_4x_0" localSheetId="85">'412'!$F$53</definedName>
    <definedName name="OSRRefF21_4x_0" localSheetId="86">'413'!$F$52</definedName>
    <definedName name="OSRRefF21_4x_0" localSheetId="87">'414'!$F$51</definedName>
    <definedName name="OSRRefF21_4x_0" localSheetId="88">'415'!$F$52</definedName>
    <definedName name="OSRRefF21_4x_0" localSheetId="89">'418'!$F$51</definedName>
    <definedName name="OSRRefF21_4x_0" localSheetId="90">'420'!$F$41</definedName>
    <definedName name="OSRRefF21_4x_0" localSheetId="91">'423'!$F$45</definedName>
    <definedName name="OSRRefF21_4x_0" localSheetId="92">'424'!$F$44</definedName>
    <definedName name="OSRRefF21_4x_0" localSheetId="93">'425'!$F$48</definedName>
    <definedName name="OSRRefF21_4x_0" localSheetId="94">'430'!$F$44</definedName>
    <definedName name="OSRRefF21_4x_0" localSheetId="95">'433'!$F$54</definedName>
    <definedName name="OSRRefF21_4x_0" localSheetId="96">'435'!$F$37</definedName>
    <definedName name="OSRRefF21_4x_0" localSheetId="97">'444'!$F$52</definedName>
    <definedName name="OSRRefF21_4x_0" localSheetId="98">'445'!$F$36</definedName>
    <definedName name="OSRRefF21_4x_0" localSheetId="99">'450'!$F$52</definedName>
    <definedName name="OSRRefF21_4x_0" localSheetId="41">'491'!$F$64</definedName>
    <definedName name="OSRRefF21_4x_0" localSheetId="44">'492'!$F$56</definedName>
    <definedName name="OSRRefF21_4x_0" localSheetId="101">'501'!$F$46</definedName>
    <definedName name="OSRRefF21_4x_0" localSheetId="8">'Div 2'!$F$47</definedName>
    <definedName name="OSRRefF21_4x_0" localSheetId="11">'Div 3'!$F$237</definedName>
    <definedName name="OSRRefF21_4x_0" localSheetId="14">'Div 4'!$F$65</definedName>
    <definedName name="OSRRefF21_4x_0" localSheetId="47">'Div 5'!$F$46</definedName>
    <definedName name="OSRRefF21_4x_0" localSheetId="50">'Div 6'!$F$89:$F$90</definedName>
    <definedName name="OSRRefF21_4x_0" localSheetId="2">Summary!$F$273</definedName>
    <definedName name="OSRRefF21_5x_0" localSheetId="54">'200'!$F$30:$F$31</definedName>
    <definedName name="OSRRefF21_5x_0" localSheetId="55">'201'!$F$47</definedName>
    <definedName name="OSRRefF21_5x_0" localSheetId="56">'202'!$F$47</definedName>
    <definedName name="OSRRefF21_5x_0" localSheetId="57">'203'!$F$47</definedName>
    <definedName name="OSRRefF21_5x_0" localSheetId="58">'204'!$F$48:$F$49</definedName>
    <definedName name="OSRRefF21_5x_0" localSheetId="59">'205'!$F$48</definedName>
    <definedName name="OSRRefF21_5x_0" localSheetId="60">'206'!$F$46</definedName>
    <definedName name="OSRRefF21_5x_0" localSheetId="17">'300'!$F$234:$F$237</definedName>
    <definedName name="OSRRefF21_5x_0" localSheetId="20">'300 &amp; 317'!$F$259:$F$262</definedName>
    <definedName name="OSRRefF21_5x_0" localSheetId="61">'301'!$F$49:$F$52</definedName>
    <definedName name="OSRRefF21_5x_0" localSheetId="62">'306'!$F$47:$F$48</definedName>
    <definedName name="OSRRefF21_5x_0" localSheetId="63">'307'!$F$127:$F$128</definedName>
    <definedName name="OSRRefF21_5x_0" localSheetId="29">'308'!$F$118</definedName>
    <definedName name="OSRRefF21_5x_0" localSheetId="64">'309'!$F$52</definedName>
    <definedName name="OSRRefF21_5x_0" localSheetId="23">'310'!$F$66:$F$67</definedName>
    <definedName name="OSRRefF21_5x_0" localSheetId="38">'310 &amp; 491'!$F$78:$F$81</definedName>
    <definedName name="OSRRefF21_5x_0" localSheetId="65">'311'!$F$100</definedName>
    <definedName name="OSRRefF21_5x_0" localSheetId="66">'312'!$F$81:$F$89</definedName>
    <definedName name="OSRRefF21_5x_0" localSheetId="67">'313'!$F$62</definedName>
    <definedName name="OSRRefF21_5x_0" localSheetId="68">'314'!$F$85:$F$86</definedName>
    <definedName name="OSRRefF21_5x_0" localSheetId="69">'315'!$F$84:$F$85</definedName>
    <definedName name="OSRRefF21_5x_0" localSheetId="70">'316'!$F$67</definedName>
    <definedName name="OSRRefF21_5x_0" localSheetId="71">'317'!$F$92</definedName>
    <definedName name="OSRRefF21_5x_0" localSheetId="72">'318'!$F$38</definedName>
    <definedName name="OSRRefF21_5x_0" localSheetId="73">'320'!$F$58:$F$59</definedName>
    <definedName name="OSRRefF21_5x_0" localSheetId="74">'321'!$F$53</definedName>
    <definedName name="OSRRefF21_5x_0" localSheetId="75">'322'!$F$52</definedName>
    <definedName name="OSRRefF21_5x_0" localSheetId="76">'323'!$F$39</definedName>
    <definedName name="OSRRefF21_5x_0" localSheetId="78">'325'!$F$53:$F$54</definedName>
    <definedName name="OSRRefF21_5x_0" localSheetId="79">'326'!$F$121:$F$122</definedName>
    <definedName name="OSRRefF21_5x_0" localSheetId="26">'330'!$F$136:$F$137</definedName>
    <definedName name="OSRRefF21_5x_0" localSheetId="32">'331'!$F$132:$F$133</definedName>
    <definedName name="OSRRefF21_5x_0" localSheetId="35">'332'!$F$84</definedName>
    <definedName name="OSRRefF21_5x_0" localSheetId="81">'335'!$F$40:$F$41</definedName>
    <definedName name="OSRRefF21_5x_0" localSheetId="82">'405'!$F$55:$F$56</definedName>
    <definedName name="OSRRefF21_5x_0" localSheetId="83">'406'!$F$45</definedName>
    <definedName name="OSRRefF21_5x_0" localSheetId="84">'411'!$F$47:$F$50</definedName>
    <definedName name="OSRRefF21_5x_0" localSheetId="85">'412'!$F$55:$F$56</definedName>
    <definedName name="OSRRefF21_5x_0" localSheetId="86">'413'!$F$54</definedName>
    <definedName name="OSRRefF21_5x_0" localSheetId="87">'414'!$F$53</definedName>
    <definedName name="OSRRefF21_5x_0" localSheetId="88">'415'!$F$54:$F$55</definedName>
    <definedName name="OSRRefF21_5x_0" localSheetId="89">'418'!$F$53:$F$54</definedName>
    <definedName name="OSRRefF21_5x_0" localSheetId="90">'420'!$F$43</definedName>
    <definedName name="OSRRefF21_5x_0" localSheetId="91">'423'!$F$47</definedName>
    <definedName name="OSRRefF21_5x_0" localSheetId="92">'424'!$F$46</definedName>
    <definedName name="OSRRefF21_5x_0" localSheetId="93">'425'!$F$50:$F$51</definedName>
    <definedName name="OSRRefF21_5x_0" localSheetId="94">'430'!$F$46</definedName>
    <definedName name="OSRRefF21_5x_0" localSheetId="95">'433'!$F$56</definedName>
    <definedName name="OSRRefF21_5x_0" localSheetId="96">'435'!$F$39</definedName>
    <definedName name="OSRRefF21_5x_0" localSheetId="97">'444'!$F$54</definedName>
    <definedName name="OSRRefF21_5x_0" localSheetId="98">'445'!$F$38</definedName>
    <definedName name="OSRRefF21_5x_0" localSheetId="99">'450'!$F$54:$F$55</definedName>
    <definedName name="OSRRefF21_5x_0" localSheetId="41">'491'!$F$66:$F$69</definedName>
    <definedName name="OSRRefF21_5x_0" localSheetId="44">'492'!$F$58:$F$59</definedName>
    <definedName name="OSRRefF21_5x_0" localSheetId="101">'501'!$F$48</definedName>
    <definedName name="OSRRefF21_5x_0" localSheetId="8">'Div 2'!$F$49</definedName>
    <definedName name="OSRRefF21_5x_0" localSheetId="11">'Div 3'!$F$239:$F$242</definedName>
    <definedName name="OSRRefF21_5x_0" localSheetId="14">'Div 4'!$F$67:$F$70</definedName>
    <definedName name="OSRRefF21_5x_0" localSheetId="47">'Div 5'!$F$48</definedName>
    <definedName name="OSRRefF21_5x_0" localSheetId="50">'Div 6'!$F$92</definedName>
    <definedName name="OSRRefF21_5x_0" localSheetId="2">Summary!$F$275:$F$278</definedName>
    <definedName name="OSRRefF21_6x_0" localSheetId="55">'201'!$F$49:$F$50</definedName>
    <definedName name="OSRRefF21_6x_0" localSheetId="56">'202'!$F$49:$F$50</definedName>
    <definedName name="OSRRefF21_6x_0" localSheetId="57">'203'!$F$49</definedName>
    <definedName name="OSRRefF21_6x_0" localSheetId="58">'204'!$F$51</definedName>
    <definedName name="OSRRefF21_6x_0" localSheetId="59">'205'!$F$50:$F$53</definedName>
    <definedName name="OSRRefF21_6x_0" localSheetId="60">'206'!$F$48</definedName>
    <definedName name="OSRRefF21_6x_0" localSheetId="17">'300'!$F$239:$F$240</definedName>
    <definedName name="OSRRefF21_6x_0" localSheetId="20">'300 &amp; 317'!$F$264:$F$265</definedName>
    <definedName name="OSRRefF21_6x_0" localSheetId="61">'301'!$F$54:$F$55</definedName>
    <definedName name="OSRRefF21_6x_0" localSheetId="62">'306'!$F$50</definedName>
    <definedName name="OSRRefF21_6x_0" localSheetId="63">'307'!$F$130</definedName>
    <definedName name="OSRRefF21_6x_0" localSheetId="29">'308'!$F$120:$F$121</definedName>
    <definedName name="OSRRefF21_6x_0" localSheetId="64">'309'!$F$54</definedName>
    <definedName name="OSRRefF21_6x_0" localSheetId="23">'310'!$F$69</definedName>
    <definedName name="OSRRefF21_6x_0" localSheetId="38">'310 &amp; 491'!$F$83:$F$84</definedName>
    <definedName name="OSRRefF21_6x_0" localSheetId="65">'311'!$F$102:$F$103</definedName>
    <definedName name="OSRRefF21_6x_0" localSheetId="66">'312'!$F$91:$F$92</definedName>
    <definedName name="OSRRefF21_6x_0" localSheetId="67">'313'!$F$64</definedName>
    <definedName name="OSRRefF21_6x_0" localSheetId="68">'314'!$F$88:$F$97</definedName>
    <definedName name="OSRRefF21_6x_0" localSheetId="69">'315'!$F$87</definedName>
    <definedName name="OSRRefF21_6x_0" localSheetId="70">'316'!$F$69</definedName>
    <definedName name="OSRRefF21_6x_0" localSheetId="71">'317'!$F$94</definedName>
    <definedName name="OSRRefF21_6x_0" localSheetId="72">'318'!$F$40</definedName>
    <definedName name="OSRRefF21_6x_0" localSheetId="73">'320'!$F$61</definedName>
    <definedName name="OSRRefF21_6x_0" localSheetId="74">'321'!$F$55</definedName>
    <definedName name="OSRRefF21_6x_0" localSheetId="75">'322'!$F$54</definedName>
    <definedName name="OSRRefF21_6x_0" localSheetId="76">'323'!$F$41</definedName>
    <definedName name="OSRRefF21_6x_0" localSheetId="78">'325'!$F$56</definedName>
    <definedName name="OSRRefF21_6x_0" localSheetId="79">'326'!$F$124:$F$125</definedName>
    <definedName name="OSRRefF21_6x_0" localSheetId="26">'330'!$F$139</definedName>
    <definedName name="OSRRefF21_6x_0" localSheetId="32">'331'!$F$135:$F$136</definedName>
    <definedName name="OSRRefF21_6x_0" localSheetId="35">'332'!$F$86</definedName>
    <definedName name="OSRRefF21_6x_0" localSheetId="81">'335'!$F$43:$F$45</definedName>
    <definedName name="OSRRefF21_6x_0" localSheetId="82">'405'!$F$58</definedName>
    <definedName name="OSRRefF21_6x_0" localSheetId="83">'406'!$F$47</definedName>
    <definedName name="OSRRefF21_6x_0" localSheetId="84">'411'!$F$52</definedName>
    <definedName name="OSRRefF21_6x_0" localSheetId="85">'412'!$F$58</definedName>
    <definedName name="OSRRefF21_6x_0" localSheetId="86">'413'!$F$56</definedName>
    <definedName name="OSRRefF21_6x_0" localSheetId="87">'414'!$F$55</definedName>
    <definedName name="OSRRefF21_6x_0" localSheetId="88">'415'!$F$57</definedName>
    <definedName name="OSRRefF21_6x_0" localSheetId="89">'418'!$F$56</definedName>
    <definedName name="OSRRefF21_6x_0" localSheetId="90">'420'!$F$45</definedName>
    <definedName name="OSRRefF21_6x_0" localSheetId="91">'423'!$F$49</definedName>
    <definedName name="OSRRefF21_6x_0" localSheetId="92">'424'!$F$48</definedName>
    <definedName name="OSRRefF21_6x_0" localSheetId="93">'425'!$F$53</definedName>
    <definedName name="OSRRefF21_6x_0" localSheetId="94">'430'!$F$48</definedName>
    <definedName name="OSRRefF21_6x_0" localSheetId="95">'433'!$F$58</definedName>
    <definedName name="OSRRefF21_6x_0" localSheetId="96">'435'!$F$41</definedName>
    <definedName name="OSRRefF21_6x_0" localSheetId="97">'444'!$F$56</definedName>
    <definedName name="OSRRefF21_6x_0" localSheetId="98">'445'!$F$40</definedName>
    <definedName name="OSRRefF21_6x_0" localSheetId="99">'450'!$F$57</definedName>
    <definedName name="OSRRefF21_6x_0" localSheetId="41">'491'!$F$71:$F$72</definedName>
    <definedName name="OSRRefF21_6x_0" localSheetId="44">'492'!$F$61</definedName>
    <definedName name="OSRRefF21_6x_0" localSheetId="101">'501'!$F$50:$F$51</definedName>
    <definedName name="OSRRefF21_6x_0" localSheetId="8">'Div 2'!$F$51:$F$52</definedName>
    <definedName name="OSRRefF21_6x_0" localSheetId="11">'Div 3'!$F$244:$F$245</definedName>
    <definedName name="OSRRefF21_6x_0" localSheetId="14">'Div 4'!$F$72:$F$73</definedName>
    <definedName name="OSRRefF21_6x_0" localSheetId="47">'Div 5'!$F$50:$F$51</definedName>
    <definedName name="OSRRefF21_6x_0" localSheetId="50">'Div 6'!$F$94</definedName>
    <definedName name="OSRRefF21_6x_0" localSheetId="2">Summary!$F$280:$F$281</definedName>
    <definedName name="OSRRefF21_7x_0" localSheetId="55">'201'!$F$52</definedName>
    <definedName name="OSRRefF21_7x_0" localSheetId="56">'202'!$F$52</definedName>
    <definedName name="OSRRefF21_7x_0" localSheetId="57">'203'!$F$51</definedName>
    <definedName name="OSRRefF21_7x_0" localSheetId="58">'204'!$F$53</definedName>
    <definedName name="OSRRefF21_7x_0" localSheetId="59">'205'!$F$55</definedName>
    <definedName name="OSRRefF21_7x_0" localSheetId="60">'206'!$F$50:$F$52</definedName>
    <definedName name="OSRRefF21_7x_0" localSheetId="17">'300'!$F$242:$F$243</definedName>
    <definedName name="OSRRefF21_7x_0" localSheetId="20">'300 &amp; 317'!$F$267:$F$268</definedName>
    <definedName name="OSRRefF21_7x_0" localSheetId="61">'301'!$F$57</definedName>
    <definedName name="OSRRefF21_7x_0" localSheetId="62">'306'!$F$52:$F$53</definedName>
    <definedName name="OSRRefF21_7x_0" localSheetId="63">'307'!$F$132:$F$133</definedName>
    <definedName name="OSRRefF21_7x_0" localSheetId="29">'308'!$F$123:$F$124</definedName>
    <definedName name="OSRRefF21_7x_0" localSheetId="64">'309'!$F$56</definedName>
    <definedName name="OSRRefF21_7x_0" localSheetId="23">'310'!$F$71</definedName>
    <definedName name="OSRRefF21_7x_0" localSheetId="38">'310 &amp; 491'!$F$86</definedName>
    <definedName name="OSRRefF21_7x_0" localSheetId="65">'311'!$F$105:$F$106</definedName>
    <definedName name="OSRRefF21_7x_0" localSheetId="66">'312'!$F$94</definedName>
    <definedName name="OSRRefF21_7x_0" localSheetId="67">'313'!$F$66:$F$67</definedName>
    <definedName name="OSRRefF21_7x_0" localSheetId="68">'314'!$F$99</definedName>
    <definedName name="OSRRefF21_7x_0" localSheetId="69">'315'!$F$89:$F$90</definedName>
    <definedName name="OSRRefF21_7x_0" localSheetId="70">'316'!$F$71:$F$72</definedName>
    <definedName name="OSRRefF21_7x_0" localSheetId="71">'317'!$F$96:$F$97</definedName>
    <definedName name="OSRRefF21_7x_0" localSheetId="72">'318'!$F$42</definedName>
    <definedName name="OSRRefF21_7x_0" localSheetId="73">'320'!$F$63:$F$66</definedName>
    <definedName name="OSRRefF21_7x_0" localSheetId="74">'321'!$F$57:$F$58</definedName>
    <definedName name="OSRRefF21_7x_0" localSheetId="75">'322'!$F$56</definedName>
    <definedName name="OSRRefF21_7x_0" localSheetId="76">'323'!$F$43:$F$45</definedName>
    <definedName name="OSRRefF21_7x_0" localSheetId="78">'325'!$F$58</definedName>
    <definedName name="OSRRefF21_7x_0" localSheetId="79">'326'!$F$127</definedName>
    <definedName name="OSRRefF21_7x_0" localSheetId="26">'330'!$F$141:$F$142</definedName>
    <definedName name="OSRRefF21_7x_0" localSheetId="32">'331'!$F$138</definedName>
    <definedName name="OSRRefF21_7x_0" localSheetId="35">'332'!$F$88:$F$89</definedName>
    <definedName name="OSRRefF21_7x_0" localSheetId="81">'335'!$F$47</definedName>
    <definedName name="OSRRefF21_7x_0" localSheetId="82">'405'!$F$60</definedName>
    <definedName name="OSRRefF21_7x_0" localSheetId="83">'406'!$F$49</definedName>
    <definedName name="OSRRefF21_7x_0" localSheetId="84">'411'!$F$54</definedName>
    <definedName name="OSRRefF21_7x_0" localSheetId="85">'412'!$F$60</definedName>
    <definedName name="OSRRefF21_7x_0" localSheetId="86">'413'!$F$58</definedName>
    <definedName name="OSRRefF21_7x_0" localSheetId="87">'414'!$F$57</definedName>
    <definedName name="OSRRefF21_7x_0" localSheetId="88">'415'!$F$59</definedName>
    <definedName name="OSRRefF21_7x_0" localSheetId="89">'418'!$F$58</definedName>
    <definedName name="OSRRefF21_7x_0" localSheetId="90">'420'!$F$47:$F$48</definedName>
    <definedName name="OSRRefF21_7x_0" localSheetId="91">'423'!$F$51:$F$53</definedName>
    <definedName name="OSRRefF21_7x_0" localSheetId="92">'424'!$F$50</definedName>
    <definedName name="OSRRefF21_7x_0" localSheetId="93">'425'!$F$55</definedName>
    <definedName name="OSRRefF21_7x_0" localSheetId="94">'430'!$F$50</definedName>
    <definedName name="OSRRefF21_7x_0" localSheetId="95">'433'!$F$60</definedName>
    <definedName name="OSRRefF21_7x_0" localSheetId="96">'435'!$F$43</definedName>
    <definedName name="OSRRefF21_7x_0" localSheetId="97">'444'!$F$58</definedName>
    <definedName name="OSRRefF21_7x_0" localSheetId="98">'445'!$F$42</definedName>
    <definedName name="OSRRefF21_7x_0" localSheetId="99">'450'!$F$59</definedName>
    <definedName name="OSRRefF21_7x_0" localSheetId="41">'491'!$F$74</definedName>
    <definedName name="OSRRefF21_7x_0" localSheetId="44">'492'!$F$63</definedName>
    <definedName name="OSRRefF21_7x_0" localSheetId="101">'501'!$F$53</definedName>
    <definedName name="OSRRefF21_7x_0" localSheetId="8">'Div 2'!$F$54:$F$55</definedName>
    <definedName name="OSRRefF21_7x_0" localSheetId="11">'Div 3'!$F$247:$F$248</definedName>
    <definedName name="OSRRefF21_7x_0" localSheetId="14">'Div 4'!$F$75</definedName>
    <definedName name="OSRRefF21_7x_0" localSheetId="47">'Div 5'!$F$53</definedName>
    <definedName name="OSRRefF21_7x_0" localSheetId="50">'Div 6'!$F$96:$F$97</definedName>
    <definedName name="OSRRefF21_7x_0" localSheetId="2">Summary!$F$283:$F$284</definedName>
    <definedName name="OSRRefF21_8x_0" localSheetId="55">'201'!$F$54</definedName>
    <definedName name="OSRRefF21_8x_0" localSheetId="56">'202'!$F$54</definedName>
    <definedName name="OSRRefF21_8x_0" localSheetId="57">'203'!$F$53:$F$54</definedName>
    <definedName name="OSRRefF21_8x_0" localSheetId="58">'204'!$F$55:$F$58</definedName>
    <definedName name="OSRRefF21_8x_0" localSheetId="59">'205'!$F$57</definedName>
    <definedName name="OSRRefF21_8x_0" localSheetId="60">'206'!$F$54</definedName>
    <definedName name="OSRRefF21_8x_0" localSheetId="17">'300'!$F$245</definedName>
    <definedName name="OSRRefF21_8x_0" localSheetId="20">'300 &amp; 317'!$F$270</definedName>
    <definedName name="OSRRefF21_8x_0" localSheetId="61">'301'!$F$59</definedName>
    <definedName name="OSRRefF21_8x_0" localSheetId="62">'306'!$F$55:$F$59</definedName>
    <definedName name="OSRRefF21_8x_0" localSheetId="63">'307'!$F$135</definedName>
    <definedName name="OSRRefF21_8x_0" localSheetId="29">'308'!$F$126:$F$138</definedName>
    <definedName name="OSRRefF21_8x_0" localSheetId="64">'309'!$F$58</definedName>
    <definedName name="OSRRefF21_8x_0" localSheetId="23">'310'!$F$73</definedName>
    <definedName name="OSRRefF21_8x_0" localSheetId="38">'310 &amp; 491'!$F$88</definedName>
    <definedName name="OSRRefF21_8x_0" localSheetId="65">'311'!$F$108:$F$116</definedName>
    <definedName name="OSRRefF21_8x_0" localSheetId="66">'312'!$F$96</definedName>
    <definedName name="OSRRefF21_8x_0" localSheetId="67">'313'!$F$69</definedName>
    <definedName name="OSRRefF21_8x_0" localSheetId="68">'314'!$F$101</definedName>
    <definedName name="OSRRefF21_8x_0" localSheetId="69">'315'!$F$92</definedName>
    <definedName name="OSRRefF21_8x_0" localSheetId="70">'316'!$F$74</definedName>
    <definedName name="OSRRefF21_8x_0" localSheetId="71">'317'!$F$99</definedName>
    <definedName name="OSRRefF21_8x_0" localSheetId="72">'318'!$F$44</definedName>
    <definedName name="OSRRefF21_8x_0" localSheetId="73">'320'!$F$68:$F$69</definedName>
    <definedName name="OSRRefF21_8x_0" localSheetId="74">'321'!$F$60</definedName>
    <definedName name="OSRRefF21_8x_0" localSheetId="75">'322'!$F$58</definedName>
    <definedName name="OSRRefF21_8x_0" localSheetId="78">'325'!$F$60</definedName>
    <definedName name="OSRRefF21_8x_0" localSheetId="79">'326'!$F$129:$F$130</definedName>
    <definedName name="OSRRefF21_8x_0" localSheetId="26">'330'!$F$144</definedName>
    <definedName name="OSRRefF21_8x_0" localSheetId="32">'331'!$F$140:$F$141</definedName>
    <definedName name="OSRRefF21_8x_0" localSheetId="35">'332'!$F$91</definedName>
    <definedName name="OSRRefF21_8x_0" localSheetId="81">'335'!$F$49</definedName>
    <definedName name="OSRRefF21_8x_0" localSheetId="82">'405'!$F$62</definedName>
    <definedName name="OSRRefF21_8x_0" localSheetId="83">'406'!$F$51</definedName>
    <definedName name="OSRRefF21_8x_0" localSheetId="84">'411'!$F$56</definedName>
    <definedName name="OSRRefF21_8x_0" localSheetId="85">'412'!$F$62</definedName>
    <definedName name="OSRRefF21_8x_0" localSheetId="86">'413'!$F$60:$F$63</definedName>
    <definedName name="OSRRefF21_8x_0" localSheetId="87">'414'!$F$59</definedName>
    <definedName name="OSRRefF21_8x_0" localSheetId="88">'415'!$F$61</definedName>
    <definedName name="OSRRefF21_8x_0" localSheetId="89">'418'!$F$60</definedName>
    <definedName name="OSRRefF21_8x_0" localSheetId="90">'420'!$F$50</definedName>
    <definedName name="OSRRefF21_8x_0" localSheetId="91">'423'!$F$55</definedName>
    <definedName name="OSRRefF21_8x_0" localSheetId="92">'424'!$F$52</definedName>
    <definedName name="OSRRefF21_8x_0" localSheetId="93">'425'!$F$57</definedName>
    <definedName name="OSRRefF21_8x_0" localSheetId="94">'430'!$F$52:$F$56</definedName>
    <definedName name="OSRRefF21_8x_0" localSheetId="95">'433'!$F$62</definedName>
    <definedName name="OSRRefF21_8x_0" localSheetId="96">'435'!$F$45</definedName>
    <definedName name="OSRRefF21_8x_0" localSheetId="97">'444'!$F$60</definedName>
    <definedName name="OSRRefF21_8x_0" localSheetId="98">'445'!$F$44:$F$45</definedName>
    <definedName name="OSRRefF21_8x_0" localSheetId="99">'450'!$F$61</definedName>
    <definedName name="OSRRefF21_8x_0" localSheetId="41">'491'!$F$76</definedName>
    <definedName name="OSRRefF21_8x_0" localSheetId="44">'492'!$F$65</definedName>
    <definedName name="OSRRefF21_8x_0" localSheetId="101">'501'!$F$55</definedName>
    <definedName name="OSRRefF21_8x_0" localSheetId="8">'Div 2'!$F$57</definedName>
    <definedName name="OSRRefF21_8x_0" localSheetId="11">'Div 3'!$F$250</definedName>
    <definedName name="OSRRefF21_8x_0" localSheetId="14">'Div 4'!$F$77</definedName>
    <definedName name="OSRRefF21_8x_0" localSheetId="47">'Div 5'!$F$55</definedName>
    <definedName name="OSRRefF21_8x_0" localSheetId="50">'Div 6'!$F$99</definedName>
    <definedName name="OSRRefF21_8x_0" localSheetId="2">Summary!$F$286</definedName>
    <definedName name="OSRRefF21_9x_0" localSheetId="55">'201'!$F$56</definedName>
    <definedName name="OSRRefF21_9x_0" localSheetId="56">'202'!$F$56:$F$57</definedName>
    <definedName name="OSRRefF21_9x_0" localSheetId="57">'203'!$F$56:$F$58</definedName>
    <definedName name="OSRRefF21_9x_0" localSheetId="58">'204'!$F$60:$F$61</definedName>
    <definedName name="OSRRefF21_9x_0" localSheetId="60">'206'!$F$56:$F$57</definedName>
    <definedName name="OSRRefF21_9x_0" localSheetId="17">'300'!$F$247</definedName>
    <definedName name="OSRRefF21_9x_0" localSheetId="20">'300 &amp; 317'!$F$272</definedName>
    <definedName name="OSRRefF21_9x_0" localSheetId="61">'301'!$F$61</definedName>
    <definedName name="OSRRefF21_9x_0" localSheetId="62">'306'!$F$61</definedName>
    <definedName name="OSRRefF21_9x_0" localSheetId="63">'307'!$F$137:$F$160</definedName>
    <definedName name="OSRRefF21_9x_0" localSheetId="29">'308'!$F$140</definedName>
    <definedName name="OSRRefF21_9x_0" localSheetId="64">'309'!$F$60</definedName>
    <definedName name="OSRRefF21_9x_0" localSheetId="23">'310'!$F$75:$F$76</definedName>
    <definedName name="OSRRefF21_9x_0" localSheetId="38">'310 &amp; 491'!$F$90</definedName>
    <definedName name="OSRRefF21_9x_0" localSheetId="65">'311'!$F$118</definedName>
    <definedName name="OSRRefF21_9x_0" localSheetId="66">'312'!$F$98</definedName>
    <definedName name="OSRRefF21_9x_0" localSheetId="67">'313'!$F$71</definedName>
    <definedName name="OSRRefF21_9x_0" localSheetId="68">'314'!$F$103</definedName>
    <definedName name="OSRRefF21_9x_0" localSheetId="69">'315'!$F$94:$F$100</definedName>
    <definedName name="OSRRefF21_9x_0" localSheetId="70">'316'!$F$76:$F$78</definedName>
    <definedName name="OSRRefF21_9x_0" localSheetId="71">'317'!$F$101:$F$108</definedName>
    <definedName name="OSRRefF21_9x_0" localSheetId="73">'320'!$F$71:$F$73</definedName>
    <definedName name="OSRRefF21_9x_0" localSheetId="74">'321'!$F$62:$F$64</definedName>
    <definedName name="OSRRefF21_9x_0" localSheetId="75">'322'!$F$60</definedName>
    <definedName name="OSRRefF21_9x_0" localSheetId="78">'325'!$F$62</definedName>
    <definedName name="OSRRefF21_9x_0" localSheetId="79">'326'!$F$132:$F$133</definedName>
    <definedName name="OSRRefF21_9x_0" localSheetId="26">'330'!$F$146:$F$169</definedName>
    <definedName name="OSRRefF21_9x_0" localSheetId="32">'331'!$F$143:$F$144</definedName>
    <definedName name="OSRRefF21_9x_0" localSheetId="35">'332'!$F$93:$F$96</definedName>
    <definedName name="OSRRefF21_9x_0" localSheetId="81">'335'!$F$51:$F$52</definedName>
    <definedName name="OSRRefF21_9x_0" localSheetId="82">'405'!$F$64</definedName>
    <definedName name="OSRRefF21_9x_0" localSheetId="83">'406'!$F$53</definedName>
    <definedName name="OSRRefF21_9x_0" localSheetId="84">'411'!$F$58</definedName>
    <definedName name="OSRRefF21_9x_0" localSheetId="85">'412'!$F$64</definedName>
    <definedName name="OSRRefF21_9x_0" localSheetId="86">'413'!$F$65:$F$67</definedName>
    <definedName name="OSRRefF21_9x_0" localSheetId="87">'414'!$F$61</definedName>
    <definedName name="OSRRefF21_9x_0" localSheetId="88">'415'!$F$63</definedName>
    <definedName name="OSRRefF21_9x_0" localSheetId="89">'418'!$F$62</definedName>
    <definedName name="OSRRefF21_9x_0" localSheetId="91">'423'!$F$57</definedName>
    <definedName name="OSRRefF21_9x_0" localSheetId="92">'424'!$F$54:$F$55</definedName>
    <definedName name="OSRRefF21_9x_0" localSheetId="93">'425'!$F$59:$F$62</definedName>
    <definedName name="OSRRefF21_9x_0" localSheetId="94">'430'!$F$58:$F$59</definedName>
    <definedName name="OSRRefF21_9x_0" localSheetId="95">'433'!$F$64</definedName>
    <definedName name="OSRRefF21_9x_0" localSheetId="96">'435'!$F$47:$F$48</definedName>
    <definedName name="OSRRefF21_9x_0" localSheetId="97">'444'!$F$62</definedName>
    <definedName name="OSRRefF21_9x_0" localSheetId="98">'445'!$F$47</definedName>
    <definedName name="OSRRefF21_9x_0" localSheetId="99">'450'!$F$63</definedName>
    <definedName name="OSRRefF21_9x_0" localSheetId="41">'491'!$F$78</definedName>
    <definedName name="OSRRefF21_9x_0" localSheetId="44">'492'!$F$67</definedName>
    <definedName name="OSRRefF21_9x_0" localSheetId="101">'501'!$F$57</definedName>
    <definedName name="OSRRefF21_9x_0" localSheetId="8">'Div 2'!$F$59</definedName>
    <definedName name="OSRRefF21_9x_0" localSheetId="11">'Div 3'!$F$252</definedName>
    <definedName name="OSRRefF21_9x_0" localSheetId="14">'Div 4'!$F$79</definedName>
    <definedName name="OSRRefF21_9x_0" localSheetId="47">'Div 5'!$F$57</definedName>
    <definedName name="OSRRefF21_9x_0" localSheetId="50">'Div 6'!$F$101:$F$108</definedName>
    <definedName name="OSRRefF21_9x_0" localSheetId="2">Summary!$F$288</definedName>
    <definedName name="OSRRefF21x_0" localSheetId="54">'200'!$F$19:$F$20,'200'!$F$22,'200'!$F$24,'200'!$F$26,'200'!$F$28,'200'!$F$30:$F$31</definedName>
    <definedName name="OSRRefF21x_0" localSheetId="55">'201'!$F$20:$F$28,'201'!$F$30:$F$39,'201'!$F$41,'201'!$F$43,'201'!$F$45,'201'!$F$47,'201'!$F$49:$F$50,'201'!$F$52,'201'!$F$54,'201'!$F$56,'201'!$F$58,'201'!$F$60,'201'!$F$62,'201'!$F$64:$F$67,'201'!$F$69:$F$71,'201'!$F$73,'201'!$F$75:$F$78,'201'!$F$80:$F$81,'201'!$F$83,'201'!$F$85:$F$86</definedName>
    <definedName name="OSRRefF21x_0" localSheetId="56">'202'!$F$20:$F$28,'202'!$F$30:$F$39,'202'!$F$41,'202'!$F$43,'202'!$F$45,'202'!$F$47,'202'!$F$49:$F$50,'202'!$F$52,'202'!$F$54,'202'!$F$56:$F$57,'202'!$F$59:$F$61,'202'!$F$63,'202'!$F$65,'202'!$F$67:$F$69,'202'!$F$71,'202'!$F$73,'202'!$F$75:$F$76</definedName>
    <definedName name="OSRRefF21x_0" localSheetId="57">'203'!$F$19:$F$28,'203'!$F$30:$F$39,'203'!$F$41,'203'!$F$43,'203'!$F$45,'203'!$F$47,'203'!$F$49,'203'!$F$51,'203'!$F$53:$F$54,'203'!$F$56:$F$58,'203'!$F$60:$F$62,'203'!$F$64:$F$65,'203'!$F$67:$F$71,'203'!$F$73,'203'!$F$75,'203'!$F$77:$F$78</definedName>
    <definedName name="OSRRefF21x_0" localSheetId="58">'204'!$F$19:$F$28,'204'!$F$30:$F$39,'204'!$F$41,'204'!$F$43:$F$44,'204'!$F$46,'204'!$F$48:$F$49,'204'!$F$51,'204'!$F$53,'204'!$F$55:$F$58,'204'!$F$60:$F$61,'204'!$F$63:$F$66,'204'!$F$68:$F$69,'204'!$F$71,'204'!$F$73:$F$74</definedName>
    <definedName name="OSRRefF21x_0" localSheetId="59">'205'!$F$19:$F$27,'205'!$F$29:$F$38,'205'!$F$40,'205'!$F$42,'205'!$F$44:$F$46,'205'!$F$48,'205'!$F$50:$F$53,'205'!$F$55,'205'!$F$57</definedName>
    <definedName name="OSRRefF21x_0" localSheetId="60">'206'!$F$19:$F$27,'206'!$F$29:$F$38,'206'!$F$40,'206'!$F$42,'206'!$F$44,'206'!$F$46,'206'!$F$48,'206'!$F$50:$F$52,'206'!$F$54,'206'!$F$56:$F$57,'206'!$F$59:$F$60,'206'!$F$62,'206'!$F$64:$F$65</definedName>
    <definedName name="OSRRefF21x_0" localSheetId="17">'300'!$F$204:$F$213,'300'!$F$215:$F$224,'300'!$F$226,'300'!$F$228:$F$230,'300'!$F$232,'300'!$F$234:$F$237,'300'!$F$239:$F$240,'300'!$F$242:$F$243,'300'!$F$245,'300'!$F$247,'300'!$F$249:$F$250,'300'!$F$252:$F$254,'300'!$F$256,'300'!$F$258:$F$294,'300'!$F$296:$F$297,'300'!$F$299,'300'!$F$301:$F$304,'300'!$F$306:$F$310,'300'!$F$312:$F$316,'300'!$F$318:$F$319,'300'!$F$321:$F$329,'300'!$F$331:$F$332,'300'!$F$334,'300'!$F$336:$F$338,'300'!$F$340</definedName>
    <definedName name="OSRRefF21x_0" localSheetId="20">'300 &amp; 317'!$F$229:$F$238,'300 &amp; 317'!$F$240:$F$249,'300 &amp; 317'!$F$251,'300 &amp; 317'!$F$253:$F$255,'300 &amp; 317'!$F$257,'300 &amp; 317'!$F$259:$F$262,'300 &amp; 317'!$F$264:$F$265,'300 &amp; 317'!$F$267:$F$268,'300 &amp; 317'!$F$270,'300 &amp; 317'!$F$272,'300 &amp; 317'!$F$274:$F$275,'300 &amp; 317'!$F$277:$F$279,'300 &amp; 317'!$F$281,'300 &amp; 317'!$F$283:$F$322,'300 &amp; 317'!$F$324:$F$325,'300 &amp; 317'!$F$327,'300 &amp; 317'!$F$329:$F$332,'300 &amp; 317'!$F$334:$F$338,'300 &amp; 317'!$F$340:$F$344,'300 &amp; 317'!$F$346:$F$347,'300 &amp; 317'!$F$349:$F$357,'300 &amp; 317'!$F$359:$F$360,'300 &amp; 317'!$F$362,'300 &amp; 317'!$F$364:$F$366,'300 &amp; 317'!$F$368</definedName>
    <definedName name="OSRRefF21x_0" localSheetId="61">'301'!$F$20:$F$28,'301'!$F$30:$F$39,'301'!$F$41,'301'!$F$43:$F$45,'301'!$F$47,'301'!$F$49:$F$52,'301'!$F$54:$F$55,'301'!$F$57,'301'!$F$59,'301'!$F$61,'301'!$F$63,'301'!$F$65,'301'!$F$67,'301'!$F$69:$F$70,'301'!$F$72:$F$73,'301'!$F$75,'301'!$F$77:$F$80,'301'!$F$82,'301'!$F$84:$F$87,'301'!$F$89:$F$90,'301'!$F$92:$F$98,'301'!$F$100:$F$101,'301'!$F$103,'301'!$F$105:$F$107,'301'!$F$109</definedName>
    <definedName name="OSRRefF21x_0" localSheetId="62">'306'!$F$19:$F$28,'306'!$F$30:$F$39,'306'!$F$41,'306'!$F$43,'306'!$F$45,'306'!$F$47:$F$48,'306'!$F$50,'306'!$F$52:$F$53,'306'!$F$55:$F$59,'306'!$F$61,'306'!$F$63,'306'!$F$65,'306'!$F$67</definedName>
    <definedName name="OSRRefF21x_0" localSheetId="63">'307'!$F$100:$F$108,'307'!$F$110:$F$119,'307'!$F$121,'307'!$F$123,'307'!$F$125,'307'!$F$127:$F$128,'307'!$F$130,'307'!$F$132:$F$133,'307'!$F$135,'307'!$F$137:$F$160,'307'!$F$162,'307'!$F$164,'307'!$F$166:$F$167,'307'!$F$169:$F$170,'307'!$F$172,'307'!$F$174:$F$179,'307'!$F$181:$F$182,'307'!$F$184,'307'!$F$186</definedName>
    <definedName name="OSRRefF21x_0" localSheetId="29">'308'!$F$89:$F$98,'308'!$F$100:$F$109,'308'!$F$111,'308'!$F$113:$F$114,'308'!$F$116,'308'!$F$118,'308'!$F$120:$F$121,'308'!$F$123:$F$124,'308'!$F$126:$F$138,'308'!$F$140,'308'!$F$142:$F$144,'308'!$F$146,'308'!$F$148:$F$149,'308'!$F$151:$F$154,'308'!$F$156:$F$157,'308'!$F$159,'308'!$F$161:$F$162,'308'!$F$164</definedName>
    <definedName name="OSRRefF21x_0" localSheetId="64">'309'!$F$25:$F$33,'309'!$F$35:$F$44,'309'!$F$46,'309'!$F$48,'309'!$F$50,'309'!$F$52,'309'!$F$54,'309'!$F$56,'309'!$F$58,'309'!$F$60,'309'!$F$62:$F$63,'309'!$F$65:$F$67,'309'!$F$69,'309'!$F$71:$F$79,'309'!$F$81,'309'!$F$83,'309'!$F$85:$F$86</definedName>
    <definedName name="OSRRefF21x_0" localSheetId="23">'310'!$F$39:$F$47,'310'!$F$49:$F$58,'310'!$F$60,'310'!$F$62,'310'!$F$64,'310'!$F$66:$F$67,'310'!$F$69,'310'!$F$71,'310'!$F$73,'310'!$F$75:$F$76,'310'!$F$78:$F$79,'310'!$F$81,'310'!$F$83,'310'!$F$85,'310'!$F$87,'310'!$F$89:$F$92,'310'!$F$94:$F$95,'310'!$F$97:$F$100,'310'!$F$102:$F$103,'310'!$F$105:$F$113,'310'!$F$115:$F$116,'310'!$F$118,'310'!$F$120:$F$122,'310'!$F$124</definedName>
    <definedName name="OSRRefF21x_0" localSheetId="38">'310 &amp; 491'!$F$49:$F$58,'310 &amp; 491'!$F$60:$F$69,'310 &amp; 491'!$F$71,'310 &amp; 491'!$F$73:$F$74,'310 &amp; 491'!$F$76,'310 &amp; 491'!$F$78:$F$81,'310 &amp; 491'!$F$83:$F$84,'310 &amp; 491'!$F$86,'310 &amp; 491'!$F$88,'310 &amp; 491'!$F$90,'310 &amp; 491'!$F$92:$F$93,'310 &amp; 491'!$F$95:$F$97,'310 &amp; 491'!$F$99,'310 &amp; 491'!$F$101,'310 &amp; 491'!$F$103,'310 &amp; 491'!$F$105,'310 &amp; 491'!$F$107,'310 &amp; 491'!$F$109:$F$112,'310 &amp; 491'!$F$114:$F$115,'310 &amp; 491'!$F$117:$F$121,'310 &amp; 491'!$F$123:$F$124,'310 &amp; 491'!$F$126:$F$136,'310 &amp; 491'!$F$138:$F$139,'310 &amp; 491'!$F$141,'310 &amp; 491'!$F$143:$F$145,'310 &amp; 491'!$F$147</definedName>
    <definedName name="OSRRefF21x_0" localSheetId="65">'311'!$F$71:$F$80,'311'!$F$82:$F$91,'311'!$F$93,'311'!$F$95:$F$96,'311'!$F$98,'311'!$F$100,'311'!$F$102:$F$103,'311'!$F$105:$F$106,'311'!$F$108:$F$116,'311'!$F$118,'311'!$F$120:$F$122,'311'!$F$124,'311'!$F$126:$F$127,'311'!$F$129:$F$132,'311'!$F$134:$F$135,'311'!$F$137,'311'!$F$139:$F$140,'311'!$F$142</definedName>
    <definedName name="OSRRefF21x_0" localSheetId="66">'312'!$F$58:$F$66,'312'!$F$68:$F$72,'312'!$F$74,'312'!$F$76,'312'!$F$78:$F$79,'312'!$F$81:$F$89,'312'!$F$91:$F$92,'312'!$F$94,'312'!$F$96,'312'!$F$98</definedName>
    <definedName name="OSRRefF21x_0" localSheetId="67">'313'!$F$35:$F$43,'313'!$F$45:$F$54,'313'!$F$56,'313'!$F$58,'313'!$F$60,'313'!$F$62,'313'!$F$64,'313'!$F$66:$F$67,'313'!$F$69,'313'!$F$71,'313'!$F$73:$F$75,'313'!$F$77:$F$78,'313'!$F$80:$F$81,'313'!$F$83:$F$89,'313'!$F$91:$F$92,'313'!$F$94,'313'!$F$96:$F$97</definedName>
    <definedName name="OSRRefF21x_0" localSheetId="68">'314'!$F$61:$F$69,'314'!$F$71:$F$76,'314'!$F$78,'314'!$F$80:$F$81,'314'!$F$83,'314'!$F$85:$F$86,'314'!$F$88:$F$97,'314'!$F$99,'314'!$F$101,'314'!$F$103,'314'!$F$105:$F$108,'314'!$F$110,'314'!$F$112,'314'!$F$114</definedName>
    <definedName name="OSRRefF21x_0" localSheetId="69">'315'!$F$57:$F$65,'315'!$F$67:$F$76,'315'!$F$78,'315'!$F$80,'315'!$F$82,'315'!$F$84:$F$85,'315'!$F$87,'315'!$F$89:$F$90,'315'!$F$92,'315'!$F$94:$F$100,'315'!$F$102,'315'!$F$104:$F$106,'315'!$F$108:$F$110,'315'!$F$112:$F$113,'315'!$F$115:$F$122,'315'!$F$124,'315'!$F$126,'315'!$F$128:$F$130</definedName>
    <definedName name="OSRRefF21x_0" localSheetId="70">'316'!$F$40:$F$48,'316'!$F$50:$F$59,'316'!$F$61,'316'!$F$63,'316'!$F$65,'316'!$F$67,'316'!$F$69,'316'!$F$71:$F$72,'316'!$F$74,'316'!$F$76:$F$78,'316'!$F$80,'316'!$F$82:$F$87,'316'!$F$89,'316'!$F$91,'316'!$F$93,'316'!$F$95</definedName>
    <definedName name="OSRRefF21x_0" localSheetId="71">'317'!$F$63:$F$72,'317'!$F$74:$F$83,'317'!$F$85,'317'!$F$87,'317'!$F$89:$F$90,'317'!$F$92,'317'!$F$94,'317'!$F$96:$F$97,'317'!$F$99,'317'!$F$101:$F$108,'317'!$F$110:$F$111,'317'!$F$113,'317'!$F$115:$F$118,'317'!$F$120,'317'!$F$122,'317'!$F$124:$F$125</definedName>
    <definedName name="OSRRefF21x_0" localSheetId="72">'318'!$F$19:$F$25,'318'!$F$27:$F$30,'318'!$F$32,'318'!$F$34,'318'!$F$36,'318'!$F$38,'318'!$F$40,'318'!$F$42,'318'!$F$44</definedName>
    <definedName name="OSRRefF21x_0" localSheetId="73">'320'!$F$35:$F$42,'320'!$F$44:$F$50,'320'!$F$52,'320'!$F$54,'320'!$F$56,'320'!$F$58:$F$59,'320'!$F$61,'320'!$F$63:$F$66,'320'!$F$68:$F$69,'320'!$F$71:$F$73,'320'!$F$75,'320'!$F$77,'320'!$F$79</definedName>
    <definedName name="OSRRefF21x_0" localSheetId="74">'321'!$F$26:$F$34,'321'!$F$36:$F$45,'321'!$F$47,'321'!$F$49,'321'!$F$51,'321'!$F$53,'321'!$F$55,'321'!$F$57:$F$58,'321'!$F$60,'321'!$F$62:$F$64,'321'!$F$66:$F$67,'321'!$F$69:$F$71,'321'!$F$73:$F$74,'321'!$F$76:$F$83,'321'!$F$85:$F$86,'321'!$F$88,'321'!$F$90:$F$91,'321'!$F$93</definedName>
    <definedName name="OSRRefF21x_0" localSheetId="75">'322'!$F$25:$F$33,'322'!$F$35:$F$44,'322'!$F$46,'322'!$F$48,'322'!$F$50,'322'!$F$52,'322'!$F$54,'322'!$F$56,'322'!$F$58,'322'!$F$60,'322'!$F$62,'322'!$F$64,'322'!$F$66:$F$67,'322'!$F$69:$F$71,'322'!$F$73:$F$74,'322'!$F$76:$F$84,'322'!$F$86,'322'!$F$88,'322'!$F$90:$F$92,'322'!$F$94</definedName>
    <definedName name="OSRRefF21x_0" localSheetId="76">'323'!$F$21:$F$27,'323'!$F$29:$F$31,'323'!$F$33,'323'!$F$35,'323'!$F$37,'323'!$F$39,'323'!$F$41,'323'!$F$43:$F$45</definedName>
    <definedName name="OSRRefF21x_0" localSheetId="77">'324'!$F$26:$F$33,'324'!$F$35:$F$44,'324'!$F$46,'324'!$F$48</definedName>
    <definedName name="OSRRefF21x_0" localSheetId="78">'325'!$F$26:$F$34,'325'!$F$36:$F$45,'325'!$F$47,'325'!$F$49,'325'!$F$51,'325'!$F$53:$F$54,'325'!$F$56,'325'!$F$58,'325'!$F$60,'325'!$F$62,'325'!$F$64,'325'!$F$66,'325'!$F$68:$F$71,'325'!$F$73:$F$76,'325'!$F$78:$F$79,'325'!$F$81:$F$88,'325'!$F$90:$F$91,'325'!$F$93,'325'!$F$95,'325'!$F$97</definedName>
    <definedName name="OSRRefF21x_0" localSheetId="79">'326'!$F$94:$F$102,'326'!$F$104:$F$113,'326'!$F$115,'326'!$F$117,'326'!$F$119,'326'!$F$121:$F$122,'326'!$F$124:$F$125,'326'!$F$127,'326'!$F$129:$F$130,'326'!$F$132:$F$133,'326'!$F$135,'326'!$F$137:$F$157,'326'!$F$159,'326'!$F$161,'326'!$F$163:$F$165,'326'!$F$167:$F$169,'326'!$F$171:$F$172,'326'!$F$174:$F$181,'326'!$F$183:$F$184,'326'!$F$186,'326'!$F$188:$F$190,'326'!$F$192</definedName>
    <definedName name="OSRRefF21x_0" localSheetId="80">'327'!$F$25,'327'!$F$27,'327'!$F$29</definedName>
    <definedName name="OSRRefF21x_0" localSheetId="26">'330'!$F$108:$F$117,'330'!$F$119:$F$128,'330'!$F$130,'330'!$F$132,'330'!$F$134,'330'!$F$136:$F$137,'330'!$F$139,'330'!$F$141:$F$142,'330'!$F$144,'330'!$F$146:$F$169,'330'!$F$171,'330'!$F$173,'330'!$F$175:$F$176,'330'!$F$178:$F$179,'330'!$F$181,'330'!$F$183:$F$189,'330'!$F$191:$F$192,'330'!$F$194,'330'!$F$196</definedName>
    <definedName name="OSRRefF21x_0" localSheetId="32">'331'!$F$105:$F$113,'331'!$F$115:$F$124,'331'!$F$126,'331'!$F$128,'331'!$F$130,'331'!$F$132:$F$133,'331'!$F$135:$F$136,'331'!$F$138,'331'!$F$140:$F$141,'331'!$F$143:$F$144,'331'!$F$146,'331'!$F$148:$F$168,'331'!$F$170,'331'!$F$172,'331'!$F$174:$F$177,'331'!$F$179:$F$181,'331'!$F$183:$F$185,'331'!$F$187:$F$188,'331'!$F$190:$F$198,'331'!$F$200:$F$201,'331'!$F$203,'331'!$F$205:$F$207,'331'!$F$209</definedName>
    <definedName name="OSRRefF21x_0" localSheetId="35">'332'!$F$57:$F$65,'332'!$F$67:$F$76,'332'!$F$78,'332'!$F$80,'332'!$F$82,'332'!$F$84,'332'!$F$86,'332'!$F$88:$F$89,'332'!$F$91,'332'!$F$93:$F$96,'332'!$F$98:$F$100,'332'!$F$102:$F$103,'332'!$F$105:$F$110,'332'!$F$112,'332'!$F$114,'332'!$F$116,'332'!$F$118</definedName>
    <definedName name="OSRRefF21x_0" localSheetId="81">'335'!$F$19:$F$26,'335'!$F$28:$F$32,'335'!$F$34,'335'!$F$36,'335'!$F$38,'335'!$F$40:$F$41,'335'!$F$43:$F$45,'335'!$F$47,'335'!$F$49,'335'!$F$51:$F$52</definedName>
    <definedName name="OSRRefF21x_0" localSheetId="82">'405'!$F$27:$F$36,'405'!$F$38:$F$47,'405'!$F$49,'405'!$F$51,'405'!$F$53,'405'!$F$55:$F$56,'405'!$F$58,'405'!$F$60,'405'!$F$62,'405'!$F$64,'405'!$F$66:$F$68,'405'!$F$70,'405'!$F$72:$F$75,'405'!$F$77:$F$78,'405'!$F$80:$F$89,'405'!$F$91,'405'!$F$93,'405'!$F$95,'405'!$F$97</definedName>
    <definedName name="OSRRefF21x_0" localSheetId="83">'406'!$F$23:$F$30,'406'!$F$32:$F$37,'406'!$F$39,'406'!$F$41,'406'!$F$43,'406'!$F$45,'406'!$F$47,'406'!$F$49,'406'!$F$51,'406'!$F$53,'406'!$F$55:$F$57,'406'!$F$59,'406'!$F$61:$F$63,'406'!$F$65:$F$70,'406'!$F$72,'406'!$F$74,'406'!$F$76:$F$77</definedName>
    <definedName name="OSRRefF21x_0" localSheetId="84">'411'!$F$19:$F$28,'411'!$F$30:$F$39,'411'!$F$41,'411'!$F$43,'411'!$F$45,'411'!$F$47:$F$50,'411'!$F$52,'411'!$F$54,'411'!$F$56,'411'!$F$58,'411'!$F$60,'411'!$F$62,'411'!$F$64,'411'!$F$66,'411'!$F$68:$F$71,'411'!$F$73,'411'!$F$75:$F$79,'411'!$F$81:$F$82,'411'!$F$84:$F$93,'411'!$F$95,'411'!$F$97,'411'!$F$99:$F$101,'411'!$F$103</definedName>
    <definedName name="OSRRefF21x_0" localSheetId="85">'412'!$F$27:$F$36,'412'!$F$38:$F$47,'412'!$F$49,'412'!$F$51,'412'!$F$53,'412'!$F$55:$F$56,'412'!$F$58,'412'!$F$60,'412'!$F$62,'412'!$F$64,'412'!$F$66,'412'!$F$68:$F$70,'412'!$F$72,'412'!$F$74:$F$78,'412'!$F$80:$F$89,'412'!$F$91:$F$92,'412'!$F$94,'412'!$F$96:$F$97,'412'!$F$99</definedName>
    <definedName name="OSRRefF21x_0" localSheetId="86">'413'!$F$26:$F$35,'413'!$F$37:$F$46,'413'!$F$48,'413'!$F$50,'413'!$F$52,'413'!$F$54,'413'!$F$56,'413'!$F$58,'413'!$F$60:$F$63,'413'!$F$65:$F$67,'413'!$F$69:$F$78,'413'!$F$80:$F$81,'413'!$F$83,'413'!$F$85:$F$86</definedName>
    <definedName name="OSRRefF21x_0" localSheetId="87">'414'!$F$26:$F$34,'414'!$F$36:$F$45,'414'!$F$47,'414'!$F$49,'414'!$F$51,'414'!$F$53,'414'!$F$55,'414'!$F$57,'414'!$F$59,'414'!$F$61,'414'!$F$63:$F$64,'414'!$F$66,'414'!$F$68:$F$70,'414'!$F$72,'414'!$F$74:$F$82,'414'!$F$84,'414'!$F$86,'414'!$F$88</definedName>
    <definedName name="OSRRefF21x_0" localSheetId="88">'415'!$F$26:$F$35,'415'!$F$37:$F$46,'415'!$F$48,'415'!$F$50,'415'!$F$52,'415'!$F$54:$F$55,'415'!$F$57,'415'!$F$59,'415'!$F$61,'415'!$F$63,'415'!$F$65,'415'!$F$67:$F$70,'415'!$F$72,'415'!$F$74:$F$78,'415'!$F$80:$F$81,'415'!$F$83:$F$91,'415'!$F$93:$F$94,'415'!$F$96,'415'!$F$98:$F$99,'415'!$F$101</definedName>
    <definedName name="OSRRefF21x_0" localSheetId="89">'418'!$F$26:$F$34,'418'!$F$36:$F$45,'418'!$F$47,'418'!$F$49,'418'!$F$51,'418'!$F$53:$F$54,'418'!$F$56,'418'!$F$58,'418'!$F$60,'418'!$F$62,'418'!$F$64,'418'!$F$66:$F$67,'418'!$F$69:$F$72,'418'!$F$74:$F$77,'418'!$F$79:$F$80,'418'!$F$82:$F$92,'418'!$F$94:$F$95,'418'!$F$97,'418'!$F$99:$F$100,'418'!$F$102</definedName>
    <definedName name="OSRRefF21x_0" localSheetId="90">'420'!$F$23:$F$30,'420'!$F$32:$F$35,'420'!$F$37,'420'!$F$39,'420'!$F$41,'420'!$F$43,'420'!$F$45,'420'!$F$47:$F$48,'420'!$F$50</definedName>
    <definedName name="OSRRefF21x_0" localSheetId="91">'423'!$F$20:$F$28,'423'!$F$30:$F$39,'423'!$F$41,'423'!$F$43,'423'!$F$45,'423'!$F$47,'423'!$F$49,'423'!$F$51:$F$53,'423'!$F$55,'423'!$F$57,'423'!$F$59,'423'!$F$61,'423'!$F$63</definedName>
    <definedName name="OSRRefF21x_0" localSheetId="92">'424'!$F$25:$F$31,'424'!$F$33:$F$38,'424'!$F$40,'424'!$F$42,'424'!$F$44,'424'!$F$46,'424'!$F$48,'424'!$F$50,'424'!$F$52,'424'!$F$54:$F$55,'424'!$F$57,'424'!$F$59:$F$61,'424'!$F$63:$F$69,'424'!$F$71</definedName>
    <definedName name="OSRRefF21x_0" localSheetId="93">'425'!$F$26:$F$34,'425'!$F$36:$F$41,'425'!$F$43,'425'!$F$45:$F$46,'425'!$F$48,'425'!$F$50:$F$51,'425'!$F$53,'425'!$F$55,'425'!$F$57,'425'!$F$59:$F$62,'425'!$F$64,'425'!$F$66:$F$69,'425'!$F$71:$F$72,'425'!$F$74:$F$81,'425'!$F$83,'425'!$F$85,'425'!$F$87:$F$89</definedName>
    <definedName name="OSRRefF21x_0" localSheetId="94">'430'!$F$19:$F$27,'430'!$F$29:$F$38,'430'!$F$40,'430'!$F$42,'430'!$F$44,'430'!$F$46,'430'!$F$48,'430'!$F$50,'430'!$F$52:$F$56,'430'!$F$58:$F$59,'430'!$F$61,'430'!$F$63:$F$64</definedName>
    <definedName name="OSRRefF21x_0" localSheetId="95">'433'!$F$28:$F$37,'433'!$F$39:$F$48,'433'!$F$50,'433'!$F$52,'433'!$F$54,'433'!$F$56,'433'!$F$58,'433'!$F$60,'433'!$F$62,'433'!$F$64,'433'!$F$66,'433'!$F$68,'433'!$F$70,'433'!$F$72:$F$74,'433'!$F$76:$F$79,'433'!$F$81,'433'!$F$83:$F$91,'433'!$F$93,'433'!$F$95,'433'!$F$97:$F$98,'433'!$F$100</definedName>
    <definedName name="OSRRefF21x_0" localSheetId="96">'435'!$F$24:$F$26,'435'!$F$28:$F$31,'435'!$F$33,'435'!$F$35,'435'!$F$37,'435'!$F$39,'435'!$F$41,'435'!$F$43,'435'!$F$45,'435'!$F$47:$F$48,'435'!$F$50:$F$56,'435'!$F$58,'435'!$F$60,'435'!$F$62</definedName>
    <definedName name="OSRRefF21x_0" localSheetId="97">'444'!$F$26:$F$35,'444'!$F$37:$F$46,'444'!$F$48,'444'!$F$50,'444'!$F$52,'444'!$F$54,'444'!$F$56,'444'!$F$58,'444'!$F$60,'444'!$F$62,'444'!$F$64,'444'!$F$66,'444'!$F$68,'444'!$F$70:$F$73,'444'!$F$75:$F$78,'444'!$F$80:$F$81,'444'!$F$83:$F$92,'444'!$F$94:$F$95,'444'!$F$97,'444'!$F$99,'444'!$F$101</definedName>
    <definedName name="OSRRefF21x_0" localSheetId="98">'445'!$F$24:$F$26,'445'!$F$28:$F$30,'445'!$F$32,'445'!$F$34,'445'!$F$36,'445'!$F$38,'445'!$F$40,'445'!$F$42,'445'!$F$44:$F$45,'445'!$F$47,'445'!$F$49:$F$52,'445'!$F$54,'445'!$F$56,'445'!$F$58</definedName>
    <definedName name="OSRRefF21x_0" localSheetId="99">'450'!$F$26:$F$35,'450'!$F$37:$F$46,'450'!$F$48,'450'!$F$50,'450'!$F$52,'450'!$F$54:$F$55,'450'!$F$57,'450'!$F$59,'450'!$F$61,'450'!$F$63,'450'!$F$65,'450'!$F$67,'450'!$F$69:$F$71,'450'!$F$73:$F$76,'450'!$F$78,'450'!$F$80:$F$89,'450'!$F$91:$F$92,'450'!$F$94,'450'!$F$96:$F$98</definedName>
    <definedName name="OSRRefF21x_0" localSheetId="100">'455'!$F$19:$F$26,'455'!$F$28:$F$29,'455'!$F$31,'455'!$F$33</definedName>
    <definedName name="OSRRefF21x_0" localSheetId="41">'491'!$F$37:$F$46,'491'!$F$48:$F$57,'491'!$F$59,'491'!$F$61:$F$62,'491'!$F$64,'491'!$F$66:$F$69,'491'!$F$71:$F$72,'491'!$F$74,'491'!$F$76,'491'!$F$78,'491'!$F$80,'491'!$F$82:$F$83,'491'!$F$85,'491'!$F$87,'491'!$F$89,'491'!$F$91,'491'!$F$93,'491'!$F$95:$F$98,'491'!$F$100:$F$101,'491'!$F$103:$F$107,'491'!$F$109:$F$110,'491'!$F$112:$F$122,'491'!$F$124:$F$125,'491'!$F$127,'491'!$F$129:$F$131,'491'!$F$133</definedName>
    <definedName name="OSRRefF21x_0" localSheetId="44">'492'!$F$30:$F$39,'492'!$F$41:$F$50,'492'!$F$52,'492'!$F$54,'492'!$F$56,'492'!$F$58:$F$59,'492'!$F$61,'492'!$F$63,'492'!$F$65,'492'!$F$67,'492'!$F$69,'492'!$F$71,'492'!$F$73,'492'!$F$75:$F$76,'492'!$F$78,'492'!$F$80:$F$83,'492'!$F$85:$F$88,'492'!$F$90:$F$91,'492'!$F$93:$F$102,'492'!$F$104:$F$105,'492'!$F$107,'492'!$F$109:$F$111,'492'!$F$113</definedName>
    <definedName name="OSRRefF21x_0" localSheetId="101">'501'!$F$21:$F$29,'501'!$F$31:$F$40,'501'!$F$42,'501'!$F$44,'501'!$F$46,'501'!$F$48,'501'!$F$50:$F$51,'501'!$F$53,'501'!$F$55,'501'!$F$57,'501'!$F$59,'501'!$F$61:$F$64,'501'!$F$66,'501'!$F$68:$F$71,'501'!$F$73,'501'!$F$75,'501'!$F$77</definedName>
    <definedName name="OSRRefF21x_0" localSheetId="8">'Div 2'!$F$20:$F$30,'Div 2'!$F$32:$F$41,'Div 2'!$F$43,'Div 2'!$F$45,'Div 2'!$F$47,'Div 2'!$F$49,'Div 2'!$F$51:$F$52,'Div 2'!$F$54:$F$55,'Div 2'!$F$57,'Div 2'!$F$59,'Div 2'!$F$61:$F$62,'Div 2'!$F$64:$F$65,'Div 2'!$F$67:$F$68,'Div 2'!$F$70,'Div 2'!$F$72:$F$75,'Div 2'!$F$77:$F$80,'Div 2'!$F$82:$F$83,'Div 2'!$F$85:$F$86,'Div 2'!$F$88:$F$94,'Div 2'!$F$96:$F$97,'Div 2'!$F$99,'Div 2'!$F$101:$F$102</definedName>
    <definedName name="OSRRefF21x_0" localSheetId="11">'Div 3'!$F$209:$F$218,'Div 3'!$F$220:$F$229,'Div 3'!$F$231,'Div 3'!$F$233:$F$235,'Div 3'!$F$237,'Div 3'!$F$239:$F$242,'Div 3'!$F$244:$F$245,'Div 3'!$F$247:$F$248,'Div 3'!$F$250,'Div 3'!$F$252,'Div 3'!$F$254:$F$255,'Div 3'!$F$257:$F$259,'Div 3'!$F$261,'Div 3'!$F$263,'Div 3'!$F$265:$F$301,'Div 3'!$F$303:$F$304,'Div 3'!$F$306,'Div 3'!$F$308:$F$311,'Div 3'!$F$313:$F$317,'Div 3'!$F$319:$F$324,'Div 3'!$F$326:$F$327,'Div 3'!$F$329:$F$338,'Div 3'!$F$340:$F$341,'Div 3'!$F$343,'Div 3'!$F$345:$F$347,'Div 3'!$F$349</definedName>
    <definedName name="OSRRefF21x_0" localSheetId="14">'Div 4'!$F$38:$F$47,'Div 4'!$F$49:$F$58,'Div 4'!$F$60,'Div 4'!$F$62:$F$63,'Div 4'!$F$65,'Div 4'!$F$67:$F$70,'Div 4'!$F$72:$F$73,'Div 4'!$F$75,'Div 4'!$F$77,'Div 4'!$F$79,'Div 4'!$F$81,'Div 4'!$F$83:$F$84,'Div 4'!$F$86,'Div 4'!$F$88,'Div 4'!$F$90:$F$91,'Div 4'!$F$93,'Div 4'!$F$95,'Div 4'!$F$97:$F$100,'Div 4'!$F$102:$F$103,'Div 4'!$F$105:$F$109,'Div 4'!$F$111:$F$112,'Div 4'!$F$114:$F$124,'Div 4'!$F$126:$F$127,'Div 4'!$F$129,'Div 4'!$F$131:$F$133,'Div 4'!$F$135</definedName>
    <definedName name="OSRRefF21x_0" localSheetId="47">'Div 5'!$F$21:$F$29,'Div 5'!$F$31:$F$40,'Div 5'!$F$42,'Div 5'!$F$44,'Div 5'!$F$46,'Div 5'!$F$48,'Div 5'!$F$50:$F$51,'Div 5'!$F$53,'Div 5'!$F$55,'Div 5'!$F$57,'Div 5'!$F$59,'Div 5'!$F$61:$F$64,'Div 5'!$F$66,'Div 5'!$F$68:$F$71,'Div 5'!$F$73,'Div 5'!$F$75,'Div 5'!$F$77</definedName>
    <definedName name="OSRRefF21x_0" localSheetId="50">'Div 6'!$F$63:$F$72,'Div 6'!$F$74:$F$83,'Div 6'!$F$85,'Div 6'!$F$87,'Div 6'!$F$89:$F$90,'Div 6'!$F$92,'Div 6'!$F$94,'Div 6'!$F$96:$F$97,'Div 6'!$F$99,'Div 6'!$F$101:$F$108,'Div 6'!$F$110:$F$111,'Div 6'!$F$113,'Div 6'!$F$115:$F$118,'Div 6'!$F$120,'Div 6'!$F$122,'Div 6'!$F$124:$F$125</definedName>
    <definedName name="OSRRefF21x_0" localSheetId="2">Summary!$F$245:$F$254,Summary!$F$256:$F$265,Summary!$F$267,Summary!$F$269:$F$271,Summary!$F$273,Summary!$F$275:$F$278,Summary!$F$280:$F$281,Summary!$F$283:$F$284,Summary!$F$286,Summary!$F$288,Summary!$F$290:$F$291,Summary!$F$293:$F$295,Summary!$F$297,Summary!$F$299,Summary!$F$301:$F$340,Summary!$F$342:$F$343,Summary!$F$345,Summary!$F$347,Summary!$F$349:$F$352,Summary!$F$354:$F$358,Summary!$F$360:$F$365,Summary!$F$367:$F$368,Summary!$F$370:$F$380,Summary!$F$382:$F$383,Summary!$F$385,Summary!$F$387:$F$389,Summary!$F$391</definedName>
    <definedName name="OSRRefF24x_0" localSheetId="56">'202'!$F$79:$F$81</definedName>
    <definedName name="OSRRefF24x_0" localSheetId="17">'300'!$F$343:$F$358</definedName>
    <definedName name="OSRRefF24x_0" localSheetId="20">'300 &amp; 317'!$F$371:$F$390</definedName>
    <definedName name="OSRRefF24x_0" localSheetId="61">'301'!$F$112:$F$114</definedName>
    <definedName name="OSRRefF24x_0" localSheetId="63">'307'!$F$189</definedName>
    <definedName name="OSRRefF24x_0" localSheetId="29">'308'!$F$167:$F$170</definedName>
    <definedName name="OSRRefF24x_0" localSheetId="64">'309'!$F$89</definedName>
    <definedName name="OSRRefF24x_0" localSheetId="23">'310'!$F$127</definedName>
    <definedName name="OSRRefF24x_0" localSheetId="38">'310 &amp; 491'!$F$150:$F$153</definedName>
    <definedName name="OSRRefF24x_0" localSheetId="65">'311'!$F$145:$F$148</definedName>
    <definedName name="OSRRefF24x_0" localSheetId="66">'312'!$F$101</definedName>
    <definedName name="OSRRefF24x_0" localSheetId="68">'314'!$F$117</definedName>
    <definedName name="OSRRefF24x_0" localSheetId="69">'315'!$F$133:$F$135</definedName>
    <definedName name="OSRRefF24x_0" localSheetId="70">'316'!$F$98</definedName>
    <definedName name="OSRRefF24x_0" localSheetId="71">'317'!$F$128:$F$133</definedName>
    <definedName name="OSRRefF24x_0" localSheetId="73">'320'!$F$82:$F$93</definedName>
    <definedName name="OSRRefF24x_0" localSheetId="26">'330'!$F$199</definedName>
    <definedName name="OSRRefF24x_0" localSheetId="32">'331'!$F$212:$F$214</definedName>
    <definedName name="OSRRefF24x_0" localSheetId="35">'332'!$F$121:$F$133</definedName>
    <definedName name="OSRRefF24x_0" localSheetId="84">'411'!$F$106:$F$107</definedName>
    <definedName name="OSRRefF24x_0" localSheetId="86">'413'!$F$89</definedName>
    <definedName name="OSRRefF24x_0" localSheetId="88">'415'!$F$104</definedName>
    <definedName name="OSRRefF24x_0" localSheetId="89">'418'!$F$105</definedName>
    <definedName name="OSRRefF24x_0" localSheetId="91">'423'!$F$66:$F$68</definedName>
    <definedName name="OSRRefF24x_0" localSheetId="92">'424'!$F$74</definedName>
    <definedName name="OSRRefF24x_0" localSheetId="93">'425'!$F$92</definedName>
    <definedName name="OSRRefF24x_0" localSheetId="100">'455'!$F$36:$F$38</definedName>
    <definedName name="OSRRefF24x_0" localSheetId="41">'491'!$F$136:$F$139</definedName>
    <definedName name="OSRRefF24x_0" localSheetId="101">'501'!$F$80:$F$82</definedName>
    <definedName name="OSRRefF24x_0" localSheetId="8">'Div 2'!$F$105:$F$107</definedName>
    <definedName name="OSRRefF24x_0" localSheetId="11">'Div 3'!$F$352:$F$367</definedName>
    <definedName name="OSRRefF24x_0" localSheetId="14">'Div 4'!$F$138:$F$141</definedName>
    <definedName name="OSRRefF24x_0" localSheetId="47">'Div 5'!$F$80:$F$82</definedName>
    <definedName name="OSRRefF24x_0" localSheetId="50">'Div 6'!$F$128:$F$133</definedName>
    <definedName name="OSRRefF24x_0" localSheetId="2">Summary!$F$394:$F$414</definedName>
    <definedName name="OSRRefH11x_0" localSheetId="55">'201'!$H$11</definedName>
    <definedName name="OSRRefH11x_0" localSheetId="56">'202'!$H$11</definedName>
    <definedName name="OSRRefH11x_0" localSheetId="17">'300'!$H$11:$H$133</definedName>
    <definedName name="OSRRefH11x_0" localSheetId="20">'300 &amp; 317'!$H$11:$H$151</definedName>
    <definedName name="OSRRefH11x_0" localSheetId="63">'307'!$H$11:$H$60</definedName>
    <definedName name="OSRRefH11x_0" localSheetId="29">'308'!$H$11:$H$54</definedName>
    <definedName name="OSRRefH11x_0" localSheetId="64">'309'!$H$11:$H$13</definedName>
    <definedName name="OSRRefH11x_0" localSheetId="23">'310'!$H$11:$H$27</definedName>
    <definedName name="OSRRefH11x_0" localSheetId="38">'310 &amp; 491'!$H$11:$H$36</definedName>
    <definedName name="OSRRefH11x_0" localSheetId="65">'311'!$H$11:$H$43</definedName>
    <definedName name="OSRRefH11x_0" localSheetId="66">'312'!$H$11:$H$34</definedName>
    <definedName name="OSRRefH11x_0" localSheetId="67">'313'!$H$11:$H$23</definedName>
    <definedName name="OSRRefH11x_0" localSheetId="68">'314'!$H$11:$H$35</definedName>
    <definedName name="OSRRefH11x_0" localSheetId="69">'315'!$H$11:$H$32</definedName>
    <definedName name="OSRRefH11x_0" localSheetId="70">'316'!$H$11:$H$30</definedName>
    <definedName name="OSRRefH11x_0" localSheetId="71">'317'!$H$11:$H$38</definedName>
    <definedName name="OSRRefH11x_0" localSheetId="73">'320'!$H$11:$H$20</definedName>
    <definedName name="OSRRefH11x_0" localSheetId="74">'321'!$H$11:$H$14</definedName>
    <definedName name="OSRRefH11x_0" localSheetId="75">'322'!$H$11:$H$13</definedName>
    <definedName name="OSRRefH11x_0" localSheetId="76">'323'!$H$11:$H$12</definedName>
    <definedName name="OSRRefH11x_0" localSheetId="77">'324'!$H$11:$H$14</definedName>
    <definedName name="OSRRefH11x_0" localSheetId="78">'325'!$H$11:$H$14</definedName>
    <definedName name="OSRRefH11x_0" localSheetId="79">'326'!$H$11:$H$55</definedName>
    <definedName name="OSRRefH11x_0" localSheetId="80">'327'!$H$11:$H$13</definedName>
    <definedName name="OSRRefH11x_0" localSheetId="26">'330'!$H$11:$H$66</definedName>
    <definedName name="OSRRefH11x_0" localSheetId="32">'331'!$H$11:$H$61</definedName>
    <definedName name="OSRRefH11x_0" localSheetId="35">'332'!$H$11:$H$41</definedName>
    <definedName name="OSRRefH11x_0" localSheetId="82">'405'!$H$11:$H$15</definedName>
    <definedName name="OSRRefH11x_0" localSheetId="83">'406'!$H$11:$H$12</definedName>
    <definedName name="OSRRefH11x_0" localSheetId="85">'412'!$H$11:$H$14</definedName>
    <definedName name="OSRRefH11x_0" localSheetId="86">'413'!$H$11:$H$14</definedName>
    <definedName name="OSRRefH11x_0" localSheetId="87">'414'!$H$11:$H$14</definedName>
    <definedName name="OSRRefH11x_0" localSheetId="88">'415'!$H$11:$H$14</definedName>
    <definedName name="OSRRefH11x_0" localSheetId="89">'418'!$H$11:$H$14</definedName>
    <definedName name="OSRRefH11x_0" localSheetId="90">'420'!$H$11:$H$12</definedName>
    <definedName name="OSRRefH11x_0" localSheetId="92">'424'!$H$11:$H$14</definedName>
    <definedName name="OSRRefH11x_0" localSheetId="93">'425'!$H$11:$H$15</definedName>
    <definedName name="OSRRefH11x_0" localSheetId="95">'433'!$H$11:$H$16</definedName>
    <definedName name="OSRRefH11x_0" localSheetId="96">'435'!$H$11:$H$13</definedName>
    <definedName name="OSRRefH11x_0" localSheetId="97">'444'!$H$11:$H$14</definedName>
    <definedName name="OSRRefH11x_0" localSheetId="98">'445'!$H$11:$H$13</definedName>
    <definedName name="OSRRefH11x_0" localSheetId="99">'450'!$H$11:$H$14</definedName>
    <definedName name="OSRRefH11x_0" localSheetId="41">'491'!$H$11:$H$24</definedName>
    <definedName name="OSRRefH11x_0" localSheetId="44">'492'!$H$11:$H$18</definedName>
    <definedName name="OSRRefH11x_0" localSheetId="101">'501'!$H$11:$H$12</definedName>
    <definedName name="OSRRefH11x_0" localSheetId="8">'Div 2'!$H$11</definedName>
    <definedName name="OSRRefH11x_0" localSheetId="11">'Div 3'!$H$11:$H$136</definedName>
    <definedName name="OSRRefH11x_0" localSheetId="14">'Div 4'!$H$11:$H$25</definedName>
    <definedName name="OSRRefH11x_0" localSheetId="47">'Div 5'!$H$11:$H$12</definedName>
    <definedName name="OSRRefH11x_0" localSheetId="50">'Div 6'!$H$11:$H$38</definedName>
    <definedName name="OSRRefH11x_0" localSheetId="2">Summary!$H$11:$H$164</definedName>
    <definedName name="OSRRefH14x_0" localSheetId="17">'300'!$H$136:$H$197</definedName>
    <definedName name="OSRRefH14x_0" localSheetId="20">'300 &amp; 317'!$H$154:$H$222</definedName>
    <definedName name="OSRRefH14x_0" localSheetId="61">'301'!$H$13</definedName>
    <definedName name="OSRRefH14x_0" localSheetId="63">'307'!$H$63:$H$93</definedName>
    <definedName name="OSRRefH14x_0" localSheetId="29">'308'!$H$57:$H$82</definedName>
    <definedName name="OSRRefH14x_0" localSheetId="64">'309'!$H$16:$H$18</definedName>
    <definedName name="OSRRefH14x_0" localSheetId="23">'310'!$H$30:$H$32</definedName>
    <definedName name="OSRRefH14x_0" localSheetId="38">'310 &amp; 491'!$H$39:$H$42</definedName>
    <definedName name="OSRRefH14x_0" localSheetId="65">'311'!$H$46:$H$64</definedName>
    <definedName name="OSRRefH14x_0" localSheetId="66">'312'!$H$37:$H$51</definedName>
    <definedName name="OSRRefH14x_0" localSheetId="67">'313'!$H$26:$H$28</definedName>
    <definedName name="OSRRefH14x_0" localSheetId="68">'314'!$H$38:$H$54</definedName>
    <definedName name="OSRRefH14x_0" localSheetId="69">'315'!$H$35:$H$50</definedName>
    <definedName name="OSRRefH14x_0" localSheetId="70">'316'!$H$33</definedName>
    <definedName name="OSRRefH14x_0" localSheetId="71">'317'!$H$41:$H$56</definedName>
    <definedName name="OSRRefH14x_0" localSheetId="73">'320'!$H$23:$H$28</definedName>
    <definedName name="OSRRefH14x_0" localSheetId="74">'321'!$H$17:$H$19</definedName>
    <definedName name="OSRRefH14x_0" localSheetId="75">'322'!$H$16:$H$18</definedName>
    <definedName name="OSRRefH14x_0" localSheetId="77">'324'!$H$17:$H$19</definedName>
    <definedName name="OSRRefH14x_0" localSheetId="78">'325'!$H$17:$H$19</definedName>
    <definedName name="OSRRefH14x_0" localSheetId="79">'326'!$H$58:$H$87</definedName>
    <definedName name="OSRRefH14x_0" localSheetId="80">'327'!$H$16:$H$18</definedName>
    <definedName name="OSRRefH14x_0" localSheetId="26">'330'!$H$69:$H$101</definedName>
    <definedName name="OSRRefH14x_0" localSheetId="32">'331'!$H$64:$H$98</definedName>
    <definedName name="OSRRefH14x_0" localSheetId="35">'332'!$H$44:$H$50</definedName>
    <definedName name="OSRRefH14x_0" localSheetId="82">'405'!$H$18:$H$20</definedName>
    <definedName name="OSRRefH14x_0" localSheetId="83">'406'!$H$15:$H$16</definedName>
    <definedName name="OSRRefH14x_0" localSheetId="85">'412'!$H$17:$H$20</definedName>
    <definedName name="OSRRefH14x_0" localSheetId="86">'413'!$H$17:$H$19</definedName>
    <definedName name="OSRRefH14x_0" localSheetId="87">'414'!$H$17:$H$19</definedName>
    <definedName name="OSRRefH14x_0" localSheetId="88">'415'!$H$17:$H$19</definedName>
    <definedName name="OSRRefH14x_0" localSheetId="89">'418'!$H$17:$H$19</definedName>
    <definedName name="OSRRefH14x_0" localSheetId="90">'420'!$H$15:$H$16</definedName>
    <definedName name="OSRRefH14x_0" localSheetId="91">'423'!$H$13</definedName>
    <definedName name="OSRRefH14x_0" localSheetId="92">'424'!$H$17:$H$18</definedName>
    <definedName name="OSRRefH14x_0" localSheetId="93">'425'!$H$18:$H$19</definedName>
    <definedName name="OSRRefH14x_0" localSheetId="95">'433'!$H$19:$H$21</definedName>
    <definedName name="OSRRefH14x_0" localSheetId="96">'435'!$H$16:$H$17</definedName>
    <definedName name="OSRRefH14x_0" localSheetId="97">'444'!$H$17:$H$19</definedName>
    <definedName name="OSRRefH14x_0" localSheetId="98">'445'!$H$16:$H$17</definedName>
    <definedName name="OSRRefH14x_0" localSheetId="99">'450'!$H$17:$H$19</definedName>
    <definedName name="OSRRefH14x_0" localSheetId="41">'491'!$H$27:$H$30</definedName>
    <definedName name="OSRRefH14x_0" localSheetId="44">'492'!$H$21:$H$23</definedName>
    <definedName name="OSRRefH14x_0" localSheetId="11">'Div 3'!$H$139:$H$202</definedName>
    <definedName name="OSRRefH14x_0" localSheetId="14">'Div 4'!$H$28:$H$31</definedName>
    <definedName name="OSRRefH14x_0" localSheetId="50">'Div 6'!$H$41:$H$56</definedName>
    <definedName name="OSRRefH14x_0" localSheetId="2">Summary!$H$167:$H$238</definedName>
    <definedName name="OSRRefH21_0x_0" localSheetId="54">'200'!$H$19:$H$20</definedName>
    <definedName name="OSRRefH21_0x_0" localSheetId="55">'201'!$H$20:$H$28</definedName>
    <definedName name="OSRRefH21_0x_0" localSheetId="56">'202'!$H$20:$H$28</definedName>
    <definedName name="OSRRefH21_0x_0" localSheetId="57">'203'!$H$19:$H$28</definedName>
    <definedName name="OSRRefH21_0x_0" localSheetId="58">'204'!$H$19:$H$28</definedName>
    <definedName name="OSRRefH21_0x_0" localSheetId="59">'205'!$H$19:$H$27</definedName>
    <definedName name="OSRRefH21_0x_0" localSheetId="60">'206'!$H$19:$H$27</definedName>
    <definedName name="OSRRefH21_0x_0" localSheetId="17">'300'!$H$204:$H$213</definedName>
    <definedName name="OSRRefH21_0x_0" localSheetId="20">'300 &amp; 317'!$H$229:$H$238</definedName>
    <definedName name="OSRRefH21_0x_0" localSheetId="61">'301'!$H$20:$H$28</definedName>
    <definedName name="OSRRefH21_0x_0" localSheetId="62">'306'!$H$19:$H$28</definedName>
    <definedName name="OSRRefH21_0x_0" localSheetId="63">'307'!$H$100:$H$108</definedName>
    <definedName name="OSRRefH21_0x_0" localSheetId="29">'308'!$H$89:$H$98</definedName>
    <definedName name="OSRRefH21_0x_0" localSheetId="64">'309'!$H$25:$H$33</definedName>
    <definedName name="OSRRefH21_0x_0" localSheetId="23">'310'!$H$39:$H$47</definedName>
    <definedName name="OSRRefH21_0x_0" localSheetId="38">'310 &amp; 491'!$H$49:$H$58</definedName>
    <definedName name="OSRRefH21_0x_0" localSheetId="65">'311'!$H$71:$H$80</definedName>
    <definedName name="OSRRefH21_0x_0" localSheetId="66">'312'!$H$58:$H$66</definedName>
    <definedName name="OSRRefH21_0x_0" localSheetId="67">'313'!$H$35:$H$43</definedName>
    <definedName name="OSRRefH21_0x_0" localSheetId="68">'314'!$H$61:$H$69</definedName>
    <definedName name="OSRRefH21_0x_0" localSheetId="69">'315'!$H$57:$H$65</definedName>
    <definedName name="OSRRefH21_0x_0" localSheetId="70">'316'!$H$40:$H$48</definedName>
    <definedName name="OSRRefH21_0x_0" localSheetId="71">'317'!$H$63:$H$72</definedName>
    <definedName name="OSRRefH21_0x_0" localSheetId="72">'318'!$H$19:$H$25</definedName>
    <definedName name="OSRRefH21_0x_0" localSheetId="73">'320'!$H$35:$H$42</definedName>
    <definedName name="OSRRefH21_0x_0" localSheetId="74">'321'!$H$26:$H$34</definedName>
    <definedName name="OSRRefH21_0x_0" localSheetId="75">'322'!$H$25:$H$33</definedName>
    <definedName name="OSRRefH21_0x_0" localSheetId="76">'323'!$H$21:$H$27</definedName>
    <definedName name="OSRRefH21_0x_0" localSheetId="77">'324'!$H$26:$H$33</definedName>
    <definedName name="OSRRefH21_0x_0" localSheetId="78">'325'!$H$26:$H$34</definedName>
    <definedName name="OSRRefH21_0x_0" localSheetId="79">'326'!$H$94:$H$102</definedName>
    <definedName name="OSRRefH21_0x_0" localSheetId="80">'327'!$H$25</definedName>
    <definedName name="OSRRefH21_0x_0" localSheetId="26">'330'!$H$108:$H$117</definedName>
    <definedName name="OSRRefH21_0x_0" localSheetId="32">'331'!$H$105:$H$113</definedName>
    <definedName name="OSRRefH21_0x_0" localSheetId="35">'332'!$H$57:$H$65</definedName>
    <definedName name="OSRRefH21_0x_0" localSheetId="81">'335'!$H$19:$H$26</definedName>
    <definedName name="OSRRefH21_0x_0" localSheetId="82">'405'!$H$27:$H$36</definedName>
    <definedName name="OSRRefH21_0x_0" localSheetId="83">'406'!$H$23:$H$30</definedName>
    <definedName name="OSRRefH21_0x_0" localSheetId="84">'411'!$H$19:$H$28</definedName>
    <definedName name="OSRRefH21_0x_0" localSheetId="85">'412'!$H$27:$H$36</definedName>
    <definedName name="OSRRefH21_0x_0" localSheetId="86">'413'!$H$26:$H$35</definedName>
    <definedName name="OSRRefH21_0x_0" localSheetId="87">'414'!$H$26:$H$34</definedName>
    <definedName name="OSRRefH21_0x_0" localSheetId="88">'415'!$H$26:$H$35</definedName>
    <definedName name="OSRRefH21_0x_0" localSheetId="89">'418'!$H$26:$H$34</definedName>
    <definedName name="OSRRefH21_0x_0" localSheetId="90">'420'!$H$23:$H$30</definedName>
    <definedName name="OSRRefH21_0x_0" localSheetId="91">'423'!$H$20:$H$28</definedName>
    <definedName name="OSRRefH21_0x_0" localSheetId="92">'424'!$H$25:$H$31</definedName>
    <definedName name="OSRRefH21_0x_0" localSheetId="93">'425'!$H$26:$H$34</definedName>
    <definedName name="OSRRefH21_0x_0" localSheetId="94">'430'!$H$19:$H$27</definedName>
    <definedName name="OSRRefH21_0x_0" localSheetId="95">'433'!$H$28:$H$37</definedName>
    <definedName name="OSRRefH21_0x_0" localSheetId="96">'435'!$H$24:$H$26</definedName>
    <definedName name="OSRRefH21_0x_0" localSheetId="97">'444'!$H$26:$H$35</definedName>
    <definedName name="OSRRefH21_0x_0" localSheetId="98">'445'!$H$24:$H$26</definedName>
    <definedName name="OSRRefH21_0x_0" localSheetId="99">'450'!$H$26:$H$35</definedName>
    <definedName name="OSRRefH21_0x_0" localSheetId="100">'455'!$H$19:$H$26</definedName>
    <definedName name="OSRRefH21_0x_0" localSheetId="41">'491'!$H$37:$H$46</definedName>
    <definedName name="OSRRefH21_0x_0" localSheetId="44">'492'!$H$30:$H$39</definedName>
    <definedName name="OSRRefH21_0x_0" localSheetId="101">'501'!$H$21:$H$29</definedName>
    <definedName name="OSRRefH21_0x_0" localSheetId="8">'Div 2'!$H$20:$H$30</definedName>
    <definedName name="OSRRefH21_0x_0" localSheetId="11">'Div 3'!$H$209:$H$218</definedName>
    <definedName name="OSRRefH21_0x_0" localSheetId="14">'Div 4'!$H$38:$H$47</definedName>
    <definedName name="OSRRefH21_0x_0" localSheetId="47">'Div 5'!$H$21:$H$29</definedName>
    <definedName name="OSRRefH21_0x_0" localSheetId="50">'Div 6'!$H$63:$H$72</definedName>
    <definedName name="OSRRefH21_0x_0" localSheetId="2">Summary!$H$245:$H$254</definedName>
    <definedName name="OSRRefH21_10x_0" localSheetId="55">'201'!$H$58</definedName>
    <definedName name="OSRRefH21_10x_0" localSheetId="56">'202'!$H$59:$H$61</definedName>
    <definedName name="OSRRefH21_10x_0" localSheetId="57">'203'!$H$60:$H$62</definedName>
    <definedName name="OSRRefH21_10x_0" localSheetId="58">'204'!$H$63:$H$66</definedName>
    <definedName name="OSRRefH21_10x_0" localSheetId="60">'206'!$H$59:$H$60</definedName>
    <definedName name="OSRRefH21_10x_0" localSheetId="17">'300'!$H$249:$H$250</definedName>
    <definedName name="OSRRefH21_10x_0" localSheetId="20">'300 &amp; 317'!$H$274:$H$275</definedName>
    <definedName name="OSRRefH21_10x_0" localSheetId="61">'301'!$H$63</definedName>
    <definedName name="OSRRefH21_10x_0" localSheetId="62">'306'!$H$63</definedName>
    <definedName name="OSRRefH21_10x_0" localSheetId="63">'307'!$H$162</definedName>
    <definedName name="OSRRefH21_10x_0" localSheetId="29">'308'!$H$142:$H$144</definedName>
    <definedName name="OSRRefH21_10x_0" localSheetId="64">'309'!$H$62:$H$63</definedName>
    <definedName name="OSRRefH21_10x_0" localSheetId="23">'310'!$H$78:$H$79</definedName>
    <definedName name="OSRRefH21_10x_0" localSheetId="38">'310 &amp; 491'!$H$92:$H$93</definedName>
    <definedName name="OSRRefH21_10x_0" localSheetId="65">'311'!$H$120:$H$122</definedName>
    <definedName name="OSRRefH21_10x_0" localSheetId="67">'313'!$H$73:$H$75</definedName>
    <definedName name="OSRRefH21_10x_0" localSheetId="68">'314'!$H$105:$H$108</definedName>
    <definedName name="OSRRefH21_10x_0" localSheetId="69">'315'!$H$102</definedName>
    <definedName name="OSRRefH21_10x_0" localSheetId="70">'316'!$H$80</definedName>
    <definedName name="OSRRefH21_10x_0" localSheetId="71">'317'!$H$110:$H$111</definedName>
    <definedName name="OSRRefH21_10x_0" localSheetId="73">'320'!$H$75</definedName>
    <definedName name="OSRRefH21_10x_0" localSheetId="74">'321'!$H$66:$H$67</definedName>
    <definedName name="OSRRefH21_10x_0" localSheetId="75">'322'!$H$62</definedName>
    <definedName name="OSRRefH21_10x_0" localSheetId="78">'325'!$H$64</definedName>
    <definedName name="OSRRefH21_10x_0" localSheetId="79">'326'!$H$135</definedName>
    <definedName name="OSRRefH21_10x_0" localSheetId="26">'330'!$H$171</definedName>
    <definedName name="OSRRefH21_10x_0" localSheetId="32">'331'!$H$146</definedName>
    <definedName name="OSRRefH21_10x_0" localSheetId="35">'332'!$H$98:$H$100</definedName>
    <definedName name="OSRRefH21_10x_0" localSheetId="82">'405'!$H$66:$H$68</definedName>
    <definedName name="OSRRefH21_10x_0" localSheetId="83">'406'!$H$55:$H$57</definedName>
    <definedName name="OSRRefH21_10x_0" localSheetId="84">'411'!$H$60</definedName>
    <definedName name="OSRRefH21_10x_0" localSheetId="85">'412'!$H$66</definedName>
    <definedName name="OSRRefH21_10x_0" localSheetId="86">'413'!$H$69:$H$78</definedName>
    <definedName name="OSRRefH21_10x_0" localSheetId="87">'414'!$H$63:$H$64</definedName>
    <definedName name="OSRRefH21_10x_0" localSheetId="88">'415'!$H$65</definedName>
    <definedName name="OSRRefH21_10x_0" localSheetId="89">'418'!$H$64</definedName>
    <definedName name="OSRRefH21_10x_0" localSheetId="91">'423'!$H$59</definedName>
    <definedName name="OSRRefH21_10x_0" localSheetId="92">'424'!$H$57</definedName>
    <definedName name="OSRRefH21_10x_0" localSheetId="93">'425'!$H$64</definedName>
    <definedName name="OSRRefH21_10x_0" localSheetId="94">'430'!$H$61</definedName>
    <definedName name="OSRRefH21_10x_0" localSheetId="95">'433'!$H$66</definedName>
    <definedName name="OSRRefH21_10x_0" localSheetId="96">'435'!$H$50:$H$56</definedName>
    <definedName name="OSRRefH21_10x_0" localSheetId="97">'444'!$H$64</definedName>
    <definedName name="OSRRefH21_10x_0" localSheetId="98">'445'!$H$49:$H$52</definedName>
    <definedName name="OSRRefH21_10x_0" localSheetId="99">'450'!$H$65</definedName>
    <definedName name="OSRRefH21_10x_0" localSheetId="41">'491'!$H$80</definedName>
    <definedName name="OSRRefH21_10x_0" localSheetId="44">'492'!$H$69</definedName>
    <definedName name="OSRRefH21_10x_0" localSheetId="101">'501'!$H$59</definedName>
    <definedName name="OSRRefH21_10x_0" localSheetId="8">'Div 2'!$H$61:$H$62</definedName>
    <definedName name="OSRRefH21_10x_0" localSheetId="11">'Div 3'!$H$254:$H$255</definedName>
    <definedName name="OSRRefH21_10x_0" localSheetId="14">'Div 4'!$H$81</definedName>
    <definedName name="OSRRefH21_10x_0" localSheetId="47">'Div 5'!$H$59</definedName>
    <definedName name="OSRRefH21_10x_0" localSheetId="50">'Div 6'!$H$110:$H$111</definedName>
    <definedName name="OSRRefH21_10x_0" localSheetId="2">Summary!$H$290:$H$291</definedName>
    <definedName name="OSRRefH21_11x_0" localSheetId="55">'201'!$H$60</definedName>
    <definedName name="OSRRefH21_11x_0" localSheetId="56">'202'!$H$63</definedName>
    <definedName name="OSRRefH21_11x_0" localSheetId="57">'203'!$H$64:$H$65</definedName>
    <definedName name="OSRRefH21_11x_0" localSheetId="58">'204'!$H$68:$H$69</definedName>
    <definedName name="OSRRefH21_11x_0" localSheetId="60">'206'!$H$62</definedName>
    <definedName name="OSRRefH21_11x_0" localSheetId="17">'300'!$H$252:$H$254</definedName>
    <definedName name="OSRRefH21_11x_0" localSheetId="20">'300 &amp; 317'!$H$277:$H$279</definedName>
    <definedName name="OSRRefH21_11x_0" localSheetId="61">'301'!$H$65</definedName>
    <definedName name="OSRRefH21_11x_0" localSheetId="62">'306'!$H$65</definedName>
    <definedName name="OSRRefH21_11x_0" localSheetId="63">'307'!$H$164</definedName>
    <definedName name="OSRRefH21_11x_0" localSheetId="29">'308'!$H$146</definedName>
    <definedName name="OSRRefH21_11x_0" localSheetId="64">'309'!$H$65:$H$67</definedName>
    <definedName name="OSRRefH21_11x_0" localSheetId="23">'310'!$H$81</definedName>
    <definedName name="OSRRefH21_11x_0" localSheetId="38">'310 &amp; 491'!$H$95:$H$97</definedName>
    <definedName name="OSRRefH21_11x_0" localSheetId="65">'311'!$H$124</definedName>
    <definedName name="OSRRefH21_11x_0" localSheetId="67">'313'!$H$77:$H$78</definedName>
    <definedName name="OSRRefH21_11x_0" localSheetId="68">'314'!$H$110</definedName>
    <definedName name="OSRRefH21_11x_0" localSheetId="69">'315'!$H$104:$H$106</definedName>
    <definedName name="OSRRefH21_11x_0" localSheetId="70">'316'!$H$82:$H$87</definedName>
    <definedName name="OSRRefH21_11x_0" localSheetId="71">'317'!$H$113</definedName>
    <definedName name="OSRRefH21_11x_0" localSheetId="73">'320'!$H$77</definedName>
    <definedName name="OSRRefH21_11x_0" localSheetId="74">'321'!$H$69:$H$71</definedName>
    <definedName name="OSRRefH21_11x_0" localSheetId="75">'322'!$H$64</definedName>
    <definedName name="OSRRefH21_11x_0" localSheetId="78">'325'!$H$66</definedName>
    <definedName name="OSRRefH21_11x_0" localSheetId="79">'326'!$H$137:$H$157</definedName>
    <definedName name="OSRRefH21_11x_0" localSheetId="26">'330'!$H$173</definedName>
    <definedName name="OSRRefH21_11x_0" localSheetId="32">'331'!$H$148:$H$168</definedName>
    <definedName name="OSRRefH21_11x_0" localSheetId="35">'332'!$H$102:$H$103</definedName>
    <definedName name="OSRRefH21_11x_0" localSheetId="82">'405'!$H$70</definedName>
    <definedName name="OSRRefH21_11x_0" localSheetId="83">'406'!$H$59</definedName>
    <definedName name="OSRRefH21_11x_0" localSheetId="84">'411'!$H$62</definedName>
    <definedName name="OSRRefH21_11x_0" localSheetId="85">'412'!$H$68:$H$70</definedName>
    <definedName name="OSRRefH21_11x_0" localSheetId="86">'413'!$H$80:$H$81</definedName>
    <definedName name="OSRRefH21_11x_0" localSheetId="87">'414'!$H$66</definedName>
    <definedName name="OSRRefH21_11x_0" localSheetId="88">'415'!$H$67:$H$70</definedName>
    <definedName name="OSRRefH21_11x_0" localSheetId="89">'418'!$H$66:$H$67</definedName>
    <definedName name="OSRRefH21_11x_0" localSheetId="91">'423'!$H$61</definedName>
    <definedName name="OSRRefH21_11x_0" localSheetId="92">'424'!$H$59:$H$61</definedName>
    <definedName name="OSRRefH21_11x_0" localSheetId="93">'425'!$H$66:$H$69</definedName>
    <definedName name="OSRRefH21_11x_0" localSheetId="94">'430'!$H$63:$H$64</definedName>
    <definedName name="OSRRefH21_11x_0" localSheetId="95">'433'!$H$68</definedName>
    <definedName name="OSRRefH21_11x_0" localSheetId="96">'435'!$H$58</definedName>
    <definedName name="OSRRefH21_11x_0" localSheetId="97">'444'!$H$66</definedName>
    <definedName name="OSRRefH21_11x_0" localSheetId="98">'445'!$H$54</definedName>
    <definedName name="OSRRefH21_11x_0" localSheetId="99">'450'!$H$67</definedName>
    <definedName name="OSRRefH21_11x_0" localSheetId="41">'491'!$H$82:$H$83</definedName>
    <definedName name="OSRRefH21_11x_0" localSheetId="44">'492'!$H$71</definedName>
    <definedName name="OSRRefH21_11x_0" localSheetId="101">'501'!$H$61:$H$64</definedName>
    <definedName name="OSRRefH21_11x_0" localSheetId="8">'Div 2'!$H$64:$H$65</definedName>
    <definedName name="OSRRefH21_11x_0" localSheetId="11">'Div 3'!$H$257:$H$259</definedName>
    <definedName name="OSRRefH21_11x_0" localSheetId="14">'Div 4'!$H$83:$H$84</definedName>
    <definedName name="OSRRefH21_11x_0" localSheetId="47">'Div 5'!$H$61:$H$64</definedName>
    <definedName name="OSRRefH21_11x_0" localSheetId="50">'Div 6'!$H$113</definedName>
    <definedName name="OSRRefH21_11x_0" localSheetId="2">Summary!$H$293:$H$295</definedName>
    <definedName name="OSRRefH21_12x_0" localSheetId="55">'201'!$H$62</definedName>
    <definedName name="OSRRefH21_12x_0" localSheetId="56">'202'!$H$65</definedName>
    <definedName name="OSRRefH21_12x_0" localSheetId="57">'203'!$H$67:$H$71</definedName>
    <definedName name="OSRRefH21_12x_0" localSheetId="58">'204'!$H$71</definedName>
    <definedName name="OSRRefH21_12x_0" localSheetId="60">'206'!$H$64:$H$65</definedName>
    <definedName name="OSRRefH21_12x_0" localSheetId="17">'300'!$H$256</definedName>
    <definedName name="OSRRefH21_12x_0" localSheetId="20">'300 &amp; 317'!$H$281</definedName>
    <definedName name="OSRRefH21_12x_0" localSheetId="61">'301'!$H$67</definedName>
    <definedName name="OSRRefH21_12x_0" localSheetId="62">'306'!$H$67</definedName>
    <definedName name="OSRRefH21_12x_0" localSheetId="63">'307'!$H$166:$H$167</definedName>
    <definedName name="OSRRefH21_12x_0" localSheetId="29">'308'!$H$148:$H$149</definedName>
    <definedName name="OSRRefH21_12x_0" localSheetId="64">'309'!$H$69</definedName>
    <definedName name="OSRRefH21_12x_0" localSheetId="23">'310'!$H$83</definedName>
    <definedName name="OSRRefH21_12x_0" localSheetId="38">'310 &amp; 491'!$H$99</definedName>
    <definedName name="OSRRefH21_12x_0" localSheetId="65">'311'!$H$126:$H$127</definedName>
    <definedName name="OSRRefH21_12x_0" localSheetId="67">'313'!$H$80:$H$81</definedName>
    <definedName name="OSRRefH21_12x_0" localSheetId="68">'314'!$H$112</definedName>
    <definedName name="OSRRefH21_12x_0" localSheetId="69">'315'!$H$108:$H$110</definedName>
    <definedName name="OSRRefH21_12x_0" localSheetId="70">'316'!$H$89</definedName>
    <definedName name="OSRRefH21_12x_0" localSheetId="71">'317'!$H$115:$H$118</definedName>
    <definedName name="OSRRefH21_12x_0" localSheetId="73">'320'!$H$79</definedName>
    <definedName name="OSRRefH21_12x_0" localSheetId="74">'321'!$H$73:$H$74</definedName>
    <definedName name="OSRRefH21_12x_0" localSheetId="75">'322'!$H$66:$H$67</definedName>
    <definedName name="OSRRefH21_12x_0" localSheetId="78">'325'!$H$68:$H$71</definedName>
    <definedName name="OSRRefH21_12x_0" localSheetId="79">'326'!$H$159</definedName>
    <definedName name="OSRRefH21_12x_0" localSheetId="26">'330'!$H$175:$H$176</definedName>
    <definedName name="OSRRefH21_12x_0" localSheetId="32">'331'!$H$170</definedName>
    <definedName name="OSRRefH21_12x_0" localSheetId="35">'332'!$H$105:$H$110</definedName>
    <definedName name="OSRRefH21_12x_0" localSheetId="82">'405'!$H$72:$H$75</definedName>
    <definedName name="OSRRefH21_12x_0" localSheetId="83">'406'!$H$61:$H$63</definedName>
    <definedName name="OSRRefH21_12x_0" localSheetId="84">'411'!$H$64</definedName>
    <definedName name="OSRRefH21_12x_0" localSheetId="85">'412'!$H$72</definedName>
    <definedName name="OSRRefH21_12x_0" localSheetId="86">'413'!$H$83</definedName>
    <definedName name="OSRRefH21_12x_0" localSheetId="87">'414'!$H$68:$H$70</definedName>
    <definedName name="OSRRefH21_12x_0" localSheetId="88">'415'!$H$72</definedName>
    <definedName name="OSRRefH21_12x_0" localSheetId="89">'418'!$H$69:$H$72</definedName>
    <definedName name="OSRRefH21_12x_0" localSheetId="91">'423'!$H$63</definedName>
    <definedName name="OSRRefH21_12x_0" localSheetId="92">'424'!$H$63:$H$69</definedName>
    <definedName name="OSRRefH21_12x_0" localSheetId="93">'425'!$H$71:$H$72</definedName>
    <definedName name="OSRRefH21_12x_0" localSheetId="95">'433'!$H$70</definedName>
    <definedName name="OSRRefH21_12x_0" localSheetId="96">'435'!$H$60</definedName>
    <definedName name="OSRRefH21_12x_0" localSheetId="97">'444'!$H$68</definedName>
    <definedName name="OSRRefH21_12x_0" localSheetId="98">'445'!$H$56</definedName>
    <definedName name="OSRRefH21_12x_0" localSheetId="99">'450'!$H$69:$H$71</definedName>
    <definedName name="OSRRefH21_12x_0" localSheetId="41">'491'!$H$85</definedName>
    <definedName name="OSRRefH21_12x_0" localSheetId="44">'492'!$H$73</definedName>
    <definedName name="OSRRefH21_12x_0" localSheetId="101">'501'!$H$66</definedName>
    <definedName name="OSRRefH21_12x_0" localSheetId="8">'Div 2'!$H$67:$H$68</definedName>
    <definedName name="OSRRefH21_12x_0" localSheetId="11">'Div 3'!$H$261</definedName>
    <definedName name="OSRRefH21_12x_0" localSheetId="14">'Div 4'!$H$86</definedName>
    <definedName name="OSRRefH21_12x_0" localSheetId="47">'Div 5'!$H$66</definedName>
    <definedName name="OSRRefH21_12x_0" localSheetId="50">'Div 6'!$H$115:$H$118</definedName>
    <definedName name="OSRRefH21_12x_0" localSheetId="2">Summary!$H$297</definedName>
    <definedName name="OSRRefH21_13x_0" localSheetId="55">'201'!$H$64:$H$67</definedName>
    <definedName name="OSRRefH21_13x_0" localSheetId="56">'202'!$H$67:$H$69</definedName>
    <definedName name="OSRRefH21_13x_0" localSheetId="57">'203'!$H$73</definedName>
    <definedName name="OSRRefH21_13x_0" localSheetId="58">'204'!$H$73:$H$74</definedName>
    <definedName name="OSRRefH21_13x_0" localSheetId="17">'300'!$H$258:$H$294</definedName>
    <definedName name="OSRRefH21_13x_0" localSheetId="20">'300 &amp; 317'!$H$283:$H$322</definedName>
    <definedName name="OSRRefH21_13x_0" localSheetId="61">'301'!$H$69:$H$70</definedName>
    <definedName name="OSRRefH21_13x_0" localSheetId="63">'307'!$H$169:$H$170</definedName>
    <definedName name="OSRRefH21_13x_0" localSheetId="29">'308'!$H$151:$H$154</definedName>
    <definedName name="OSRRefH21_13x_0" localSheetId="64">'309'!$H$71:$H$79</definedName>
    <definedName name="OSRRefH21_13x_0" localSheetId="23">'310'!$H$85</definedName>
    <definedName name="OSRRefH21_13x_0" localSheetId="38">'310 &amp; 491'!$H$101</definedName>
    <definedName name="OSRRefH21_13x_0" localSheetId="65">'311'!$H$129:$H$132</definedName>
    <definedName name="OSRRefH21_13x_0" localSheetId="67">'313'!$H$83:$H$89</definedName>
    <definedName name="OSRRefH21_13x_0" localSheetId="68">'314'!$H$114</definedName>
    <definedName name="OSRRefH21_13x_0" localSheetId="69">'315'!$H$112:$H$113</definedName>
    <definedName name="OSRRefH21_13x_0" localSheetId="70">'316'!$H$91</definedName>
    <definedName name="OSRRefH21_13x_0" localSheetId="71">'317'!$H$120</definedName>
    <definedName name="OSRRefH21_13x_0" localSheetId="74">'321'!$H$76:$H$83</definedName>
    <definedName name="OSRRefH21_13x_0" localSheetId="75">'322'!$H$69:$H$71</definedName>
    <definedName name="OSRRefH21_13x_0" localSheetId="78">'325'!$H$73:$H$76</definedName>
    <definedName name="OSRRefH21_13x_0" localSheetId="79">'326'!$H$161</definedName>
    <definedName name="OSRRefH21_13x_0" localSheetId="26">'330'!$H$178:$H$179</definedName>
    <definedName name="OSRRefH21_13x_0" localSheetId="32">'331'!$H$172</definedName>
    <definedName name="OSRRefH21_13x_0" localSheetId="35">'332'!$H$112</definedName>
    <definedName name="OSRRefH21_13x_0" localSheetId="82">'405'!$H$77:$H$78</definedName>
    <definedName name="OSRRefH21_13x_0" localSheetId="83">'406'!$H$65:$H$70</definedName>
    <definedName name="OSRRefH21_13x_0" localSheetId="84">'411'!$H$66</definedName>
    <definedName name="OSRRefH21_13x_0" localSheetId="85">'412'!$H$74:$H$78</definedName>
    <definedName name="OSRRefH21_13x_0" localSheetId="86">'413'!$H$85:$H$86</definedName>
    <definedName name="OSRRefH21_13x_0" localSheetId="87">'414'!$H$72</definedName>
    <definedName name="OSRRefH21_13x_0" localSheetId="88">'415'!$H$74:$H$78</definedName>
    <definedName name="OSRRefH21_13x_0" localSheetId="89">'418'!$H$74:$H$77</definedName>
    <definedName name="OSRRefH21_13x_0" localSheetId="92">'424'!$H$71</definedName>
    <definedName name="OSRRefH21_13x_0" localSheetId="93">'425'!$H$74:$H$81</definedName>
    <definedName name="OSRRefH21_13x_0" localSheetId="95">'433'!$H$72:$H$74</definedName>
    <definedName name="OSRRefH21_13x_0" localSheetId="96">'435'!$H$62</definedName>
    <definedName name="OSRRefH21_13x_0" localSheetId="97">'444'!$H$70:$H$73</definedName>
    <definedName name="OSRRefH21_13x_0" localSheetId="98">'445'!$H$58</definedName>
    <definedName name="OSRRefH21_13x_0" localSheetId="99">'450'!$H$73:$H$76</definedName>
    <definedName name="OSRRefH21_13x_0" localSheetId="41">'491'!$H$87</definedName>
    <definedName name="OSRRefH21_13x_0" localSheetId="44">'492'!$H$75:$H$76</definedName>
    <definedName name="OSRRefH21_13x_0" localSheetId="101">'501'!$H$68:$H$71</definedName>
    <definedName name="OSRRefH21_13x_0" localSheetId="8">'Div 2'!$H$70</definedName>
    <definedName name="OSRRefH21_13x_0" localSheetId="11">'Div 3'!$H$263</definedName>
    <definedName name="OSRRefH21_13x_0" localSheetId="14">'Div 4'!$H$88</definedName>
    <definedName name="OSRRefH21_13x_0" localSheetId="47">'Div 5'!$H$68:$H$71</definedName>
    <definedName name="OSRRefH21_13x_0" localSheetId="50">'Div 6'!$H$120</definedName>
    <definedName name="OSRRefH21_13x_0" localSheetId="2">Summary!$H$299</definedName>
    <definedName name="OSRRefH21_14x_0" localSheetId="55">'201'!$H$69:$H$71</definedName>
    <definedName name="OSRRefH21_14x_0" localSheetId="56">'202'!$H$71</definedName>
    <definedName name="OSRRefH21_14x_0" localSheetId="57">'203'!$H$75</definedName>
    <definedName name="OSRRefH21_14x_0" localSheetId="17">'300'!$H$296:$H$297</definedName>
    <definedName name="OSRRefH21_14x_0" localSheetId="20">'300 &amp; 317'!$H$324:$H$325</definedName>
    <definedName name="OSRRefH21_14x_0" localSheetId="61">'301'!$H$72:$H$73</definedName>
    <definedName name="OSRRefH21_14x_0" localSheetId="63">'307'!$H$172</definedName>
    <definedName name="OSRRefH21_14x_0" localSheetId="29">'308'!$H$156:$H$157</definedName>
    <definedName name="OSRRefH21_14x_0" localSheetId="64">'309'!$H$81</definedName>
    <definedName name="OSRRefH21_14x_0" localSheetId="23">'310'!$H$87</definedName>
    <definedName name="OSRRefH21_14x_0" localSheetId="38">'310 &amp; 491'!$H$103</definedName>
    <definedName name="OSRRefH21_14x_0" localSheetId="65">'311'!$H$134:$H$135</definedName>
    <definedName name="OSRRefH21_14x_0" localSheetId="67">'313'!$H$91:$H$92</definedName>
    <definedName name="OSRRefH21_14x_0" localSheetId="69">'315'!$H$115:$H$122</definedName>
    <definedName name="OSRRefH21_14x_0" localSheetId="70">'316'!$H$93</definedName>
    <definedName name="OSRRefH21_14x_0" localSheetId="71">'317'!$H$122</definedName>
    <definedName name="OSRRefH21_14x_0" localSheetId="74">'321'!$H$85:$H$86</definedName>
    <definedName name="OSRRefH21_14x_0" localSheetId="75">'322'!$H$73:$H$74</definedName>
    <definedName name="OSRRefH21_14x_0" localSheetId="78">'325'!$H$78:$H$79</definedName>
    <definedName name="OSRRefH21_14x_0" localSheetId="79">'326'!$H$163:$H$165</definedName>
    <definedName name="OSRRefH21_14x_0" localSheetId="26">'330'!$H$181</definedName>
    <definedName name="OSRRefH21_14x_0" localSheetId="32">'331'!$H$174:$H$177</definedName>
    <definedName name="OSRRefH21_14x_0" localSheetId="35">'332'!$H$114</definedName>
    <definedName name="OSRRefH21_14x_0" localSheetId="82">'405'!$H$80:$H$89</definedName>
    <definedName name="OSRRefH21_14x_0" localSheetId="83">'406'!$H$72</definedName>
    <definedName name="OSRRefH21_14x_0" localSheetId="84">'411'!$H$68:$H$71</definedName>
    <definedName name="OSRRefH21_14x_0" localSheetId="85">'412'!$H$80:$H$89</definedName>
    <definedName name="OSRRefH21_14x_0" localSheetId="87">'414'!$H$74:$H$82</definedName>
    <definedName name="OSRRefH21_14x_0" localSheetId="88">'415'!$H$80:$H$81</definedName>
    <definedName name="OSRRefH21_14x_0" localSheetId="89">'418'!$H$79:$H$80</definedName>
    <definedName name="OSRRefH21_14x_0" localSheetId="93">'425'!$H$83</definedName>
    <definedName name="OSRRefH21_14x_0" localSheetId="95">'433'!$H$76:$H$79</definedName>
    <definedName name="OSRRefH21_14x_0" localSheetId="97">'444'!$H$75:$H$78</definedName>
    <definedName name="OSRRefH21_14x_0" localSheetId="99">'450'!$H$78</definedName>
    <definedName name="OSRRefH21_14x_0" localSheetId="41">'491'!$H$89</definedName>
    <definedName name="OSRRefH21_14x_0" localSheetId="44">'492'!$H$78</definedName>
    <definedName name="OSRRefH21_14x_0" localSheetId="101">'501'!$H$73</definedName>
    <definedName name="OSRRefH21_14x_0" localSheetId="8">'Div 2'!$H$72:$H$75</definedName>
    <definedName name="OSRRefH21_14x_0" localSheetId="11">'Div 3'!$H$265:$H$301</definedName>
    <definedName name="OSRRefH21_14x_0" localSheetId="14">'Div 4'!$H$90:$H$91</definedName>
    <definedName name="OSRRefH21_14x_0" localSheetId="47">'Div 5'!$H$73</definedName>
    <definedName name="OSRRefH21_14x_0" localSheetId="50">'Div 6'!$H$122</definedName>
    <definedName name="OSRRefH21_14x_0" localSheetId="2">Summary!$H$301:$H$340</definedName>
    <definedName name="OSRRefH21_15x_0" localSheetId="55">'201'!$H$73</definedName>
    <definedName name="OSRRefH21_15x_0" localSheetId="56">'202'!$H$73</definedName>
    <definedName name="OSRRefH21_15x_0" localSheetId="57">'203'!$H$77:$H$78</definedName>
    <definedName name="OSRRefH21_15x_0" localSheetId="17">'300'!$H$299</definedName>
    <definedName name="OSRRefH21_15x_0" localSheetId="20">'300 &amp; 317'!$H$327</definedName>
    <definedName name="OSRRefH21_15x_0" localSheetId="61">'301'!$H$75</definedName>
    <definedName name="OSRRefH21_15x_0" localSheetId="63">'307'!$H$174:$H$179</definedName>
    <definedName name="OSRRefH21_15x_0" localSheetId="29">'308'!$H$159</definedName>
    <definedName name="OSRRefH21_15x_0" localSheetId="64">'309'!$H$83</definedName>
    <definedName name="OSRRefH21_15x_0" localSheetId="23">'310'!$H$89:$H$92</definedName>
    <definedName name="OSRRefH21_15x_0" localSheetId="38">'310 &amp; 491'!$H$105</definedName>
    <definedName name="OSRRefH21_15x_0" localSheetId="65">'311'!$H$137</definedName>
    <definedName name="OSRRefH21_15x_0" localSheetId="67">'313'!$H$94</definedName>
    <definedName name="OSRRefH21_15x_0" localSheetId="69">'315'!$H$124</definedName>
    <definedName name="OSRRefH21_15x_0" localSheetId="70">'316'!$H$95</definedName>
    <definedName name="OSRRefH21_15x_0" localSheetId="71">'317'!$H$124:$H$125</definedName>
    <definedName name="OSRRefH21_15x_0" localSheetId="74">'321'!$H$88</definedName>
    <definedName name="OSRRefH21_15x_0" localSheetId="75">'322'!$H$76:$H$84</definedName>
    <definedName name="OSRRefH21_15x_0" localSheetId="78">'325'!$H$81:$H$88</definedName>
    <definedName name="OSRRefH21_15x_0" localSheetId="79">'326'!$H$167:$H$169</definedName>
    <definedName name="OSRRefH21_15x_0" localSheetId="26">'330'!$H$183:$H$189</definedName>
    <definedName name="OSRRefH21_15x_0" localSheetId="32">'331'!$H$179:$H$181</definedName>
    <definedName name="OSRRefH21_15x_0" localSheetId="35">'332'!$H$116</definedName>
    <definedName name="OSRRefH21_15x_0" localSheetId="82">'405'!$H$91</definedName>
    <definedName name="OSRRefH21_15x_0" localSheetId="83">'406'!$H$74</definedName>
    <definedName name="OSRRefH21_15x_0" localSheetId="84">'411'!$H$73</definedName>
    <definedName name="OSRRefH21_15x_0" localSheetId="85">'412'!$H$91:$H$92</definedName>
    <definedName name="OSRRefH21_15x_0" localSheetId="87">'414'!$H$84</definedName>
    <definedName name="OSRRefH21_15x_0" localSheetId="88">'415'!$H$83:$H$91</definedName>
    <definedName name="OSRRefH21_15x_0" localSheetId="89">'418'!$H$82:$H$92</definedName>
    <definedName name="OSRRefH21_15x_0" localSheetId="93">'425'!$H$85</definedName>
    <definedName name="OSRRefH21_15x_0" localSheetId="95">'433'!$H$81</definedName>
    <definedName name="OSRRefH21_15x_0" localSheetId="97">'444'!$H$80:$H$81</definedName>
    <definedName name="OSRRefH21_15x_0" localSheetId="99">'450'!$H$80:$H$89</definedName>
    <definedName name="OSRRefH21_15x_0" localSheetId="41">'491'!$H$91</definedName>
    <definedName name="OSRRefH21_15x_0" localSheetId="44">'492'!$H$80:$H$83</definedName>
    <definedName name="OSRRefH21_15x_0" localSheetId="101">'501'!$H$75</definedName>
    <definedName name="OSRRefH21_15x_0" localSheetId="8">'Div 2'!$H$77:$H$80</definedName>
    <definedName name="OSRRefH21_15x_0" localSheetId="11">'Div 3'!$H$303:$H$304</definedName>
    <definedName name="OSRRefH21_15x_0" localSheetId="14">'Div 4'!$H$93</definedName>
    <definedName name="OSRRefH21_15x_0" localSheetId="47">'Div 5'!$H$75</definedName>
    <definedName name="OSRRefH21_15x_0" localSheetId="50">'Div 6'!$H$124:$H$125</definedName>
    <definedName name="OSRRefH21_15x_0" localSheetId="2">Summary!$H$342:$H$343</definedName>
    <definedName name="OSRRefH21_16x_0" localSheetId="55">'201'!$H$75:$H$78</definedName>
    <definedName name="OSRRefH21_16x_0" localSheetId="56">'202'!$H$75:$H$76</definedName>
    <definedName name="OSRRefH21_16x_0" localSheetId="17">'300'!$H$301:$H$304</definedName>
    <definedName name="OSRRefH21_16x_0" localSheetId="20">'300 &amp; 317'!$H$329:$H$332</definedName>
    <definedName name="OSRRefH21_16x_0" localSheetId="61">'301'!$H$77:$H$80</definedName>
    <definedName name="OSRRefH21_16x_0" localSheetId="63">'307'!$H$181:$H$182</definedName>
    <definedName name="OSRRefH21_16x_0" localSheetId="29">'308'!$H$161:$H$162</definedName>
    <definedName name="OSRRefH21_16x_0" localSheetId="64">'309'!$H$85:$H$86</definedName>
    <definedName name="OSRRefH21_16x_0" localSheetId="23">'310'!$H$94:$H$95</definedName>
    <definedName name="OSRRefH21_16x_0" localSheetId="38">'310 &amp; 491'!$H$107</definedName>
    <definedName name="OSRRefH21_16x_0" localSheetId="65">'311'!$H$139:$H$140</definedName>
    <definedName name="OSRRefH21_16x_0" localSheetId="67">'313'!$H$96:$H$97</definedName>
    <definedName name="OSRRefH21_16x_0" localSheetId="69">'315'!$H$126</definedName>
    <definedName name="OSRRefH21_16x_0" localSheetId="74">'321'!$H$90:$H$91</definedName>
    <definedName name="OSRRefH21_16x_0" localSheetId="75">'322'!$H$86</definedName>
    <definedName name="OSRRefH21_16x_0" localSheetId="78">'325'!$H$90:$H$91</definedName>
    <definedName name="OSRRefH21_16x_0" localSheetId="79">'326'!$H$171:$H$172</definedName>
    <definedName name="OSRRefH21_16x_0" localSheetId="26">'330'!$H$191:$H$192</definedName>
    <definedName name="OSRRefH21_16x_0" localSheetId="32">'331'!$H$183:$H$185</definedName>
    <definedName name="OSRRefH21_16x_0" localSheetId="35">'332'!$H$118</definedName>
    <definedName name="OSRRefH21_16x_0" localSheetId="82">'405'!$H$93</definedName>
    <definedName name="OSRRefH21_16x_0" localSheetId="83">'406'!$H$76:$H$77</definedName>
    <definedName name="OSRRefH21_16x_0" localSheetId="84">'411'!$H$75:$H$79</definedName>
    <definedName name="OSRRefH21_16x_0" localSheetId="85">'412'!$H$94</definedName>
    <definedName name="OSRRefH21_16x_0" localSheetId="87">'414'!$H$86</definedName>
    <definedName name="OSRRefH21_16x_0" localSheetId="88">'415'!$H$93:$H$94</definedName>
    <definedName name="OSRRefH21_16x_0" localSheetId="89">'418'!$H$94:$H$95</definedName>
    <definedName name="OSRRefH21_16x_0" localSheetId="93">'425'!$H$87:$H$89</definedName>
    <definedName name="OSRRefH21_16x_0" localSheetId="95">'433'!$H$83:$H$91</definedName>
    <definedName name="OSRRefH21_16x_0" localSheetId="97">'444'!$H$83:$H$92</definedName>
    <definedName name="OSRRefH21_16x_0" localSheetId="99">'450'!$H$91:$H$92</definedName>
    <definedName name="OSRRefH21_16x_0" localSheetId="41">'491'!$H$93</definedName>
    <definedName name="OSRRefH21_16x_0" localSheetId="44">'492'!$H$85:$H$88</definedName>
    <definedName name="OSRRefH21_16x_0" localSheetId="101">'501'!$H$77</definedName>
    <definedName name="OSRRefH21_16x_0" localSheetId="8">'Div 2'!$H$82:$H$83</definedName>
    <definedName name="OSRRefH21_16x_0" localSheetId="11">'Div 3'!$H$306</definedName>
    <definedName name="OSRRefH21_16x_0" localSheetId="14">'Div 4'!$H$95</definedName>
    <definedName name="OSRRefH21_16x_0" localSheetId="47">'Div 5'!$H$77</definedName>
    <definedName name="OSRRefH21_16x_0" localSheetId="2">Summary!$H$345</definedName>
    <definedName name="OSRRefH21_17x_0" localSheetId="55">'201'!$H$80:$H$81</definedName>
    <definedName name="OSRRefH21_17x_0" localSheetId="17">'300'!$H$306:$H$310</definedName>
    <definedName name="OSRRefH21_17x_0" localSheetId="20">'300 &amp; 317'!$H$334:$H$338</definedName>
    <definedName name="OSRRefH21_17x_0" localSheetId="61">'301'!$H$82</definedName>
    <definedName name="OSRRefH21_17x_0" localSheetId="63">'307'!$H$184</definedName>
    <definedName name="OSRRefH21_17x_0" localSheetId="29">'308'!$H$164</definedName>
    <definedName name="OSRRefH21_17x_0" localSheetId="23">'310'!$H$97:$H$100</definedName>
    <definedName name="OSRRefH21_17x_0" localSheetId="38">'310 &amp; 491'!$H$109:$H$112</definedName>
    <definedName name="OSRRefH21_17x_0" localSheetId="65">'311'!$H$142</definedName>
    <definedName name="OSRRefH21_17x_0" localSheetId="69">'315'!$H$128:$H$130</definedName>
    <definedName name="OSRRefH21_17x_0" localSheetId="74">'321'!$H$93</definedName>
    <definedName name="OSRRefH21_17x_0" localSheetId="75">'322'!$H$88</definedName>
    <definedName name="OSRRefH21_17x_0" localSheetId="78">'325'!$H$93</definedName>
    <definedName name="OSRRefH21_17x_0" localSheetId="79">'326'!$H$174:$H$181</definedName>
    <definedName name="OSRRefH21_17x_0" localSheetId="26">'330'!$H$194</definedName>
    <definedName name="OSRRefH21_17x_0" localSheetId="32">'331'!$H$187:$H$188</definedName>
    <definedName name="OSRRefH21_17x_0" localSheetId="82">'405'!$H$95</definedName>
    <definedName name="OSRRefH21_17x_0" localSheetId="84">'411'!$H$81:$H$82</definedName>
    <definedName name="OSRRefH21_17x_0" localSheetId="85">'412'!$H$96:$H$97</definedName>
    <definedName name="OSRRefH21_17x_0" localSheetId="87">'414'!$H$88</definedName>
    <definedName name="OSRRefH21_17x_0" localSheetId="88">'415'!$H$96</definedName>
    <definedName name="OSRRefH21_17x_0" localSheetId="89">'418'!$H$97</definedName>
    <definedName name="OSRRefH21_17x_0" localSheetId="95">'433'!$H$93</definedName>
    <definedName name="OSRRefH21_17x_0" localSheetId="97">'444'!$H$94:$H$95</definedName>
    <definedName name="OSRRefH21_17x_0" localSheetId="99">'450'!$H$94</definedName>
    <definedName name="OSRRefH21_17x_0" localSheetId="41">'491'!$H$95:$H$98</definedName>
    <definedName name="OSRRefH21_17x_0" localSheetId="44">'492'!$H$90:$H$91</definedName>
    <definedName name="OSRRefH21_17x_0" localSheetId="8">'Div 2'!$H$85:$H$86</definedName>
    <definedName name="OSRRefH21_17x_0" localSheetId="11">'Div 3'!$H$308:$H$311</definedName>
    <definedName name="OSRRefH21_17x_0" localSheetId="14">'Div 4'!$H$97:$H$100</definedName>
    <definedName name="OSRRefH21_17x_0" localSheetId="2">Summary!$H$347</definedName>
    <definedName name="OSRRefH21_18x_0" localSheetId="55">'201'!$H$83</definedName>
    <definedName name="OSRRefH21_18x_0" localSheetId="17">'300'!$H$312:$H$316</definedName>
    <definedName name="OSRRefH21_18x_0" localSheetId="20">'300 &amp; 317'!$H$340:$H$344</definedName>
    <definedName name="OSRRefH21_18x_0" localSheetId="61">'301'!$H$84:$H$87</definedName>
    <definedName name="OSRRefH21_18x_0" localSheetId="63">'307'!$H$186</definedName>
    <definedName name="OSRRefH21_18x_0" localSheetId="23">'310'!$H$102:$H$103</definedName>
    <definedName name="OSRRefH21_18x_0" localSheetId="38">'310 &amp; 491'!$H$114:$H$115</definedName>
    <definedName name="OSRRefH21_18x_0" localSheetId="75">'322'!$H$90:$H$92</definedName>
    <definedName name="OSRRefH21_18x_0" localSheetId="78">'325'!$H$95</definedName>
    <definedName name="OSRRefH21_18x_0" localSheetId="79">'326'!$H$183:$H$184</definedName>
    <definedName name="OSRRefH21_18x_0" localSheetId="26">'330'!$H$196</definedName>
    <definedName name="OSRRefH21_18x_0" localSheetId="32">'331'!$H$190:$H$198</definedName>
    <definedName name="OSRRefH21_18x_0" localSheetId="82">'405'!$H$97</definedName>
    <definedName name="OSRRefH21_18x_0" localSheetId="84">'411'!$H$84:$H$93</definedName>
    <definedName name="OSRRefH21_18x_0" localSheetId="85">'412'!$H$99</definedName>
    <definedName name="OSRRefH21_18x_0" localSheetId="88">'415'!$H$98:$H$99</definedName>
    <definedName name="OSRRefH21_18x_0" localSheetId="89">'418'!$H$99:$H$100</definedName>
    <definedName name="OSRRefH21_18x_0" localSheetId="95">'433'!$H$95</definedName>
    <definedName name="OSRRefH21_18x_0" localSheetId="97">'444'!$H$97</definedName>
    <definedName name="OSRRefH21_18x_0" localSheetId="99">'450'!$H$96:$H$98</definedName>
    <definedName name="OSRRefH21_18x_0" localSheetId="41">'491'!$H$100:$H$101</definedName>
    <definedName name="OSRRefH21_18x_0" localSheetId="44">'492'!$H$93:$H$102</definedName>
    <definedName name="OSRRefH21_18x_0" localSheetId="8">'Div 2'!$H$88:$H$94</definedName>
    <definedName name="OSRRefH21_18x_0" localSheetId="11">'Div 3'!$H$313:$H$317</definedName>
    <definedName name="OSRRefH21_18x_0" localSheetId="14">'Div 4'!$H$102:$H$103</definedName>
    <definedName name="OSRRefH21_18x_0" localSheetId="2">Summary!$H$349:$H$352</definedName>
    <definedName name="OSRRefH21_19x_0" localSheetId="55">'201'!$H$85:$H$86</definedName>
    <definedName name="OSRRefH21_19x_0" localSheetId="17">'300'!$H$318:$H$319</definedName>
    <definedName name="OSRRefH21_19x_0" localSheetId="20">'300 &amp; 317'!$H$346:$H$347</definedName>
    <definedName name="OSRRefH21_19x_0" localSheetId="61">'301'!$H$89:$H$90</definedName>
    <definedName name="OSRRefH21_19x_0" localSheetId="23">'310'!$H$105:$H$113</definedName>
    <definedName name="OSRRefH21_19x_0" localSheetId="38">'310 &amp; 491'!$H$117:$H$121</definedName>
    <definedName name="OSRRefH21_19x_0" localSheetId="75">'322'!$H$94</definedName>
    <definedName name="OSRRefH21_19x_0" localSheetId="78">'325'!$H$97</definedName>
    <definedName name="OSRRefH21_19x_0" localSheetId="79">'326'!$H$186</definedName>
    <definedName name="OSRRefH21_19x_0" localSheetId="32">'331'!$H$200:$H$201</definedName>
    <definedName name="OSRRefH21_19x_0" localSheetId="84">'411'!$H$95</definedName>
    <definedName name="OSRRefH21_19x_0" localSheetId="88">'415'!$H$101</definedName>
    <definedName name="OSRRefH21_19x_0" localSheetId="89">'418'!$H$102</definedName>
    <definedName name="OSRRefH21_19x_0" localSheetId="95">'433'!$H$97:$H$98</definedName>
    <definedName name="OSRRefH21_19x_0" localSheetId="97">'444'!$H$99</definedName>
    <definedName name="OSRRefH21_19x_0" localSheetId="41">'491'!$H$103:$H$107</definedName>
    <definedName name="OSRRefH21_19x_0" localSheetId="44">'492'!$H$104:$H$105</definedName>
    <definedName name="OSRRefH21_19x_0" localSheetId="8">'Div 2'!$H$96:$H$97</definedName>
    <definedName name="OSRRefH21_19x_0" localSheetId="11">'Div 3'!$H$319:$H$324</definedName>
    <definedName name="OSRRefH21_19x_0" localSheetId="14">'Div 4'!$H$105:$H$109</definedName>
    <definedName name="OSRRefH21_19x_0" localSheetId="2">Summary!$H$354:$H$358</definedName>
    <definedName name="OSRRefH21_1x_0" localSheetId="54">'200'!$H$22</definedName>
    <definedName name="OSRRefH21_1x_0" localSheetId="55">'201'!$H$30:$H$39</definedName>
    <definedName name="OSRRefH21_1x_0" localSheetId="56">'202'!$H$30:$H$39</definedName>
    <definedName name="OSRRefH21_1x_0" localSheetId="57">'203'!$H$30:$H$39</definedName>
    <definedName name="OSRRefH21_1x_0" localSheetId="58">'204'!$H$30:$H$39</definedName>
    <definedName name="OSRRefH21_1x_0" localSheetId="59">'205'!$H$29:$H$38</definedName>
    <definedName name="OSRRefH21_1x_0" localSheetId="60">'206'!$H$29:$H$38</definedName>
    <definedName name="OSRRefH21_1x_0" localSheetId="17">'300'!$H$215:$H$224</definedName>
    <definedName name="OSRRefH21_1x_0" localSheetId="20">'300 &amp; 317'!$H$240:$H$249</definedName>
    <definedName name="OSRRefH21_1x_0" localSheetId="61">'301'!$H$30:$H$39</definedName>
    <definedName name="OSRRefH21_1x_0" localSheetId="62">'306'!$H$30:$H$39</definedName>
    <definedName name="OSRRefH21_1x_0" localSheetId="63">'307'!$H$110:$H$119</definedName>
    <definedName name="OSRRefH21_1x_0" localSheetId="29">'308'!$H$100:$H$109</definedName>
    <definedName name="OSRRefH21_1x_0" localSheetId="64">'309'!$H$35:$H$44</definedName>
    <definedName name="OSRRefH21_1x_0" localSheetId="23">'310'!$H$49:$H$58</definedName>
    <definedName name="OSRRefH21_1x_0" localSheetId="38">'310 &amp; 491'!$H$60:$H$69</definedName>
    <definedName name="OSRRefH21_1x_0" localSheetId="65">'311'!$H$82:$H$91</definedName>
    <definedName name="OSRRefH21_1x_0" localSheetId="66">'312'!$H$68:$H$72</definedName>
    <definedName name="OSRRefH21_1x_0" localSheetId="67">'313'!$H$45:$H$54</definedName>
    <definedName name="OSRRefH21_1x_0" localSheetId="68">'314'!$H$71:$H$76</definedName>
    <definedName name="OSRRefH21_1x_0" localSheetId="69">'315'!$H$67:$H$76</definedName>
    <definedName name="OSRRefH21_1x_0" localSheetId="70">'316'!$H$50:$H$59</definedName>
    <definedName name="OSRRefH21_1x_0" localSheetId="71">'317'!$H$74:$H$83</definedName>
    <definedName name="OSRRefH21_1x_0" localSheetId="72">'318'!$H$27:$H$30</definedName>
    <definedName name="OSRRefH21_1x_0" localSheetId="73">'320'!$H$44:$H$50</definedName>
    <definedName name="OSRRefH21_1x_0" localSheetId="74">'321'!$H$36:$H$45</definedName>
    <definedName name="OSRRefH21_1x_0" localSheetId="75">'322'!$H$35:$H$44</definedName>
    <definedName name="OSRRefH21_1x_0" localSheetId="76">'323'!$H$29:$H$31</definedName>
    <definedName name="OSRRefH21_1x_0" localSheetId="77">'324'!$H$35:$H$44</definedName>
    <definedName name="OSRRefH21_1x_0" localSheetId="78">'325'!$H$36:$H$45</definedName>
    <definedName name="OSRRefH21_1x_0" localSheetId="79">'326'!$H$104:$H$113</definedName>
    <definedName name="OSRRefH21_1x_0" localSheetId="80">'327'!$H$27</definedName>
    <definedName name="OSRRefH21_1x_0" localSheetId="26">'330'!$H$119:$H$128</definedName>
    <definedName name="OSRRefH21_1x_0" localSheetId="32">'331'!$H$115:$H$124</definedName>
    <definedName name="OSRRefH21_1x_0" localSheetId="35">'332'!$H$67:$H$76</definedName>
    <definedName name="OSRRefH21_1x_0" localSheetId="81">'335'!$H$28:$H$32</definedName>
    <definedName name="OSRRefH21_1x_0" localSheetId="82">'405'!$H$38:$H$47</definedName>
    <definedName name="OSRRefH21_1x_0" localSheetId="83">'406'!$H$32:$H$37</definedName>
    <definedName name="OSRRefH21_1x_0" localSheetId="84">'411'!$H$30:$H$39</definedName>
    <definedName name="OSRRefH21_1x_0" localSheetId="85">'412'!$H$38:$H$47</definedName>
    <definedName name="OSRRefH21_1x_0" localSheetId="86">'413'!$H$37:$H$46</definedName>
    <definedName name="OSRRefH21_1x_0" localSheetId="87">'414'!$H$36:$H$45</definedName>
    <definedName name="OSRRefH21_1x_0" localSheetId="88">'415'!$H$37:$H$46</definedName>
    <definedName name="OSRRefH21_1x_0" localSheetId="89">'418'!$H$36:$H$45</definedName>
    <definedName name="OSRRefH21_1x_0" localSheetId="90">'420'!$H$32:$H$35</definedName>
    <definedName name="OSRRefH21_1x_0" localSheetId="91">'423'!$H$30:$H$39</definedName>
    <definedName name="OSRRefH21_1x_0" localSheetId="92">'424'!$H$33:$H$38</definedName>
    <definedName name="OSRRefH21_1x_0" localSheetId="93">'425'!$H$36:$H$41</definedName>
    <definedName name="OSRRefH21_1x_0" localSheetId="94">'430'!$H$29:$H$38</definedName>
    <definedName name="OSRRefH21_1x_0" localSheetId="95">'433'!$H$39:$H$48</definedName>
    <definedName name="OSRRefH21_1x_0" localSheetId="96">'435'!$H$28:$H$31</definedName>
    <definedName name="OSRRefH21_1x_0" localSheetId="97">'444'!$H$37:$H$46</definedName>
    <definedName name="OSRRefH21_1x_0" localSheetId="98">'445'!$H$28:$H$30</definedName>
    <definedName name="OSRRefH21_1x_0" localSheetId="99">'450'!$H$37:$H$46</definedName>
    <definedName name="OSRRefH21_1x_0" localSheetId="100">'455'!$H$28:$H$29</definedName>
    <definedName name="OSRRefH21_1x_0" localSheetId="41">'491'!$H$48:$H$57</definedName>
    <definedName name="OSRRefH21_1x_0" localSheetId="44">'492'!$H$41:$H$50</definedName>
    <definedName name="OSRRefH21_1x_0" localSheetId="101">'501'!$H$31:$H$40</definedName>
    <definedName name="OSRRefH21_1x_0" localSheetId="8">'Div 2'!$H$32:$H$41</definedName>
    <definedName name="OSRRefH21_1x_0" localSheetId="11">'Div 3'!$H$220:$H$229</definedName>
    <definedName name="OSRRefH21_1x_0" localSheetId="14">'Div 4'!$H$49:$H$58</definedName>
    <definedName name="OSRRefH21_1x_0" localSheetId="47">'Div 5'!$H$31:$H$40</definedName>
    <definedName name="OSRRefH21_1x_0" localSheetId="50">'Div 6'!$H$74:$H$83</definedName>
    <definedName name="OSRRefH21_1x_0" localSheetId="2">Summary!$H$256:$H$265</definedName>
    <definedName name="OSRRefH21_20x_0" localSheetId="17">'300'!$H$321:$H$329</definedName>
    <definedName name="OSRRefH21_20x_0" localSheetId="20">'300 &amp; 317'!$H$349:$H$357</definedName>
    <definedName name="OSRRefH21_20x_0" localSheetId="61">'301'!$H$92:$H$98</definedName>
    <definedName name="OSRRefH21_20x_0" localSheetId="23">'310'!$H$115:$H$116</definedName>
    <definedName name="OSRRefH21_20x_0" localSheetId="38">'310 &amp; 491'!$H$123:$H$124</definedName>
    <definedName name="OSRRefH21_20x_0" localSheetId="79">'326'!$H$188:$H$190</definedName>
    <definedName name="OSRRefH21_20x_0" localSheetId="32">'331'!$H$203</definedName>
    <definedName name="OSRRefH21_20x_0" localSheetId="84">'411'!$H$97</definedName>
    <definedName name="OSRRefH21_20x_0" localSheetId="95">'433'!$H$100</definedName>
    <definedName name="OSRRefH21_20x_0" localSheetId="97">'444'!$H$101</definedName>
    <definedName name="OSRRefH21_20x_0" localSheetId="41">'491'!$H$109:$H$110</definedName>
    <definedName name="OSRRefH21_20x_0" localSheetId="44">'492'!$H$107</definedName>
    <definedName name="OSRRefH21_20x_0" localSheetId="8">'Div 2'!$H$99</definedName>
    <definedName name="OSRRefH21_20x_0" localSheetId="11">'Div 3'!$H$326:$H$327</definedName>
    <definedName name="OSRRefH21_20x_0" localSheetId="14">'Div 4'!$H$111:$H$112</definedName>
    <definedName name="OSRRefH21_20x_0" localSheetId="2">Summary!$H$360:$H$365</definedName>
    <definedName name="OSRRefH21_21x_0" localSheetId="17">'300'!$H$331:$H$332</definedName>
    <definedName name="OSRRefH21_21x_0" localSheetId="20">'300 &amp; 317'!$H$359:$H$360</definedName>
    <definedName name="OSRRefH21_21x_0" localSheetId="61">'301'!$H$100:$H$101</definedName>
    <definedName name="OSRRefH21_21x_0" localSheetId="23">'310'!$H$118</definedName>
    <definedName name="OSRRefH21_21x_0" localSheetId="38">'310 &amp; 491'!$H$126:$H$136</definedName>
    <definedName name="OSRRefH21_21x_0" localSheetId="79">'326'!$H$192</definedName>
    <definedName name="OSRRefH21_21x_0" localSheetId="32">'331'!$H$205:$H$207</definedName>
    <definedName name="OSRRefH21_21x_0" localSheetId="84">'411'!$H$99:$H$101</definedName>
    <definedName name="OSRRefH21_21x_0" localSheetId="41">'491'!$H$112:$H$122</definedName>
    <definedName name="OSRRefH21_21x_0" localSheetId="44">'492'!$H$109:$H$111</definedName>
    <definedName name="OSRRefH21_21x_0" localSheetId="8">'Div 2'!$H$101:$H$102</definedName>
    <definedName name="OSRRefH21_21x_0" localSheetId="11">'Div 3'!$H$329:$H$338</definedName>
    <definedName name="OSRRefH21_21x_0" localSheetId="14">'Div 4'!$H$114:$H$124</definedName>
    <definedName name="OSRRefH21_21x_0" localSheetId="2">Summary!$H$367:$H$368</definedName>
    <definedName name="OSRRefH21_22x_0" localSheetId="17">'300'!$H$334</definedName>
    <definedName name="OSRRefH21_22x_0" localSheetId="20">'300 &amp; 317'!$H$362</definedName>
    <definedName name="OSRRefH21_22x_0" localSheetId="61">'301'!$H$103</definedName>
    <definedName name="OSRRefH21_22x_0" localSheetId="23">'310'!$H$120:$H$122</definedName>
    <definedName name="OSRRefH21_22x_0" localSheetId="38">'310 &amp; 491'!$H$138:$H$139</definedName>
    <definedName name="OSRRefH21_22x_0" localSheetId="32">'331'!$H$209</definedName>
    <definedName name="OSRRefH21_22x_0" localSheetId="84">'411'!$H$103</definedName>
    <definedName name="OSRRefH21_22x_0" localSheetId="41">'491'!$H$124:$H$125</definedName>
    <definedName name="OSRRefH21_22x_0" localSheetId="44">'492'!$H$113</definedName>
    <definedName name="OSRRefH21_22x_0" localSheetId="11">'Div 3'!$H$340:$H$341</definedName>
    <definedName name="OSRRefH21_22x_0" localSheetId="14">'Div 4'!$H$126:$H$127</definedName>
    <definedName name="OSRRefH21_22x_0" localSheetId="2">Summary!$H$370:$H$380</definedName>
    <definedName name="OSRRefH21_23x_0" localSheetId="17">'300'!$H$336:$H$338</definedName>
    <definedName name="OSRRefH21_23x_0" localSheetId="20">'300 &amp; 317'!$H$364:$H$366</definedName>
    <definedName name="OSRRefH21_23x_0" localSheetId="61">'301'!$H$105:$H$107</definedName>
    <definedName name="OSRRefH21_23x_0" localSheetId="23">'310'!$H$124</definedName>
    <definedName name="OSRRefH21_23x_0" localSheetId="38">'310 &amp; 491'!$H$141</definedName>
    <definedName name="OSRRefH21_23x_0" localSheetId="41">'491'!$H$127</definedName>
    <definedName name="OSRRefH21_23x_0" localSheetId="11">'Div 3'!$H$343</definedName>
    <definedName name="OSRRefH21_23x_0" localSheetId="14">'Div 4'!$H$129</definedName>
    <definedName name="OSRRefH21_23x_0" localSheetId="2">Summary!$H$382:$H$383</definedName>
    <definedName name="OSRRefH21_24x_0" localSheetId="17">'300'!$H$340</definedName>
    <definedName name="OSRRefH21_24x_0" localSheetId="20">'300 &amp; 317'!$H$368</definedName>
    <definedName name="OSRRefH21_24x_0" localSheetId="61">'301'!$H$109</definedName>
    <definedName name="OSRRefH21_24x_0" localSheetId="38">'310 &amp; 491'!$H$143:$H$145</definedName>
    <definedName name="OSRRefH21_24x_0" localSheetId="41">'491'!$H$129:$H$131</definedName>
    <definedName name="OSRRefH21_24x_0" localSheetId="11">'Div 3'!$H$345:$H$347</definedName>
    <definedName name="OSRRefH21_24x_0" localSheetId="14">'Div 4'!$H$131:$H$133</definedName>
    <definedName name="OSRRefH21_24x_0" localSheetId="2">Summary!$H$385</definedName>
    <definedName name="OSRRefH21_25x_0" localSheetId="38">'310 &amp; 491'!$H$147</definedName>
    <definedName name="OSRRefH21_25x_0" localSheetId="41">'491'!$H$133</definedName>
    <definedName name="OSRRefH21_25x_0" localSheetId="11">'Div 3'!$H$349</definedName>
    <definedName name="OSRRefH21_25x_0" localSheetId="14">'Div 4'!$H$135</definedName>
    <definedName name="OSRRefH21_25x_0" localSheetId="2">Summary!$H$387:$H$389</definedName>
    <definedName name="OSRRefH21_26x_0" localSheetId="2">Summary!$H$391</definedName>
    <definedName name="OSRRefH21_2x_0" localSheetId="54">'200'!$H$24</definedName>
    <definedName name="OSRRefH21_2x_0" localSheetId="55">'201'!$H$41</definedName>
    <definedName name="OSRRefH21_2x_0" localSheetId="56">'202'!$H$41</definedName>
    <definedName name="OSRRefH21_2x_0" localSheetId="57">'203'!$H$41</definedName>
    <definedName name="OSRRefH21_2x_0" localSheetId="58">'204'!$H$41</definedName>
    <definedName name="OSRRefH21_2x_0" localSheetId="59">'205'!$H$40</definedName>
    <definedName name="OSRRefH21_2x_0" localSheetId="60">'206'!$H$40</definedName>
    <definedName name="OSRRefH21_2x_0" localSheetId="17">'300'!$H$226</definedName>
    <definedName name="OSRRefH21_2x_0" localSheetId="20">'300 &amp; 317'!$H$251</definedName>
    <definedName name="OSRRefH21_2x_0" localSheetId="61">'301'!$H$41</definedName>
    <definedName name="OSRRefH21_2x_0" localSheetId="62">'306'!$H$41</definedName>
    <definedName name="OSRRefH21_2x_0" localSheetId="63">'307'!$H$121</definedName>
    <definedName name="OSRRefH21_2x_0" localSheetId="29">'308'!$H$111</definedName>
    <definedName name="OSRRefH21_2x_0" localSheetId="64">'309'!$H$46</definedName>
    <definedName name="OSRRefH21_2x_0" localSheetId="23">'310'!$H$60</definedName>
    <definedName name="OSRRefH21_2x_0" localSheetId="38">'310 &amp; 491'!$H$71</definedName>
    <definedName name="OSRRefH21_2x_0" localSheetId="65">'311'!$H$93</definedName>
    <definedName name="OSRRefH21_2x_0" localSheetId="66">'312'!$H$74</definedName>
    <definedName name="OSRRefH21_2x_0" localSheetId="67">'313'!$H$56</definedName>
    <definedName name="OSRRefH21_2x_0" localSheetId="68">'314'!$H$78</definedName>
    <definedName name="OSRRefH21_2x_0" localSheetId="69">'315'!$H$78</definedName>
    <definedName name="OSRRefH21_2x_0" localSheetId="70">'316'!$H$61</definedName>
    <definedName name="OSRRefH21_2x_0" localSheetId="71">'317'!$H$85</definedName>
    <definedName name="OSRRefH21_2x_0" localSheetId="72">'318'!$H$32</definedName>
    <definedName name="OSRRefH21_2x_0" localSheetId="73">'320'!$H$52</definedName>
    <definedName name="OSRRefH21_2x_0" localSheetId="74">'321'!$H$47</definedName>
    <definedName name="OSRRefH21_2x_0" localSheetId="75">'322'!$H$46</definedName>
    <definedName name="OSRRefH21_2x_0" localSheetId="76">'323'!$H$33</definedName>
    <definedName name="OSRRefH21_2x_0" localSheetId="77">'324'!$H$46</definedName>
    <definedName name="OSRRefH21_2x_0" localSheetId="78">'325'!$H$47</definedName>
    <definedName name="OSRRefH21_2x_0" localSheetId="79">'326'!$H$115</definedName>
    <definedName name="OSRRefH21_2x_0" localSheetId="80">'327'!$H$29</definedName>
    <definedName name="OSRRefH21_2x_0" localSheetId="26">'330'!$H$130</definedName>
    <definedName name="OSRRefH21_2x_0" localSheetId="32">'331'!$H$126</definedName>
    <definedName name="OSRRefH21_2x_0" localSheetId="35">'332'!$H$78</definedName>
    <definedName name="OSRRefH21_2x_0" localSheetId="81">'335'!$H$34</definedName>
    <definedName name="OSRRefH21_2x_0" localSheetId="82">'405'!$H$49</definedName>
    <definedName name="OSRRefH21_2x_0" localSheetId="83">'406'!$H$39</definedName>
    <definedName name="OSRRefH21_2x_0" localSheetId="84">'411'!$H$41</definedName>
    <definedName name="OSRRefH21_2x_0" localSheetId="85">'412'!$H$49</definedName>
    <definedName name="OSRRefH21_2x_0" localSheetId="86">'413'!$H$48</definedName>
    <definedName name="OSRRefH21_2x_0" localSheetId="87">'414'!$H$47</definedName>
    <definedName name="OSRRefH21_2x_0" localSheetId="88">'415'!$H$48</definedName>
    <definedName name="OSRRefH21_2x_0" localSheetId="89">'418'!$H$47</definedName>
    <definedName name="OSRRefH21_2x_0" localSheetId="90">'420'!$H$37</definedName>
    <definedName name="OSRRefH21_2x_0" localSheetId="91">'423'!$H$41</definedName>
    <definedName name="OSRRefH21_2x_0" localSheetId="92">'424'!$H$40</definedName>
    <definedName name="OSRRefH21_2x_0" localSheetId="93">'425'!$H$43</definedName>
    <definedName name="OSRRefH21_2x_0" localSheetId="94">'430'!$H$40</definedName>
    <definedName name="OSRRefH21_2x_0" localSheetId="95">'433'!$H$50</definedName>
    <definedName name="OSRRefH21_2x_0" localSheetId="96">'435'!$H$33</definedName>
    <definedName name="OSRRefH21_2x_0" localSheetId="97">'444'!$H$48</definedName>
    <definedName name="OSRRefH21_2x_0" localSheetId="98">'445'!$H$32</definedName>
    <definedName name="OSRRefH21_2x_0" localSheetId="99">'450'!$H$48</definedName>
    <definedName name="OSRRefH21_2x_0" localSheetId="100">'455'!$H$31</definedName>
    <definedName name="OSRRefH21_2x_0" localSheetId="41">'491'!$H$59</definedName>
    <definedName name="OSRRefH21_2x_0" localSheetId="44">'492'!$H$52</definedName>
    <definedName name="OSRRefH21_2x_0" localSheetId="101">'501'!$H$42</definedName>
    <definedName name="OSRRefH21_2x_0" localSheetId="8">'Div 2'!$H$43</definedName>
    <definedName name="OSRRefH21_2x_0" localSheetId="11">'Div 3'!$H$231</definedName>
    <definedName name="OSRRefH21_2x_0" localSheetId="14">'Div 4'!$H$60</definedName>
    <definedName name="OSRRefH21_2x_0" localSheetId="47">'Div 5'!$H$42</definedName>
    <definedName name="OSRRefH21_2x_0" localSheetId="50">'Div 6'!$H$85</definedName>
    <definedName name="OSRRefH21_2x_0" localSheetId="2">Summary!$H$267</definedName>
    <definedName name="OSRRefH21_3x_0" localSheetId="54">'200'!$H$26</definedName>
    <definedName name="OSRRefH21_3x_0" localSheetId="55">'201'!$H$43</definedName>
    <definedName name="OSRRefH21_3x_0" localSheetId="56">'202'!$H$43</definedName>
    <definedName name="OSRRefH21_3x_0" localSheetId="57">'203'!$H$43</definedName>
    <definedName name="OSRRefH21_3x_0" localSheetId="58">'204'!$H$43:$H$44</definedName>
    <definedName name="OSRRefH21_3x_0" localSheetId="59">'205'!$H$42</definedName>
    <definedName name="OSRRefH21_3x_0" localSheetId="60">'206'!$H$42</definedName>
    <definedName name="OSRRefH21_3x_0" localSheetId="17">'300'!$H$228:$H$230</definedName>
    <definedName name="OSRRefH21_3x_0" localSheetId="20">'300 &amp; 317'!$H$253:$H$255</definedName>
    <definedName name="OSRRefH21_3x_0" localSheetId="61">'301'!$H$43:$H$45</definedName>
    <definedName name="OSRRefH21_3x_0" localSheetId="62">'306'!$H$43</definedName>
    <definedName name="OSRRefH21_3x_0" localSheetId="63">'307'!$H$123</definedName>
    <definedName name="OSRRefH21_3x_0" localSheetId="29">'308'!$H$113:$H$114</definedName>
    <definedName name="OSRRefH21_3x_0" localSheetId="64">'309'!$H$48</definedName>
    <definedName name="OSRRefH21_3x_0" localSheetId="23">'310'!$H$62</definedName>
    <definedName name="OSRRefH21_3x_0" localSheetId="38">'310 &amp; 491'!$H$73:$H$74</definedName>
    <definedName name="OSRRefH21_3x_0" localSheetId="65">'311'!$H$95:$H$96</definedName>
    <definedName name="OSRRefH21_3x_0" localSheetId="66">'312'!$H$76</definedName>
    <definedName name="OSRRefH21_3x_0" localSheetId="67">'313'!$H$58</definedName>
    <definedName name="OSRRefH21_3x_0" localSheetId="68">'314'!$H$80:$H$81</definedName>
    <definedName name="OSRRefH21_3x_0" localSheetId="69">'315'!$H$80</definedName>
    <definedName name="OSRRefH21_3x_0" localSheetId="70">'316'!$H$63</definedName>
    <definedName name="OSRRefH21_3x_0" localSheetId="71">'317'!$H$87</definedName>
    <definedName name="OSRRefH21_3x_0" localSheetId="72">'318'!$H$34</definedName>
    <definedName name="OSRRefH21_3x_0" localSheetId="73">'320'!$H$54</definedName>
    <definedName name="OSRRefH21_3x_0" localSheetId="74">'321'!$H$49</definedName>
    <definedName name="OSRRefH21_3x_0" localSheetId="75">'322'!$H$48</definedName>
    <definedName name="OSRRefH21_3x_0" localSheetId="76">'323'!$H$35</definedName>
    <definedName name="OSRRefH21_3x_0" localSheetId="77">'324'!$H$48</definedName>
    <definedName name="OSRRefH21_3x_0" localSheetId="78">'325'!$H$49</definedName>
    <definedName name="OSRRefH21_3x_0" localSheetId="79">'326'!$H$117</definedName>
    <definedName name="OSRRefH21_3x_0" localSheetId="26">'330'!$H$132</definedName>
    <definedName name="OSRRefH21_3x_0" localSheetId="32">'331'!$H$128</definedName>
    <definedName name="OSRRefH21_3x_0" localSheetId="35">'332'!$H$80</definedName>
    <definedName name="OSRRefH21_3x_0" localSheetId="81">'335'!$H$36</definedName>
    <definedName name="OSRRefH21_3x_0" localSheetId="82">'405'!$H$51</definedName>
    <definedName name="OSRRefH21_3x_0" localSheetId="83">'406'!$H$41</definedName>
    <definedName name="OSRRefH21_3x_0" localSheetId="84">'411'!$H$43</definedName>
    <definedName name="OSRRefH21_3x_0" localSheetId="85">'412'!$H$51</definedName>
    <definedName name="OSRRefH21_3x_0" localSheetId="86">'413'!$H$50</definedName>
    <definedName name="OSRRefH21_3x_0" localSheetId="87">'414'!$H$49</definedName>
    <definedName name="OSRRefH21_3x_0" localSheetId="88">'415'!$H$50</definedName>
    <definedName name="OSRRefH21_3x_0" localSheetId="89">'418'!$H$49</definedName>
    <definedName name="OSRRefH21_3x_0" localSheetId="90">'420'!$H$39</definedName>
    <definedName name="OSRRefH21_3x_0" localSheetId="91">'423'!$H$43</definedName>
    <definedName name="OSRRefH21_3x_0" localSheetId="92">'424'!$H$42</definedName>
    <definedName name="OSRRefH21_3x_0" localSheetId="93">'425'!$H$45:$H$46</definedName>
    <definedName name="OSRRefH21_3x_0" localSheetId="94">'430'!$H$42</definedName>
    <definedName name="OSRRefH21_3x_0" localSheetId="95">'433'!$H$52</definedName>
    <definedName name="OSRRefH21_3x_0" localSheetId="96">'435'!$H$35</definedName>
    <definedName name="OSRRefH21_3x_0" localSheetId="97">'444'!$H$50</definedName>
    <definedName name="OSRRefH21_3x_0" localSheetId="98">'445'!$H$34</definedName>
    <definedName name="OSRRefH21_3x_0" localSheetId="99">'450'!$H$50</definedName>
    <definedName name="OSRRefH21_3x_0" localSheetId="100">'455'!$H$33</definedName>
    <definedName name="OSRRefH21_3x_0" localSheetId="41">'491'!$H$61:$H$62</definedName>
    <definedName name="OSRRefH21_3x_0" localSheetId="44">'492'!$H$54</definedName>
    <definedName name="OSRRefH21_3x_0" localSheetId="101">'501'!$H$44</definedName>
    <definedName name="OSRRefH21_3x_0" localSheetId="8">'Div 2'!$H$45</definedName>
    <definedName name="OSRRefH21_3x_0" localSheetId="11">'Div 3'!$H$233:$H$235</definedName>
    <definedName name="OSRRefH21_3x_0" localSheetId="14">'Div 4'!$H$62:$H$63</definedName>
    <definedName name="OSRRefH21_3x_0" localSheetId="47">'Div 5'!$H$44</definedName>
    <definedName name="OSRRefH21_3x_0" localSheetId="50">'Div 6'!$H$87</definedName>
    <definedName name="OSRRefH21_3x_0" localSheetId="2">Summary!$H$269:$H$271</definedName>
    <definedName name="OSRRefH21_4x_0" localSheetId="54">'200'!$H$28</definedName>
    <definedName name="OSRRefH21_4x_0" localSheetId="55">'201'!$H$45</definedName>
    <definedName name="OSRRefH21_4x_0" localSheetId="56">'202'!$H$45</definedName>
    <definedName name="OSRRefH21_4x_0" localSheetId="57">'203'!$H$45</definedName>
    <definedName name="OSRRefH21_4x_0" localSheetId="58">'204'!$H$46</definedName>
    <definedName name="OSRRefH21_4x_0" localSheetId="59">'205'!$H$44:$H$46</definedName>
    <definedName name="OSRRefH21_4x_0" localSheetId="60">'206'!$H$44</definedName>
    <definedName name="OSRRefH21_4x_0" localSheetId="17">'300'!$H$232</definedName>
    <definedName name="OSRRefH21_4x_0" localSheetId="20">'300 &amp; 317'!$H$257</definedName>
    <definedName name="OSRRefH21_4x_0" localSheetId="61">'301'!$H$47</definedName>
    <definedName name="OSRRefH21_4x_0" localSheetId="62">'306'!$H$45</definedName>
    <definedName name="OSRRefH21_4x_0" localSheetId="63">'307'!$H$125</definedName>
    <definedName name="OSRRefH21_4x_0" localSheetId="29">'308'!$H$116</definedName>
    <definedName name="OSRRefH21_4x_0" localSheetId="64">'309'!$H$50</definedName>
    <definedName name="OSRRefH21_4x_0" localSheetId="23">'310'!$H$64</definedName>
    <definedName name="OSRRefH21_4x_0" localSheetId="38">'310 &amp; 491'!$H$76</definedName>
    <definedName name="OSRRefH21_4x_0" localSheetId="65">'311'!$H$98</definedName>
    <definedName name="OSRRefH21_4x_0" localSheetId="66">'312'!$H$78:$H$79</definedName>
    <definedName name="OSRRefH21_4x_0" localSheetId="67">'313'!$H$60</definedName>
    <definedName name="OSRRefH21_4x_0" localSheetId="68">'314'!$H$83</definedName>
    <definedName name="OSRRefH21_4x_0" localSheetId="69">'315'!$H$82</definedName>
    <definedName name="OSRRefH21_4x_0" localSheetId="70">'316'!$H$65</definedName>
    <definedName name="OSRRefH21_4x_0" localSheetId="71">'317'!$H$89:$H$90</definedName>
    <definedName name="OSRRefH21_4x_0" localSheetId="72">'318'!$H$36</definedName>
    <definedName name="OSRRefH21_4x_0" localSheetId="73">'320'!$H$56</definedName>
    <definedName name="OSRRefH21_4x_0" localSheetId="74">'321'!$H$51</definedName>
    <definedName name="OSRRefH21_4x_0" localSheetId="75">'322'!$H$50</definedName>
    <definedName name="OSRRefH21_4x_0" localSheetId="76">'323'!$H$37</definedName>
    <definedName name="OSRRefH21_4x_0" localSheetId="78">'325'!$H$51</definedName>
    <definedName name="OSRRefH21_4x_0" localSheetId="79">'326'!$H$119</definedName>
    <definedName name="OSRRefH21_4x_0" localSheetId="26">'330'!$H$134</definedName>
    <definedName name="OSRRefH21_4x_0" localSheetId="32">'331'!$H$130</definedName>
    <definedName name="OSRRefH21_4x_0" localSheetId="35">'332'!$H$82</definedName>
    <definedName name="OSRRefH21_4x_0" localSheetId="81">'335'!$H$38</definedName>
    <definedName name="OSRRefH21_4x_0" localSheetId="82">'405'!$H$53</definedName>
    <definedName name="OSRRefH21_4x_0" localSheetId="83">'406'!$H$43</definedName>
    <definedName name="OSRRefH21_4x_0" localSheetId="84">'411'!$H$45</definedName>
    <definedName name="OSRRefH21_4x_0" localSheetId="85">'412'!$H$53</definedName>
    <definedName name="OSRRefH21_4x_0" localSheetId="86">'413'!$H$52</definedName>
    <definedName name="OSRRefH21_4x_0" localSheetId="87">'414'!$H$51</definedName>
    <definedName name="OSRRefH21_4x_0" localSheetId="88">'415'!$H$52</definedName>
    <definedName name="OSRRefH21_4x_0" localSheetId="89">'418'!$H$51</definedName>
    <definedName name="OSRRefH21_4x_0" localSheetId="90">'420'!$H$41</definedName>
    <definedName name="OSRRefH21_4x_0" localSheetId="91">'423'!$H$45</definedName>
    <definedName name="OSRRefH21_4x_0" localSheetId="92">'424'!$H$44</definedName>
    <definedName name="OSRRefH21_4x_0" localSheetId="93">'425'!$H$48</definedName>
    <definedName name="OSRRefH21_4x_0" localSheetId="94">'430'!$H$44</definedName>
    <definedName name="OSRRefH21_4x_0" localSheetId="95">'433'!$H$54</definedName>
    <definedName name="OSRRefH21_4x_0" localSheetId="96">'435'!$H$37</definedName>
    <definedName name="OSRRefH21_4x_0" localSheetId="97">'444'!$H$52</definedName>
    <definedName name="OSRRefH21_4x_0" localSheetId="98">'445'!$H$36</definedName>
    <definedName name="OSRRefH21_4x_0" localSheetId="99">'450'!$H$52</definedName>
    <definedName name="OSRRefH21_4x_0" localSheetId="41">'491'!$H$64</definedName>
    <definedName name="OSRRefH21_4x_0" localSheetId="44">'492'!$H$56</definedName>
    <definedName name="OSRRefH21_4x_0" localSheetId="101">'501'!$H$46</definedName>
    <definedName name="OSRRefH21_4x_0" localSheetId="8">'Div 2'!$H$47</definedName>
    <definedName name="OSRRefH21_4x_0" localSheetId="11">'Div 3'!$H$237</definedName>
    <definedName name="OSRRefH21_4x_0" localSheetId="14">'Div 4'!$H$65</definedName>
    <definedName name="OSRRefH21_4x_0" localSheetId="47">'Div 5'!$H$46</definedName>
    <definedName name="OSRRefH21_4x_0" localSheetId="50">'Div 6'!$H$89:$H$90</definedName>
    <definedName name="OSRRefH21_4x_0" localSheetId="2">Summary!$H$273</definedName>
    <definedName name="OSRRefH21_5x_0" localSheetId="54">'200'!$H$30:$H$31</definedName>
    <definedName name="OSRRefH21_5x_0" localSheetId="55">'201'!$H$47</definedName>
    <definedName name="OSRRefH21_5x_0" localSheetId="56">'202'!$H$47</definedName>
    <definedName name="OSRRefH21_5x_0" localSheetId="57">'203'!$H$47</definedName>
    <definedName name="OSRRefH21_5x_0" localSheetId="58">'204'!$H$48:$H$49</definedName>
    <definedName name="OSRRefH21_5x_0" localSheetId="59">'205'!$H$48</definedName>
    <definedName name="OSRRefH21_5x_0" localSheetId="60">'206'!$H$46</definedName>
    <definedName name="OSRRefH21_5x_0" localSheetId="17">'300'!$H$234:$H$237</definedName>
    <definedName name="OSRRefH21_5x_0" localSheetId="20">'300 &amp; 317'!$H$259:$H$262</definedName>
    <definedName name="OSRRefH21_5x_0" localSheetId="61">'301'!$H$49:$H$52</definedName>
    <definedName name="OSRRefH21_5x_0" localSheetId="62">'306'!$H$47:$H$48</definedName>
    <definedName name="OSRRefH21_5x_0" localSheetId="63">'307'!$H$127:$H$128</definedName>
    <definedName name="OSRRefH21_5x_0" localSheetId="29">'308'!$H$118</definedName>
    <definedName name="OSRRefH21_5x_0" localSheetId="64">'309'!$H$52</definedName>
    <definedName name="OSRRefH21_5x_0" localSheetId="23">'310'!$H$66:$H$67</definedName>
    <definedName name="OSRRefH21_5x_0" localSheetId="38">'310 &amp; 491'!$H$78:$H$81</definedName>
    <definedName name="OSRRefH21_5x_0" localSheetId="65">'311'!$H$100</definedName>
    <definedName name="OSRRefH21_5x_0" localSheetId="66">'312'!$H$81:$H$89</definedName>
    <definedName name="OSRRefH21_5x_0" localSheetId="67">'313'!$H$62</definedName>
    <definedName name="OSRRefH21_5x_0" localSheetId="68">'314'!$H$85:$H$86</definedName>
    <definedName name="OSRRefH21_5x_0" localSheetId="69">'315'!$H$84:$H$85</definedName>
    <definedName name="OSRRefH21_5x_0" localSheetId="70">'316'!$H$67</definedName>
    <definedName name="OSRRefH21_5x_0" localSheetId="71">'317'!$H$92</definedName>
    <definedName name="OSRRefH21_5x_0" localSheetId="72">'318'!$H$38</definedName>
    <definedName name="OSRRefH21_5x_0" localSheetId="73">'320'!$H$58:$H$59</definedName>
    <definedName name="OSRRefH21_5x_0" localSheetId="74">'321'!$H$53</definedName>
    <definedName name="OSRRefH21_5x_0" localSheetId="75">'322'!$H$52</definedName>
    <definedName name="OSRRefH21_5x_0" localSheetId="76">'323'!$H$39</definedName>
    <definedName name="OSRRefH21_5x_0" localSheetId="78">'325'!$H$53:$H$54</definedName>
    <definedName name="OSRRefH21_5x_0" localSheetId="79">'326'!$H$121:$H$122</definedName>
    <definedName name="OSRRefH21_5x_0" localSheetId="26">'330'!$H$136:$H$137</definedName>
    <definedName name="OSRRefH21_5x_0" localSheetId="32">'331'!$H$132:$H$133</definedName>
    <definedName name="OSRRefH21_5x_0" localSheetId="35">'332'!$H$84</definedName>
    <definedName name="OSRRefH21_5x_0" localSheetId="81">'335'!$H$40:$H$41</definedName>
    <definedName name="OSRRefH21_5x_0" localSheetId="82">'405'!$H$55:$H$56</definedName>
    <definedName name="OSRRefH21_5x_0" localSheetId="83">'406'!$H$45</definedName>
    <definedName name="OSRRefH21_5x_0" localSheetId="84">'411'!$H$47:$H$50</definedName>
    <definedName name="OSRRefH21_5x_0" localSheetId="85">'412'!$H$55:$H$56</definedName>
    <definedName name="OSRRefH21_5x_0" localSheetId="86">'413'!$H$54</definedName>
    <definedName name="OSRRefH21_5x_0" localSheetId="87">'414'!$H$53</definedName>
    <definedName name="OSRRefH21_5x_0" localSheetId="88">'415'!$H$54:$H$55</definedName>
    <definedName name="OSRRefH21_5x_0" localSheetId="89">'418'!$H$53:$H$54</definedName>
    <definedName name="OSRRefH21_5x_0" localSheetId="90">'420'!$H$43</definedName>
    <definedName name="OSRRefH21_5x_0" localSheetId="91">'423'!$H$47</definedName>
    <definedName name="OSRRefH21_5x_0" localSheetId="92">'424'!$H$46</definedName>
    <definedName name="OSRRefH21_5x_0" localSheetId="93">'425'!$H$50:$H$51</definedName>
    <definedName name="OSRRefH21_5x_0" localSheetId="94">'430'!$H$46</definedName>
    <definedName name="OSRRefH21_5x_0" localSheetId="95">'433'!$H$56</definedName>
    <definedName name="OSRRefH21_5x_0" localSheetId="96">'435'!$H$39</definedName>
    <definedName name="OSRRefH21_5x_0" localSheetId="97">'444'!$H$54</definedName>
    <definedName name="OSRRefH21_5x_0" localSheetId="98">'445'!$H$38</definedName>
    <definedName name="OSRRefH21_5x_0" localSheetId="99">'450'!$H$54:$H$55</definedName>
    <definedName name="OSRRefH21_5x_0" localSheetId="41">'491'!$H$66:$H$69</definedName>
    <definedName name="OSRRefH21_5x_0" localSheetId="44">'492'!$H$58:$H$59</definedName>
    <definedName name="OSRRefH21_5x_0" localSheetId="101">'501'!$H$48</definedName>
    <definedName name="OSRRefH21_5x_0" localSheetId="8">'Div 2'!$H$49</definedName>
    <definedName name="OSRRefH21_5x_0" localSheetId="11">'Div 3'!$H$239:$H$242</definedName>
    <definedName name="OSRRefH21_5x_0" localSheetId="14">'Div 4'!$H$67:$H$70</definedName>
    <definedName name="OSRRefH21_5x_0" localSheetId="47">'Div 5'!$H$48</definedName>
    <definedName name="OSRRefH21_5x_0" localSheetId="50">'Div 6'!$H$92</definedName>
    <definedName name="OSRRefH21_5x_0" localSheetId="2">Summary!$H$275:$H$278</definedName>
    <definedName name="OSRRefH21_6x_0" localSheetId="55">'201'!$H$49:$H$50</definedName>
    <definedName name="OSRRefH21_6x_0" localSheetId="56">'202'!$H$49:$H$50</definedName>
    <definedName name="OSRRefH21_6x_0" localSheetId="57">'203'!$H$49</definedName>
    <definedName name="OSRRefH21_6x_0" localSheetId="58">'204'!$H$51</definedName>
    <definedName name="OSRRefH21_6x_0" localSheetId="59">'205'!$H$50:$H$53</definedName>
    <definedName name="OSRRefH21_6x_0" localSheetId="60">'206'!$H$48</definedName>
    <definedName name="OSRRefH21_6x_0" localSheetId="17">'300'!$H$239:$H$240</definedName>
    <definedName name="OSRRefH21_6x_0" localSheetId="20">'300 &amp; 317'!$H$264:$H$265</definedName>
    <definedName name="OSRRefH21_6x_0" localSheetId="61">'301'!$H$54:$H$55</definedName>
    <definedName name="OSRRefH21_6x_0" localSheetId="62">'306'!$H$50</definedName>
    <definedName name="OSRRefH21_6x_0" localSheetId="63">'307'!$H$130</definedName>
    <definedName name="OSRRefH21_6x_0" localSheetId="29">'308'!$H$120:$H$121</definedName>
    <definedName name="OSRRefH21_6x_0" localSheetId="64">'309'!$H$54</definedName>
    <definedName name="OSRRefH21_6x_0" localSheetId="23">'310'!$H$69</definedName>
    <definedName name="OSRRefH21_6x_0" localSheetId="38">'310 &amp; 491'!$H$83:$H$84</definedName>
    <definedName name="OSRRefH21_6x_0" localSheetId="65">'311'!$H$102:$H$103</definedName>
    <definedName name="OSRRefH21_6x_0" localSheetId="66">'312'!$H$91:$H$92</definedName>
    <definedName name="OSRRefH21_6x_0" localSheetId="67">'313'!$H$64</definedName>
    <definedName name="OSRRefH21_6x_0" localSheetId="68">'314'!$H$88:$H$97</definedName>
    <definedName name="OSRRefH21_6x_0" localSheetId="69">'315'!$H$87</definedName>
    <definedName name="OSRRefH21_6x_0" localSheetId="70">'316'!$H$69</definedName>
    <definedName name="OSRRefH21_6x_0" localSheetId="71">'317'!$H$94</definedName>
    <definedName name="OSRRefH21_6x_0" localSheetId="72">'318'!$H$40</definedName>
    <definedName name="OSRRefH21_6x_0" localSheetId="73">'320'!$H$61</definedName>
    <definedName name="OSRRefH21_6x_0" localSheetId="74">'321'!$H$55</definedName>
    <definedName name="OSRRefH21_6x_0" localSheetId="75">'322'!$H$54</definedName>
    <definedName name="OSRRefH21_6x_0" localSheetId="76">'323'!$H$41</definedName>
    <definedName name="OSRRefH21_6x_0" localSheetId="78">'325'!$H$56</definedName>
    <definedName name="OSRRefH21_6x_0" localSheetId="79">'326'!$H$124:$H$125</definedName>
    <definedName name="OSRRefH21_6x_0" localSheetId="26">'330'!$H$139</definedName>
    <definedName name="OSRRefH21_6x_0" localSheetId="32">'331'!$H$135:$H$136</definedName>
    <definedName name="OSRRefH21_6x_0" localSheetId="35">'332'!$H$86</definedName>
    <definedName name="OSRRefH21_6x_0" localSheetId="81">'335'!$H$43:$H$45</definedName>
    <definedName name="OSRRefH21_6x_0" localSheetId="82">'405'!$H$58</definedName>
    <definedName name="OSRRefH21_6x_0" localSheetId="83">'406'!$H$47</definedName>
    <definedName name="OSRRefH21_6x_0" localSheetId="84">'411'!$H$52</definedName>
    <definedName name="OSRRefH21_6x_0" localSheetId="85">'412'!$H$58</definedName>
    <definedName name="OSRRefH21_6x_0" localSheetId="86">'413'!$H$56</definedName>
    <definedName name="OSRRefH21_6x_0" localSheetId="87">'414'!$H$55</definedName>
    <definedName name="OSRRefH21_6x_0" localSheetId="88">'415'!$H$57</definedName>
    <definedName name="OSRRefH21_6x_0" localSheetId="89">'418'!$H$56</definedName>
    <definedName name="OSRRefH21_6x_0" localSheetId="90">'420'!$H$45</definedName>
    <definedName name="OSRRefH21_6x_0" localSheetId="91">'423'!$H$49</definedName>
    <definedName name="OSRRefH21_6x_0" localSheetId="92">'424'!$H$48</definedName>
    <definedName name="OSRRefH21_6x_0" localSheetId="93">'425'!$H$53</definedName>
    <definedName name="OSRRefH21_6x_0" localSheetId="94">'430'!$H$48</definedName>
    <definedName name="OSRRefH21_6x_0" localSheetId="95">'433'!$H$58</definedName>
    <definedName name="OSRRefH21_6x_0" localSheetId="96">'435'!$H$41</definedName>
    <definedName name="OSRRefH21_6x_0" localSheetId="97">'444'!$H$56</definedName>
    <definedName name="OSRRefH21_6x_0" localSheetId="98">'445'!$H$40</definedName>
    <definedName name="OSRRefH21_6x_0" localSheetId="99">'450'!$H$57</definedName>
    <definedName name="OSRRefH21_6x_0" localSheetId="41">'491'!$H$71:$H$72</definedName>
    <definedName name="OSRRefH21_6x_0" localSheetId="44">'492'!$H$61</definedName>
    <definedName name="OSRRefH21_6x_0" localSheetId="101">'501'!$H$50:$H$51</definedName>
    <definedName name="OSRRefH21_6x_0" localSheetId="8">'Div 2'!$H$51:$H$52</definedName>
    <definedName name="OSRRefH21_6x_0" localSheetId="11">'Div 3'!$H$244:$H$245</definedName>
    <definedName name="OSRRefH21_6x_0" localSheetId="14">'Div 4'!$H$72:$H$73</definedName>
    <definedName name="OSRRefH21_6x_0" localSheetId="47">'Div 5'!$H$50:$H$51</definedName>
    <definedName name="OSRRefH21_6x_0" localSheetId="50">'Div 6'!$H$94</definedName>
    <definedName name="OSRRefH21_6x_0" localSheetId="2">Summary!$H$280:$H$281</definedName>
    <definedName name="OSRRefH21_7x_0" localSheetId="55">'201'!$H$52</definedName>
    <definedName name="OSRRefH21_7x_0" localSheetId="56">'202'!$H$52</definedName>
    <definedName name="OSRRefH21_7x_0" localSheetId="57">'203'!$H$51</definedName>
    <definedName name="OSRRefH21_7x_0" localSheetId="58">'204'!$H$53</definedName>
    <definedName name="OSRRefH21_7x_0" localSheetId="59">'205'!$H$55</definedName>
    <definedName name="OSRRefH21_7x_0" localSheetId="60">'206'!$H$50:$H$52</definedName>
    <definedName name="OSRRefH21_7x_0" localSheetId="17">'300'!$H$242:$H$243</definedName>
    <definedName name="OSRRefH21_7x_0" localSheetId="20">'300 &amp; 317'!$H$267:$H$268</definedName>
    <definedName name="OSRRefH21_7x_0" localSheetId="61">'301'!$H$57</definedName>
    <definedName name="OSRRefH21_7x_0" localSheetId="62">'306'!$H$52:$H$53</definedName>
    <definedName name="OSRRefH21_7x_0" localSheetId="63">'307'!$H$132:$H$133</definedName>
    <definedName name="OSRRefH21_7x_0" localSheetId="29">'308'!$H$123:$H$124</definedName>
    <definedName name="OSRRefH21_7x_0" localSheetId="64">'309'!$H$56</definedName>
    <definedName name="OSRRefH21_7x_0" localSheetId="23">'310'!$H$71</definedName>
    <definedName name="OSRRefH21_7x_0" localSheetId="38">'310 &amp; 491'!$H$86</definedName>
    <definedName name="OSRRefH21_7x_0" localSheetId="65">'311'!$H$105:$H$106</definedName>
    <definedName name="OSRRefH21_7x_0" localSheetId="66">'312'!$H$94</definedName>
    <definedName name="OSRRefH21_7x_0" localSheetId="67">'313'!$H$66:$H$67</definedName>
    <definedName name="OSRRefH21_7x_0" localSheetId="68">'314'!$H$99</definedName>
    <definedName name="OSRRefH21_7x_0" localSheetId="69">'315'!$H$89:$H$90</definedName>
    <definedName name="OSRRefH21_7x_0" localSheetId="70">'316'!$H$71:$H$72</definedName>
    <definedName name="OSRRefH21_7x_0" localSheetId="71">'317'!$H$96:$H$97</definedName>
    <definedName name="OSRRefH21_7x_0" localSheetId="72">'318'!$H$42</definedName>
    <definedName name="OSRRefH21_7x_0" localSheetId="73">'320'!$H$63:$H$66</definedName>
    <definedName name="OSRRefH21_7x_0" localSheetId="74">'321'!$H$57:$H$58</definedName>
    <definedName name="OSRRefH21_7x_0" localSheetId="75">'322'!$H$56</definedName>
    <definedName name="OSRRefH21_7x_0" localSheetId="76">'323'!$H$43:$H$45</definedName>
    <definedName name="OSRRefH21_7x_0" localSheetId="78">'325'!$H$58</definedName>
    <definedName name="OSRRefH21_7x_0" localSheetId="79">'326'!$H$127</definedName>
    <definedName name="OSRRefH21_7x_0" localSheetId="26">'330'!$H$141:$H$142</definedName>
    <definedName name="OSRRefH21_7x_0" localSheetId="32">'331'!$H$138</definedName>
    <definedName name="OSRRefH21_7x_0" localSheetId="35">'332'!$H$88:$H$89</definedName>
    <definedName name="OSRRefH21_7x_0" localSheetId="81">'335'!$H$47</definedName>
    <definedName name="OSRRefH21_7x_0" localSheetId="82">'405'!$H$60</definedName>
    <definedName name="OSRRefH21_7x_0" localSheetId="83">'406'!$H$49</definedName>
    <definedName name="OSRRefH21_7x_0" localSheetId="84">'411'!$H$54</definedName>
    <definedName name="OSRRefH21_7x_0" localSheetId="85">'412'!$H$60</definedName>
    <definedName name="OSRRefH21_7x_0" localSheetId="86">'413'!$H$58</definedName>
    <definedName name="OSRRefH21_7x_0" localSheetId="87">'414'!$H$57</definedName>
    <definedName name="OSRRefH21_7x_0" localSheetId="88">'415'!$H$59</definedName>
    <definedName name="OSRRefH21_7x_0" localSheetId="89">'418'!$H$58</definedName>
    <definedName name="OSRRefH21_7x_0" localSheetId="90">'420'!$H$47:$H$48</definedName>
    <definedName name="OSRRefH21_7x_0" localSheetId="91">'423'!$H$51:$H$53</definedName>
    <definedName name="OSRRefH21_7x_0" localSheetId="92">'424'!$H$50</definedName>
    <definedName name="OSRRefH21_7x_0" localSheetId="93">'425'!$H$55</definedName>
    <definedName name="OSRRefH21_7x_0" localSheetId="94">'430'!$H$50</definedName>
    <definedName name="OSRRefH21_7x_0" localSheetId="95">'433'!$H$60</definedName>
    <definedName name="OSRRefH21_7x_0" localSheetId="96">'435'!$H$43</definedName>
    <definedName name="OSRRefH21_7x_0" localSheetId="97">'444'!$H$58</definedName>
    <definedName name="OSRRefH21_7x_0" localSheetId="98">'445'!$H$42</definedName>
    <definedName name="OSRRefH21_7x_0" localSheetId="99">'450'!$H$59</definedName>
    <definedName name="OSRRefH21_7x_0" localSheetId="41">'491'!$H$74</definedName>
    <definedName name="OSRRefH21_7x_0" localSheetId="44">'492'!$H$63</definedName>
    <definedName name="OSRRefH21_7x_0" localSheetId="101">'501'!$H$53</definedName>
    <definedName name="OSRRefH21_7x_0" localSheetId="8">'Div 2'!$H$54:$H$55</definedName>
    <definedName name="OSRRefH21_7x_0" localSheetId="11">'Div 3'!$H$247:$H$248</definedName>
    <definedName name="OSRRefH21_7x_0" localSheetId="14">'Div 4'!$H$75</definedName>
    <definedName name="OSRRefH21_7x_0" localSheetId="47">'Div 5'!$H$53</definedName>
    <definedName name="OSRRefH21_7x_0" localSheetId="50">'Div 6'!$H$96:$H$97</definedName>
    <definedName name="OSRRefH21_7x_0" localSheetId="2">Summary!$H$283:$H$284</definedName>
    <definedName name="OSRRefH21_8x_0" localSheetId="55">'201'!$H$54</definedName>
    <definedName name="OSRRefH21_8x_0" localSheetId="56">'202'!$H$54</definedName>
    <definedName name="OSRRefH21_8x_0" localSheetId="57">'203'!$H$53:$H$54</definedName>
    <definedName name="OSRRefH21_8x_0" localSheetId="58">'204'!$H$55:$H$58</definedName>
    <definedName name="OSRRefH21_8x_0" localSheetId="59">'205'!$H$57</definedName>
    <definedName name="OSRRefH21_8x_0" localSheetId="60">'206'!$H$54</definedName>
    <definedName name="OSRRefH21_8x_0" localSheetId="17">'300'!$H$245</definedName>
    <definedName name="OSRRefH21_8x_0" localSheetId="20">'300 &amp; 317'!$H$270</definedName>
    <definedName name="OSRRefH21_8x_0" localSheetId="61">'301'!$H$59</definedName>
    <definedName name="OSRRefH21_8x_0" localSheetId="62">'306'!$H$55:$H$59</definedName>
    <definedName name="OSRRefH21_8x_0" localSheetId="63">'307'!$H$135</definedName>
    <definedName name="OSRRefH21_8x_0" localSheetId="29">'308'!$H$126:$H$138</definedName>
    <definedName name="OSRRefH21_8x_0" localSheetId="64">'309'!$H$58</definedName>
    <definedName name="OSRRefH21_8x_0" localSheetId="23">'310'!$H$73</definedName>
    <definedName name="OSRRefH21_8x_0" localSheetId="38">'310 &amp; 491'!$H$88</definedName>
    <definedName name="OSRRefH21_8x_0" localSheetId="65">'311'!$H$108:$H$116</definedName>
    <definedName name="OSRRefH21_8x_0" localSheetId="66">'312'!$H$96</definedName>
    <definedName name="OSRRefH21_8x_0" localSheetId="67">'313'!$H$69</definedName>
    <definedName name="OSRRefH21_8x_0" localSheetId="68">'314'!$H$101</definedName>
    <definedName name="OSRRefH21_8x_0" localSheetId="69">'315'!$H$92</definedName>
    <definedName name="OSRRefH21_8x_0" localSheetId="70">'316'!$H$74</definedName>
    <definedName name="OSRRefH21_8x_0" localSheetId="71">'317'!$H$99</definedName>
    <definedName name="OSRRefH21_8x_0" localSheetId="72">'318'!$H$44</definedName>
    <definedName name="OSRRefH21_8x_0" localSheetId="73">'320'!$H$68:$H$69</definedName>
    <definedName name="OSRRefH21_8x_0" localSheetId="74">'321'!$H$60</definedName>
    <definedName name="OSRRefH21_8x_0" localSheetId="75">'322'!$H$58</definedName>
    <definedName name="OSRRefH21_8x_0" localSheetId="78">'325'!$H$60</definedName>
    <definedName name="OSRRefH21_8x_0" localSheetId="79">'326'!$H$129:$H$130</definedName>
    <definedName name="OSRRefH21_8x_0" localSheetId="26">'330'!$H$144</definedName>
    <definedName name="OSRRefH21_8x_0" localSheetId="32">'331'!$H$140:$H$141</definedName>
    <definedName name="OSRRefH21_8x_0" localSheetId="35">'332'!$H$91</definedName>
    <definedName name="OSRRefH21_8x_0" localSheetId="81">'335'!$H$49</definedName>
    <definedName name="OSRRefH21_8x_0" localSheetId="82">'405'!$H$62</definedName>
    <definedName name="OSRRefH21_8x_0" localSheetId="83">'406'!$H$51</definedName>
    <definedName name="OSRRefH21_8x_0" localSheetId="84">'411'!$H$56</definedName>
    <definedName name="OSRRefH21_8x_0" localSheetId="85">'412'!$H$62</definedName>
    <definedName name="OSRRefH21_8x_0" localSheetId="86">'413'!$H$60:$H$63</definedName>
    <definedName name="OSRRefH21_8x_0" localSheetId="87">'414'!$H$59</definedName>
    <definedName name="OSRRefH21_8x_0" localSheetId="88">'415'!$H$61</definedName>
    <definedName name="OSRRefH21_8x_0" localSheetId="89">'418'!$H$60</definedName>
    <definedName name="OSRRefH21_8x_0" localSheetId="90">'420'!$H$50</definedName>
    <definedName name="OSRRefH21_8x_0" localSheetId="91">'423'!$H$55</definedName>
    <definedName name="OSRRefH21_8x_0" localSheetId="92">'424'!$H$52</definedName>
    <definedName name="OSRRefH21_8x_0" localSheetId="93">'425'!$H$57</definedName>
    <definedName name="OSRRefH21_8x_0" localSheetId="94">'430'!$H$52:$H$56</definedName>
    <definedName name="OSRRefH21_8x_0" localSheetId="95">'433'!$H$62</definedName>
    <definedName name="OSRRefH21_8x_0" localSheetId="96">'435'!$H$45</definedName>
    <definedName name="OSRRefH21_8x_0" localSheetId="97">'444'!$H$60</definedName>
    <definedName name="OSRRefH21_8x_0" localSheetId="98">'445'!$H$44:$H$45</definedName>
    <definedName name="OSRRefH21_8x_0" localSheetId="99">'450'!$H$61</definedName>
    <definedName name="OSRRefH21_8x_0" localSheetId="41">'491'!$H$76</definedName>
    <definedName name="OSRRefH21_8x_0" localSheetId="44">'492'!$H$65</definedName>
    <definedName name="OSRRefH21_8x_0" localSheetId="101">'501'!$H$55</definedName>
    <definedName name="OSRRefH21_8x_0" localSheetId="8">'Div 2'!$H$57</definedName>
    <definedName name="OSRRefH21_8x_0" localSheetId="11">'Div 3'!$H$250</definedName>
    <definedName name="OSRRefH21_8x_0" localSheetId="14">'Div 4'!$H$77</definedName>
    <definedName name="OSRRefH21_8x_0" localSheetId="47">'Div 5'!$H$55</definedName>
    <definedName name="OSRRefH21_8x_0" localSheetId="50">'Div 6'!$H$99</definedName>
    <definedName name="OSRRefH21_8x_0" localSheetId="2">Summary!$H$286</definedName>
    <definedName name="OSRRefH21_9x_0" localSheetId="55">'201'!$H$56</definedName>
    <definedName name="OSRRefH21_9x_0" localSheetId="56">'202'!$H$56:$H$57</definedName>
    <definedName name="OSRRefH21_9x_0" localSheetId="57">'203'!$H$56:$H$58</definedName>
    <definedName name="OSRRefH21_9x_0" localSheetId="58">'204'!$H$60:$H$61</definedName>
    <definedName name="OSRRefH21_9x_0" localSheetId="60">'206'!$H$56:$H$57</definedName>
    <definedName name="OSRRefH21_9x_0" localSheetId="17">'300'!$H$247</definedName>
    <definedName name="OSRRefH21_9x_0" localSheetId="20">'300 &amp; 317'!$H$272</definedName>
    <definedName name="OSRRefH21_9x_0" localSheetId="61">'301'!$H$61</definedName>
    <definedName name="OSRRefH21_9x_0" localSheetId="62">'306'!$H$61</definedName>
    <definedName name="OSRRefH21_9x_0" localSheetId="63">'307'!$H$137:$H$160</definedName>
    <definedName name="OSRRefH21_9x_0" localSheetId="29">'308'!$H$140</definedName>
    <definedName name="OSRRefH21_9x_0" localSheetId="64">'309'!$H$60</definedName>
    <definedName name="OSRRefH21_9x_0" localSheetId="23">'310'!$H$75:$H$76</definedName>
    <definedName name="OSRRefH21_9x_0" localSheetId="38">'310 &amp; 491'!$H$90</definedName>
    <definedName name="OSRRefH21_9x_0" localSheetId="65">'311'!$H$118</definedName>
    <definedName name="OSRRefH21_9x_0" localSheetId="66">'312'!$H$98</definedName>
    <definedName name="OSRRefH21_9x_0" localSheetId="67">'313'!$H$71</definedName>
    <definedName name="OSRRefH21_9x_0" localSheetId="68">'314'!$H$103</definedName>
    <definedName name="OSRRefH21_9x_0" localSheetId="69">'315'!$H$94:$H$100</definedName>
    <definedName name="OSRRefH21_9x_0" localSheetId="70">'316'!$H$76:$H$78</definedName>
    <definedName name="OSRRefH21_9x_0" localSheetId="71">'317'!$H$101:$H$108</definedName>
    <definedName name="OSRRefH21_9x_0" localSheetId="73">'320'!$H$71:$H$73</definedName>
    <definedName name="OSRRefH21_9x_0" localSheetId="74">'321'!$H$62:$H$64</definedName>
    <definedName name="OSRRefH21_9x_0" localSheetId="75">'322'!$H$60</definedName>
    <definedName name="OSRRefH21_9x_0" localSheetId="78">'325'!$H$62</definedName>
    <definedName name="OSRRefH21_9x_0" localSheetId="79">'326'!$H$132:$H$133</definedName>
    <definedName name="OSRRefH21_9x_0" localSheetId="26">'330'!$H$146:$H$169</definedName>
    <definedName name="OSRRefH21_9x_0" localSheetId="32">'331'!$H$143:$H$144</definedName>
    <definedName name="OSRRefH21_9x_0" localSheetId="35">'332'!$H$93:$H$96</definedName>
    <definedName name="OSRRefH21_9x_0" localSheetId="81">'335'!$H$51:$H$52</definedName>
    <definedName name="OSRRefH21_9x_0" localSheetId="82">'405'!$H$64</definedName>
    <definedName name="OSRRefH21_9x_0" localSheetId="83">'406'!$H$53</definedName>
    <definedName name="OSRRefH21_9x_0" localSheetId="84">'411'!$H$58</definedName>
    <definedName name="OSRRefH21_9x_0" localSheetId="85">'412'!$H$64</definedName>
    <definedName name="OSRRefH21_9x_0" localSheetId="86">'413'!$H$65:$H$67</definedName>
    <definedName name="OSRRefH21_9x_0" localSheetId="87">'414'!$H$61</definedName>
    <definedName name="OSRRefH21_9x_0" localSheetId="88">'415'!$H$63</definedName>
    <definedName name="OSRRefH21_9x_0" localSheetId="89">'418'!$H$62</definedName>
    <definedName name="OSRRefH21_9x_0" localSheetId="91">'423'!$H$57</definedName>
    <definedName name="OSRRefH21_9x_0" localSheetId="92">'424'!$H$54:$H$55</definedName>
    <definedName name="OSRRefH21_9x_0" localSheetId="93">'425'!$H$59:$H$62</definedName>
    <definedName name="OSRRefH21_9x_0" localSheetId="94">'430'!$H$58:$H$59</definedName>
    <definedName name="OSRRefH21_9x_0" localSheetId="95">'433'!$H$64</definedName>
    <definedName name="OSRRefH21_9x_0" localSheetId="96">'435'!$H$47:$H$48</definedName>
    <definedName name="OSRRefH21_9x_0" localSheetId="97">'444'!$H$62</definedName>
    <definedName name="OSRRefH21_9x_0" localSheetId="98">'445'!$H$47</definedName>
    <definedName name="OSRRefH21_9x_0" localSheetId="99">'450'!$H$63</definedName>
    <definedName name="OSRRefH21_9x_0" localSheetId="41">'491'!$H$78</definedName>
    <definedName name="OSRRefH21_9x_0" localSheetId="44">'492'!$H$67</definedName>
    <definedName name="OSRRefH21_9x_0" localSheetId="101">'501'!$H$57</definedName>
    <definedName name="OSRRefH21_9x_0" localSheetId="8">'Div 2'!$H$59</definedName>
    <definedName name="OSRRefH21_9x_0" localSheetId="11">'Div 3'!$H$252</definedName>
    <definedName name="OSRRefH21_9x_0" localSheetId="14">'Div 4'!$H$79</definedName>
    <definedName name="OSRRefH21_9x_0" localSheetId="47">'Div 5'!$H$57</definedName>
    <definedName name="OSRRefH21_9x_0" localSheetId="50">'Div 6'!$H$101:$H$108</definedName>
    <definedName name="OSRRefH21_9x_0" localSheetId="2">Summary!$H$288</definedName>
    <definedName name="OSRRefH21x_0" localSheetId="54">'200'!$H$19:$H$20,'200'!$H$22,'200'!$H$24,'200'!$H$26,'200'!$H$28,'200'!$H$30:$H$31</definedName>
    <definedName name="OSRRefH21x_0" localSheetId="55">'201'!$H$20:$H$28,'201'!$H$30:$H$39,'201'!$H$41,'201'!$H$43,'201'!$H$45,'201'!$H$47,'201'!$H$49:$H$50,'201'!$H$52,'201'!$H$54,'201'!$H$56,'201'!$H$58,'201'!$H$60,'201'!$H$62,'201'!$H$64:$H$67,'201'!$H$69:$H$71,'201'!$H$73,'201'!$H$75:$H$78,'201'!$H$80:$H$81,'201'!$H$83,'201'!$H$85:$H$86</definedName>
    <definedName name="OSRRefH21x_0" localSheetId="56">'202'!$H$20:$H$28,'202'!$H$30:$H$39,'202'!$H$41,'202'!$H$43,'202'!$H$45,'202'!$H$47,'202'!$H$49:$H$50,'202'!$H$52,'202'!$H$54,'202'!$H$56:$H$57,'202'!$H$59:$H$61,'202'!$H$63,'202'!$H$65,'202'!$H$67:$H$69,'202'!$H$71,'202'!$H$73,'202'!$H$75:$H$76</definedName>
    <definedName name="OSRRefH21x_0" localSheetId="57">'203'!$H$19:$H$28,'203'!$H$30:$H$39,'203'!$H$41,'203'!$H$43,'203'!$H$45,'203'!$H$47,'203'!$H$49,'203'!$H$51,'203'!$H$53:$H$54,'203'!$H$56:$H$58,'203'!$H$60:$H$62,'203'!$H$64:$H$65,'203'!$H$67:$H$71,'203'!$H$73,'203'!$H$75,'203'!$H$77:$H$78</definedName>
    <definedName name="OSRRefH21x_0" localSheetId="58">'204'!$H$19:$H$28,'204'!$H$30:$H$39,'204'!$H$41,'204'!$H$43:$H$44,'204'!$H$46,'204'!$H$48:$H$49,'204'!$H$51,'204'!$H$53,'204'!$H$55:$H$58,'204'!$H$60:$H$61,'204'!$H$63:$H$66,'204'!$H$68:$H$69,'204'!$H$71,'204'!$H$73:$H$74</definedName>
    <definedName name="OSRRefH21x_0" localSheetId="59">'205'!$H$19:$H$27,'205'!$H$29:$H$38,'205'!$H$40,'205'!$H$42,'205'!$H$44:$H$46,'205'!$H$48,'205'!$H$50:$H$53,'205'!$H$55,'205'!$H$57</definedName>
    <definedName name="OSRRefH21x_0" localSheetId="60">'206'!$H$19:$H$27,'206'!$H$29:$H$38,'206'!$H$40,'206'!$H$42,'206'!$H$44,'206'!$H$46,'206'!$H$48,'206'!$H$50:$H$52,'206'!$H$54,'206'!$H$56:$H$57,'206'!$H$59:$H$60,'206'!$H$62,'206'!$H$64:$H$65</definedName>
    <definedName name="OSRRefH21x_0" localSheetId="17">'300'!$H$204:$H$213,'300'!$H$215:$H$224,'300'!$H$226,'300'!$H$228:$H$230,'300'!$H$232,'300'!$H$234:$H$237,'300'!$H$239:$H$240,'300'!$H$242:$H$243,'300'!$H$245,'300'!$H$247,'300'!$H$249:$H$250,'300'!$H$252:$H$254,'300'!$H$256,'300'!$H$258:$H$294,'300'!$H$296:$H$297,'300'!$H$299,'300'!$H$301:$H$304,'300'!$H$306:$H$310,'300'!$H$312:$H$316,'300'!$H$318:$H$319,'300'!$H$321:$H$329,'300'!$H$331:$H$332,'300'!$H$334,'300'!$H$336:$H$338,'300'!$H$340</definedName>
    <definedName name="OSRRefH21x_0" localSheetId="20">'300 &amp; 317'!$H$229:$H$238,'300 &amp; 317'!$H$240:$H$249,'300 &amp; 317'!$H$251,'300 &amp; 317'!$H$253:$H$255,'300 &amp; 317'!$H$257,'300 &amp; 317'!$H$259:$H$262,'300 &amp; 317'!$H$264:$H$265,'300 &amp; 317'!$H$267:$H$268,'300 &amp; 317'!$H$270,'300 &amp; 317'!$H$272,'300 &amp; 317'!$H$274:$H$275,'300 &amp; 317'!$H$277:$H$279,'300 &amp; 317'!$H$281,'300 &amp; 317'!$H$283:$H$322,'300 &amp; 317'!$H$324:$H$325,'300 &amp; 317'!$H$327,'300 &amp; 317'!$H$329:$H$332,'300 &amp; 317'!$H$334:$H$338,'300 &amp; 317'!$H$340:$H$344,'300 &amp; 317'!$H$346:$H$347,'300 &amp; 317'!$H$349:$H$357,'300 &amp; 317'!$H$359:$H$360,'300 &amp; 317'!$H$362,'300 &amp; 317'!$H$364:$H$366,'300 &amp; 317'!$H$368</definedName>
    <definedName name="OSRRefH21x_0" localSheetId="61">'301'!$H$20:$H$28,'301'!$H$30:$H$39,'301'!$H$41,'301'!$H$43:$H$45,'301'!$H$47,'301'!$H$49:$H$52,'301'!$H$54:$H$55,'301'!$H$57,'301'!$H$59,'301'!$H$61,'301'!$H$63,'301'!$H$65,'301'!$H$67,'301'!$H$69:$H$70,'301'!$H$72:$H$73,'301'!$H$75,'301'!$H$77:$H$80,'301'!$H$82,'301'!$H$84:$H$87,'301'!$H$89:$H$90,'301'!$H$92:$H$98,'301'!$H$100:$H$101,'301'!$H$103,'301'!$H$105:$H$107,'301'!$H$109</definedName>
    <definedName name="OSRRefH21x_0" localSheetId="62">'306'!$H$19:$H$28,'306'!$H$30:$H$39,'306'!$H$41,'306'!$H$43,'306'!$H$45,'306'!$H$47:$H$48,'306'!$H$50,'306'!$H$52:$H$53,'306'!$H$55:$H$59,'306'!$H$61,'306'!$H$63,'306'!$H$65,'306'!$H$67</definedName>
    <definedName name="OSRRefH21x_0" localSheetId="63">'307'!$H$100:$H$108,'307'!$H$110:$H$119,'307'!$H$121,'307'!$H$123,'307'!$H$125,'307'!$H$127:$H$128,'307'!$H$130,'307'!$H$132:$H$133,'307'!$H$135,'307'!$H$137:$H$160,'307'!$H$162,'307'!$H$164,'307'!$H$166:$H$167,'307'!$H$169:$H$170,'307'!$H$172,'307'!$H$174:$H$179,'307'!$H$181:$H$182,'307'!$H$184,'307'!$H$186</definedName>
    <definedName name="OSRRefH21x_0" localSheetId="29">'308'!$H$89:$H$98,'308'!$H$100:$H$109,'308'!$H$111,'308'!$H$113:$H$114,'308'!$H$116,'308'!$H$118,'308'!$H$120:$H$121,'308'!$H$123:$H$124,'308'!$H$126:$H$138,'308'!$H$140,'308'!$H$142:$H$144,'308'!$H$146,'308'!$H$148:$H$149,'308'!$H$151:$H$154,'308'!$H$156:$H$157,'308'!$H$159,'308'!$H$161:$H$162,'308'!$H$164</definedName>
    <definedName name="OSRRefH21x_0" localSheetId="64">'309'!$H$25:$H$33,'309'!$H$35:$H$44,'309'!$H$46,'309'!$H$48,'309'!$H$50,'309'!$H$52,'309'!$H$54,'309'!$H$56,'309'!$H$58,'309'!$H$60,'309'!$H$62:$H$63,'309'!$H$65:$H$67,'309'!$H$69,'309'!$H$71:$H$79,'309'!$H$81,'309'!$H$83,'309'!$H$85:$H$86</definedName>
    <definedName name="OSRRefH21x_0" localSheetId="23">'310'!$H$39:$H$47,'310'!$H$49:$H$58,'310'!$H$60,'310'!$H$62,'310'!$H$64,'310'!$H$66:$H$67,'310'!$H$69,'310'!$H$71,'310'!$H$73,'310'!$H$75:$H$76,'310'!$H$78:$H$79,'310'!$H$81,'310'!$H$83,'310'!$H$85,'310'!$H$87,'310'!$H$89:$H$92,'310'!$H$94:$H$95,'310'!$H$97:$H$100,'310'!$H$102:$H$103,'310'!$H$105:$H$113,'310'!$H$115:$H$116,'310'!$H$118,'310'!$H$120:$H$122,'310'!$H$124</definedName>
    <definedName name="OSRRefH21x_0" localSheetId="38">'310 &amp; 491'!$H$49:$H$58,'310 &amp; 491'!$H$60:$H$69,'310 &amp; 491'!$H$71,'310 &amp; 491'!$H$73:$H$74,'310 &amp; 491'!$H$76,'310 &amp; 491'!$H$78:$H$81,'310 &amp; 491'!$H$83:$H$84,'310 &amp; 491'!$H$86,'310 &amp; 491'!$H$88,'310 &amp; 491'!$H$90,'310 &amp; 491'!$H$92:$H$93,'310 &amp; 491'!$H$95:$H$97,'310 &amp; 491'!$H$99,'310 &amp; 491'!$H$101,'310 &amp; 491'!$H$103,'310 &amp; 491'!$H$105,'310 &amp; 491'!$H$107,'310 &amp; 491'!$H$109:$H$112,'310 &amp; 491'!$H$114:$H$115,'310 &amp; 491'!$H$117:$H$121,'310 &amp; 491'!$H$123:$H$124,'310 &amp; 491'!$H$126:$H$136,'310 &amp; 491'!$H$138:$H$139,'310 &amp; 491'!$H$141,'310 &amp; 491'!$H$143:$H$145,'310 &amp; 491'!$H$147</definedName>
    <definedName name="OSRRefH21x_0" localSheetId="65">'311'!$H$71:$H$80,'311'!$H$82:$H$91,'311'!$H$93,'311'!$H$95:$H$96,'311'!$H$98,'311'!$H$100,'311'!$H$102:$H$103,'311'!$H$105:$H$106,'311'!$H$108:$H$116,'311'!$H$118,'311'!$H$120:$H$122,'311'!$H$124,'311'!$H$126:$H$127,'311'!$H$129:$H$132,'311'!$H$134:$H$135,'311'!$H$137,'311'!$H$139:$H$140,'311'!$H$142</definedName>
    <definedName name="OSRRefH21x_0" localSheetId="66">'312'!$H$58:$H$66,'312'!$H$68:$H$72,'312'!$H$74,'312'!$H$76,'312'!$H$78:$H$79,'312'!$H$81:$H$89,'312'!$H$91:$H$92,'312'!$H$94,'312'!$H$96,'312'!$H$98</definedName>
    <definedName name="OSRRefH21x_0" localSheetId="67">'313'!$H$35:$H$43,'313'!$H$45:$H$54,'313'!$H$56,'313'!$H$58,'313'!$H$60,'313'!$H$62,'313'!$H$64,'313'!$H$66:$H$67,'313'!$H$69,'313'!$H$71,'313'!$H$73:$H$75,'313'!$H$77:$H$78,'313'!$H$80:$H$81,'313'!$H$83:$H$89,'313'!$H$91:$H$92,'313'!$H$94,'313'!$H$96:$H$97</definedName>
    <definedName name="OSRRefH21x_0" localSheetId="68">'314'!$H$61:$H$69,'314'!$H$71:$H$76,'314'!$H$78,'314'!$H$80:$H$81,'314'!$H$83,'314'!$H$85:$H$86,'314'!$H$88:$H$97,'314'!$H$99,'314'!$H$101,'314'!$H$103,'314'!$H$105:$H$108,'314'!$H$110,'314'!$H$112,'314'!$H$114</definedName>
    <definedName name="OSRRefH21x_0" localSheetId="69">'315'!$H$57:$H$65,'315'!$H$67:$H$76,'315'!$H$78,'315'!$H$80,'315'!$H$82,'315'!$H$84:$H$85,'315'!$H$87,'315'!$H$89:$H$90,'315'!$H$92,'315'!$H$94:$H$100,'315'!$H$102,'315'!$H$104:$H$106,'315'!$H$108:$H$110,'315'!$H$112:$H$113,'315'!$H$115:$H$122,'315'!$H$124,'315'!$H$126,'315'!$H$128:$H$130</definedName>
    <definedName name="OSRRefH21x_0" localSheetId="70">'316'!$H$40:$H$48,'316'!$H$50:$H$59,'316'!$H$61,'316'!$H$63,'316'!$H$65,'316'!$H$67,'316'!$H$69,'316'!$H$71:$H$72,'316'!$H$74,'316'!$H$76:$H$78,'316'!$H$80,'316'!$H$82:$H$87,'316'!$H$89,'316'!$H$91,'316'!$H$93,'316'!$H$95</definedName>
    <definedName name="OSRRefH21x_0" localSheetId="71">'317'!$H$63:$H$72,'317'!$H$74:$H$83,'317'!$H$85,'317'!$H$87,'317'!$H$89:$H$90,'317'!$H$92,'317'!$H$94,'317'!$H$96:$H$97,'317'!$H$99,'317'!$H$101:$H$108,'317'!$H$110:$H$111,'317'!$H$113,'317'!$H$115:$H$118,'317'!$H$120,'317'!$H$122,'317'!$H$124:$H$125</definedName>
    <definedName name="OSRRefH21x_0" localSheetId="72">'318'!$H$19:$H$25,'318'!$H$27:$H$30,'318'!$H$32,'318'!$H$34,'318'!$H$36,'318'!$H$38,'318'!$H$40,'318'!$H$42,'318'!$H$44</definedName>
    <definedName name="OSRRefH21x_0" localSheetId="73">'320'!$H$35:$H$42,'320'!$H$44:$H$50,'320'!$H$52,'320'!$H$54,'320'!$H$56,'320'!$H$58:$H$59,'320'!$H$61,'320'!$H$63:$H$66,'320'!$H$68:$H$69,'320'!$H$71:$H$73,'320'!$H$75,'320'!$H$77,'320'!$H$79</definedName>
    <definedName name="OSRRefH21x_0" localSheetId="74">'321'!$H$26:$H$34,'321'!$H$36:$H$45,'321'!$H$47,'321'!$H$49,'321'!$H$51,'321'!$H$53,'321'!$H$55,'321'!$H$57:$H$58,'321'!$H$60,'321'!$H$62:$H$64,'321'!$H$66:$H$67,'321'!$H$69:$H$71,'321'!$H$73:$H$74,'321'!$H$76:$H$83,'321'!$H$85:$H$86,'321'!$H$88,'321'!$H$90:$H$91,'321'!$H$93</definedName>
    <definedName name="OSRRefH21x_0" localSheetId="75">'322'!$H$25:$H$33,'322'!$H$35:$H$44,'322'!$H$46,'322'!$H$48,'322'!$H$50,'322'!$H$52,'322'!$H$54,'322'!$H$56,'322'!$H$58,'322'!$H$60,'322'!$H$62,'322'!$H$64,'322'!$H$66:$H$67,'322'!$H$69:$H$71,'322'!$H$73:$H$74,'322'!$H$76:$H$84,'322'!$H$86,'322'!$H$88,'322'!$H$90:$H$92,'322'!$H$94</definedName>
    <definedName name="OSRRefH21x_0" localSheetId="76">'323'!$H$21:$H$27,'323'!$H$29:$H$31,'323'!$H$33,'323'!$H$35,'323'!$H$37,'323'!$H$39,'323'!$H$41,'323'!$H$43:$H$45</definedName>
    <definedName name="OSRRefH21x_0" localSheetId="77">'324'!$H$26:$H$33,'324'!$H$35:$H$44,'324'!$H$46,'324'!$H$48</definedName>
    <definedName name="OSRRefH21x_0" localSheetId="78">'325'!$H$26:$H$34,'325'!$H$36:$H$45,'325'!$H$47,'325'!$H$49,'325'!$H$51,'325'!$H$53:$H$54,'325'!$H$56,'325'!$H$58,'325'!$H$60,'325'!$H$62,'325'!$H$64,'325'!$H$66,'325'!$H$68:$H$71,'325'!$H$73:$H$76,'325'!$H$78:$H$79,'325'!$H$81:$H$88,'325'!$H$90:$H$91,'325'!$H$93,'325'!$H$95,'325'!$H$97</definedName>
    <definedName name="OSRRefH21x_0" localSheetId="79">'326'!$H$94:$H$102,'326'!$H$104:$H$113,'326'!$H$115,'326'!$H$117,'326'!$H$119,'326'!$H$121:$H$122,'326'!$H$124:$H$125,'326'!$H$127,'326'!$H$129:$H$130,'326'!$H$132:$H$133,'326'!$H$135,'326'!$H$137:$H$157,'326'!$H$159,'326'!$H$161,'326'!$H$163:$H$165,'326'!$H$167:$H$169,'326'!$H$171:$H$172,'326'!$H$174:$H$181,'326'!$H$183:$H$184,'326'!$H$186,'326'!$H$188:$H$190,'326'!$H$192</definedName>
    <definedName name="OSRRefH21x_0" localSheetId="80">'327'!$H$25,'327'!$H$27,'327'!$H$29</definedName>
    <definedName name="OSRRefH21x_0" localSheetId="26">'330'!$H$108:$H$117,'330'!$H$119:$H$128,'330'!$H$130,'330'!$H$132,'330'!$H$134,'330'!$H$136:$H$137,'330'!$H$139,'330'!$H$141:$H$142,'330'!$H$144,'330'!$H$146:$H$169,'330'!$H$171,'330'!$H$173,'330'!$H$175:$H$176,'330'!$H$178:$H$179,'330'!$H$181,'330'!$H$183:$H$189,'330'!$H$191:$H$192,'330'!$H$194,'330'!$H$196</definedName>
    <definedName name="OSRRefH21x_0" localSheetId="32">'331'!$H$105:$H$113,'331'!$H$115:$H$124,'331'!$H$126,'331'!$H$128,'331'!$H$130,'331'!$H$132:$H$133,'331'!$H$135:$H$136,'331'!$H$138,'331'!$H$140:$H$141,'331'!$H$143:$H$144,'331'!$H$146,'331'!$H$148:$H$168,'331'!$H$170,'331'!$H$172,'331'!$H$174:$H$177,'331'!$H$179:$H$181,'331'!$H$183:$H$185,'331'!$H$187:$H$188,'331'!$H$190:$H$198,'331'!$H$200:$H$201,'331'!$H$203,'331'!$H$205:$H$207,'331'!$H$209</definedName>
    <definedName name="OSRRefH21x_0" localSheetId="35">'332'!$H$57:$H$65,'332'!$H$67:$H$76,'332'!$H$78,'332'!$H$80,'332'!$H$82,'332'!$H$84,'332'!$H$86,'332'!$H$88:$H$89,'332'!$H$91,'332'!$H$93:$H$96,'332'!$H$98:$H$100,'332'!$H$102:$H$103,'332'!$H$105:$H$110,'332'!$H$112,'332'!$H$114,'332'!$H$116,'332'!$H$118</definedName>
    <definedName name="OSRRefH21x_0" localSheetId="81">'335'!$H$19:$H$26,'335'!$H$28:$H$32,'335'!$H$34,'335'!$H$36,'335'!$H$38,'335'!$H$40:$H$41,'335'!$H$43:$H$45,'335'!$H$47,'335'!$H$49,'335'!$H$51:$H$52</definedName>
    <definedName name="OSRRefH21x_0" localSheetId="82">'405'!$H$27:$H$36,'405'!$H$38:$H$47,'405'!$H$49,'405'!$H$51,'405'!$H$53,'405'!$H$55:$H$56,'405'!$H$58,'405'!$H$60,'405'!$H$62,'405'!$H$64,'405'!$H$66:$H$68,'405'!$H$70,'405'!$H$72:$H$75,'405'!$H$77:$H$78,'405'!$H$80:$H$89,'405'!$H$91,'405'!$H$93,'405'!$H$95,'405'!$H$97</definedName>
    <definedName name="OSRRefH21x_0" localSheetId="83">'406'!$H$23:$H$30,'406'!$H$32:$H$37,'406'!$H$39,'406'!$H$41,'406'!$H$43,'406'!$H$45,'406'!$H$47,'406'!$H$49,'406'!$H$51,'406'!$H$53,'406'!$H$55:$H$57,'406'!$H$59,'406'!$H$61:$H$63,'406'!$H$65:$H$70,'406'!$H$72,'406'!$H$74,'406'!$H$76:$H$77</definedName>
    <definedName name="OSRRefH21x_0" localSheetId="84">'411'!$H$19:$H$28,'411'!$H$30:$H$39,'411'!$H$41,'411'!$H$43,'411'!$H$45,'411'!$H$47:$H$50,'411'!$H$52,'411'!$H$54,'411'!$H$56,'411'!$H$58,'411'!$H$60,'411'!$H$62,'411'!$H$64,'411'!$H$66,'411'!$H$68:$H$71,'411'!$H$73,'411'!$H$75:$H$79,'411'!$H$81:$H$82,'411'!$H$84:$H$93,'411'!$H$95,'411'!$H$97,'411'!$H$99:$H$101,'411'!$H$103</definedName>
    <definedName name="OSRRefH21x_0" localSheetId="85">'412'!$H$27:$H$36,'412'!$H$38:$H$47,'412'!$H$49,'412'!$H$51,'412'!$H$53,'412'!$H$55:$H$56,'412'!$H$58,'412'!$H$60,'412'!$H$62,'412'!$H$64,'412'!$H$66,'412'!$H$68:$H$70,'412'!$H$72,'412'!$H$74:$H$78,'412'!$H$80:$H$89,'412'!$H$91:$H$92,'412'!$H$94,'412'!$H$96:$H$97,'412'!$H$99</definedName>
    <definedName name="OSRRefH21x_0" localSheetId="86">'413'!$H$26:$H$35,'413'!$H$37:$H$46,'413'!$H$48,'413'!$H$50,'413'!$H$52,'413'!$H$54,'413'!$H$56,'413'!$H$58,'413'!$H$60:$H$63,'413'!$H$65:$H$67,'413'!$H$69:$H$78,'413'!$H$80:$H$81,'413'!$H$83,'413'!$H$85:$H$86</definedName>
    <definedName name="OSRRefH21x_0" localSheetId="87">'414'!$H$26:$H$34,'414'!$H$36:$H$45,'414'!$H$47,'414'!$H$49,'414'!$H$51,'414'!$H$53,'414'!$H$55,'414'!$H$57,'414'!$H$59,'414'!$H$61,'414'!$H$63:$H$64,'414'!$H$66,'414'!$H$68:$H$70,'414'!$H$72,'414'!$H$74:$H$82,'414'!$H$84,'414'!$H$86,'414'!$H$88</definedName>
    <definedName name="OSRRefH21x_0" localSheetId="88">'415'!$H$26:$H$35,'415'!$H$37:$H$46,'415'!$H$48,'415'!$H$50,'415'!$H$52,'415'!$H$54:$H$55,'415'!$H$57,'415'!$H$59,'415'!$H$61,'415'!$H$63,'415'!$H$65,'415'!$H$67:$H$70,'415'!$H$72,'415'!$H$74:$H$78,'415'!$H$80:$H$81,'415'!$H$83:$H$91,'415'!$H$93:$H$94,'415'!$H$96,'415'!$H$98:$H$99,'415'!$H$101</definedName>
    <definedName name="OSRRefH21x_0" localSheetId="89">'418'!$H$26:$H$34,'418'!$H$36:$H$45,'418'!$H$47,'418'!$H$49,'418'!$H$51,'418'!$H$53:$H$54,'418'!$H$56,'418'!$H$58,'418'!$H$60,'418'!$H$62,'418'!$H$64,'418'!$H$66:$H$67,'418'!$H$69:$H$72,'418'!$H$74:$H$77,'418'!$H$79:$H$80,'418'!$H$82:$H$92,'418'!$H$94:$H$95,'418'!$H$97,'418'!$H$99:$H$100,'418'!$H$102</definedName>
    <definedName name="OSRRefH21x_0" localSheetId="90">'420'!$H$23:$H$30,'420'!$H$32:$H$35,'420'!$H$37,'420'!$H$39,'420'!$H$41,'420'!$H$43,'420'!$H$45,'420'!$H$47:$H$48,'420'!$H$50</definedName>
    <definedName name="OSRRefH21x_0" localSheetId="91">'423'!$H$20:$H$28,'423'!$H$30:$H$39,'423'!$H$41,'423'!$H$43,'423'!$H$45,'423'!$H$47,'423'!$H$49,'423'!$H$51:$H$53,'423'!$H$55,'423'!$H$57,'423'!$H$59,'423'!$H$61,'423'!$H$63</definedName>
    <definedName name="OSRRefH21x_0" localSheetId="92">'424'!$H$25:$H$31,'424'!$H$33:$H$38,'424'!$H$40,'424'!$H$42,'424'!$H$44,'424'!$H$46,'424'!$H$48,'424'!$H$50,'424'!$H$52,'424'!$H$54:$H$55,'424'!$H$57,'424'!$H$59:$H$61,'424'!$H$63:$H$69,'424'!$H$71</definedName>
    <definedName name="OSRRefH21x_0" localSheetId="93">'425'!$H$26:$H$34,'425'!$H$36:$H$41,'425'!$H$43,'425'!$H$45:$H$46,'425'!$H$48,'425'!$H$50:$H$51,'425'!$H$53,'425'!$H$55,'425'!$H$57,'425'!$H$59:$H$62,'425'!$H$64,'425'!$H$66:$H$69,'425'!$H$71:$H$72,'425'!$H$74:$H$81,'425'!$H$83,'425'!$H$85,'425'!$H$87:$H$89</definedName>
    <definedName name="OSRRefH21x_0" localSheetId="94">'430'!$H$19:$H$27,'430'!$H$29:$H$38,'430'!$H$40,'430'!$H$42,'430'!$H$44,'430'!$H$46,'430'!$H$48,'430'!$H$50,'430'!$H$52:$H$56,'430'!$H$58:$H$59,'430'!$H$61,'430'!$H$63:$H$64</definedName>
    <definedName name="OSRRefH21x_0" localSheetId="95">'433'!$H$28:$H$37,'433'!$H$39:$H$48,'433'!$H$50,'433'!$H$52,'433'!$H$54,'433'!$H$56,'433'!$H$58,'433'!$H$60,'433'!$H$62,'433'!$H$64,'433'!$H$66,'433'!$H$68,'433'!$H$70,'433'!$H$72:$H$74,'433'!$H$76:$H$79,'433'!$H$81,'433'!$H$83:$H$91,'433'!$H$93,'433'!$H$95,'433'!$H$97:$H$98,'433'!$H$100</definedName>
    <definedName name="OSRRefH21x_0" localSheetId="96">'435'!$H$24:$H$26,'435'!$H$28:$H$31,'435'!$H$33,'435'!$H$35,'435'!$H$37,'435'!$H$39,'435'!$H$41,'435'!$H$43,'435'!$H$45,'435'!$H$47:$H$48,'435'!$H$50:$H$56,'435'!$H$58,'435'!$H$60,'435'!$H$62</definedName>
    <definedName name="OSRRefH21x_0" localSheetId="97">'444'!$H$26:$H$35,'444'!$H$37:$H$46,'444'!$H$48,'444'!$H$50,'444'!$H$52,'444'!$H$54,'444'!$H$56,'444'!$H$58,'444'!$H$60,'444'!$H$62,'444'!$H$64,'444'!$H$66,'444'!$H$68,'444'!$H$70:$H$73,'444'!$H$75:$H$78,'444'!$H$80:$H$81,'444'!$H$83:$H$92,'444'!$H$94:$H$95,'444'!$H$97,'444'!$H$99,'444'!$H$101</definedName>
    <definedName name="OSRRefH21x_0" localSheetId="98">'445'!$H$24:$H$26,'445'!$H$28:$H$30,'445'!$H$32,'445'!$H$34,'445'!$H$36,'445'!$H$38,'445'!$H$40,'445'!$H$42,'445'!$H$44:$H$45,'445'!$H$47,'445'!$H$49:$H$52,'445'!$H$54,'445'!$H$56,'445'!$H$58</definedName>
    <definedName name="OSRRefH21x_0" localSheetId="99">'450'!$H$26:$H$35,'450'!$H$37:$H$46,'450'!$H$48,'450'!$H$50,'450'!$H$52,'450'!$H$54:$H$55,'450'!$H$57,'450'!$H$59,'450'!$H$61,'450'!$H$63,'450'!$H$65,'450'!$H$67,'450'!$H$69:$H$71,'450'!$H$73:$H$76,'450'!$H$78,'450'!$H$80:$H$89,'450'!$H$91:$H$92,'450'!$H$94,'450'!$H$96:$H$98</definedName>
    <definedName name="OSRRefH21x_0" localSheetId="100">'455'!$H$19:$H$26,'455'!$H$28:$H$29,'455'!$H$31,'455'!$H$33</definedName>
    <definedName name="OSRRefH21x_0" localSheetId="41">'491'!$H$37:$H$46,'491'!$H$48:$H$57,'491'!$H$59,'491'!$H$61:$H$62,'491'!$H$64,'491'!$H$66:$H$69,'491'!$H$71:$H$72,'491'!$H$74,'491'!$H$76,'491'!$H$78,'491'!$H$80,'491'!$H$82:$H$83,'491'!$H$85,'491'!$H$87,'491'!$H$89,'491'!$H$91,'491'!$H$93,'491'!$H$95:$H$98,'491'!$H$100:$H$101,'491'!$H$103:$H$107,'491'!$H$109:$H$110,'491'!$H$112:$H$122,'491'!$H$124:$H$125,'491'!$H$127,'491'!$H$129:$H$131,'491'!$H$133</definedName>
    <definedName name="OSRRefH21x_0" localSheetId="44">'492'!$H$30:$H$39,'492'!$H$41:$H$50,'492'!$H$52,'492'!$H$54,'492'!$H$56,'492'!$H$58:$H$59,'492'!$H$61,'492'!$H$63,'492'!$H$65,'492'!$H$67,'492'!$H$69,'492'!$H$71,'492'!$H$73,'492'!$H$75:$H$76,'492'!$H$78,'492'!$H$80:$H$83,'492'!$H$85:$H$88,'492'!$H$90:$H$91,'492'!$H$93:$H$102,'492'!$H$104:$H$105,'492'!$H$107,'492'!$H$109:$H$111,'492'!$H$113</definedName>
    <definedName name="OSRRefH21x_0" localSheetId="101">'501'!$H$21:$H$29,'501'!$H$31:$H$40,'501'!$H$42,'501'!$H$44,'501'!$H$46,'501'!$H$48,'501'!$H$50:$H$51,'501'!$H$53,'501'!$H$55,'501'!$H$57,'501'!$H$59,'501'!$H$61:$H$64,'501'!$H$66,'501'!$H$68:$H$71,'501'!$H$73,'501'!$H$75,'501'!$H$77</definedName>
    <definedName name="OSRRefH21x_0" localSheetId="8">'Div 2'!$H$20:$H$30,'Div 2'!$H$32:$H$41,'Div 2'!$H$43,'Div 2'!$H$45,'Div 2'!$H$47,'Div 2'!$H$49,'Div 2'!$H$51:$H$52,'Div 2'!$H$54:$H$55,'Div 2'!$H$57,'Div 2'!$H$59,'Div 2'!$H$61:$H$62,'Div 2'!$H$64:$H$65,'Div 2'!$H$67:$H$68,'Div 2'!$H$70,'Div 2'!$H$72:$H$75,'Div 2'!$H$77:$H$80,'Div 2'!$H$82:$H$83,'Div 2'!$H$85:$H$86,'Div 2'!$H$88:$H$94,'Div 2'!$H$96:$H$97,'Div 2'!$H$99,'Div 2'!$H$101:$H$102</definedName>
    <definedName name="OSRRefH21x_0" localSheetId="11">'Div 3'!$H$209:$H$218,'Div 3'!$H$220:$H$229,'Div 3'!$H$231,'Div 3'!$H$233:$H$235,'Div 3'!$H$237,'Div 3'!$H$239:$H$242,'Div 3'!$H$244:$H$245,'Div 3'!$H$247:$H$248,'Div 3'!$H$250,'Div 3'!$H$252,'Div 3'!$H$254:$H$255,'Div 3'!$H$257:$H$259,'Div 3'!$H$261,'Div 3'!$H$263,'Div 3'!$H$265:$H$301,'Div 3'!$H$303:$H$304,'Div 3'!$H$306,'Div 3'!$H$308:$H$311,'Div 3'!$H$313:$H$317,'Div 3'!$H$319:$H$324,'Div 3'!$H$326:$H$327,'Div 3'!$H$329:$H$338,'Div 3'!$H$340:$H$341,'Div 3'!$H$343,'Div 3'!$H$345:$H$347,'Div 3'!$H$349</definedName>
    <definedName name="OSRRefH21x_0" localSheetId="14">'Div 4'!$H$38:$H$47,'Div 4'!$H$49:$H$58,'Div 4'!$H$60,'Div 4'!$H$62:$H$63,'Div 4'!$H$65,'Div 4'!$H$67:$H$70,'Div 4'!$H$72:$H$73,'Div 4'!$H$75,'Div 4'!$H$77,'Div 4'!$H$79,'Div 4'!$H$81,'Div 4'!$H$83:$H$84,'Div 4'!$H$86,'Div 4'!$H$88,'Div 4'!$H$90:$H$91,'Div 4'!$H$93,'Div 4'!$H$95,'Div 4'!$H$97:$H$100,'Div 4'!$H$102:$H$103,'Div 4'!$H$105:$H$109,'Div 4'!$H$111:$H$112,'Div 4'!$H$114:$H$124,'Div 4'!$H$126:$H$127,'Div 4'!$H$129,'Div 4'!$H$131:$H$133,'Div 4'!$H$135</definedName>
    <definedName name="OSRRefH21x_0" localSheetId="47">'Div 5'!$H$21:$H$29,'Div 5'!$H$31:$H$40,'Div 5'!$H$42,'Div 5'!$H$44,'Div 5'!$H$46,'Div 5'!$H$48,'Div 5'!$H$50:$H$51,'Div 5'!$H$53,'Div 5'!$H$55,'Div 5'!$H$57,'Div 5'!$H$59,'Div 5'!$H$61:$H$64,'Div 5'!$H$66,'Div 5'!$H$68:$H$71,'Div 5'!$H$73,'Div 5'!$H$75,'Div 5'!$H$77</definedName>
    <definedName name="OSRRefH21x_0" localSheetId="50">'Div 6'!$H$63:$H$72,'Div 6'!$H$74:$H$83,'Div 6'!$H$85,'Div 6'!$H$87,'Div 6'!$H$89:$H$90,'Div 6'!$H$92,'Div 6'!$H$94,'Div 6'!$H$96:$H$97,'Div 6'!$H$99,'Div 6'!$H$101:$H$108,'Div 6'!$H$110:$H$111,'Div 6'!$H$113,'Div 6'!$H$115:$H$118,'Div 6'!$H$120,'Div 6'!$H$122,'Div 6'!$H$124:$H$125</definedName>
    <definedName name="OSRRefH21x_0" localSheetId="2">Summary!$H$245:$H$254,Summary!$H$256:$H$265,Summary!$H$267,Summary!$H$269:$H$271,Summary!$H$273,Summary!$H$275:$H$278,Summary!$H$280:$H$281,Summary!$H$283:$H$284,Summary!$H$286,Summary!$H$288,Summary!$H$290:$H$291,Summary!$H$293:$H$295,Summary!$H$297,Summary!$H$299,Summary!$H$301:$H$340,Summary!$H$342:$H$343,Summary!$H$345,Summary!$H$347,Summary!$H$349:$H$352,Summary!$H$354:$H$358,Summary!$H$360:$H$365,Summary!$H$367:$H$368,Summary!$H$370:$H$380,Summary!$H$382:$H$383,Summary!$H$385,Summary!$H$387:$H$389,Summary!$H$391</definedName>
    <definedName name="OSRRefH24x_0" localSheetId="56">'202'!$H$79:$H$81</definedName>
    <definedName name="OSRRefH24x_0" localSheetId="17">'300'!$H$343:$H$358</definedName>
    <definedName name="OSRRefH24x_0" localSheetId="20">'300 &amp; 317'!$H$371:$H$390</definedName>
    <definedName name="OSRRefH24x_0" localSheetId="61">'301'!$H$112:$H$114</definedName>
    <definedName name="OSRRefH24x_0" localSheetId="63">'307'!$H$189</definedName>
    <definedName name="OSRRefH24x_0" localSheetId="29">'308'!$H$167:$H$170</definedName>
    <definedName name="OSRRefH24x_0" localSheetId="64">'309'!$H$89</definedName>
    <definedName name="OSRRefH24x_0" localSheetId="23">'310'!$H$127</definedName>
    <definedName name="OSRRefH24x_0" localSheetId="38">'310 &amp; 491'!$H$150:$H$153</definedName>
    <definedName name="OSRRefH24x_0" localSheetId="65">'311'!$H$145:$H$148</definedName>
    <definedName name="OSRRefH24x_0" localSheetId="66">'312'!$H$101</definedName>
    <definedName name="OSRRefH24x_0" localSheetId="68">'314'!$H$117</definedName>
    <definedName name="OSRRefH24x_0" localSheetId="69">'315'!$H$133:$H$135</definedName>
    <definedName name="OSRRefH24x_0" localSheetId="70">'316'!$H$98</definedName>
    <definedName name="OSRRefH24x_0" localSheetId="71">'317'!$H$128:$H$133</definedName>
    <definedName name="OSRRefH24x_0" localSheetId="73">'320'!$H$82:$H$93</definedName>
    <definedName name="OSRRefH24x_0" localSheetId="26">'330'!$H$199</definedName>
    <definedName name="OSRRefH24x_0" localSheetId="32">'331'!$H$212:$H$214</definedName>
    <definedName name="OSRRefH24x_0" localSheetId="35">'332'!$H$121:$H$133</definedName>
    <definedName name="OSRRefH24x_0" localSheetId="84">'411'!$H$106:$H$107</definedName>
    <definedName name="OSRRefH24x_0" localSheetId="86">'413'!$H$89</definedName>
    <definedName name="OSRRefH24x_0" localSheetId="88">'415'!$H$104</definedName>
    <definedName name="OSRRefH24x_0" localSheetId="89">'418'!$H$105</definedName>
    <definedName name="OSRRefH24x_0" localSheetId="91">'423'!$H$66:$H$68</definedName>
    <definedName name="OSRRefH24x_0" localSheetId="92">'424'!$H$74</definedName>
    <definedName name="OSRRefH24x_0" localSheetId="93">'425'!$H$92</definedName>
    <definedName name="OSRRefH24x_0" localSheetId="100">'455'!$H$36:$H$38</definedName>
    <definedName name="OSRRefH24x_0" localSheetId="41">'491'!$H$136:$H$139</definedName>
    <definedName name="OSRRefH24x_0" localSheetId="101">'501'!$H$80:$H$82</definedName>
    <definedName name="OSRRefH24x_0" localSheetId="8">'Div 2'!$H$105:$H$107</definedName>
    <definedName name="OSRRefH24x_0" localSheetId="11">'Div 3'!$H$352:$H$367</definedName>
    <definedName name="OSRRefH24x_0" localSheetId="14">'Div 4'!$H$138:$H$141</definedName>
    <definedName name="OSRRefH24x_0" localSheetId="47">'Div 5'!$H$80:$H$82</definedName>
    <definedName name="OSRRefH24x_0" localSheetId="50">'Div 6'!$H$128:$H$133</definedName>
    <definedName name="OSRRefH24x_0" localSheetId="2">Summary!$H$394:$H$414</definedName>
    <definedName name="OSRRefJ11x_0" localSheetId="55">'201'!$J$11</definedName>
    <definedName name="OSRRefJ11x_0" localSheetId="56">'202'!$J$11</definedName>
    <definedName name="OSRRefJ11x_0" localSheetId="17">'300'!$J$11:$J$133</definedName>
    <definedName name="OSRRefJ11x_0" localSheetId="20">'300 &amp; 317'!$J$11:$J$151</definedName>
    <definedName name="OSRRefJ11x_0" localSheetId="63">'307'!$J$11:$J$60</definedName>
    <definedName name="OSRRefJ11x_0" localSheetId="29">'308'!$J$11:$J$54</definedName>
    <definedName name="OSRRefJ11x_0" localSheetId="64">'309'!$J$11:$J$13</definedName>
    <definedName name="OSRRefJ11x_0" localSheetId="23">'310'!$J$11:$J$27</definedName>
    <definedName name="OSRRefJ11x_0" localSheetId="38">'310 &amp; 491'!$J$11:$J$36</definedName>
    <definedName name="OSRRefJ11x_0" localSheetId="65">'311'!$J$11:$J$43</definedName>
    <definedName name="OSRRefJ11x_0" localSheetId="66">'312'!$J$11:$J$34</definedName>
    <definedName name="OSRRefJ11x_0" localSheetId="67">'313'!$J$11:$J$23</definedName>
    <definedName name="OSRRefJ11x_0" localSheetId="68">'314'!$J$11:$J$35</definedName>
    <definedName name="OSRRefJ11x_0" localSheetId="69">'315'!$J$11:$J$32</definedName>
    <definedName name="OSRRefJ11x_0" localSheetId="70">'316'!$J$11:$J$30</definedName>
    <definedName name="OSRRefJ11x_0" localSheetId="71">'317'!$J$11:$J$38</definedName>
    <definedName name="OSRRefJ11x_0" localSheetId="73">'320'!$J$11:$J$20</definedName>
    <definedName name="OSRRefJ11x_0" localSheetId="74">'321'!$J$11:$J$14</definedName>
    <definedName name="OSRRefJ11x_0" localSheetId="75">'322'!$J$11:$J$13</definedName>
    <definedName name="OSRRefJ11x_0" localSheetId="76">'323'!$J$11:$J$12</definedName>
    <definedName name="OSRRefJ11x_0" localSheetId="77">'324'!$J$11:$J$14</definedName>
    <definedName name="OSRRefJ11x_0" localSheetId="78">'325'!$J$11:$J$14</definedName>
    <definedName name="OSRRefJ11x_0" localSheetId="79">'326'!$J$11:$J$55</definedName>
    <definedName name="OSRRefJ11x_0" localSheetId="80">'327'!$J$11:$J$13</definedName>
    <definedName name="OSRRefJ11x_0" localSheetId="26">'330'!$J$11:$J$66</definedName>
    <definedName name="OSRRefJ11x_0" localSheetId="32">'331'!$J$11:$J$61</definedName>
    <definedName name="OSRRefJ11x_0" localSheetId="35">'332'!$J$11:$J$41</definedName>
    <definedName name="OSRRefJ11x_0" localSheetId="82">'405'!$J$11:$J$15</definedName>
    <definedName name="OSRRefJ11x_0" localSheetId="83">'406'!$J$11:$J$12</definedName>
    <definedName name="OSRRefJ11x_0" localSheetId="85">'412'!$J$11:$J$14</definedName>
    <definedName name="OSRRefJ11x_0" localSheetId="86">'413'!$J$11:$J$14</definedName>
    <definedName name="OSRRefJ11x_0" localSheetId="87">'414'!$J$11:$J$14</definedName>
    <definedName name="OSRRefJ11x_0" localSheetId="88">'415'!$J$11:$J$14</definedName>
    <definedName name="OSRRefJ11x_0" localSheetId="89">'418'!$J$11:$J$14</definedName>
    <definedName name="OSRRefJ11x_0" localSheetId="90">'420'!$J$11:$J$12</definedName>
    <definedName name="OSRRefJ11x_0" localSheetId="92">'424'!$J$11:$J$14</definedName>
    <definedName name="OSRRefJ11x_0" localSheetId="93">'425'!$J$11:$J$15</definedName>
    <definedName name="OSRRefJ11x_0" localSheetId="95">'433'!$J$11:$J$16</definedName>
    <definedName name="OSRRefJ11x_0" localSheetId="96">'435'!$J$11:$J$13</definedName>
    <definedName name="OSRRefJ11x_0" localSheetId="97">'444'!$J$11:$J$14</definedName>
    <definedName name="OSRRefJ11x_0" localSheetId="98">'445'!$J$11:$J$13</definedName>
    <definedName name="OSRRefJ11x_0" localSheetId="99">'450'!$J$11:$J$14</definedName>
    <definedName name="OSRRefJ11x_0" localSheetId="41">'491'!$J$11:$J$24</definedName>
    <definedName name="OSRRefJ11x_0" localSheetId="44">'492'!$J$11:$J$18</definedName>
    <definedName name="OSRRefJ11x_0" localSheetId="101">'501'!$J$11:$J$12</definedName>
    <definedName name="OSRRefJ11x_0" localSheetId="8">'Div 2'!$J$11</definedName>
    <definedName name="OSRRefJ11x_0" localSheetId="11">'Div 3'!$J$11:$J$136</definedName>
    <definedName name="OSRRefJ11x_0" localSheetId="14">'Div 4'!$J$11:$J$25</definedName>
    <definedName name="OSRRefJ11x_0" localSheetId="47">'Div 5'!$J$11:$J$12</definedName>
    <definedName name="OSRRefJ11x_0" localSheetId="50">'Div 6'!$J$11:$J$38</definedName>
    <definedName name="OSRRefJ11x_0" localSheetId="2">Summary!$J$11:$J$164</definedName>
    <definedName name="OSRRefJ14x_0" localSheetId="17">'300'!$J$136:$J$197</definedName>
    <definedName name="OSRRefJ14x_0" localSheetId="20">'300 &amp; 317'!$J$154:$J$222</definedName>
    <definedName name="OSRRefJ14x_0" localSheetId="61">'301'!$J$13</definedName>
    <definedName name="OSRRefJ14x_0" localSheetId="63">'307'!$J$63:$J$93</definedName>
    <definedName name="OSRRefJ14x_0" localSheetId="29">'308'!$J$57:$J$82</definedName>
    <definedName name="OSRRefJ14x_0" localSheetId="64">'309'!$J$16:$J$18</definedName>
    <definedName name="OSRRefJ14x_0" localSheetId="23">'310'!$J$30:$J$32</definedName>
    <definedName name="OSRRefJ14x_0" localSheetId="38">'310 &amp; 491'!$J$39:$J$42</definedName>
    <definedName name="OSRRefJ14x_0" localSheetId="65">'311'!$J$46:$J$64</definedName>
    <definedName name="OSRRefJ14x_0" localSheetId="66">'312'!$J$37:$J$51</definedName>
    <definedName name="OSRRefJ14x_0" localSheetId="67">'313'!$J$26:$J$28</definedName>
    <definedName name="OSRRefJ14x_0" localSheetId="68">'314'!$J$38:$J$54</definedName>
    <definedName name="OSRRefJ14x_0" localSheetId="69">'315'!$J$35:$J$50</definedName>
    <definedName name="OSRRefJ14x_0" localSheetId="70">'316'!$J$33</definedName>
    <definedName name="OSRRefJ14x_0" localSheetId="71">'317'!$J$41:$J$56</definedName>
    <definedName name="OSRRefJ14x_0" localSheetId="73">'320'!$J$23:$J$28</definedName>
    <definedName name="OSRRefJ14x_0" localSheetId="74">'321'!$J$17:$J$19</definedName>
    <definedName name="OSRRefJ14x_0" localSheetId="75">'322'!$J$16:$J$18</definedName>
    <definedName name="OSRRefJ14x_0" localSheetId="77">'324'!$J$17:$J$19</definedName>
    <definedName name="OSRRefJ14x_0" localSheetId="78">'325'!$J$17:$J$19</definedName>
    <definedName name="OSRRefJ14x_0" localSheetId="79">'326'!$J$58:$J$87</definedName>
    <definedName name="OSRRefJ14x_0" localSheetId="80">'327'!$J$16:$J$18</definedName>
    <definedName name="OSRRefJ14x_0" localSheetId="26">'330'!$J$69:$J$101</definedName>
    <definedName name="OSRRefJ14x_0" localSheetId="32">'331'!$J$64:$J$98</definedName>
    <definedName name="OSRRefJ14x_0" localSheetId="35">'332'!$J$44:$J$50</definedName>
    <definedName name="OSRRefJ14x_0" localSheetId="82">'405'!$J$18:$J$20</definedName>
    <definedName name="OSRRefJ14x_0" localSheetId="83">'406'!$J$15:$J$16</definedName>
    <definedName name="OSRRefJ14x_0" localSheetId="85">'412'!$J$17:$J$20</definedName>
    <definedName name="OSRRefJ14x_0" localSheetId="86">'413'!$J$17:$J$19</definedName>
    <definedName name="OSRRefJ14x_0" localSheetId="87">'414'!$J$17:$J$19</definedName>
    <definedName name="OSRRefJ14x_0" localSheetId="88">'415'!$J$17:$J$19</definedName>
    <definedName name="OSRRefJ14x_0" localSheetId="89">'418'!$J$17:$J$19</definedName>
    <definedName name="OSRRefJ14x_0" localSheetId="90">'420'!$J$15:$J$16</definedName>
    <definedName name="OSRRefJ14x_0" localSheetId="91">'423'!$J$13</definedName>
    <definedName name="OSRRefJ14x_0" localSheetId="92">'424'!$J$17:$J$18</definedName>
    <definedName name="OSRRefJ14x_0" localSheetId="93">'425'!$J$18:$J$19</definedName>
    <definedName name="OSRRefJ14x_0" localSheetId="95">'433'!$J$19:$J$21</definedName>
    <definedName name="OSRRefJ14x_0" localSheetId="96">'435'!$J$16:$J$17</definedName>
    <definedName name="OSRRefJ14x_0" localSheetId="97">'444'!$J$17:$J$19</definedName>
    <definedName name="OSRRefJ14x_0" localSheetId="98">'445'!$J$16:$J$17</definedName>
    <definedName name="OSRRefJ14x_0" localSheetId="99">'450'!$J$17:$J$19</definedName>
    <definedName name="OSRRefJ14x_0" localSheetId="41">'491'!$J$27:$J$30</definedName>
    <definedName name="OSRRefJ14x_0" localSheetId="44">'492'!$J$21:$J$23</definedName>
    <definedName name="OSRRefJ14x_0" localSheetId="11">'Div 3'!$J$139:$J$202</definedName>
    <definedName name="OSRRefJ14x_0" localSheetId="14">'Div 4'!$J$28:$J$31</definedName>
    <definedName name="OSRRefJ14x_0" localSheetId="50">'Div 6'!$J$41:$J$56</definedName>
    <definedName name="OSRRefJ14x_0" localSheetId="2">Summary!$J$167:$J$238</definedName>
    <definedName name="OSRRefJ21_0x_0" localSheetId="54">'200'!$J$19:$J$20</definedName>
    <definedName name="OSRRefJ21_0x_0" localSheetId="55">'201'!$J$20:$J$28</definedName>
    <definedName name="OSRRefJ21_0x_0" localSheetId="56">'202'!$J$20:$J$28</definedName>
    <definedName name="OSRRefJ21_0x_0" localSheetId="57">'203'!$J$19:$J$28</definedName>
    <definedName name="OSRRefJ21_0x_0" localSheetId="58">'204'!$J$19:$J$28</definedName>
    <definedName name="OSRRefJ21_0x_0" localSheetId="59">'205'!$J$19:$J$27</definedName>
    <definedName name="OSRRefJ21_0x_0" localSheetId="60">'206'!$J$19:$J$27</definedName>
    <definedName name="OSRRefJ21_0x_0" localSheetId="17">'300'!$J$204:$J$213</definedName>
    <definedName name="OSRRefJ21_0x_0" localSheetId="20">'300 &amp; 317'!$J$229:$J$238</definedName>
    <definedName name="OSRRefJ21_0x_0" localSheetId="61">'301'!$J$20:$J$28</definedName>
    <definedName name="OSRRefJ21_0x_0" localSheetId="62">'306'!$J$19:$J$28</definedName>
    <definedName name="OSRRefJ21_0x_0" localSheetId="63">'307'!$J$100:$J$108</definedName>
    <definedName name="OSRRefJ21_0x_0" localSheetId="29">'308'!$J$89:$J$98</definedName>
    <definedName name="OSRRefJ21_0x_0" localSheetId="64">'309'!$J$25:$J$33</definedName>
    <definedName name="OSRRefJ21_0x_0" localSheetId="23">'310'!$J$39:$J$47</definedName>
    <definedName name="OSRRefJ21_0x_0" localSheetId="38">'310 &amp; 491'!$J$49:$J$58</definedName>
    <definedName name="OSRRefJ21_0x_0" localSheetId="65">'311'!$J$71:$J$80</definedName>
    <definedName name="OSRRefJ21_0x_0" localSheetId="66">'312'!$J$58:$J$66</definedName>
    <definedName name="OSRRefJ21_0x_0" localSheetId="67">'313'!$J$35:$J$43</definedName>
    <definedName name="OSRRefJ21_0x_0" localSheetId="68">'314'!$J$61:$J$69</definedName>
    <definedName name="OSRRefJ21_0x_0" localSheetId="69">'315'!$J$57:$J$65</definedName>
    <definedName name="OSRRefJ21_0x_0" localSheetId="70">'316'!$J$40:$J$48</definedName>
    <definedName name="OSRRefJ21_0x_0" localSheetId="71">'317'!$J$63:$J$72</definedName>
    <definedName name="OSRRefJ21_0x_0" localSheetId="72">'318'!$J$19:$J$25</definedName>
    <definedName name="OSRRefJ21_0x_0" localSheetId="73">'320'!$J$35:$J$42</definedName>
    <definedName name="OSRRefJ21_0x_0" localSheetId="74">'321'!$J$26:$J$34</definedName>
    <definedName name="OSRRefJ21_0x_0" localSheetId="75">'322'!$J$25:$J$33</definedName>
    <definedName name="OSRRefJ21_0x_0" localSheetId="76">'323'!$J$21:$J$27</definedName>
    <definedName name="OSRRefJ21_0x_0" localSheetId="77">'324'!$J$26:$J$33</definedName>
    <definedName name="OSRRefJ21_0x_0" localSheetId="78">'325'!$J$26:$J$34</definedName>
    <definedName name="OSRRefJ21_0x_0" localSheetId="79">'326'!$J$94:$J$102</definedName>
    <definedName name="OSRRefJ21_0x_0" localSheetId="80">'327'!$J$25</definedName>
    <definedName name="OSRRefJ21_0x_0" localSheetId="26">'330'!$J$108:$J$117</definedName>
    <definedName name="OSRRefJ21_0x_0" localSheetId="32">'331'!$J$105:$J$113</definedName>
    <definedName name="OSRRefJ21_0x_0" localSheetId="35">'332'!$J$57:$J$65</definedName>
    <definedName name="OSRRefJ21_0x_0" localSheetId="81">'335'!$J$19:$J$26</definedName>
    <definedName name="OSRRefJ21_0x_0" localSheetId="82">'405'!$J$27:$J$36</definedName>
    <definedName name="OSRRefJ21_0x_0" localSheetId="83">'406'!$J$23:$J$30</definedName>
    <definedName name="OSRRefJ21_0x_0" localSheetId="84">'411'!$J$19:$J$28</definedName>
    <definedName name="OSRRefJ21_0x_0" localSheetId="85">'412'!$J$27:$J$36</definedName>
    <definedName name="OSRRefJ21_0x_0" localSheetId="86">'413'!$J$26:$J$35</definedName>
    <definedName name="OSRRefJ21_0x_0" localSheetId="87">'414'!$J$26:$J$34</definedName>
    <definedName name="OSRRefJ21_0x_0" localSheetId="88">'415'!$J$26:$J$35</definedName>
    <definedName name="OSRRefJ21_0x_0" localSheetId="89">'418'!$J$26:$J$34</definedName>
    <definedName name="OSRRefJ21_0x_0" localSheetId="90">'420'!$J$23:$J$30</definedName>
    <definedName name="OSRRefJ21_0x_0" localSheetId="91">'423'!$J$20:$J$28</definedName>
    <definedName name="OSRRefJ21_0x_0" localSheetId="92">'424'!$J$25:$J$31</definedName>
    <definedName name="OSRRefJ21_0x_0" localSheetId="93">'425'!$J$26:$J$34</definedName>
    <definedName name="OSRRefJ21_0x_0" localSheetId="94">'430'!$J$19:$J$27</definedName>
    <definedName name="OSRRefJ21_0x_0" localSheetId="95">'433'!$J$28:$J$37</definedName>
    <definedName name="OSRRefJ21_0x_0" localSheetId="96">'435'!$J$24:$J$26</definedName>
    <definedName name="OSRRefJ21_0x_0" localSheetId="97">'444'!$J$26:$J$35</definedName>
    <definedName name="OSRRefJ21_0x_0" localSheetId="98">'445'!$J$24:$J$26</definedName>
    <definedName name="OSRRefJ21_0x_0" localSheetId="99">'450'!$J$26:$J$35</definedName>
    <definedName name="OSRRefJ21_0x_0" localSheetId="100">'455'!$J$19:$J$26</definedName>
    <definedName name="OSRRefJ21_0x_0" localSheetId="41">'491'!$J$37:$J$46</definedName>
    <definedName name="OSRRefJ21_0x_0" localSheetId="44">'492'!$J$30:$J$39</definedName>
    <definedName name="OSRRefJ21_0x_0" localSheetId="101">'501'!$J$21:$J$29</definedName>
    <definedName name="OSRRefJ21_0x_0" localSheetId="8">'Div 2'!$J$20:$J$30</definedName>
    <definedName name="OSRRefJ21_0x_0" localSheetId="11">'Div 3'!$J$209:$J$218</definedName>
    <definedName name="OSRRefJ21_0x_0" localSheetId="14">'Div 4'!$J$38:$J$47</definedName>
    <definedName name="OSRRefJ21_0x_0" localSheetId="47">'Div 5'!$J$21:$J$29</definedName>
    <definedName name="OSRRefJ21_0x_0" localSheetId="50">'Div 6'!$J$63:$J$72</definedName>
    <definedName name="OSRRefJ21_0x_0" localSheetId="2">Summary!$J$245:$J$254</definedName>
    <definedName name="OSRRefJ21_10x_0" localSheetId="55">'201'!$J$58</definedName>
    <definedName name="OSRRefJ21_10x_0" localSheetId="56">'202'!$J$59:$J$61</definedName>
    <definedName name="OSRRefJ21_10x_0" localSheetId="57">'203'!$J$60:$J$62</definedName>
    <definedName name="OSRRefJ21_10x_0" localSheetId="58">'204'!$J$63:$J$66</definedName>
    <definedName name="OSRRefJ21_10x_0" localSheetId="60">'206'!$J$59:$J$60</definedName>
    <definedName name="OSRRefJ21_10x_0" localSheetId="17">'300'!$J$249:$J$250</definedName>
    <definedName name="OSRRefJ21_10x_0" localSheetId="20">'300 &amp; 317'!$J$274:$J$275</definedName>
    <definedName name="OSRRefJ21_10x_0" localSheetId="61">'301'!$J$63</definedName>
    <definedName name="OSRRefJ21_10x_0" localSheetId="62">'306'!$J$63</definedName>
    <definedName name="OSRRefJ21_10x_0" localSheetId="63">'307'!$J$162</definedName>
    <definedName name="OSRRefJ21_10x_0" localSheetId="29">'308'!$J$142:$J$144</definedName>
    <definedName name="OSRRefJ21_10x_0" localSheetId="64">'309'!$J$62:$J$63</definedName>
    <definedName name="OSRRefJ21_10x_0" localSheetId="23">'310'!$J$78:$J$79</definedName>
    <definedName name="OSRRefJ21_10x_0" localSheetId="38">'310 &amp; 491'!$J$92:$J$93</definedName>
    <definedName name="OSRRefJ21_10x_0" localSheetId="65">'311'!$J$120:$J$122</definedName>
    <definedName name="OSRRefJ21_10x_0" localSheetId="67">'313'!$J$73:$J$75</definedName>
    <definedName name="OSRRefJ21_10x_0" localSheetId="68">'314'!$J$105:$J$108</definedName>
    <definedName name="OSRRefJ21_10x_0" localSheetId="69">'315'!$J$102</definedName>
    <definedName name="OSRRefJ21_10x_0" localSheetId="70">'316'!$J$80</definedName>
    <definedName name="OSRRefJ21_10x_0" localSheetId="71">'317'!$J$110:$J$111</definedName>
    <definedName name="OSRRefJ21_10x_0" localSheetId="73">'320'!$J$75</definedName>
    <definedName name="OSRRefJ21_10x_0" localSheetId="74">'321'!$J$66:$J$67</definedName>
    <definedName name="OSRRefJ21_10x_0" localSheetId="75">'322'!$J$62</definedName>
    <definedName name="OSRRefJ21_10x_0" localSheetId="78">'325'!$J$64</definedName>
    <definedName name="OSRRefJ21_10x_0" localSheetId="79">'326'!$J$135</definedName>
    <definedName name="OSRRefJ21_10x_0" localSheetId="26">'330'!$J$171</definedName>
    <definedName name="OSRRefJ21_10x_0" localSheetId="32">'331'!$J$146</definedName>
    <definedName name="OSRRefJ21_10x_0" localSheetId="35">'332'!$J$98:$J$100</definedName>
    <definedName name="OSRRefJ21_10x_0" localSheetId="82">'405'!$J$66:$J$68</definedName>
    <definedName name="OSRRefJ21_10x_0" localSheetId="83">'406'!$J$55:$J$57</definedName>
    <definedName name="OSRRefJ21_10x_0" localSheetId="84">'411'!$J$60</definedName>
    <definedName name="OSRRefJ21_10x_0" localSheetId="85">'412'!$J$66</definedName>
    <definedName name="OSRRefJ21_10x_0" localSheetId="86">'413'!$J$69:$J$78</definedName>
    <definedName name="OSRRefJ21_10x_0" localSheetId="87">'414'!$J$63:$J$64</definedName>
    <definedName name="OSRRefJ21_10x_0" localSheetId="88">'415'!$J$65</definedName>
    <definedName name="OSRRefJ21_10x_0" localSheetId="89">'418'!$J$64</definedName>
    <definedName name="OSRRefJ21_10x_0" localSheetId="91">'423'!$J$59</definedName>
    <definedName name="OSRRefJ21_10x_0" localSheetId="92">'424'!$J$57</definedName>
    <definedName name="OSRRefJ21_10x_0" localSheetId="93">'425'!$J$64</definedName>
    <definedName name="OSRRefJ21_10x_0" localSheetId="94">'430'!$J$61</definedName>
    <definedName name="OSRRefJ21_10x_0" localSheetId="95">'433'!$J$66</definedName>
    <definedName name="OSRRefJ21_10x_0" localSheetId="96">'435'!$J$50:$J$56</definedName>
    <definedName name="OSRRefJ21_10x_0" localSheetId="97">'444'!$J$64</definedName>
    <definedName name="OSRRefJ21_10x_0" localSheetId="98">'445'!$J$49:$J$52</definedName>
    <definedName name="OSRRefJ21_10x_0" localSheetId="99">'450'!$J$65</definedName>
    <definedName name="OSRRefJ21_10x_0" localSheetId="41">'491'!$J$80</definedName>
    <definedName name="OSRRefJ21_10x_0" localSheetId="44">'492'!$J$69</definedName>
    <definedName name="OSRRefJ21_10x_0" localSheetId="101">'501'!$J$59</definedName>
    <definedName name="OSRRefJ21_10x_0" localSheetId="8">'Div 2'!$J$61:$J$62</definedName>
    <definedName name="OSRRefJ21_10x_0" localSheetId="11">'Div 3'!$J$254:$J$255</definedName>
    <definedName name="OSRRefJ21_10x_0" localSheetId="14">'Div 4'!$J$81</definedName>
    <definedName name="OSRRefJ21_10x_0" localSheetId="47">'Div 5'!$J$59</definedName>
    <definedName name="OSRRefJ21_10x_0" localSheetId="50">'Div 6'!$J$110:$J$111</definedName>
    <definedName name="OSRRefJ21_10x_0" localSheetId="2">Summary!$J$290:$J$291</definedName>
    <definedName name="OSRRefJ21_11x_0" localSheetId="55">'201'!$J$60</definedName>
    <definedName name="OSRRefJ21_11x_0" localSheetId="56">'202'!$J$63</definedName>
    <definedName name="OSRRefJ21_11x_0" localSheetId="57">'203'!$J$64:$J$65</definedName>
    <definedName name="OSRRefJ21_11x_0" localSheetId="58">'204'!$J$68:$J$69</definedName>
    <definedName name="OSRRefJ21_11x_0" localSheetId="60">'206'!$J$62</definedName>
    <definedName name="OSRRefJ21_11x_0" localSheetId="17">'300'!$J$252:$J$254</definedName>
    <definedName name="OSRRefJ21_11x_0" localSheetId="20">'300 &amp; 317'!$J$277:$J$279</definedName>
    <definedName name="OSRRefJ21_11x_0" localSheetId="61">'301'!$J$65</definedName>
    <definedName name="OSRRefJ21_11x_0" localSheetId="62">'306'!$J$65</definedName>
    <definedName name="OSRRefJ21_11x_0" localSheetId="63">'307'!$J$164</definedName>
    <definedName name="OSRRefJ21_11x_0" localSheetId="29">'308'!$J$146</definedName>
    <definedName name="OSRRefJ21_11x_0" localSheetId="64">'309'!$J$65:$J$67</definedName>
    <definedName name="OSRRefJ21_11x_0" localSheetId="23">'310'!$J$81</definedName>
    <definedName name="OSRRefJ21_11x_0" localSheetId="38">'310 &amp; 491'!$J$95:$J$97</definedName>
    <definedName name="OSRRefJ21_11x_0" localSheetId="65">'311'!$J$124</definedName>
    <definedName name="OSRRefJ21_11x_0" localSheetId="67">'313'!$J$77:$J$78</definedName>
    <definedName name="OSRRefJ21_11x_0" localSheetId="68">'314'!$J$110</definedName>
    <definedName name="OSRRefJ21_11x_0" localSheetId="69">'315'!$J$104:$J$106</definedName>
    <definedName name="OSRRefJ21_11x_0" localSheetId="70">'316'!$J$82:$J$87</definedName>
    <definedName name="OSRRefJ21_11x_0" localSheetId="71">'317'!$J$113</definedName>
    <definedName name="OSRRefJ21_11x_0" localSheetId="73">'320'!$J$77</definedName>
    <definedName name="OSRRefJ21_11x_0" localSheetId="74">'321'!$J$69:$J$71</definedName>
    <definedName name="OSRRefJ21_11x_0" localSheetId="75">'322'!$J$64</definedName>
    <definedName name="OSRRefJ21_11x_0" localSheetId="78">'325'!$J$66</definedName>
    <definedName name="OSRRefJ21_11x_0" localSheetId="79">'326'!$J$137:$J$157</definedName>
    <definedName name="OSRRefJ21_11x_0" localSheetId="26">'330'!$J$173</definedName>
    <definedName name="OSRRefJ21_11x_0" localSheetId="32">'331'!$J$148:$J$168</definedName>
    <definedName name="OSRRefJ21_11x_0" localSheetId="35">'332'!$J$102:$J$103</definedName>
    <definedName name="OSRRefJ21_11x_0" localSheetId="82">'405'!$J$70</definedName>
    <definedName name="OSRRefJ21_11x_0" localSheetId="83">'406'!$J$59</definedName>
    <definedName name="OSRRefJ21_11x_0" localSheetId="84">'411'!$J$62</definedName>
    <definedName name="OSRRefJ21_11x_0" localSheetId="85">'412'!$J$68:$J$70</definedName>
    <definedName name="OSRRefJ21_11x_0" localSheetId="86">'413'!$J$80:$J$81</definedName>
    <definedName name="OSRRefJ21_11x_0" localSheetId="87">'414'!$J$66</definedName>
    <definedName name="OSRRefJ21_11x_0" localSheetId="88">'415'!$J$67:$J$70</definedName>
    <definedName name="OSRRefJ21_11x_0" localSheetId="89">'418'!$J$66:$J$67</definedName>
    <definedName name="OSRRefJ21_11x_0" localSheetId="91">'423'!$J$61</definedName>
    <definedName name="OSRRefJ21_11x_0" localSheetId="92">'424'!$J$59:$J$61</definedName>
    <definedName name="OSRRefJ21_11x_0" localSheetId="93">'425'!$J$66:$J$69</definedName>
    <definedName name="OSRRefJ21_11x_0" localSheetId="94">'430'!$J$63:$J$64</definedName>
    <definedName name="OSRRefJ21_11x_0" localSheetId="95">'433'!$J$68</definedName>
    <definedName name="OSRRefJ21_11x_0" localSheetId="96">'435'!$J$58</definedName>
    <definedName name="OSRRefJ21_11x_0" localSheetId="97">'444'!$J$66</definedName>
    <definedName name="OSRRefJ21_11x_0" localSheetId="98">'445'!$J$54</definedName>
    <definedName name="OSRRefJ21_11x_0" localSheetId="99">'450'!$J$67</definedName>
    <definedName name="OSRRefJ21_11x_0" localSheetId="41">'491'!$J$82:$J$83</definedName>
    <definedName name="OSRRefJ21_11x_0" localSheetId="44">'492'!$J$71</definedName>
    <definedName name="OSRRefJ21_11x_0" localSheetId="101">'501'!$J$61:$J$64</definedName>
    <definedName name="OSRRefJ21_11x_0" localSheetId="8">'Div 2'!$J$64:$J$65</definedName>
    <definedName name="OSRRefJ21_11x_0" localSheetId="11">'Div 3'!$J$257:$J$259</definedName>
    <definedName name="OSRRefJ21_11x_0" localSheetId="14">'Div 4'!$J$83:$J$84</definedName>
    <definedName name="OSRRefJ21_11x_0" localSheetId="47">'Div 5'!$J$61:$J$64</definedName>
    <definedName name="OSRRefJ21_11x_0" localSheetId="50">'Div 6'!$J$113</definedName>
    <definedName name="OSRRefJ21_11x_0" localSheetId="2">Summary!$J$293:$J$295</definedName>
    <definedName name="OSRRefJ21_12x_0" localSheetId="55">'201'!$J$62</definedName>
    <definedName name="OSRRefJ21_12x_0" localSheetId="56">'202'!$J$65</definedName>
    <definedName name="OSRRefJ21_12x_0" localSheetId="57">'203'!$J$67:$J$71</definedName>
    <definedName name="OSRRefJ21_12x_0" localSheetId="58">'204'!$J$71</definedName>
    <definedName name="OSRRefJ21_12x_0" localSheetId="60">'206'!$J$64:$J$65</definedName>
    <definedName name="OSRRefJ21_12x_0" localSheetId="17">'300'!$J$256</definedName>
    <definedName name="OSRRefJ21_12x_0" localSheetId="20">'300 &amp; 317'!$J$281</definedName>
    <definedName name="OSRRefJ21_12x_0" localSheetId="61">'301'!$J$67</definedName>
    <definedName name="OSRRefJ21_12x_0" localSheetId="62">'306'!$J$67</definedName>
    <definedName name="OSRRefJ21_12x_0" localSheetId="63">'307'!$J$166:$J$167</definedName>
    <definedName name="OSRRefJ21_12x_0" localSheetId="29">'308'!$J$148:$J$149</definedName>
    <definedName name="OSRRefJ21_12x_0" localSheetId="64">'309'!$J$69</definedName>
    <definedName name="OSRRefJ21_12x_0" localSheetId="23">'310'!$J$83</definedName>
    <definedName name="OSRRefJ21_12x_0" localSheetId="38">'310 &amp; 491'!$J$99</definedName>
    <definedName name="OSRRefJ21_12x_0" localSheetId="65">'311'!$J$126:$J$127</definedName>
    <definedName name="OSRRefJ21_12x_0" localSheetId="67">'313'!$J$80:$J$81</definedName>
    <definedName name="OSRRefJ21_12x_0" localSheetId="68">'314'!$J$112</definedName>
    <definedName name="OSRRefJ21_12x_0" localSheetId="69">'315'!$J$108:$J$110</definedName>
    <definedName name="OSRRefJ21_12x_0" localSheetId="70">'316'!$J$89</definedName>
    <definedName name="OSRRefJ21_12x_0" localSheetId="71">'317'!$J$115:$J$118</definedName>
    <definedName name="OSRRefJ21_12x_0" localSheetId="73">'320'!$J$79</definedName>
    <definedName name="OSRRefJ21_12x_0" localSheetId="74">'321'!$J$73:$J$74</definedName>
    <definedName name="OSRRefJ21_12x_0" localSheetId="75">'322'!$J$66:$J$67</definedName>
    <definedName name="OSRRefJ21_12x_0" localSheetId="78">'325'!$J$68:$J$71</definedName>
    <definedName name="OSRRefJ21_12x_0" localSheetId="79">'326'!$J$159</definedName>
    <definedName name="OSRRefJ21_12x_0" localSheetId="26">'330'!$J$175:$J$176</definedName>
    <definedName name="OSRRefJ21_12x_0" localSheetId="32">'331'!$J$170</definedName>
    <definedName name="OSRRefJ21_12x_0" localSheetId="35">'332'!$J$105:$J$110</definedName>
    <definedName name="OSRRefJ21_12x_0" localSheetId="82">'405'!$J$72:$J$75</definedName>
    <definedName name="OSRRefJ21_12x_0" localSheetId="83">'406'!$J$61:$J$63</definedName>
    <definedName name="OSRRefJ21_12x_0" localSheetId="84">'411'!$J$64</definedName>
    <definedName name="OSRRefJ21_12x_0" localSheetId="85">'412'!$J$72</definedName>
    <definedName name="OSRRefJ21_12x_0" localSheetId="86">'413'!$J$83</definedName>
    <definedName name="OSRRefJ21_12x_0" localSheetId="87">'414'!$J$68:$J$70</definedName>
    <definedName name="OSRRefJ21_12x_0" localSheetId="88">'415'!$J$72</definedName>
    <definedName name="OSRRefJ21_12x_0" localSheetId="89">'418'!$J$69:$J$72</definedName>
    <definedName name="OSRRefJ21_12x_0" localSheetId="91">'423'!$J$63</definedName>
    <definedName name="OSRRefJ21_12x_0" localSheetId="92">'424'!$J$63:$J$69</definedName>
    <definedName name="OSRRefJ21_12x_0" localSheetId="93">'425'!$J$71:$J$72</definedName>
    <definedName name="OSRRefJ21_12x_0" localSheetId="95">'433'!$J$70</definedName>
    <definedName name="OSRRefJ21_12x_0" localSheetId="96">'435'!$J$60</definedName>
    <definedName name="OSRRefJ21_12x_0" localSheetId="97">'444'!$J$68</definedName>
    <definedName name="OSRRefJ21_12x_0" localSheetId="98">'445'!$J$56</definedName>
    <definedName name="OSRRefJ21_12x_0" localSheetId="99">'450'!$J$69:$J$71</definedName>
    <definedName name="OSRRefJ21_12x_0" localSheetId="41">'491'!$J$85</definedName>
    <definedName name="OSRRefJ21_12x_0" localSheetId="44">'492'!$J$73</definedName>
    <definedName name="OSRRefJ21_12x_0" localSheetId="101">'501'!$J$66</definedName>
    <definedName name="OSRRefJ21_12x_0" localSheetId="8">'Div 2'!$J$67:$J$68</definedName>
    <definedName name="OSRRefJ21_12x_0" localSheetId="11">'Div 3'!$J$261</definedName>
    <definedName name="OSRRefJ21_12x_0" localSheetId="14">'Div 4'!$J$86</definedName>
    <definedName name="OSRRefJ21_12x_0" localSheetId="47">'Div 5'!$J$66</definedName>
    <definedName name="OSRRefJ21_12x_0" localSheetId="50">'Div 6'!$J$115:$J$118</definedName>
    <definedName name="OSRRefJ21_12x_0" localSheetId="2">Summary!$J$297</definedName>
    <definedName name="OSRRefJ21_13x_0" localSheetId="55">'201'!$J$64:$J$67</definedName>
    <definedName name="OSRRefJ21_13x_0" localSheetId="56">'202'!$J$67:$J$69</definedName>
    <definedName name="OSRRefJ21_13x_0" localSheetId="57">'203'!$J$73</definedName>
    <definedName name="OSRRefJ21_13x_0" localSheetId="58">'204'!$J$73:$J$74</definedName>
    <definedName name="OSRRefJ21_13x_0" localSheetId="17">'300'!$J$258:$J$294</definedName>
    <definedName name="OSRRefJ21_13x_0" localSheetId="20">'300 &amp; 317'!$J$283:$J$322</definedName>
    <definedName name="OSRRefJ21_13x_0" localSheetId="61">'301'!$J$69:$J$70</definedName>
    <definedName name="OSRRefJ21_13x_0" localSheetId="63">'307'!$J$169:$J$170</definedName>
    <definedName name="OSRRefJ21_13x_0" localSheetId="29">'308'!$J$151:$J$154</definedName>
    <definedName name="OSRRefJ21_13x_0" localSheetId="64">'309'!$J$71:$J$79</definedName>
    <definedName name="OSRRefJ21_13x_0" localSheetId="23">'310'!$J$85</definedName>
    <definedName name="OSRRefJ21_13x_0" localSheetId="38">'310 &amp; 491'!$J$101</definedName>
    <definedName name="OSRRefJ21_13x_0" localSheetId="65">'311'!$J$129:$J$132</definedName>
    <definedName name="OSRRefJ21_13x_0" localSheetId="67">'313'!$J$83:$J$89</definedName>
    <definedName name="OSRRefJ21_13x_0" localSheetId="68">'314'!$J$114</definedName>
    <definedName name="OSRRefJ21_13x_0" localSheetId="69">'315'!$J$112:$J$113</definedName>
    <definedName name="OSRRefJ21_13x_0" localSheetId="70">'316'!$J$91</definedName>
    <definedName name="OSRRefJ21_13x_0" localSheetId="71">'317'!$J$120</definedName>
    <definedName name="OSRRefJ21_13x_0" localSheetId="74">'321'!$J$76:$J$83</definedName>
    <definedName name="OSRRefJ21_13x_0" localSheetId="75">'322'!$J$69:$J$71</definedName>
    <definedName name="OSRRefJ21_13x_0" localSheetId="78">'325'!$J$73:$J$76</definedName>
    <definedName name="OSRRefJ21_13x_0" localSheetId="79">'326'!$J$161</definedName>
    <definedName name="OSRRefJ21_13x_0" localSheetId="26">'330'!$J$178:$J$179</definedName>
    <definedName name="OSRRefJ21_13x_0" localSheetId="32">'331'!$J$172</definedName>
    <definedName name="OSRRefJ21_13x_0" localSheetId="35">'332'!$J$112</definedName>
    <definedName name="OSRRefJ21_13x_0" localSheetId="82">'405'!$J$77:$J$78</definedName>
    <definedName name="OSRRefJ21_13x_0" localSheetId="83">'406'!$J$65:$J$70</definedName>
    <definedName name="OSRRefJ21_13x_0" localSheetId="84">'411'!$J$66</definedName>
    <definedName name="OSRRefJ21_13x_0" localSheetId="85">'412'!$J$74:$J$78</definedName>
    <definedName name="OSRRefJ21_13x_0" localSheetId="86">'413'!$J$85:$J$86</definedName>
    <definedName name="OSRRefJ21_13x_0" localSheetId="87">'414'!$J$72</definedName>
    <definedName name="OSRRefJ21_13x_0" localSheetId="88">'415'!$J$74:$J$78</definedName>
    <definedName name="OSRRefJ21_13x_0" localSheetId="89">'418'!$J$74:$J$77</definedName>
    <definedName name="OSRRefJ21_13x_0" localSheetId="92">'424'!$J$71</definedName>
    <definedName name="OSRRefJ21_13x_0" localSheetId="93">'425'!$J$74:$J$81</definedName>
    <definedName name="OSRRefJ21_13x_0" localSheetId="95">'433'!$J$72:$J$74</definedName>
    <definedName name="OSRRefJ21_13x_0" localSheetId="96">'435'!$J$62</definedName>
    <definedName name="OSRRefJ21_13x_0" localSheetId="97">'444'!$J$70:$J$73</definedName>
    <definedName name="OSRRefJ21_13x_0" localSheetId="98">'445'!$J$58</definedName>
    <definedName name="OSRRefJ21_13x_0" localSheetId="99">'450'!$J$73:$J$76</definedName>
    <definedName name="OSRRefJ21_13x_0" localSheetId="41">'491'!$J$87</definedName>
    <definedName name="OSRRefJ21_13x_0" localSheetId="44">'492'!$J$75:$J$76</definedName>
    <definedName name="OSRRefJ21_13x_0" localSheetId="101">'501'!$J$68:$J$71</definedName>
    <definedName name="OSRRefJ21_13x_0" localSheetId="8">'Div 2'!$J$70</definedName>
    <definedName name="OSRRefJ21_13x_0" localSheetId="11">'Div 3'!$J$263</definedName>
    <definedName name="OSRRefJ21_13x_0" localSheetId="14">'Div 4'!$J$88</definedName>
    <definedName name="OSRRefJ21_13x_0" localSheetId="47">'Div 5'!$J$68:$J$71</definedName>
    <definedName name="OSRRefJ21_13x_0" localSheetId="50">'Div 6'!$J$120</definedName>
    <definedName name="OSRRefJ21_13x_0" localSheetId="2">Summary!$J$299</definedName>
    <definedName name="OSRRefJ21_14x_0" localSheetId="55">'201'!$J$69:$J$71</definedName>
    <definedName name="OSRRefJ21_14x_0" localSheetId="56">'202'!$J$71</definedName>
    <definedName name="OSRRefJ21_14x_0" localSheetId="57">'203'!$J$75</definedName>
    <definedName name="OSRRefJ21_14x_0" localSheetId="17">'300'!$J$296:$J$297</definedName>
    <definedName name="OSRRefJ21_14x_0" localSheetId="20">'300 &amp; 317'!$J$324:$J$325</definedName>
    <definedName name="OSRRefJ21_14x_0" localSheetId="61">'301'!$J$72:$J$73</definedName>
    <definedName name="OSRRefJ21_14x_0" localSheetId="63">'307'!$J$172</definedName>
    <definedName name="OSRRefJ21_14x_0" localSheetId="29">'308'!$J$156:$J$157</definedName>
    <definedName name="OSRRefJ21_14x_0" localSheetId="64">'309'!$J$81</definedName>
    <definedName name="OSRRefJ21_14x_0" localSheetId="23">'310'!$J$87</definedName>
    <definedName name="OSRRefJ21_14x_0" localSheetId="38">'310 &amp; 491'!$J$103</definedName>
    <definedName name="OSRRefJ21_14x_0" localSheetId="65">'311'!$J$134:$J$135</definedName>
    <definedName name="OSRRefJ21_14x_0" localSheetId="67">'313'!$J$91:$J$92</definedName>
    <definedName name="OSRRefJ21_14x_0" localSheetId="69">'315'!$J$115:$J$122</definedName>
    <definedName name="OSRRefJ21_14x_0" localSheetId="70">'316'!$J$93</definedName>
    <definedName name="OSRRefJ21_14x_0" localSheetId="71">'317'!$J$122</definedName>
    <definedName name="OSRRefJ21_14x_0" localSheetId="74">'321'!$J$85:$J$86</definedName>
    <definedName name="OSRRefJ21_14x_0" localSheetId="75">'322'!$J$73:$J$74</definedName>
    <definedName name="OSRRefJ21_14x_0" localSheetId="78">'325'!$J$78:$J$79</definedName>
    <definedName name="OSRRefJ21_14x_0" localSheetId="79">'326'!$J$163:$J$165</definedName>
    <definedName name="OSRRefJ21_14x_0" localSheetId="26">'330'!$J$181</definedName>
    <definedName name="OSRRefJ21_14x_0" localSheetId="32">'331'!$J$174:$J$177</definedName>
    <definedName name="OSRRefJ21_14x_0" localSheetId="35">'332'!$J$114</definedName>
    <definedName name="OSRRefJ21_14x_0" localSheetId="82">'405'!$J$80:$J$89</definedName>
    <definedName name="OSRRefJ21_14x_0" localSheetId="83">'406'!$J$72</definedName>
    <definedName name="OSRRefJ21_14x_0" localSheetId="84">'411'!$J$68:$J$71</definedName>
    <definedName name="OSRRefJ21_14x_0" localSheetId="85">'412'!$J$80:$J$89</definedName>
    <definedName name="OSRRefJ21_14x_0" localSheetId="87">'414'!$J$74:$J$82</definedName>
    <definedName name="OSRRefJ21_14x_0" localSheetId="88">'415'!$J$80:$J$81</definedName>
    <definedName name="OSRRefJ21_14x_0" localSheetId="89">'418'!$J$79:$J$80</definedName>
    <definedName name="OSRRefJ21_14x_0" localSheetId="93">'425'!$J$83</definedName>
    <definedName name="OSRRefJ21_14x_0" localSheetId="95">'433'!$J$76:$J$79</definedName>
    <definedName name="OSRRefJ21_14x_0" localSheetId="97">'444'!$J$75:$J$78</definedName>
    <definedName name="OSRRefJ21_14x_0" localSheetId="99">'450'!$J$78</definedName>
    <definedName name="OSRRefJ21_14x_0" localSheetId="41">'491'!$J$89</definedName>
    <definedName name="OSRRefJ21_14x_0" localSheetId="44">'492'!$J$78</definedName>
    <definedName name="OSRRefJ21_14x_0" localSheetId="101">'501'!$J$73</definedName>
    <definedName name="OSRRefJ21_14x_0" localSheetId="8">'Div 2'!$J$72:$J$75</definedName>
    <definedName name="OSRRefJ21_14x_0" localSheetId="11">'Div 3'!$J$265:$J$301</definedName>
    <definedName name="OSRRefJ21_14x_0" localSheetId="14">'Div 4'!$J$90:$J$91</definedName>
    <definedName name="OSRRefJ21_14x_0" localSheetId="47">'Div 5'!$J$73</definedName>
    <definedName name="OSRRefJ21_14x_0" localSheetId="50">'Div 6'!$J$122</definedName>
    <definedName name="OSRRefJ21_14x_0" localSheetId="2">Summary!$J$301:$J$340</definedName>
    <definedName name="OSRRefJ21_15x_0" localSheetId="55">'201'!$J$73</definedName>
    <definedName name="OSRRefJ21_15x_0" localSheetId="56">'202'!$J$73</definedName>
    <definedName name="OSRRefJ21_15x_0" localSheetId="57">'203'!$J$77:$J$78</definedName>
    <definedName name="OSRRefJ21_15x_0" localSheetId="17">'300'!$J$299</definedName>
    <definedName name="OSRRefJ21_15x_0" localSheetId="20">'300 &amp; 317'!$J$327</definedName>
    <definedName name="OSRRefJ21_15x_0" localSheetId="61">'301'!$J$75</definedName>
    <definedName name="OSRRefJ21_15x_0" localSheetId="63">'307'!$J$174:$J$179</definedName>
    <definedName name="OSRRefJ21_15x_0" localSheetId="29">'308'!$J$159</definedName>
    <definedName name="OSRRefJ21_15x_0" localSheetId="64">'309'!$J$83</definedName>
    <definedName name="OSRRefJ21_15x_0" localSheetId="23">'310'!$J$89:$J$92</definedName>
    <definedName name="OSRRefJ21_15x_0" localSheetId="38">'310 &amp; 491'!$J$105</definedName>
    <definedName name="OSRRefJ21_15x_0" localSheetId="65">'311'!$J$137</definedName>
    <definedName name="OSRRefJ21_15x_0" localSheetId="67">'313'!$J$94</definedName>
    <definedName name="OSRRefJ21_15x_0" localSheetId="69">'315'!$J$124</definedName>
    <definedName name="OSRRefJ21_15x_0" localSheetId="70">'316'!$J$95</definedName>
    <definedName name="OSRRefJ21_15x_0" localSheetId="71">'317'!$J$124:$J$125</definedName>
    <definedName name="OSRRefJ21_15x_0" localSheetId="74">'321'!$J$88</definedName>
    <definedName name="OSRRefJ21_15x_0" localSheetId="75">'322'!$J$76:$J$84</definedName>
    <definedName name="OSRRefJ21_15x_0" localSheetId="78">'325'!$J$81:$J$88</definedName>
    <definedName name="OSRRefJ21_15x_0" localSheetId="79">'326'!$J$167:$J$169</definedName>
    <definedName name="OSRRefJ21_15x_0" localSheetId="26">'330'!$J$183:$J$189</definedName>
    <definedName name="OSRRefJ21_15x_0" localSheetId="32">'331'!$J$179:$J$181</definedName>
    <definedName name="OSRRefJ21_15x_0" localSheetId="35">'332'!$J$116</definedName>
    <definedName name="OSRRefJ21_15x_0" localSheetId="82">'405'!$J$91</definedName>
    <definedName name="OSRRefJ21_15x_0" localSheetId="83">'406'!$J$74</definedName>
    <definedName name="OSRRefJ21_15x_0" localSheetId="84">'411'!$J$73</definedName>
    <definedName name="OSRRefJ21_15x_0" localSheetId="85">'412'!$J$91:$J$92</definedName>
    <definedName name="OSRRefJ21_15x_0" localSheetId="87">'414'!$J$84</definedName>
    <definedName name="OSRRefJ21_15x_0" localSheetId="88">'415'!$J$83:$J$91</definedName>
    <definedName name="OSRRefJ21_15x_0" localSheetId="89">'418'!$J$82:$J$92</definedName>
    <definedName name="OSRRefJ21_15x_0" localSheetId="93">'425'!$J$85</definedName>
    <definedName name="OSRRefJ21_15x_0" localSheetId="95">'433'!$J$81</definedName>
    <definedName name="OSRRefJ21_15x_0" localSheetId="97">'444'!$J$80:$J$81</definedName>
    <definedName name="OSRRefJ21_15x_0" localSheetId="99">'450'!$J$80:$J$89</definedName>
    <definedName name="OSRRefJ21_15x_0" localSheetId="41">'491'!$J$91</definedName>
    <definedName name="OSRRefJ21_15x_0" localSheetId="44">'492'!$J$80:$J$83</definedName>
    <definedName name="OSRRefJ21_15x_0" localSheetId="101">'501'!$J$75</definedName>
    <definedName name="OSRRefJ21_15x_0" localSheetId="8">'Div 2'!$J$77:$J$80</definedName>
    <definedName name="OSRRefJ21_15x_0" localSheetId="11">'Div 3'!$J$303:$J$304</definedName>
    <definedName name="OSRRefJ21_15x_0" localSheetId="14">'Div 4'!$J$93</definedName>
    <definedName name="OSRRefJ21_15x_0" localSheetId="47">'Div 5'!$J$75</definedName>
    <definedName name="OSRRefJ21_15x_0" localSheetId="50">'Div 6'!$J$124:$J$125</definedName>
    <definedName name="OSRRefJ21_15x_0" localSheetId="2">Summary!$J$342:$J$343</definedName>
    <definedName name="OSRRefJ21_16x_0" localSheetId="55">'201'!$J$75:$J$78</definedName>
    <definedName name="OSRRefJ21_16x_0" localSheetId="56">'202'!$J$75:$J$76</definedName>
    <definedName name="OSRRefJ21_16x_0" localSheetId="17">'300'!$J$301:$J$304</definedName>
    <definedName name="OSRRefJ21_16x_0" localSheetId="20">'300 &amp; 317'!$J$329:$J$332</definedName>
    <definedName name="OSRRefJ21_16x_0" localSheetId="61">'301'!$J$77:$J$80</definedName>
    <definedName name="OSRRefJ21_16x_0" localSheetId="63">'307'!$J$181:$J$182</definedName>
    <definedName name="OSRRefJ21_16x_0" localSheetId="29">'308'!$J$161:$J$162</definedName>
    <definedName name="OSRRefJ21_16x_0" localSheetId="64">'309'!$J$85:$J$86</definedName>
    <definedName name="OSRRefJ21_16x_0" localSheetId="23">'310'!$J$94:$J$95</definedName>
    <definedName name="OSRRefJ21_16x_0" localSheetId="38">'310 &amp; 491'!$J$107</definedName>
    <definedName name="OSRRefJ21_16x_0" localSheetId="65">'311'!$J$139:$J$140</definedName>
    <definedName name="OSRRefJ21_16x_0" localSheetId="67">'313'!$J$96:$J$97</definedName>
    <definedName name="OSRRefJ21_16x_0" localSheetId="69">'315'!$J$126</definedName>
    <definedName name="OSRRefJ21_16x_0" localSheetId="74">'321'!$J$90:$J$91</definedName>
    <definedName name="OSRRefJ21_16x_0" localSheetId="75">'322'!$J$86</definedName>
    <definedName name="OSRRefJ21_16x_0" localSheetId="78">'325'!$J$90:$J$91</definedName>
    <definedName name="OSRRefJ21_16x_0" localSheetId="79">'326'!$J$171:$J$172</definedName>
    <definedName name="OSRRefJ21_16x_0" localSheetId="26">'330'!$J$191:$J$192</definedName>
    <definedName name="OSRRefJ21_16x_0" localSheetId="32">'331'!$J$183:$J$185</definedName>
    <definedName name="OSRRefJ21_16x_0" localSheetId="35">'332'!$J$118</definedName>
    <definedName name="OSRRefJ21_16x_0" localSheetId="82">'405'!$J$93</definedName>
    <definedName name="OSRRefJ21_16x_0" localSheetId="83">'406'!$J$76:$J$77</definedName>
    <definedName name="OSRRefJ21_16x_0" localSheetId="84">'411'!$J$75:$J$79</definedName>
    <definedName name="OSRRefJ21_16x_0" localSheetId="85">'412'!$J$94</definedName>
    <definedName name="OSRRefJ21_16x_0" localSheetId="87">'414'!$J$86</definedName>
    <definedName name="OSRRefJ21_16x_0" localSheetId="88">'415'!$J$93:$J$94</definedName>
    <definedName name="OSRRefJ21_16x_0" localSheetId="89">'418'!$J$94:$J$95</definedName>
    <definedName name="OSRRefJ21_16x_0" localSheetId="93">'425'!$J$87:$J$89</definedName>
    <definedName name="OSRRefJ21_16x_0" localSheetId="95">'433'!$J$83:$J$91</definedName>
    <definedName name="OSRRefJ21_16x_0" localSheetId="97">'444'!$J$83:$J$92</definedName>
    <definedName name="OSRRefJ21_16x_0" localSheetId="99">'450'!$J$91:$J$92</definedName>
    <definedName name="OSRRefJ21_16x_0" localSheetId="41">'491'!$J$93</definedName>
    <definedName name="OSRRefJ21_16x_0" localSheetId="44">'492'!$J$85:$J$88</definedName>
    <definedName name="OSRRefJ21_16x_0" localSheetId="101">'501'!$J$77</definedName>
    <definedName name="OSRRefJ21_16x_0" localSheetId="8">'Div 2'!$J$82:$J$83</definedName>
    <definedName name="OSRRefJ21_16x_0" localSheetId="11">'Div 3'!$J$306</definedName>
    <definedName name="OSRRefJ21_16x_0" localSheetId="14">'Div 4'!$J$95</definedName>
    <definedName name="OSRRefJ21_16x_0" localSheetId="47">'Div 5'!$J$77</definedName>
    <definedName name="OSRRefJ21_16x_0" localSheetId="2">Summary!$J$345</definedName>
    <definedName name="OSRRefJ21_17x_0" localSheetId="55">'201'!$J$80:$J$81</definedName>
    <definedName name="OSRRefJ21_17x_0" localSheetId="17">'300'!$J$306:$J$310</definedName>
    <definedName name="OSRRefJ21_17x_0" localSheetId="20">'300 &amp; 317'!$J$334:$J$338</definedName>
    <definedName name="OSRRefJ21_17x_0" localSheetId="61">'301'!$J$82</definedName>
    <definedName name="OSRRefJ21_17x_0" localSheetId="63">'307'!$J$184</definedName>
    <definedName name="OSRRefJ21_17x_0" localSheetId="29">'308'!$J$164</definedName>
    <definedName name="OSRRefJ21_17x_0" localSheetId="23">'310'!$J$97:$J$100</definedName>
    <definedName name="OSRRefJ21_17x_0" localSheetId="38">'310 &amp; 491'!$J$109:$J$112</definedName>
    <definedName name="OSRRefJ21_17x_0" localSheetId="65">'311'!$J$142</definedName>
    <definedName name="OSRRefJ21_17x_0" localSheetId="69">'315'!$J$128:$J$130</definedName>
    <definedName name="OSRRefJ21_17x_0" localSheetId="74">'321'!$J$93</definedName>
    <definedName name="OSRRefJ21_17x_0" localSheetId="75">'322'!$J$88</definedName>
    <definedName name="OSRRefJ21_17x_0" localSheetId="78">'325'!$J$93</definedName>
    <definedName name="OSRRefJ21_17x_0" localSheetId="79">'326'!$J$174:$J$181</definedName>
    <definedName name="OSRRefJ21_17x_0" localSheetId="26">'330'!$J$194</definedName>
    <definedName name="OSRRefJ21_17x_0" localSheetId="32">'331'!$J$187:$J$188</definedName>
    <definedName name="OSRRefJ21_17x_0" localSheetId="82">'405'!$J$95</definedName>
    <definedName name="OSRRefJ21_17x_0" localSheetId="84">'411'!$J$81:$J$82</definedName>
    <definedName name="OSRRefJ21_17x_0" localSheetId="85">'412'!$J$96:$J$97</definedName>
    <definedName name="OSRRefJ21_17x_0" localSheetId="87">'414'!$J$88</definedName>
    <definedName name="OSRRefJ21_17x_0" localSheetId="88">'415'!$J$96</definedName>
    <definedName name="OSRRefJ21_17x_0" localSheetId="89">'418'!$J$97</definedName>
    <definedName name="OSRRefJ21_17x_0" localSheetId="95">'433'!$J$93</definedName>
    <definedName name="OSRRefJ21_17x_0" localSheetId="97">'444'!$J$94:$J$95</definedName>
    <definedName name="OSRRefJ21_17x_0" localSheetId="99">'450'!$J$94</definedName>
    <definedName name="OSRRefJ21_17x_0" localSheetId="41">'491'!$J$95:$J$98</definedName>
    <definedName name="OSRRefJ21_17x_0" localSheetId="44">'492'!$J$90:$J$91</definedName>
    <definedName name="OSRRefJ21_17x_0" localSheetId="8">'Div 2'!$J$85:$J$86</definedName>
    <definedName name="OSRRefJ21_17x_0" localSheetId="11">'Div 3'!$J$308:$J$311</definedName>
    <definedName name="OSRRefJ21_17x_0" localSheetId="14">'Div 4'!$J$97:$J$100</definedName>
    <definedName name="OSRRefJ21_17x_0" localSheetId="2">Summary!$J$347</definedName>
    <definedName name="OSRRefJ21_18x_0" localSheetId="55">'201'!$J$83</definedName>
    <definedName name="OSRRefJ21_18x_0" localSheetId="17">'300'!$J$312:$J$316</definedName>
    <definedName name="OSRRefJ21_18x_0" localSheetId="20">'300 &amp; 317'!$J$340:$J$344</definedName>
    <definedName name="OSRRefJ21_18x_0" localSheetId="61">'301'!$J$84:$J$87</definedName>
    <definedName name="OSRRefJ21_18x_0" localSheetId="63">'307'!$J$186</definedName>
    <definedName name="OSRRefJ21_18x_0" localSheetId="23">'310'!$J$102:$J$103</definedName>
    <definedName name="OSRRefJ21_18x_0" localSheetId="38">'310 &amp; 491'!$J$114:$J$115</definedName>
    <definedName name="OSRRefJ21_18x_0" localSheetId="75">'322'!$J$90:$J$92</definedName>
    <definedName name="OSRRefJ21_18x_0" localSheetId="78">'325'!$J$95</definedName>
    <definedName name="OSRRefJ21_18x_0" localSheetId="79">'326'!$J$183:$J$184</definedName>
    <definedName name="OSRRefJ21_18x_0" localSheetId="26">'330'!$J$196</definedName>
    <definedName name="OSRRefJ21_18x_0" localSheetId="32">'331'!$J$190:$J$198</definedName>
    <definedName name="OSRRefJ21_18x_0" localSheetId="82">'405'!$J$97</definedName>
    <definedName name="OSRRefJ21_18x_0" localSheetId="84">'411'!$J$84:$J$93</definedName>
    <definedName name="OSRRefJ21_18x_0" localSheetId="85">'412'!$J$99</definedName>
    <definedName name="OSRRefJ21_18x_0" localSheetId="88">'415'!$J$98:$J$99</definedName>
    <definedName name="OSRRefJ21_18x_0" localSheetId="89">'418'!$J$99:$J$100</definedName>
    <definedName name="OSRRefJ21_18x_0" localSheetId="95">'433'!$J$95</definedName>
    <definedName name="OSRRefJ21_18x_0" localSheetId="97">'444'!$J$97</definedName>
    <definedName name="OSRRefJ21_18x_0" localSheetId="99">'450'!$J$96:$J$98</definedName>
    <definedName name="OSRRefJ21_18x_0" localSheetId="41">'491'!$J$100:$J$101</definedName>
    <definedName name="OSRRefJ21_18x_0" localSheetId="44">'492'!$J$93:$J$102</definedName>
    <definedName name="OSRRefJ21_18x_0" localSheetId="8">'Div 2'!$J$88:$J$94</definedName>
    <definedName name="OSRRefJ21_18x_0" localSheetId="11">'Div 3'!$J$313:$J$317</definedName>
    <definedName name="OSRRefJ21_18x_0" localSheetId="14">'Div 4'!$J$102:$J$103</definedName>
    <definedName name="OSRRefJ21_18x_0" localSheetId="2">Summary!$J$349:$J$352</definedName>
    <definedName name="OSRRefJ21_19x_0" localSheetId="55">'201'!$J$85:$J$86</definedName>
    <definedName name="OSRRefJ21_19x_0" localSheetId="17">'300'!$J$318:$J$319</definedName>
    <definedName name="OSRRefJ21_19x_0" localSheetId="20">'300 &amp; 317'!$J$346:$J$347</definedName>
    <definedName name="OSRRefJ21_19x_0" localSheetId="61">'301'!$J$89:$J$90</definedName>
    <definedName name="OSRRefJ21_19x_0" localSheetId="23">'310'!$J$105:$J$113</definedName>
    <definedName name="OSRRefJ21_19x_0" localSheetId="38">'310 &amp; 491'!$J$117:$J$121</definedName>
    <definedName name="OSRRefJ21_19x_0" localSheetId="75">'322'!$J$94</definedName>
    <definedName name="OSRRefJ21_19x_0" localSheetId="78">'325'!$J$97</definedName>
    <definedName name="OSRRefJ21_19x_0" localSheetId="79">'326'!$J$186</definedName>
    <definedName name="OSRRefJ21_19x_0" localSheetId="32">'331'!$J$200:$J$201</definedName>
    <definedName name="OSRRefJ21_19x_0" localSheetId="84">'411'!$J$95</definedName>
    <definedName name="OSRRefJ21_19x_0" localSheetId="88">'415'!$J$101</definedName>
    <definedName name="OSRRefJ21_19x_0" localSheetId="89">'418'!$J$102</definedName>
    <definedName name="OSRRefJ21_19x_0" localSheetId="95">'433'!$J$97:$J$98</definedName>
    <definedName name="OSRRefJ21_19x_0" localSheetId="97">'444'!$J$99</definedName>
    <definedName name="OSRRefJ21_19x_0" localSheetId="41">'491'!$J$103:$J$107</definedName>
    <definedName name="OSRRefJ21_19x_0" localSheetId="44">'492'!$J$104:$J$105</definedName>
    <definedName name="OSRRefJ21_19x_0" localSheetId="8">'Div 2'!$J$96:$J$97</definedName>
    <definedName name="OSRRefJ21_19x_0" localSheetId="11">'Div 3'!$J$319:$J$324</definedName>
    <definedName name="OSRRefJ21_19x_0" localSheetId="14">'Div 4'!$J$105:$J$109</definedName>
    <definedName name="OSRRefJ21_19x_0" localSheetId="2">Summary!$J$354:$J$358</definedName>
    <definedName name="OSRRefJ21_1x_0" localSheetId="54">'200'!$J$22</definedName>
    <definedName name="OSRRefJ21_1x_0" localSheetId="55">'201'!$J$30:$J$39</definedName>
    <definedName name="OSRRefJ21_1x_0" localSheetId="56">'202'!$J$30:$J$39</definedName>
    <definedName name="OSRRefJ21_1x_0" localSheetId="57">'203'!$J$30:$J$39</definedName>
    <definedName name="OSRRefJ21_1x_0" localSheetId="58">'204'!$J$30:$J$39</definedName>
    <definedName name="OSRRefJ21_1x_0" localSheetId="59">'205'!$J$29:$J$38</definedName>
    <definedName name="OSRRefJ21_1x_0" localSheetId="60">'206'!$J$29:$J$38</definedName>
    <definedName name="OSRRefJ21_1x_0" localSheetId="17">'300'!$J$215:$J$224</definedName>
    <definedName name="OSRRefJ21_1x_0" localSheetId="20">'300 &amp; 317'!$J$240:$J$249</definedName>
    <definedName name="OSRRefJ21_1x_0" localSheetId="61">'301'!$J$30:$J$39</definedName>
    <definedName name="OSRRefJ21_1x_0" localSheetId="62">'306'!$J$30:$J$39</definedName>
    <definedName name="OSRRefJ21_1x_0" localSheetId="63">'307'!$J$110:$J$119</definedName>
    <definedName name="OSRRefJ21_1x_0" localSheetId="29">'308'!$J$100:$J$109</definedName>
    <definedName name="OSRRefJ21_1x_0" localSheetId="64">'309'!$J$35:$J$44</definedName>
    <definedName name="OSRRefJ21_1x_0" localSheetId="23">'310'!$J$49:$J$58</definedName>
    <definedName name="OSRRefJ21_1x_0" localSheetId="38">'310 &amp; 491'!$J$60:$J$69</definedName>
    <definedName name="OSRRefJ21_1x_0" localSheetId="65">'311'!$J$82:$J$91</definedName>
    <definedName name="OSRRefJ21_1x_0" localSheetId="66">'312'!$J$68:$J$72</definedName>
    <definedName name="OSRRefJ21_1x_0" localSheetId="67">'313'!$J$45:$J$54</definedName>
    <definedName name="OSRRefJ21_1x_0" localSheetId="68">'314'!$J$71:$J$76</definedName>
    <definedName name="OSRRefJ21_1x_0" localSheetId="69">'315'!$J$67:$J$76</definedName>
    <definedName name="OSRRefJ21_1x_0" localSheetId="70">'316'!$J$50:$J$59</definedName>
    <definedName name="OSRRefJ21_1x_0" localSheetId="71">'317'!$J$74:$J$83</definedName>
    <definedName name="OSRRefJ21_1x_0" localSheetId="72">'318'!$J$27:$J$30</definedName>
    <definedName name="OSRRefJ21_1x_0" localSheetId="73">'320'!$J$44:$J$50</definedName>
    <definedName name="OSRRefJ21_1x_0" localSheetId="74">'321'!$J$36:$J$45</definedName>
    <definedName name="OSRRefJ21_1x_0" localSheetId="75">'322'!$J$35:$J$44</definedName>
    <definedName name="OSRRefJ21_1x_0" localSheetId="76">'323'!$J$29:$J$31</definedName>
    <definedName name="OSRRefJ21_1x_0" localSheetId="77">'324'!$J$35:$J$44</definedName>
    <definedName name="OSRRefJ21_1x_0" localSheetId="78">'325'!$J$36:$J$45</definedName>
    <definedName name="OSRRefJ21_1x_0" localSheetId="79">'326'!$J$104:$J$113</definedName>
    <definedName name="OSRRefJ21_1x_0" localSheetId="80">'327'!$J$27</definedName>
    <definedName name="OSRRefJ21_1x_0" localSheetId="26">'330'!$J$119:$J$128</definedName>
    <definedName name="OSRRefJ21_1x_0" localSheetId="32">'331'!$J$115:$J$124</definedName>
    <definedName name="OSRRefJ21_1x_0" localSheetId="35">'332'!$J$67:$J$76</definedName>
    <definedName name="OSRRefJ21_1x_0" localSheetId="81">'335'!$J$28:$J$32</definedName>
    <definedName name="OSRRefJ21_1x_0" localSheetId="82">'405'!$J$38:$J$47</definedName>
    <definedName name="OSRRefJ21_1x_0" localSheetId="83">'406'!$J$32:$J$37</definedName>
    <definedName name="OSRRefJ21_1x_0" localSheetId="84">'411'!$J$30:$J$39</definedName>
    <definedName name="OSRRefJ21_1x_0" localSheetId="85">'412'!$J$38:$J$47</definedName>
    <definedName name="OSRRefJ21_1x_0" localSheetId="86">'413'!$J$37:$J$46</definedName>
    <definedName name="OSRRefJ21_1x_0" localSheetId="87">'414'!$J$36:$J$45</definedName>
    <definedName name="OSRRefJ21_1x_0" localSheetId="88">'415'!$J$37:$J$46</definedName>
    <definedName name="OSRRefJ21_1x_0" localSheetId="89">'418'!$J$36:$J$45</definedName>
    <definedName name="OSRRefJ21_1x_0" localSheetId="90">'420'!$J$32:$J$35</definedName>
    <definedName name="OSRRefJ21_1x_0" localSheetId="91">'423'!$J$30:$J$39</definedName>
    <definedName name="OSRRefJ21_1x_0" localSheetId="92">'424'!$J$33:$J$38</definedName>
    <definedName name="OSRRefJ21_1x_0" localSheetId="93">'425'!$J$36:$J$41</definedName>
    <definedName name="OSRRefJ21_1x_0" localSheetId="94">'430'!$J$29:$J$38</definedName>
    <definedName name="OSRRefJ21_1x_0" localSheetId="95">'433'!$J$39:$J$48</definedName>
    <definedName name="OSRRefJ21_1x_0" localSheetId="96">'435'!$J$28:$J$31</definedName>
    <definedName name="OSRRefJ21_1x_0" localSheetId="97">'444'!$J$37:$J$46</definedName>
    <definedName name="OSRRefJ21_1x_0" localSheetId="98">'445'!$J$28:$J$30</definedName>
    <definedName name="OSRRefJ21_1x_0" localSheetId="99">'450'!$J$37:$J$46</definedName>
    <definedName name="OSRRefJ21_1x_0" localSheetId="100">'455'!$J$28:$J$29</definedName>
    <definedName name="OSRRefJ21_1x_0" localSheetId="41">'491'!$J$48:$J$57</definedName>
    <definedName name="OSRRefJ21_1x_0" localSheetId="44">'492'!$J$41:$J$50</definedName>
    <definedName name="OSRRefJ21_1x_0" localSheetId="101">'501'!$J$31:$J$40</definedName>
    <definedName name="OSRRefJ21_1x_0" localSheetId="8">'Div 2'!$J$32:$J$41</definedName>
    <definedName name="OSRRefJ21_1x_0" localSheetId="11">'Div 3'!$J$220:$J$229</definedName>
    <definedName name="OSRRefJ21_1x_0" localSheetId="14">'Div 4'!$J$49:$J$58</definedName>
    <definedName name="OSRRefJ21_1x_0" localSheetId="47">'Div 5'!$J$31:$J$40</definedName>
    <definedName name="OSRRefJ21_1x_0" localSheetId="50">'Div 6'!$J$74:$J$83</definedName>
    <definedName name="OSRRefJ21_1x_0" localSheetId="2">Summary!$J$256:$J$265</definedName>
    <definedName name="OSRRefJ21_20x_0" localSheetId="17">'300'!$J$321:$J$329</definedName>
    <definedName name="OSRRefJ21_20x_0" localSheetId="20">'300 &amp; 317'!$J$349:$J$357</definedName>
    <definedName name="OSRRefJ21_20x_0" localSheetId="61">'301'!$J$92:$J$98</definedName>
    <definedName name="OSRRefJ21_20x_0" localSheetId="23">'310'!$J$115:$J$116</definedName>
    <definedName name="OSRRefJ21_20x_0" localSheetId="38">'310 &amp; 491'!$J$123:$J$124</definedName>
    <definedName name="OSRRefJ21_20x_0" localSheetId="79">'326'!$J$188:$J$190</definedName>
    <definedName name="OSRRefJ21_20x_0" localSheetId="32">'331'!$J$203</definedName>
    <definedName name="OSRRefJ21_20x_0" localSheetId="84">'411'!$J$97</definedName>
    <definedName name="OSRRefJ21_20x_0" localSheetId="95">'433'!$J$100</definedName>
    <definedName name="OSRRefJ21_20x_0" localSheetId="97">'444'!$J$101</definedName>
    <definedName name="OSRRefJ21_20x_0" localSheetId="41">'491'!$J$109:$J$110</definedName>
    <definedName name="OSRRefJ21_20x_0" localSheetId="44">'492'!$J$107</definedName>
    <definedName name="OSRRefJ21_20x_0" localSheetId="8">'Div 2'!$J$99</definedName>
    <definedName name="OSRRefJ21_20x_0" localSheetId="11">'Div 3'!$J$326:$J$327</definedName>
    <definedName name="OSRRefJ21_20x_0" localSheetId="14">'Div 4'!$J$111:$J$112</definedName>
    <definedName name="OSRRefJ21_20x_0" localSheetId="2">Summary!$J$360:$J$365</definedName>
    <definedName name="OSRRefJ21_21x_0" localSheetId="17">'300'!$J$331:$J$332</definedName>
    <definedName name="OSRRefJ21_21x_0" localSheetId="20">'300 &amp; 317'!$J$359:$J$360</definedName>
    <definedName name="OSRRefJ21_21x_0" localSheetId="61">'301'!$J$100:$J$101</definedName>
    <definedName name="OSRRefJ21_21x_0" localSheetId="23">'310'!$J$118</definedName>
    <definedName name="OSRRefJ21_21x_0" localSheetId="38">'310 &amp; 491'!$J$126:$J$136</definedName>
    <definedName name="OSRRefJ21_21x_0" localSheetId="79">'326'!$J$192</definedName>
    <definedName name="OSRRefJ21_21x_0" localSheetId="32">'331'!$J$205:$J$207</definedName>
    <definedName name="OSRRefJ21_21x_0" localSheetId="84">'411'!$J$99:$J$101</definedName>
    <definedName name="OSRRefJ21_21x_0" localSheetId="41">'491'!$J$112:$J$122</definedName>
    <definedName name="OSRRefJ21_21x_0" localSheetId="44">'492'!$J$109:$J$111</definedName>
    <definedName name="OSRRefJ21_21x_0" localSheetId="8">'Div 2'!$J$101:$J$102</definedName>
    <definedName name="OSRRefJ21_21x_0" localSheetId="11">'Div 3'!$J$329:$J$338</definedName>
    <definedName name="OSRRefJ21_21x_0" localSheetId="14">'Div 4'!$J$114:$J$124</definedName>
    <definedName name="OSRRefJ21_21x_0" localSheetId="2">Summary!$J$367:$J$368</definedName>
    <definedName name="OSRRefJ21_22x_0" localSheetId="17">'300'!$J$334</definedName>
    <definedName name="OSRRefJ21_22x_0" localSheetId="20">'300 &amp; 317'!$J$362</definedName>
    <definedName name="OSRRefJ21_22x_0" localSheetId="61">'301'!$J$103</definedName>
    <definedName name="OSRRefJ21_22x_0" localSheetId="23">'310'!$J$120:$J$122</definedName>
    <definedName name="OSRRefJ21_22x_0" localSheetId="38">'310 &amp; 491'!$J$138:$J$139</definedName>
    <definedName name="OSRRefJ21_22x_0" localSheetId="32">'331'!$J$209</definedName>
    <definedName name="OSRRefJ21_22x_0" localSheetId="84">'411'!$J$103</definedName>
    <definedName name="OSRRefJ21_22x_0" localSheetId="41">'491'!$J$124:$J$125</definedName>
    <definedName name="OSRRefJ21_22x_0" localSheetId="44">'492'!$J$113</definedName>
    <definedName name="OSRRefJ21_22x_0" localSheetId="11">'Div 3'!$J$340:$J$341</definedName>
    <definedName name="OSRRefJ21_22x_0" localSheetId="14">'Div 4'!$J$126:$J$127</definedName>
    <definedName name="OSRRefJ21_22x_0" localSheetId="2">Summary!$J$370:$J$380</definedName>
    <definedName name="OSRRefJ21_23x_0" localSheetId="17">'300'!$J$336:$J$338</definedName>
    <definedName name="OSRRefJ21_23x_0" localSheetId="20">'300 &amp; 317'!$J$364:$J$366</definedName>
    <definedName name="OSRRefJ21_23x_0" localSheetId="61">'301'!$J$105:$J$107</definedName>
    <definedName name="OSRRefJ21_23x_0" localSheetId="23">'310'!$J$124</definedName>
    <definedName name="OSRRefJ21_23x_0" localSheetId="38">'310 &amp; 491'!$J$141</definedName>
    <definedName name="OSRRefJ21_23x_0" localSheetId="41">'491'!$J$127</definedName>
    <definedName name="OSRRefJ21_23x_0" localSheetId="11">'Div 3'!$J$343</definedName>
    <definedName name="OSRRefJ21_23x_0" localSheetId="14">'Div 4'!$J$129</definedName>
    <definedName name="OSRRefJ21_23x_0" localSheetId="2">Summary!$J$382:$J$383</definedName>
    <definedName name="OSRRefJ21_24x_0" localSheetId="17">'300'!$J$340</definedName>
    <definedName name="OSRRefJ21_24x_0" localSheetId="20">'300 &amp; 317'!$J$368</definedName>
    <definedName name="OSRRefJ21_24x_0" localSheetId="61">'301'!$J$109</definedName>
    <definedName name="OSRRefJ21_24x_0" localSheetId="38">'310 &amp; 491'!$J$143:$J$145</definedName>
    <definedName name="OSRRefJ21_24x_0" localSheetId="41">'491'!$J$129:$J$131</definedName>
    <definedName name="OSRRefJ21_24x_0" localSheetId="11">'Div 3'!$J$345:$J$347</definedName>
    <definedName name="OSRRefJ21_24x_0" localSheetId="14">'Div 4'!$J$131:$J$133</definedName>
    <definedName name="OSRRefJ21_24x_0" localSheetId="2">Summary!$J$385</definedName>
    <definedName name="OSRRefJ21_25x_0" localSheetId="38">'310 &amp; 491'!$J$147</definedName>
    <definedName name="OSRRefJ21_25x_0" localSheetId="41">'491'!$J$133</definedName>
    <definedName name="OSRRefJ21_25x_0" localSheetId="11">'Div 3'!$J$349</definedName>
    <definedName name="OSRRefJ21_25x_0" localSheetId="14">'Div 4'!$J$135</definedName>
    <definedName name="OSRRefJ21_25x_0" localSheetId="2">Summary!$J$387:$J$389</definedName>
    <definedName name="OSRRefJ21_26x_0" localSheetId="2">Summary!$J$391</definedName>
    <definedName name="OSRRefJ21_2x_0" localSheetId="54">'200'!$J$24</definedName>
    <definedName name="OSRRefJ21_2x_0" localSheetId="55">'201'!$J$41</definedName>
    <definedName name="OSRRefJ21_2x_0" localSheetId="56">'202'!$J$41</definedName>
    <definedName name="OSRRefJ21_2x_0" localSheetId="57">'203'!$J$41</definedName>
    <definedName name="OSRRefJ21_2x_0" localSheetId="58">'204'!$J$41</definedName>
    <definedName name="OSRRefJ21_2x_0" localSheetId="59">'205'!$J$40</definedName>
    <definedName name="OSRRefJ21_2x_0" localSheetId="60">'206'!$J$40</definedName>
    <definedName name="OSRRefJ21_2x_0" localSheetId="17">'300'!$J$226</definedName>
    <definedName name="OSRRefJ21_2x_0" localSheetId="20">'300 &amp; 317'!$J$251</definedName>
    <definedName name="OSRRefJ21_2x_0" localSheetId="61">'301'!$J$41</definedName>
    <definedName name="OSRRefJ21_2x_0" localSheetId="62">'306'!$J$41</definedName>
    <definedName name="OSRRefJ21_2x_0" localSheetId="63">'307'!$J$121</definedName>
    <definedName name="OSRRefJ21_2x_0" localSheetId="29">'308'!$J$111</definedName>
    <definedName name="OSRRefJ21_2x_0" localSheetId="64">'309'!$J$46</definedName>
    <definedName name="OSRRefJ21_2x_0" localSheetId="23">'310'!$J$60</definedName>
    <definedName name="OSRRefJ21_2x_0" localSheetId="38">'310 &amp; 491'!$J$71</definedName>
    <definedName name="OSRRefJ21_2x_0" localSheetId="65">'311'!$J$93</definedName>
    <definedName name="OSRRefJ21_2x_0" localSheetId="66">'312'!$J$74</definedName>
    <definedName name="OSRRefJ21_2x_0" localSheetId="67">'313'!$J$56</definedName>
    <definedName name="OSRRefJ21_2x_0" localSheetId="68">'314'!$J$78</definedName>
    <definedName name="OSRRefJ21_2x_0" localSheetId="69">'315'!$J$78</definedName>
    <definedName name="OSRRefJ21_2x_0" localSheetId="70">'316'!$J$61</definedName>
    <definedName name="OSRRefJ21_2x_0" localSheetId="71">'317'!$J$85</definedName>
    <definedName name="OSRRefJ21_2x_0" localSheetId="72">'318'!$J$32</definedName>
    <definedName name="OSRRefJ21_2x_0" localSheetId="73">'320'!$J$52</definedName>
    <definedName name="OSRRefJ21_2x_0" localSheetId="74">'321'!$J$47</definedName>
    <definedName name="OSRRefJ21_2x_0" localSheetId="75">'322'!$J$46</definedName>
    <definedName name="OSRRefJ21_2x_0" localSheetId="76">'323'!$J$33</definedName>
    <definedName name="OSRRefJ21_2x_0" localSheetId="77">'324'!$J$46</definedName>
    <definedName name="OSRRefJ21_2x_0" localSheetId="78">'325'!$J$47</definedName>
    <definedName name="OSRRefJ21_2x_0" localSheetId="79">'326'!$J$115</definedName>
    <definedName name="OSRRefJ21_2x_0" localSheetId="80">'327'!$J$29</definedName>
    <definedName name="OSRRefJ21_2x_0" localSheetId="26">'330'!$J$130</definedName>
    <definedName name="OSRRefJ21_2x_0" localSheetId="32">'331'!$J$126</definedName>
    <definedName name="OSRRefJ21_2x_0" localSheetId="35">'332'!$J$78</definedName>
    <definedName name="OSRRefJ21_2x_0" localSheetId="81">'335'!$J$34</definedName>
    <definedName name="OSRRefJ21_2x_0" localSheetId="82">'405'!$J$49</definedName>
    <definedName name="OSRRefJ21_2x_0" localSheetId="83">'406'!$J$39</definedName>
    <definedName name="OSRRefJ21_2x_0" localSheetId="84">'411'!$J$41</definedName>
    <definedName name="OSRRefJ21_2x_0" localSheetId="85">'412'!$J$49</definedName>
    <definedName name="OSRRefJ21_2x_0" localSheetId="86">'413'!$J$48</definedName>
    <definedName name="OSRRefJ21_2x_0" localSheetId="87">'414'!$J$47</definedName>
    <definedName name="OSRRefJ21_2x_0" localSheetId="88">'415'!$J$48</definedName>
    <definedName name="OSRRefJ21_2x_0" localSheetId="89">'418'!$J$47</definedName>
    <definedName name="OSRRefJ21_2x_0" localSheetId="90">'420'!$J$37</definedName>
    <definedName name="OSRRefJ21_2x_0" localSheetId="91">'423'!$J$41</definedName>
    <definedName name="OSRRefJ21_2x_0" localSheetId="92">'424'!$J$40</definedName>
    <definedName name="OSRRefJ21_2x_0" localSheetId="93">'425'!$J$43</definedName>
    <definedName name="OSRRefJ21_2x_0" localSheetId="94">'430'!$J$40</definedName>
    <definedName name="OSRRefJ21_2x_0" localSheetId="95">'433'!$J$50</definedName>
    <definedName name="OSRRefJ21_2x_0" localSheetId="96">'435'!$J$33</definedName>
    <definedName name="OSRRefJ21_2x_0" localSheetId="97">'444'!$J$48</definedName>
    <definedName name="OSRRefJ21_2x_0" localSheetId="98">'445'!$J$32</definedName>
    <definedName name="OSRRefJ21_2x_0" localSheetId="99">'450'!$J$48</definedName>
    <definedName name="OSRRefJ21_2x_0" localSheetId="100">'455'!$J$31</definedName>
    <definedName name="OSRRefJ21_2x_0" localSheetId="41">'491'!$J$59</definedName>
    <definedName name="OSRRefJ21_2x_0" localSheetId="44">'492'!$J$52</definedName>
    <definedName name="OSRRefJ21_2x_0" localSheetId="101">'501'!$J$42</definedName>
    <definedName name="OSRRefJ21_2x_0" localSheetId="8">'Div 2'!$J$43</definedName>
    <definedName name="OSRRefJ21_2x_0" localSheetId="11">'Div 3'!$J$231</definedName>
    <definedName name="OSRRefJ21_2x_0" localSheetId="14">'Div 4'!$J$60</definedName>
    <definedName name="OSRRefJ21_2x_0" localSheetId="47">'Div 5'!$J$42</definedName>
    <definedName name="OSRRefJ21_2x_0" localSheetId="50">'Div 6'!$J$85</definedName>
    <definedName name="OSRRefJ21_2x_0" localSheetId="2">Summary!$J$267</definedName>
    <definedName name="OSRRefJ21_3x_0" localSheetId="54">'200'!$J$26</definedName>
    <definedName name="OSRRefJ21_3x_0" localSheetId="55">'201'!$J$43</definedName>
    <definedName name="OSRRefJ21_3x_0" localSheetId="56">'202'!$J$43</definedName>
    <definedName name="OSRRefJ21_3x_0" localSheetId="57">'203'!$J$43</definedName>
    <definedName name="OSRRefJ21_3x_0" localSheetId="58">'204'!$J$43:$J$44</definedName>
    <definedName name="OSRRefJ21_3x_0" localSheetId="59">'205'!$J$42</definedName>
    <definedName name="OSRRefJ21_3x_0" localSheetId="60">'206'!$J$42</definedName>
    <definedName name="OSRRefJ21_3x_0" localSheetId="17">'300'!$J$228:$J$230</definedName>
    <definedName name="OSRRefJ21_3x_0" localSheetId="20">'300 &amp; 317'!$J$253:$J$255</definedName>
    <definedName name="OSRRefJ21_3x_0" localSheetId="61">'301'!$J$43:$J$45</definedName>
    <definedName name="OSRRefJ21_3x_0" localSheetId="62">'306'!$J$43</definedName>
    <definedName name="OSRRefJ21_3x_0" localSheetId="63">'307'!$J$123</definedName>
    <definedName name="OSRRefJ21_3x_0" localSheetId="29">'308'!$J$113:$J$114</definedName>
    <definedName name="OSRRefJ21_3x_0" localSheetId="64">'309'!$J$48</definedName>
    <definedName name="OSRRefJ21_3x_0" localSheetId="23">'310'!$J$62</definedName>
    <definedName name="OSRRefJ21_3x_0" localSheetId="38">'310 &amp; 491'!$J$73:$J$74</definedName>
    <definedName name="OSRRefJ21_3x_0" localSheetId="65">'311'!$J$95:$J$96</definedName>
    <definedName name="OSRRefJ21_3x_0" localSheetId="66">'312'!$J$76</definedName>
    <definedName name="OSRRefJ21_3x_0" localSheetId="67">'313'!$J$58</definedName>
    <definedName name="OSRRefJ21_3x_0" localSheetId="68">'314'!$J$80:$J$81</definedName>
    <definedName name="OSRRefJ21_3x_0" localSheetId="69">'315'!$J$80</definedName>
    <definedName name="OSRRefJ21_3x_0" localSheetId="70">'316'!$J$63</definedName>
    <definedName name="OSRRefJ21_3x_0" localSheetId="71">'317'!$J$87</definedName>
    <definedName name="OSRRefJ21_3x_0" localSheetId="72">'318'!$J$34</definedName>
    <definedName name="OSRRefJ21_3x_0" localSheetId="73">'320'!$J$54</definedName>
    <definedName name="OSRRefJ21_3x_0" localSheetId="74">'321'!$J$49</definedName>
    <definedName name="OSRRefJ21_3x_0" localSheetId="75">'322'!$J$48</definedName>
    <definedName name="OSRRefJ21_3x_0" localSheetId="76">'323'!$J$35</definedName>
    <definedName name="OSRRefJ21_3x_0" localSheetId="77">'324'!$J$48</definedName>
    <definedName name="OSRRefJ21_3x_0" localSheetId="78">'325'!$J$49</definedName>
    <definedName name="OSRRefJ21_3x_0" localSheetId="79">'326'!$J$117</definedName>
    <definedName name="OSRRefJ21_3x_0" localSheetId="26">'330'!$J$132</definedName>
    <definedName name="OSRRefJ21_3x_0" localSheetId="32">'331'!$J$128</definedName>
    <definedName name="OSRRefJ21_3x_0" localSheetId="35">'332'!$J$80</definedName>
    <definedName name="OSRRefJ21_3x_0" localSheetId="81">'335'!$J$36</definedName>
    <definedName name="OSRRefJ21_3x_0" localSheetId="82">'405'!$J$51</definedName>
    <definedName name="OSRRefJ21_3x_0" localSheetId="83">'406'!$J$41</definedName>
    <definedName name="OSRRefJ21_3x_0" localSheetId="84">'411'!$J$43</definedName>
    <definedName name="OSRRefJ21_3x_0" localSheetId="85">'412'!$J$51</definedName>
    <definedName name="OSRRefJ21_3x_0" localSheetId="86">'413'!$J$50</definedName>
    <definedName name="OSRRefJ21_3x_0" localSheetId="87">'414'!$J$49</definedName>
    <definedName name="OSRRefJ21_3x_0" localSheetId="88">'415'!$J$50</definedName>
    <definedName name="OSRRefJ21_3x_0" localSheetId="89">'418'!$J$49</definedName>
    <definedName name="OSRRefJ21_3x_0" localSheetId="90">'420'!$J$39</definedName>
    <definedName name="OSRRefJ21_3x_0" localSheetId="91">'423'!$J$43</definedName>
    <definedName name="OSRRefJ21_3x_0" localSheetId="92">'424'!$J$42</definedName>
    <definedName name="OSRRefJ21_3x_0" localSheetId="93">'425'!$J$45:$J$46</definedName>
    <definedName name="OSRRefJ21_3x_0" localSheetId="94">'430'!$J$42</definedName>
    <definedName name="OSRRefJ21_3x_0" localSheetId="95">'433'!$J$52</definedName>
    <definedName name="OSRRefJ21_3x_0" localSheetId="96">'435'!$J$35</definedName>
    <definedName name="OSRRefJ21_3x_0" localSheetId="97">'444'!$J$50</definedName>
    <definedName name="OSRRefJ21_3x_0" localSheetId="98">'445'!$J$34</definedName>
    <definedName name="OSRRefJ21_3x_0" localSheetId="99">'450'!$J$50</definedName>
    <definedName name="OSRRefJ21_3x_0" localSheetId="100">'455'!$J$33</definedName>
    <definedName name="OSRRefJ21_3x_0" localSheetId="41">'491'!$J$61:$J$62</definedName>
    <definedName name="OSRRefJ21_3x_0" localSheetId="44">'492'!$J$54</definedName>
    <definedName name="OSRRefJ21_3x_0" localSheetId="101">'501'!$J$44</definedName>
    <definedName name="OSRRefJ21_3x_0" localSheetId="8">'Div 2'!$J$45</definedName>
    <definedName name="OSRRefJ21_3x_0" localSheetId="11">'Div 3'!$J$233:$J$235</definedName>
    <definedName name="OSRRefJ21_3x_0" localSheetId="14">'Div 4'!$J$62:$J$63</definedName>
    <definedName name="OSRRefJ21_3x_0" localSheetId="47">'Div 5'!$J$44</definedName>
    <definedName name="OSRRefJ21_3x_0" localSheetId="50">'Div 6'!$J$87</definedName>
    <definedName name="OSRRefJ21_3x_0" localSheetId="2">Summary!$J$269:$J$271</definedName>
    <definedName name="OSRRefJ21_4x_0" localSheetId="54">'200'!$J$28</definedName>
    <definedName name="OSRRefJ21_4x_0" localSheetId="55">'201'!$J$45</definedName>
    <definedName name="OSRRefJ21_4x_0" localSheetId="56">'202'!$J$45</definedName>
    <definedName name="OSRRefJ21_4x_0" localSheetId="57">'203'!$J$45</definedName>
    <definedName name="OSRRefJ21_4x_0" localSheetId="58">'204'!$J$46</definedName>
    <definedName name="OSRRefJ21_4x_0" localSheetId="59">'205'!$J$44:$J$46</definedName>
    <definedName name="OSRRefJ21_4x_0" localSheetId="60">'206'!$J$44</definedName>
    <definedName name="OSRRefJ21_4x_0" localSheetId="17">'300'!$J$232</definedName>
    <definedName name="OSRRefJ21_4x_0" localSheetId="20">'300 &amp; 317'!$J$257</definedName>
    <definedName name="OSRRefJ21_4x_0" localSheetId="61">'301'!$J$47</definedName>
    <definedName name="OSRRefJ21_4x_0" localSheetId="62">'306'!$J$45</definedName>
    <definedName name="OSRRefJ21_4x_0" localSheetId="63">'307'!$J$125</definedName>
    <definedName name="OSRRefJ21_4x_0" localSheetId="29">'308'!$J$116</definedName>
    <definedName name="OSRRefJ21_4x_0" localSheetId="64">'309'!$J$50</definedName>
    <definedName name="OSRRefJ21_4x_0" localSheetId="23">'310'!$J$64</definedName>
    <definedName name="OSRRefJ21_4x_0" localSheetId="38">'310 &amp; 491'!$J$76</definedName>
    <definedName name="OSRRefJ21_4x_0" localSheetId="65">'311'!$J$98</definedName>
    <definedName name="OSRRefJ21_4x_0" localSheetId="66">'312'!$J$78:$J$79</definedName>
    <definedName name="OSRRefJ21_4x_0" localSheetId="67">'313'!$J$60</definedName>
    <definedName name="OSRRefJ21_4x_0" localSheetId="68">'314'!$J$83</definedName>
    <definedName name="OSRRefJ21_4x_0" localSheetId="69">'315'!$J$82</definedName>
    <definedName name="OSRRefJ21_4x_0" localSheetId="70">'316'!$J$65</definedName>
    <definedName name="OSRRefJ21_4x_0" localSheetId="71">'317'!$J$89:$J$90</definedName>
    <definedName name="OSRRefJ21_4x_0" localSheetId="72">'318'!$J$36</definedName>
    <definedName name="OSRRefJ21_4x_0" localSheetId="73">'320'!$J$56</definedName>
    <definedName name="OSRRefJ21_4x_0" localSheetId="74">'321'!$J$51</definedName>
    <definedName name="OSRRefJ21_4x_0" localSheetId="75">'322'!$J$50</definedName>
    <definedName name="OSRRefJ21_4x_0" localSheetId="76">'323'!$J$37</definedName>
    <definedName name="OSRRefJ21_4x_0" localSheetId="78">'325'!$J$51</definedName>
    <definedName name="OSRRefJ21_4x_0" localSheetId="79">'326'!$J$119</definedName>
    <definedName name="OSRRefJ21_4x_0" localSheetId="26">'330'!$J$134</definedName>
    <definedName name="OSRRefJ21_4x_0" localSheetId="32">'331'!$J$130</definedName>
    <definedName name="OSRRefJ21_4x_0" localSheetId="35">'332'!$J$82</definedName>
    <definedName name="OSRRefJ21_4x_0" localSheetId="81">'335'!$J$38</definedName>
    <definedName name="OSRRefJ21_4x_0" localSheetId="82">'405'!$J$53</definedName>
    <definedName name="OSRRefJ21_4x_0" localSheetId="83">'406'!$J$43</definedName>
    <definedName name="OSRRefJ21_4x_0" localSheetId="84">'411'!$J$45</definedName>
    <definedName name="OSRRefJ21_4x_0" localSheetId="85">'412'!$J$53</definedName>
    <definedName name="OSRRefJ21_4x_0" localSheetId="86">'413'!$J$52</definedName>
    <definedName name="OSRRefJ21_4x_0" localSheetId="87">'414'!$J$51</definedName>
    <definedName name="OSRRefJ21_4x_0" localSheetId="88">'415'!$J$52</definedName>
    <definedName name="OSRRefJ21_4x_0" localSheetId="89">'418'!$J$51</definedName>
    <definedName name="OSRRefJ21_4x_0" localSheetId="90">'420'!$J$41</definedName>
    <definedName name="OSRRefJ21_4x_0" localSheetId="91">'423'!$J$45</definedName>
    <definedName name="OSRRefJ21_4x_0" localSheetId="92">'424'!$J$44</definedName>
    <definedName name="OSRRefJ21_4x_0" localSheetId="93">'425'!$J$48</definedName>
    <definedName name="OSRRefJ21_4x_0" localSheetId="94">'430'!$J$44</definedName>
    <definedName name="OSRRefJ21_4x_0" localSheetId="95">'433'!$J$54</definedName>
    <definedName name="OSRRefJ21_4x_0" localSheetId="96">'435'!$J$37</definedName>
    <definedName name="OSRRefJ21_4x_0" localSheetId="97">'444'!$J$52</definedName>
    <definedName name="OSRRefJ21_4x_0" localSheetId="98">'445'!$J$36</definedName>
    <definedName name="OSRRefJ21_4x_0" localSheetId="99">'450'!$J$52</definedName>
    <definedName name="OSRRefJ21_4x_0" localSheetId="41">'491'!$J$64</definedName>
    <definedName name="OSRRefJ21_4x_0" localSheetId="44">'492'!$J$56</definedName>
    <definedName name="OSRRefJ21_4x_0" localSheetId="101">'501'!$J$46</definedName>
    <definedName name="OSRRefJ21_4x_0" localSheetId="8">'Div 2'!$J$47</definedName>
    <definedName name="OSRRefJ21_4x_0" localSheetId="11">'Div 3'!$J$237</definedName>
    <definedName name="OSRRefJ21_4x_0" localSheetId="14">'Div 4'!$J$65</definedName>
    <definedName name="OSRRefJ21_4x_0" localSheetId="47">'Div 5'!$J$46</definedName>
    <definedName name="OSRRefJ21_4x_0" localSheetId="50">'Div 6'!$J$89:$J$90</definedName>
    <definedName name="OSRRefJ21_4x_0" localSheetId="2">Summary!$J$273</definedName>
    <definedName name="OSRRefJ21_5x_0" localSheetId="54">'200'!$J$30:$J$31</definedName>
    <definedName name="OSRRefJ21_5x_0" localSheetId="55">'201'!$J$47</definedName>
    <definedName name="OSRRefJ21_5x_0" localSheetId="56">'202'!$J$47</definedName>
    <definedName name="OSRRefJ21_5x_0" localSheetId="57">'203'!$J$47</definedName>
    <definedName name="OSRRefJ21_5x_0" localSheetId="58">'204'!$J$48:$J$49</definedName>
    <definedName name="OSRRefJ21_5x_0" localSheetId="59">'205'!$J$48</definedName>
    <definedName name="OSRRefJ21_5x_0" localSheetId="60">'206'!$J$46</definedName>
    <definedName name="OSRRefJ21_5x_0" localSheetId="17">'300'!$J$234:$J$237</definedName>
    <definedName name="OSRRefJ21_5x_0" localSheetId="20">'300 &amp; 317'!$J$259:$J$262</definedName>
    <definedName name="OSRRefJ21_5x_0" localSheetId="61">'301'!$J$49:$J$52</definedName>
    <definedName name="OSRRefJ21_5x_0" localSheetId="62">'306'!$J$47:$J$48</definedName>
    <definedName name="OSRRefJ21_5x_0" localSheetId="63">'307'!$J$127:$J$128</definedName>
    <definedName name="OSRRefJ21_5x_0" localSheetId="29">'308'!$J$118</definedName>
    <definedName name="OSRRefJ21_5x_0" localSheetId="64">'309'!$J$52</definedName>
    <definedName name="OSRRefJ21_5x_0" localSheetId="23">'310'!$J$66:$J$67</definedName>
    <definedName name="OSRRefJ21_5x_0" localSheetId="38">'310 &amp; 491'!$J$78:$J$81</definedName>
    <definedName name="OSRRefJ21_5x_0" localSheetId="65">'311'!$J$100</definedName>
    <definedName name="OSRRefJ21_5x_0" localSheetId="66">'312'!$J$81:$J$89</definedName>
    <definedName name="OSRRefJ21_5x_0" localSheetId="67">'313'!$J$62</definedName>
    <definedName name="OSRRefJ21_5x_0" localSheetId="68">'314'!$J$85:$J$86</definedName>
    <definedName name="OSRRefJ21_5x_0" localSheetId="69">'315'!$J$84:$J$85</definedName>
    <definedName name="OSRRefJ21_5x_0" localSheetId="70">'316'!$J$67</definedName>
    <definedName name="OSRRefJ21_5x_0" localSheetId="71">'317'!$J$92</definedName>
    <definedName name="OSRRefJ21_5x_0" localSheetId="72">'318'!$J$38</definedName>
    <definedName name="OSRRefJ21_5x_0" localSheetId="73">'320'!$J$58:$J$59</definedName>
    <definedName name="OSRRefJ21_5x_0" localSheetId="74">'321'!$J$53</definedName>
    <definedName name="OSRRefJ21_5x_0" localSheetId="75">'322'!$J$52</definedName>
    <definedName name="OSRRefJ21_5x_0" localSheetId="76">'323'!$J$39</definedName>
    <definedName name="OSRRefJ21_5x_0" localSheetId="78">'325'!$J$53:$J$54</definedName>
    <definedName name="OSRRefJ21_5x_0" localSheetId="79">'326'!$J$121:$J$122</definedName>
    <definedName name="OSRRefJ21_5x_0" localSheetId="26">'330'!$J$136:$J$137</definedName>
    <definedName name="OSRRefJ21_5x_0" localSheetId="32">'331'!$J$132:$J$133</definedName>
    <definedName name="OSRRefJ21_5x_0" localSheetId="35">'332'!$J$84</definedName>
    <definedName name="OSRRefJ21_5x_0" localSheetId="81">'335'!$J$40:$J$41</definedName>
    <definedName name="OSRRefJ21_5x_0" localSheetId="82">'405'!$J$55:$J$56</definedName>
    <definedName name="OSRRefJ21_5x_0" localSheetId="83">'406'!$J$45</definedName>
    <definedName name="OSRRefJ21_5x_0" localSheetId="84">'411'!$J$47:$J$50</definedName>
    <definedName name="OSRRefJ21_5x_0" localSheetId="85">'412'!$J$55:$J$56</definedName>
    <definedName name="OSRRefJ21_5x_0" localSheetId="86">'413'!$J$54</definedName>
    <definedName name="OSRRefJ21_5x_0" localSheetId="87">'414'!$J$53</definedName>
    <definedName name="OSRRefJ21_5x_0" localSheetId="88">'415'!$J$54:$J$55</definedName>
    <definedName name="OSRRefJ21_5x_0" localSheetId="89">'418'!$J$53:$J$54</definedName>
    <definedName name="OSRRefJ21_5x_0" localSheetId="90">'420'!$J$43</definedName>
    <definedName name="OSRRefJ21_5x_0" localSheetId="91">'423'!$J$47</definedName>
    <definedName name="OSRRefJ21_5x_0" localSheetId="92">'424'!$J$46</definedName>
    <definedName name="OSRRefJ21_5x_0" localSheetId="93">'425'!$J$50:$J$51</definedName>
    <definedName name="OSRRefJ21_5x_0" localSheetId="94">'430'!$J$46</definedName>
    <definedName name="OSRRefJ21_5x_0" localSheetId="95">'433'!$J$56</definedName>
    <definedName name="OSRRefJ21_5x_0" localSheetId="96">'435'!$J$39</definedName>
    <definedName name="OSRRefJ21_5x_0" localSheetId="97">'444'!$J$54</definedName>
    <definedName name="OSRRefJ21_5x_0" localSheetId="98">'445'!$J$38</definedName>
    <definedName name="OSRRefJ21_5x_0" localSheetId="99">'450'!$J$54:$J$55</definedName>
    <definedName name="OSRRefJ21_5x_0" localSheetId="41">'491'!$J$66:$J$69</definedName>
    <definedName name="OSRRefJ21_5x_0" localSheetId="44">'492'!$J$58:$J$59</definedName>
    <definedName name="OSRRefJ21_5x_0" localSheetId="101">'501'!$J$48</definedName>
    <definedName name="OSRRefJ21_5x_0" localSheetId="8">'Div 2'!$J$49</definedName>
    <definedName name="OSRRefJ21_5x_0" localSheetId="11">'Div 3'!$J$239:$J$242</definedName>
    <definedName name="OSRRefJ21_5x_0" localSheetId="14">'Div 4'!$J$67:$J$70</definedName>
    <definedName name="OSRRefJ21_5x_0" localSheetId="47">'Div 5'!$J$48</definedName>
    <definedName name="OSRRefJ21_5x_0" localSheetId="50">'Div 6'!$J$92</definedName>
    <definedName name="OSRRefJ21_5x_0" localSheetId="2">Summary!$J$275:$J$278</definedName>
    <definedName name="OSRRefJ21_6x_0" localSheetId="55">'201'!$J$49:$J$50</definedName>
    <definedName name="OSRRefJ21_6x_0" localSheetId="56">'202'!$J$49:$J$50</definedName>
    <definedName name="OSRRefJ21_6x_0" localSheetId="57">'203'!$J$49</definedName>
    <definedName name="OSRRefJ21_6x_0" localSheetId="58">'204'!$J$51</definedName>
    <definedName name="OSRRefJ21_6x_0" localSheetId="59">'205'!$J$50:$J$53</definedName>
    <definedName name="OSRRefJ21_6x_0" localSheetId="60">'206'!$J$48</definedName>
    <definedName name="OSRRefJ21_6x_0" localSheetId="17">'300'!$J$239:$J$240</definedName>
    <definedName name="OSRRefJ21_6x_0" localSheetId="20">'300 &amp; 317'!$J$264:$J$265</definedName>
    <definedName name="OSRRefJ21_6x_0" localSheetId="61">'301'!$J$54:$J$55</definedName>
    <definedName name="OSRRefJ21_6x_0" localSheetId="62">'306'!$J$50</definedName>
    <definedName name="OSRRefJ21_6x_0" localSheetId="63">'307'!$J$130</definedName>
    <definedName name="OSRRefJ21_6x_0" localSheetId="29">'308'!$J$120:$J$121</definedName>
    <definedName name="OSRRefJ21_6x_0" localSheetId="64">'309'!$J$54</definedName>
    <definedName name="OSRRefJ21_6x_0" localSheetId="23">'310'!$J$69</definedName>
    <definedName name="OSRRefJ21_6x_0" localSheetId="38">'310 &amp; 491'!$J$83:$J$84</definedName>
    <definedName name="OSRRefJ21_6x_0" localSheetId="65">'311'!$J$102:$J$103</definedName>
    <definedName name="OSRRefJ21_6x_0" localSheetId="66">'312'!$J$91:$J$92</definedName>
    <definedName name="OSRRefJ21_6x_0" localSheetId="67">'313'!$J$64</definedName>
    <definedName name="OSRRefJ21_6x_0" localSheetId="68">'314'!$J$88:$J$97</definedName>
    <definedName name="OSRRefJ21_6x_0" localSheetId="69">'315'!$J$87</definedName>
    <definedName name="OSRRefJ21_6x_0" localSheetId="70">'316'!$J$69</definedName>
    <definedName name="OSRRefJ21_6x_0" localSheetId="71">'317'!$J$94</definedName>
    <definedName name="OSRRefJ21_6x_0" localSheetId="72">'318'!$J$40</definedName>
    <definedName name="OSRRefJ21_6x_0" localSheetId="73">'320'!$J$61</definedName>
    <definedName name="OSRRefJ21_6x_0" localSheetId="74">'321'!$J$55</definedName>
    <definedName name="OSRRefJ21_6x_0" localSheetId="75">'322'!$J$54</definedName>
    <definedName name="OSRRefJ21_6x_0" localSheetId="76">'323'!$J$41</definedName>
    <definedName name="OSRRefJ21_6x_0" localSheetId="78">'325'!$J$56</definedName>
    <definedName name="OSRRefJ21_6x_0" localSheetId="79">'326'!$J$124:$J$125</definedName>
    <definedName name="OSRRefJ21_6x_0" localSheetId="26">'330'!$J$139</definedName>
    <definedName name="OSRRefJ21_6x_0" localSheetId="32">'331'!$J$135:$J$136</definedName>
    <definedName name="OSRRefJ21_6x_0" localSheetId="35">'332'!$J$86</definedName>
    <definedName name="OSRRefJ21_6x_0" localSheetId="81">'335'!$J$43:$J$45</definedName>
    <definedName name="OSRRefJ21_6x_0" localSheetId="82">'405'!$J$58</definedName>
    <definedName name="OSRRefJ21_6x_0" localSheetId="83">'406'!$J$47</definedName>
    <definedName name="OSRRefJ21_6x_0" localSheetId="84">'411'!$J$52</definedName>
    <definedName name="OSRRefJ21_6x_0" localSheetId="85">'412'!$J$58</definedName>
    <definedName name="OSRRefJ21_6x_0" localSheetId="86">'413'!$J$56</definedName>
    <definedName name="OSRRefJ21_6x_0" localSheetId="87">'414'!$J$55</definedName>
    <definedName name="OSRRefJ21_6x_0" localSheetId="88">'415'!$J$57</definedName>
    <definedName name="OSRRefJ21_6x_0" localSheetId="89">'418'!$J$56</definedName>
    <definedName name="OSRRefJ21_6x_0" localSheetId="90">'420'!$J$45</definedName>
    <definedName name="OSRRefJ21_6x_0" localSheetId="91">'423'!$J$49</definedName>
    <definedName name="OSRRefJ21_6x_0" localSheetId="92">'424'!$J$48</definedName>
    <definedName name="OSRRefJ21_6x_0" localSheetId="93">'425'!$J$53</definedName>
    <definedName name="OSRRefJ21_6x_0" localSheetId="94">'430'!$J$48</definedName>
    <definedName name="OSRRefJ21_6x_0" localSheetId="95">'433'!$J$58</definedName>
    <definedName name="OSRRefJ21_6x_0" localSheetId="96">'435'!$J$41</definedName>
    <definedName name="OSRRefJ21_6x_0" localSheetId="97">'444'!$J$56</definedName>
    <definedName name="OSRRefJ21_6x_0" localSheetId="98">'445'!$J$40</definedName>
    <definedName name="OSRRefJ21_6x_0" localSheetId="99">'450'!$J$57</definedName>
    <definedName name="OSRRefJ21_6x_0" localSheetId="41">'491'!$J$71:$J$72</definedName>
    <definedName name="OSRRefJ21_6x_0" localSheetId="44">'492'!$J$61</definedName>
    <definedName name="OSRRefJ21_6x_0" localSheetId="101">'501'!$J$50:$J$51</definedName>
    <definedName name="OSRRefJ21_6x_0" localSheetId="8">'Div 2'!$J$51:$J$52</definedName>
    <definedName name="OSRRefJ21_6x_0" localSheetId="11">'Div 3'!$J$244:$J$245</definedName>
    <definedName name="OSRRefJ21_6x_0" localSheetId="14">'Div 4'!$J$72:$J$73</definedName>
    <definedName name="OSRRefJ21_6x_0" localSheetId="47">'Div 5'!$J$50:$J$51</definedName>
    <definedName name="OSRRefJ21_6x_0" localSheetId="50">'Div 6'!$J$94</definedName>
    <definedName name="OSRRefJ21_6x_0" localSheetId="2">Summary!$J$280:$J$281</definedName>
    <definedName name="OSRRefJ21_7x_0" localSheetId="55">'201'!$J$52</definedName>
    <definedName name="OSRRefJ21_7x_0" localSheetId="56">'202'!$J$52</definedName>
    <definedName name="OSRRefJ21_7x_0" localSheetId="57">'203'!$J$51</definedName>
    <definedName name="OSRRefJ21_7x_0" localSheetId="58">'204'!$J$53</definedName>
    <definedName name="OSRRefJ21_7x_0" localSheetId="59">'205'!$J$55</definedName>
    <definedName name="OSRRefJ21_7x_0" localSheetId="60">'206'!$J$50:$J$52</definedName>
    <definedName name="OSRRefJ21_7x_0" localSheetId="17">'300'!$J$242:$J$243</definedName>
    <definedName name="OSRRefJ21_7x_0" localSheetId="20">'300 &amp; 317'!$J$267:$J$268</definedName>
    <definedName name="OSRRefJ21_7x_0" localSheetId="61">'301'!$J$57</definedName>
    <definedName name="OSRRefJ21_7x_0" localSheetId="62">'306'!$J$52:$J$53</definedName>
    <definedName name="OSRRefJ21_7x_0" localSheetId="63">'307'!$J$132:$J$133</definedName>
    <definedName name="OSRRefJ21_7x_0" localSheetId="29">'308'!$J$123:$J$124</definedName>
    <definedName name="OSRRefJ21_7x_0" localSheetId="64">'309'!$J$56</definedName>
    <definedName name="OSRRefJ21_7x_0" localSheetId="23">'310'!$J$71</definedName>
    <definedName name="OSRRefJ21_7x_0" localSheetId="38">'310 &amp; 491'!$J$86</definedName>
    <definedName name="OSRRefJ21_7x_0" localSheetId="65">'311'!$J$105:$J$106</definedName>
    <definedName name="OSRRefJ21_7x_0" localSheetId="66">'312'!$J$94</definedName>
    <definedName name="OSRRefJ21_7x_0" localSheetId="67">'313'!$J$66:$J$67</definedName>
    <definedName name="OSRRefJ21_7x_0" localSheetId="68">'314'!$J$99</definedName>
    <definedName name="OSRRefJ21_7x_0" localSheetId="69">'315'!$J$89:$J$90</definedName>
    <definedName name="OSRRefJ21_7x_0" localSheetId="70">'316'!$J$71:$J$72</definedName>
    <definedName name="OSRRefJ21_7x_0" localSheetId="71">'317'!$J$96:$J$97</definedName>
    <definedName name="OSRRefJ21_7x_0" localSheetId="72">'318'!$J$42</definedName>
    <definedName name="OSRRefJ21_7x_0" localSheetId="73">'320'!$J$63:$J$66</definedName>
    <definedName name="OSRRefJ21_7x_0" localSheetId="74">'321'!$J$57:$J$58</definedName>
    <definedName name="OSRRefJ21_7x_0" localSheetId="75">'322'!$J$56</definedName>
    <definedName name="OSRRefJ21_7x_0" localSheetId="76">'323'!$J$43:$J$45</definedName>
    <definedName name="OSRRefJ21_7x_0" localSheetId="78">'325'!$J$58</definedName>
    <definedName name="OSRRefJ21_7x_0" localSheetId="79">'326'!$J$127</definedName>
    <definedName name="OSRRefJ21_7x_0" localSheetId="26">'330'!$J$141:$J$142</definedName>
    <definedName name="OSRRefJ21_7x_0" localSheetId="32">'331'!$J$138</definedName>
    <definedName name="OSRRefJ21_7x_0" localSheetId="35">'332'!$J$88:$J$89</definedName>
    <definedName name="OSRRefJ21_7x_0" localSheetId="81">'335'!$J$47</definedName>
    <definedName name="OSRRefJ21_7x_0" localSheetId="82">'405'!$J$60</definedName>
    <definedName name="OSRRefJ21_7x_0" localSheetId="83">'406'!$J$49</definedName>
    <definedName name="OSRRefJ21_7x_0" localSheetId="84">'411'!$J$54</definedName>
    <definedName name="OSRRefJ21_7x_0" localSheetId="85">'412'!$J$60</definedName>
    <definedName name="OSRRefJ21_7x_0" localSheetId="86">'413'!$J$58</definedName>
    <definedName name="OSRRefJ21_7x_0" localSheetId="87">'414'!$J$57</definedName>
    <definedName name="OSRRefJ21_7x_0" localSheetId="88">'415'!$J$59</definedName>
    <definedName name="OSRRefJ21_7x_0" localSheetId="89">'418'!$J$58</definedName>
    <definedName name="OSRRefJ21_7x_0" localSheetId="90">'420'!$J$47:$J$48</definedName>
    <definedName name="OSRRefJ21_7x_0" localSheetId="91">'423'!$J$51:$J$53</definedName>
    <definedName name="OSRRefJ21_7x_0" localSheetId="92">'424'!$J$50</definedName>
    <definedName name="OSRRefJ21_7x_0" localSheetId="93">'425'!$J$55</definedName>
    <definedName name="OSRRefJ21_7x_0" localSheetId="94">'430'!$J$50</definedName>
    <definedName name="OSRRefJ21_7x_0" localSheetId="95">'433'!$J$60</definedName>
    <definedName name="OSRRefJ21_7x_0" localSheetId="96">'435'!$J$43</definedName>
    <definedName name="OSRRefJ21_7x_0" localSheetId="97">'444'!$J$58</definedName>
    <definedName name="OSRRefJ21_7x_0" localSheetId="98">'445'!$J$42</definedName>
    <definedName name="OSRRefJ21_7x_0" localSheetId="99">'450'!$J$59</definedName>
    <definedName name="OSRRefJ21_7x_0" localSheetId="41">'491'!$J$74</definedName>
    <definedName name="OSRRefJ21_7x_0" localSheetId="44">'492'!$J$63</definedName>
    <definedName name="OSRRefJ21_7x_0" localSheetId="101">'501'!$J$53</definedName>
    <definedName name="OSRRefJ21_7x_0" localSheetId="8">'Div 2'!$J$54:$J$55</definedName>
    <definedName name="OSRRefJ21_7x_0" localSheetId="11">'Div 3'!$J$247:$J$248</definedName>
    <definedName name="OSRRefJ21_7x_0" localSheetId="14">'Div 4'!$J$75</definedName>
    <definedName name="OSRRefJ21_7x_0" localSheetId="47">'Div 5'!$J$53</definedName>
    <definedName name="OSRRefJ21_7x_0" localSheetId="50">'Div 6'!$J$96:$J$97</definedName>
    <definedName name="OSRRefJ21_7x_0" localSheetId="2">Summary!$J$283:$J$284</definedName>
    <definedName name="OSRRefJ21_8x_0" localSheetId="55">'201'!$J$54</definedName>
    <definedName name="OSRRefJ21_8x_0" localSheetId="56">'202'!$J$54</definedName>
    <definedName name="OSRRefJ21_8x_0" localSheetId="57">'203'!$J$53:$J$54</definedName>
    <definedName name="OSRRefJ21_8x_0" localSheetId="58">'204'!$J$55:$J$58</definedName>
    <definedName name="OSRRefJ21_8x_0" localSheetId="59">'205'!$J$57</definedName>
    <definedName name="OSRRefJ21_8x_0" localSheetId="60">'206'!$J$54</definedName>
    <definedName name="OSRRefJ21_8x_0" localSheetId="17">'300'!$J$245</definedName>
    <definedName name="OSRRefJ21_8x_0" localSheetId="20">'300 &amp; 317'!$J$270</definedName>
    <definedName name="OSRRefJ21_8x_0" localSheetId="61">'301'!$J$59</definedName>
    <definedName name="OSRRefJ21_8x_0" localSheetId="62">'306'!$J$55:$J$59</definedName>
    <definedName name="OSRRefJ21_8x_0" localSheetId="63">'307'!$J$135</definedName>
    <definedName name="OSRRefJ21_8x_0" localSheetId="29">'308'!$J$126:$J$138</definedName>
    <definedName name="OSRRefJ21_8x_0" localSheetId="64">'309'!$J$58</definedName>
    <definedName name="OSRRefJ21_8x_0" localSheetId="23">'310'!$J$73</definedName>
    <definedName name="OSRRefJ21_8x_0" localSheetId="38">'310 &amp; 491'!$J$88</definedName>
    <definedName name="OSRRefJ21_8x_0" localSheetId="65">'311'!$J$108:$J$116</definedName>
    <definedName name="OSRRefJ21_8x_0" localSheetId="66">'312'!$J$96</definedName>
    <definedName name="OSRRefJ21_8x_0" localSheetId="67">'313'!$J$69</definedName>
    <definedName name="OSRRefJ21_8x_0" localSheetId="68">'314'!$J$101</definedName>
    <definedName name="OSRRefJ21_8x_0" localSheetId="69">'315'!$J$92</definedName>
    <definedName name="OSRRefJ21_8x_0" localSheetId="70">'316'!$J$74</definedName>
    <definedName name="OSRRefJ21_8x_0" localSheetId="71">'317'!$J$99</definedName>
    <definedName name="OSRRefJ21_8x_0" localSheetId="72">'318'!$J$44</definedName>
    <definedName name="OSRRefJ21_8x_0" localSheetId="73">'320'!$J$68:$J$69</definedName>
    <definedName name="OSRRefJ21_8x_0" localSheetId="74">'321'!$J$60</definedName>
    <definedName name="OSRRefJ21_8x_0" localSheetId="75">'322'!$J$58</definedName>
    <definedName name="OSRRefJ21_8x_0" localSheetId="78">'325'!$J$60</definedName>
    <definedName name="OSRRefJ21_8x_0" localSheetId="79">'326'!$J$129:$J$130</definedName>
    <definedName name="OSRRefJ21_8x_0" localSheetId="26">'330'!$J$144</definedName>
    <definedName name="OSRRefJ21_8x_0" localSheetId="32">'331'!$J$140:$J$141</definedName>
    <definedName name="OSRRefJ21_8x_0" localSheetId="35">'332'!$J$91</definedName>
    <definedName name="OSRRefJ21_8x_0" localSheetId="81">'335'!$J$49</definedName>
    <definedName name="OSRRefJ21_8x_0" localSheetId="82">'405'!$J$62</definedName>
    <definedName name="OSRRefJ21_8x_0" localSheetId="83">'406'!$J$51</definedName>
    <definedName name="OSRRefJ21_8x_0" localSheetId="84">'411'!$J$56</definedName>
    <definedName name="OSRRefJ21_8x_0" localSheetId="85">'412'!$J$62</definedName>
    <definedName name="OSRRefJ21_8x_0" localSheetId="86">'413'!$J$60:$J$63</definedName>
    <definedName name="OSRRefJ21_8x_0" localSheetId="87">'414'!$J$59</definedName>
    <definedName name="OSRRefJ21_8x_0" localSheetId="88">'415'!$J$61</definedName>
    <definedName name="OSRRefJ21_8x_0" localSheetId="89">'418'!$J$60</definedName>
    <definedName name="OSRRefJ21_8x_0" localSheetId="90">'420'!$J$50</definedName>
    <definedName name="OSRRefJ21_8x_0" localSheetId="91">'423'!$J$55</definedName>
    <definedName name="OSRRefJ21_8x_0" localSheetId="92">'424'!$J$52</definedName>
    <definedName name="OSRRefJ21_8x_0" localSheetId="93">'425'!$J$57</definedName>
    <definedName name="OSRRefJ21_8x_0" localSheetId="94">'430'!$J$52:$J$56</definedName>
    <definedName name="OSRRefJ21_8x_0" localSheetId="95">'433'!$J$62</definedName>
    <definedName name="OSRRefJ21_8x_0" localSheetId="96">'435'!$J$45</definedName>
    <definedName name="OSRRefJ21_8x_0" localSheetId="97">'444'!$J$60</definedName>
    <definedName name="OSRRefJ21_8x_0" localSheetId="98">'445'!$J$44:$J$45</definedName>
    <definedName name="OSRRefJ21_8x_0" localSheetId="99">'450'!$J$61</definedName>
    <definedName name="OSRRefJ21_8x_0" localSheetId="41">'491'!$J$76</definedName>
    <definedName name="OSRRefJ21_8x_0" localSheetId="44">'492'!$J$65</definedName>
    <definedName name="OSRRefJ21_8x_0" localSheetId="101">'501'!$J$55</definedName>
    <definedName name="OSRRefJ21_8x_0" localSheetId="8">'Div 2'!$J$57</definedName>
    <definedName name="OSRRefJ21_8x_0" localSheetId="11">'Div 3'!$J$250</definedName>
    <definedName name="OSRRefJ21_8x_0" localSheetId="14">'Div 4'!$J$77</definedName>
    <definedName name="OSRRefJ21_8x_0" localSheetId="47">'Div 5'!$J$55</definedName>
    <definedName name="OSRRefJ21_8x_0" localSheetId="50">'Div 6'!$J$99</definedName>
    <definedName name="OSRRefJ21_8x_0" localSheetId="2">Summary!$J$286</definedName>
    <definedName name="OSRRefJ21_9x_0" localSheetId="55">'201'!$J$56</definedName>
    <definedName name="OSRRefJ21_9x_0" localSheetId="56">'202'!$J$56:$J$57</definedName>
    <definedName name="OSRRefJ21_9x_0" localSheetId="57">'203'!$J$56:$J$58</definedName>
    <definedName name="OSRRefJ21_9x_0" localSheetId="58">'204'!$J$60:$J$61</definedName>
    <definedName name="OSRRefJ21_9x_0" localSheetId="60">'206'!$J$56:$J$57</definedName>
    <definedName name="OSRRefJ21_9x_0" localSheetId="17">'300'!$J$247</definedName>
    <definedName name="OSRRefJ21_9x_0" localSheetId="20">'300 &amp; 317'!$J$272</definedName>
    <definedName name="OSRRefJ21_9x_0" localSheetId="61">'301'!$J$61</definedName>
    <definedName name="OSRRefJ21_9x_0" localSheetId="62">'306'!$J$61</definedName>
    <definedName name="OSRRefJ21_9x_0" localSheetId="63">'307'!$J$137:$J$160</definedName>
    <definedName name="OSRRefJ21_9x_0" localSheetId="29">'308'!$J$140</definedName>
    <definedName name="OSRRefJ21_9x_0" localSheetId="64">'309'!$J$60</definedName>
    <definedName name="OSRRefJ21_9x_0" localSheetId="23">'310'!$J$75:$J$76</definedName>
    <definedName name="OSRRefJ21_9x_0" localSheetId="38">'310 &amp; 491'!$J$90</definedName>
    <definedName name="OSRRefJ21_9x_0" localSheetId="65">'311'!$J$118</definedName>
    <definedName name="OSRRefJ21_9x_0" localSheetId="66">'312'!$J$98</definedName>
    <definedName name="OSRRefJ21_9x_0" localSheetId="67">'313'!$J$71</definedName>
    <definedName name="OSRRefJ21_9x_0" localSheetId="68">'314'!$J$103</definedName>
    <definedName name="OSRRefJ21_9x_0" localSheetId="69">'315'!$J$94:$J$100</definedName>
    <definedName name="OSRRefJ21_9x_0" localSheetId="70">'316'!$J$76:$J$78</definedName>
    <definedName name="OSRRefJ21_9x_0" localSheetId="71">'317'!$J$101:$J$108</definedName>
    <definedName name="OSRRefJ21_9x_0" localSheetId="73">'320'!$J$71:$J$73</definedName>
    <definedName name="OSRRefJ21_9x_0" localSheetId="74">'321'!$J$62:$J$64</definedName>
    <definedName name="OSRRefJ21_9x_0" localSheetId="75">'322'!$J$60</definedName>
    <definedName name="OSRRefJ21_9x_0" localSheetId="78">'325'!$J$62</definedName>
    <definedName name="OSRRefJ21_9x_0" localSheetId="79">'326'!$J$132:$J$133</definedName>
    <definedName name="OSRRefJ21_9x_0" localSheetId="26">'330'!$J$146:$J$169</definedName>
    <definedName name="OSRRefJ21_9x_0" localSheetId="32">'331'!$J$143:$J$144</definedName>
    <definedName name="OSRRefJ21_9x_0" localSheetId="35">'332'!$J$93:$J$96</definedName>
    <definedName name="OSRRefJ21_9x_0" localSheetId="81">'335'!$J$51:$J$52</definedName>
    <definedName name="OSRRefJ21_9x_0" localSheetId="82">'405'!$J$64</definedName>
    <definedName name="OSRRefJ21_9x_0" localSheetId="83">'406'!$J$53</definedName>
    <definedName name="OSRRefJ21_9x_0" localSheetId="84">'411'!$J$58</definedName>
    <definedName name="OSRRefJ21_9x_0" localSheetId="85">'412'!$J$64</definedName>
    <definedName name="OSRRefJ21_9x_0" localSheetId="86">'413'!$J$65:$J$67</definedName>
    <definedName name="OSRRefJ21_9x_0" localSheetId="87">'414'!$J$61</definedName>
    <definedName name="OSRRefJ21_9x_0" localSheetId="88">'415'!$J$63</definedName>
    <definedName name="OSRRefJ21_9x_0" localSheetId="89">'418'!$J$62</definedName>
    <definedName name="OSRRefJ21_9x_0" localSheetId="91">'423'!$J$57</definedName>
    <definedName name="OSRRefJ21_9x_0" localSheetId="92">'424'!$J$54:$J$55</definedName>
    <definedName name="OSRRefJ21_9x_0" localSheetId="93">'425'!$J$59:$J$62</definedName>
    <definedName name="OSRRefJ21_9x_0" localSheetId="94">'430'!$J$58:$J$59</definedName>
    <definedName name="OSRRefJ21_9x_0" localSheetId="95">'433'!$J$64</definedName>
    <definedName name="OSRRefJ21_9x_0" localSheetId="96">'435'!$J$47:$J$48</definedName>
    <definedName name="OSRRefJ21_9x_0" localSheetId="97">'444'!$J$62</definedName>
    <definedName name="OSRRefJ21_9x_0" localSheetId="98">'445'!$J$47</definedName>
    <definedName name="OSRRefJ21_9x_0" localSheetId="99">'450'!$J$63</definedName>
    <definedName name="OSRRefJ21_9x_0" localSheetId="41">'491'!$J$78</definedName>
    <definedName name="OSRRefJ21_9x_0" localSheetId="44">'492'!$J$67</definedName>
    <definedName name="OSRRefJ21_9x_0" localSheetId="101">'501'!$J$57</definedName>
    <definedName name="OSRRefJ21_9x_0" localSheetId="8">'Div 2'!$J$59</definedName>
    <definedName name="OSRRefJ21_9x_0" localSheetId="11">'Div 3'!$J$252</definedName>
    <definedName name="OSRRefJ21_9x_0" localSheetId="14">'Div 4'!$J$79</definedName>
    <definedName name="OSRRefJ21_9x_0" localSheetId="47">'Div 5'!$J$57</definedName>
    <definedName name="OSRRefJ21_9x_0" localSheetId="50">'Div 6'!$J$101:$J$108</definedName>
    <definedName name="OSRRefJ21_9x_0" localSheetId="2">Summary!$J$288</definedName>
    <definedName name="OSRRefJ21x_0" localSheetId="54">'200'!$J$19:$J$20,'200'!$J$22,'200'!$J$24,'200'!$J$26,'200'!$J$28,'200'!$J$30:$J$31</definedName>
    <definedName name="OSRRefJ21x_0" localSheetId="55">'201'!$J$20:$J$28,'201'!$J$30:$J$39,'201'!$J$41,'201'!$J$43,'201'!$J$45,'201'!$J$47,'201'!$J$49:$J$50,'201'!$J$52,'201'!$J$54,'201'!$J$56,'201'!$J$58,'201'!$J$60,'201'!$J$62,'201'!$J$64:$J$67,'201'!$J$69:$J$71,'201'!$J$73,'201'!$J$75:$J$78,'201'!$J$80:$J$81,'201'!$J$83,'201'!$J$85:$J$86</definedName>
    <definedName name="OSRRefJ21x_0" localSheetId="56">'202'!$J$20:$J$28,'202'!$J$30:$J$39,'202'!$J$41,'202'!$J$43,'202'!$J$45,'202'!$J$47,'202'!$J$49:$J$50,'202'!$J$52,'202'!$J$54,'202'!$J$56:$J$57,'202'!$J$59:$J$61,'202'!$J$63,'202'!$J$65,'202'!$J$67:$J$69,'202'!$J$71,'202'!$J$73,'202'!$J$75:$J$76</definedName>
    <definedName name="OSRRefJ21x_0" localSheetId="57">'203'!$J$19:$J$28,'203'!$J$30:$J$39,'203'!$J$41,'203'!$J$43,'203'!$J$45,'203'!$J$47,'203'!$J$49,'203'!$J$51,'203'!$J$53:$J$54,'203'!$J$56:$J$58,'203'!$J$60:$J$62,'203'!$J$64:$J$65,'203'!$J$67:$J$71,'203'!$J$73,'203'!$J$75,'203'!$J$77:$J$78</definedName>
    <definedName name="OSRRefJ21x_0" localSheetId="58">'204'!$J$19:$J$28,'204'!$J$30:$J$39,'204'!$J$41,'204'!$J$43:$J$44,'204'!$J$46,'204'!$J$48:$J$49,'204'!$J$51,'204'!$J$53,'204'!$J$55:$J$58,'204'!$J$60:$J$61,'204'!$J$63:$J$66,'204'!$J$68:$J$69,'204'!$J$71,'204'!$J$73:$J$74</definedName>
    <definedName name="OSRRefJ21x_0" localSheetId="59">'205'!$J$19:$J$27,'205'!$J$29:$J$38,'205'!$J$40,'205'!$J$42,'205'!$J$44:$J$46,'205'!$J$48,'205'!$J$50:$J$53,'205'!$J$55,'205'!$J$57</definedName>
    <definedName name="OSRRefJ21x_0" localSheetId="60">'206'!$J$19:$J$27,'206'!$J$29:$J$38,'206'!$J$40,'206'!$J$42,'206'!$J$44,'206'!$J$46,'206'!$J$48,'206'!$J$50:$J$52,'206'!$J$54,'206'!$J$56:$J$57,'206'!$J$59:$J$60,'206'!$J$62,'206'!$J$64:$J$65</definedName>
    <definedName name="OSRRefJ21x_0" localSheetId="17">'300'!$J$204:$J$213,'300'!$J$215:$J$224,'300'!$J$226,'300'!$J$228:$J$230,'300'!$J$232,'300'!$J$234:$J$237,'300'!$J$239:$J$240,'300'!$J$242:$J$243,'300'!$J$245,'300'!$J$247,'300'!$J$249:$J$250,'300'!$J$252:$J$254,'300'!$J$256,'300'!$J$258:$J$294,'300'!$J$296:$J$297,'300'!$J$299,'300'!$J$301:$J$304,'300'!$J$306:$J$310,'300'!$J$312:$J$316,'300'!$J$318:$J$319,'300'!$J$321:$J$329,'300'!$J$331:$J$332,'300'!$J$334,'300'!$J$336:$J$338,'300'!$J$340</definedName>
    <definedName name="OSRRefJ21x_0" localSheetId="20">'300 &amp; 317'!$J$229:$J$238,'300 &amp; 317'!$J$240:$J$249,'300 &amp; 317'!$J$251,'300 &amp; 317'!$J$253:$J$255,'300 &amp; 317'!$J$257,'300 &amp; 317'!$J$259:$J$262,'300 &amp; 317'!$J$264:$J$265,'300 &amp; 317'!$J$267:$J$268,'300 &amp; 317'!$J$270,'300 &amp; 317'!$J$272,'300 &amp; 317'!$J$274:$J$275,'300 &amp; 317'!$J$277:$J$279,'300 &amp; 317'!$J$281,'300 &amp; 317'!$J$283:$J$322,'300 &amp; 317'!$J$324:$J$325,'300 &amp; 317'!$J$327,'300 &amp; 317'!$J$329:$J$332,'300 &amp; 317'!$J$334:$J$338,'300 &amp; 317'!$J$340:$J$344,'300 &amp; 317'!$J$346:$J$347,'300 &amp; 317'!$J$349:$J$357,'300 &amp; 317'!$J$359:$J$360,'300 &amp; 317'!$J$362,'300 &amp; 317'!$J$364:$J$366,'300 &amp; 317'!$J$368</definedName>
    <definedName name="OSRRefJ21x_0" localSheetId="61">'301'!$J$20:$J$28,'301'!$J$30:$J$39,'301'!$J$41,'301'!$J$43:$J$45,'301'!$J$47,'301'!$J$49:$J$52,'301'!$J$54:$J$55,'301'!$J$57,'301'!$J$59,'301'!$J$61,'301'!$J$63,'301'!$J$65,'301'!$J$67,'301'!$J$69:$J$70,'301'!$J$72:$J$73,'301'!$J$75,'301'!$J$77:$J$80,'301'!$J$82,'301'!$J$84:$J$87,'301'!$J$89:$J$90,'301'!$J$92:$J$98,'301'!$J$100:$J$101,'301'!$J$103,'301'!$J$105:$J$107,'301'!$J$109</definedName>
    <definedName name="OSRRefJ21x_0" localSheetId="62">'306'!$J$19:$J$28,'306'!$J$30:$J$39,'306'!$J$41,'306'!$J$43,'306'!$J$45,'306'!$J$47:$J$48,'306'!$J$50,'306'!$J$52:$J$53,'306'!$J$55:$J$59,'306'!$J$61,'306'!$J$63,'306'!$J$65,'306'!$J$67</definedName>
    <definedName name="OSRRefJ21x_0" localSheetId="63">'307'!$J$100:$J$108,'307'!$J$110:$J$119,'307'!$J$121,'307'!$J$123,'307'!$J$125,'307'!$J$127:$J$128,'307'!$J$130,'307'!$J$132:$J$133,'307'!$J$135,'307'!$J$137:$J$160,'307'!$J$162,'307'!$J$164,'307'!$J$166:$J$167,'307'!$J$169:$J$170,'307'!$J$172,'307'!$J$174:$J$179,'307'!$J$181:$J$182,'307'!$J$184,'307'!$J$186</definedName>
    <definedName name="OSRRefJ21x_0" localSheetId="29">'308'!$J$89:$J$98,'308'!$J$100:$J$109,'308'!$J$111,'308'!$J$113:$J$114,'308'!$J$116,'308'!$J$118,'308'!$J$120:$J$121,'308'!$J$123:$J$124,'308'!$J$126:$J$138,'308'!$J$140,'308'!$J$142:$J$144,'308'!$J$146,'308'!$J$148:$J$149,'308'!$J$151:$J$154,'308'!$J$156:$J$157,'308'!$J$159,'308'!$J$161:$J$162,'308'!$J$164</definedName>
    <definedName name="OSRRefJ21x_0" localSheetId="64">'309'!$J$25:$J$33,'309'!$J$35:$J$44,'309'!$J$46,'309'!$J$48,'309'!$J$50,'309'!$J$52,'309'!$J$54,'309'!$J$56,'309'!$J$58,'309'!$J$60,'309'!$J$62:$J$63,'309'!$J$65:$J$67,'309'!$J$69,'309'!$J$71:$J$79,'309'!$J$81,'309'!$J$83,'309'!$J$85:$J$86</definedName>
    <definedName name="OSRRefJ21x_0" localSheetId="23">'310'!$J$39:$J$47,'310'!$J$49:$J$58,'310'!$J$60,'310'!$J$62,'310'!$J$64,'310'!$J$66:$J$67,'310'!$J$69,'310'!$J$71,'310'!$J$73,'310'!$J$75:$J$76,'310'!$J$78:$J$79,'310'!$J$81,'310'!$J$83,'310'!$J$85,'310'!$J$87,'310'!$J$89:$J$92,'310'!$J$94:$J$95,'310'!$J$97:$J$100,'310'!$J$102:$J$103,'310'!$J$105:$J$113,'310'!$J$115:$J$116,'310'!$J$118,'310'!$J$120:$J$122,'310'!$J$124</definedName>
    <definedName name="OSRRefJ21x_0" localSheetId="38">'310 &amp; 491'!$J$49:$J$58,'310 &amp; 491'!$J$60:$J$69,'310 &amp; 491'!$J$71,'310 &amp; 491'!$J$73:$J$74,'310 &amp; 491'!$J$76,'310 &amp; 491'!$J$78:$J$81,'310 &amp; 491'!$J$83:$J$84,'310 &amp; 491'!$J$86,'310 &amp; 491'!$J$88,'310 &amp; 491'!$J$90,'310 &amp; 491'!$J$92:$J$93,'310 &amp; 491'!$J$95:$J$97,'310 &amp; 491'!$J$99,'310 &amp; 491'!$J$101,'310 &amp; 491'!$J$103,'310 &amp; 491'!$J$105,'310 &amp; 491'!$J$107,'310 &amp; 491'!$J$109:$J$112,'310 &amp; 491'!$J$114:$J$115,'310 &amp; 491'!$J$117:$J$121,'310 &amp; 491'!$J$123:$J$124,'310 &amp; 491'!$J$126:$J$136,'310 &amp; 491'!$J$138:$J$139,'310 &amp; 491'!$J$141,'310 &amp; 491'!$J$143:$J$145,'310 &amp; 491'!$J$147</definedName>
    <definedName name="OSRRefJ21x_0" localSheetId="65">'311'!$J$71:$J$80,'311'!$J$82:$J$91,'311'!$J$93,'311'!$J$95:$J$96,'311'!$J$98,'311'!$J$100,'311'!$J$102:$J$103,'311'!$J$105:$J$106,'311'!$J$108:$J$116,'311'!$J$118,'311'!$J$120:$J$122,'311'!$J$124,'311'!$J$126:$J$127,'311'!$J$129:$J$132,'311'!$J$134:$J$135,'311'!$J$137,'311'!$J$139:$J$140,'311'!$J$142</definedName>
    <definedName name="OSRRefJ21x_0" localSheetId="66">'312'!$J$58:$J$66,'312'!$J$68:$J$72,'312'!$J$74,'312'!$J$76,'312'!$J$78:$J$79,'312'!$J$81:$J$89,'312'!$J$91:$J$92,'312'!$J$94,'312'!$J$96,'312'!$J$98</definedName>
    <definedName name="OSRRefJ21x_0" localSheetId="67">'313'!$J$35:$J$43,'313'!$J$45:$J$54,'313'!$J$56,'313'!$J$58,'313'!$J$60,'313'!$J$62,'313'!$J$64,'313'!$J$66:$J$67,'313'!$J$69,'313'!$J$71,'313'!$J$73:$J$75,'313'!$J$77:$J$78,'313'!$J$80:$J$81,'313'!$J$83:$J$89,'313'!$J$91:$J$92,'313'!$J$94,'313'!$J$96:$J$97</definedName>
    <definedName name="OSRRefJ21x_0" localSheetId="68">'314'!$J$61:$J$69,'314'!$J$71:$J$76,'314'!$J$78,'314'!$J$80:$J$81,'314'!$J$83,'314'!$J$85:$J$86,'314'!$J$88:$J$97,'314'!$J$99,'314'!$J$101,'314'!$J$103,'314'!$J$105:$J$108,'314'!$J$110,'314'!$J$112,'314'!$J$114</definedName>
    <definedName name="OSRRefJ21x_0" localSheetId="69">'315'!$J$57:$J$65,'315'!$J$67:$J$76,'315'!$J$78,'315'!$J$80,'315'!$J$82,'315'!$J$84:$J$85,'315'!$J$87,'315'!$J$89:$J$90,'315'!$J$92,'315'!$J$94:$J$100,'315'!$J$102,'315'!$J$104:$J$106,'315'!$J$108:$J$110,'315'!$J$112:$J$113,'315'!$J$115:$J$122,'315'!$J$124,'315'!$J$126,'315'!$J$128:$J$130</definedName>
    <definedName name="OSRRefJ21x_0" localSheetId="70">'316'!$J$40:$J$48,'316'!$J$50:$J$59,'316'!$J$61,'316'!$J$63,'316'!$J$65,'316'!$J$67,'316'!$J$69,'316'!$J$71:$J$72,'316'!$J$74,'316'!$J$76:$J$78,'316'!$J$80,'316'!$J$82:$J$87,'316'!$J$89,'316'!$J$91,'316'!$J$93,'316'!$J$95</definedName>
    <definedName name="OSRRefJ21x_0" localSheetId="71">'317'!$J$63:$J$72,'317'!$J$74:$J$83,'317'!$J$85,'317'!$J$87,'317'!$J$89:$J$90,'317'!$J$92,'317'!$J$94,'317'!$J$96:$J$97,'317'!$J$99,'317'!$J$101:$J$108,'317'!$J$110:$J$111,'317'!$J$113,'317'!$J$115:$J$118,'317'!$J$120,'317'!$J$122,'317'!$J$124:$J$125</definedName>
    <definedName name="OSRRefJ21x_0" localSheetId="72">'318'!$J$19:$J$25,'318'!$J$27:$J$30,'318'!$J$32,'318'!$J$34,'318'!$J$36,'318'!$J$38,'318'!$J$40,'318'!$J$42,'318'!$J$44</definedName>
    <definedName name="OSRRefJ21x_0" localSheetId="73">'320'!$J$35:$J$42,'320'!$J$44:$J$50,'320'!$J$52,'320'!$J$54,'320'!$J$56,'320'!$J$58:$J$59,'320'!$J$61,'320'!$J$63:$J$66,'320'!$J$68:$J$69,'320'!$J$71:$J$73,'320'!$J$75,'320'!$J$77,'320'!$J$79</definedName>
    <definedName name="OSRRefJ21x_0" localSheetId="74">'321'!$J$26:$J$34,'321'!$J$36:$J$45,'321'!$J$47,'321'!$J$49,'321'!$J$51,'321'!$J$53,'321'!$J$55,'321'!$J$57:$J$58,'321'!$J$60,'321'!$J$62:$J$64,'321'!$J$66:$J$67,'321'!$J$69:$J$71,'321'!$J$73:$J$74,'321'!$J$76:$J$83,'321'!$J$85:$J$86,'321'!$J$88,'321'!$J$90:$J$91,'321'!$J$93</definedName>
    <definedName name="OSRRefJ21x_0" localSheetId="75">'322'!$J$25:$J$33,'322'!$J$35:$J$44,'322'!$J$46,'322'!$J$48,'322'!$J$50,'322'!$J$52,'322'!$J$54,'322'!$J$56,'322'!$J$58,'322'!$J$60,'322'!$J$62,'322'!$J$64,'322'!$J$66:$J$67,'322'!$J$69:$J$71,'322'!$J$73:$J$74,'322'!$J$76:$J$84,'322'!$J$86,'322'!$J$88,'322'!$J$90:$J$92,'322'!$J$94</definedName>
    <definedName name="OSRRefJ21x_0" localSheetId="76">'323'!$J$21:$J$27,'323'!$J$29:$J$31,'323'!$J$33,'323'!$J$35,'323'!$J$37,'323'!$J$39,'323'!$J$41,'323'!$J$43:$J$45</definedName>
    <definedName name="OSRRefJ21x_0" localSheetId="77">'324'!$J$26:$J$33,'324'!$J$35:$J$44,'324'!$J$46,'324'!$J$48</definedName>
    <definedName name="OSRRefJ21x_0" localSheetId="78">'325'!$J$26:$J$34,'325'!$J$36:$J$45,'325'!$J$47,'325'!$J$49,'325'!$J$51,'325'!$J$53:$J$54,'325'!$J$56,'325'!$J$58,'325'!$J$60,'325'!$J$62,'325'!$J$64,'325'!$J$66,'325'!$J$68:$J$71,'325'!$J$73:$J$76,'325'!$J$78:$J$79,'325'!$J$81:$J$88,'325'!$J$90:$J$91,'325'!$J$93,'325'!$J$95,'325'!$J$97</definedName>
    <definedName name="OSRRefJ21x_0" localSheetId="79">'326'!$J$94:$J$102,'326'!$J$104:$J$113,'326'!$J$115,'326'!$J$117,'326'!$J$119,'326'!$J$121:$J$122,'326'!$J$124:$J$125,'326'!$J$127,'326'!$J$129:$J$130,'326'!$J$132:$J$133,'326'!$J$135,'326'!$J$137:$J$157,'326'!$J$159,'326'!$J$161,'326'!$J$163:$J$165,'326'!$J$167:$J$169,'326'!$J$171:$J$172,'326'!$J$174:$J$181,'326'!$J$183:$J$184,'326'!$J$186,'326'!$J$188:$J$190,'326'!$J$192</definedName>
    <definedName name="OSRRefJ21x_0" localSheetId="80">'327'!$J$25,'327'!$J$27,'327'!$J$29</definedName>
    <definedName name="OSRRefJ21x_0" localSheetId="26">'330'!$J$108:$J$117,'330'!$J$119:$J$128,'330'!$J$130,'330'!$J$132,'330'!$J$134,'330'!$J$136:$J$137,'330'!$J$139,'330'!$J$141:$J$142,'330'!$J$144,'330'!$J$146:$J$169,'330'!$J$171,'330'!$J$173,'330'!$J$175:$J$176,'330'!$J$178:$J$179,'330'!$J$181,'330'!$J$183:$J$189,'330'!$J$191:$J$192,'330'!$J$194,'330'!$J$196</definedName>
    <definedName name="OSRRefJ21x_0" localSheetId="32">'331'!$J$105:$J$113,'331'!$J$115:$J$124,'331'!$J$126,'331'!$J$128,'331'!$J$130,'331'!$J$132:$J$133,'331'!$J$135:$J$136,'331'!$J$138,'331'!$J$140:$J$141,'331'!$J$143:$J$144,'331'!$J$146,'331'!$J$148:$J$168,'331'!$J$170,'331'!$J$172,'331'!$J$174:$J$177,'331'!$J$179:$J$181,'331'!$J$183:$J$185,'331'!$J$187:$J$188,'331'!$J$190:$J$198,'331'!$J$200:$J$201,'331'!$J$203,'331'!$J$205:$J$207,'331'!$J$209</definedName>
    <definedName name="OSRRefJ21x_0" localSheetId="35">'332'!$J$57:$J$65,'332'!$J$67:$J$76,'332'!$J$78,'332'!$J$80,'332'!$J$82,'332'!$J$84,'332'!$J$86,'332'!$J$88:$J$89,'332'!$J$91,'332'!$J$93:$J$96,'332'!$J$98:$J$100,'332'!$J$102:$J$103,'332'!$J$105:$J$110,'332'!$J$112,'332'!$J$114,'332'!$J$116,'332'!$J$118</definedName>
    <definedName name="OSRRefJ21x_0" localSheetId="81">'335'!$J$19:$J$26,'335'!$J$28:$J$32,'335'!$J$34,'335'!$J$36,'335'!$J$38,'335'!$J$40:$J$41,'335'!$J$43:$J$45,'335'!$J$47,'335'!$J$49,'335'!$J$51:$J$52</definedName>
    <definedName name="OSRRefJ21x_0" localSheetId="82">'405'!$J$27:$J$36,'405'!$J$38:$J$47,'405'!$J$49,'405'!$J$51,'405'!$J$53,'405'!$J$55:$J$56,'405'!$J$58,'405'!$J$60,'405'!$J$62,'405'!$J$64,'405'!$J$66:$J$68,'405'!$J$70,'405'!$J$72:$J$75,'405'!$J$77:$J$78,'405'!$J$80:$J$89,'405'!$J$91,'405'!$J$93,'405'!$J$95,'405'!$J$97</definedName>
    <definedName name="OSRRefJ21x_0" localSheetId="83">'406'!$J$23:$J$30,'406'!$J$32:$J$37,'406'!$J$39,'406'!$J$41,'406'!$J$43,'406'!$J$45,'406'!$J$47,'406'!$J$49,'406'!$J$51,'406'!$J$53,'406'!$J$55:$J$57,'406'!$J$59,'406'!$J$61:$J$63,'406'!$J$65:$J$70,'406'!$J$72,'406'!$J$74,'406'!$J$76:$J$77</definedName>
    <definedName name="OSRRefJ21x_0" localSheetId="84">'411'!$J$19:$J$28,'411'!$J$30:$J$39,'411'!$J$41,'411'!$J$43,'411'!$J$45,'411'!$J$47:$J$50,'411'!$J$52,'411'!$J$54,'411'!$J$56,'411'!$J$58,'411'!$J$60,'411'!$J$62,'411'!$J$64,'411'!$J$66,'411'!$J$68:$J$71,'411'!$J$73,'411'!$J$75:$J$79,'411'!$J$81:$J$82,'411'!$J$84:$J$93,'411'!$J$95,'411'!$J$97,'411'!$J$99:$J$101,'411'!$J$103</definedName>
    <definedName name="OSRRefJ21x_0" localSheetId="85">'412'!$J$27:$J$36,'412'!$J$38:$J$47,'412'!$J$49,'412'!$J$51,'412'!$J$53,'412'!$J$55:$J$56,'412'!$J$58,'412'!$J$60,'412'!$J$62,'412'!$J$64,'412'!$J$66,'412'!$J$68:$J$70,'412'!$J$72,'412'!$J$74:$J$78,'412'!$J$80:$J$89,'412'!$J$91:$J$92,'412'!$J$94,'412'!$J$96:$J$97,'412'!$J$99</definedName>
    <definedName name="OSRRefJ21x_0" localSheetId="86">'413'!$J$26:$J$35,'413'!$J$37:$J$46,'413'!$J$48,'413'!$J$50,'413'!$J$52,'413'!$J$54,'413'!$J$56,'413'!$J$58,'413'!$J$60:$J$63,'413'!$J$65:$J$67,'413'!$J$69:$J$78,'413'!$J$80:$J$81,'413'!$J$83,'413'!$J$85:$J$86</definedName>
    <definedName name="OSRRefJ21x_0" localSheetId="87">'414'!$J$26:$J$34,'414'!$J$36:$J$45,'414'!$J$47,'414'!$J$49,'414'!$J$51,'414'!$J$53,'414'!$J$55,'414'!$J$57,'414'!$J$59,'414'!$J$61,'414'!$J$63:$J$64,'414'!$J$66,'414'!$J$68:$J$70,'414'!$J$72,'414'!$J$74:$J$82,'414'!$J$84,'414'!$J$86,'414'!$J$88</definedName>
    <definedName name="OSRRefJ21x_0" localSheetId="88">'415'!$J$26:$J$35,'415'!$J$37:$J$46,'415'!$J$48,'415'!$J$50,'415'!$J$52,'415'!$J$54:$J$55,'415'!$J$57,'415'!$J$59,'415'!$J$61,'415'!$J$63,'415'!$J$65,'415'!$J$67:$J$70,'415'!$J$72,'415'!$J$74:$J$78,'415'!$J$80:$J$81,'415'!$J$83:$J$91,'415'!$J$93:$J$94,'415'!$J$96,'415'!$J$98:$J$99,'415'!$J$101</definedName>
    <definedName name="OSRRefJ21x_0" localSheetId="89">'418'!$J$26:$J$34,'418'!$J$36:$J$45,'418'!$J$47,'418'!$J$49,'418'!$J$51,'418'!$J$53:$J$54,'418'!$J$56,'418'!$J$58,'418'!$J$60,'418'!$J$62,'418'!$J$64,'418'!$J$66:$J$67,'418'!$J$69:$J$72,'418'!$J$74:$J$77,'418'!$J$79:$J$80,'418'!$J$82:$J$92,'418'!$J$94:$J$95,'418'!$J$97,'418'!$J$99:$J$100,'418'!$J$102</definedName>
    <definedName name="OSRRefJ21x_0" localSheetId="90">'420'!$J$23:$J$30,'420'!$J$32:$J$35,'420'!$J$37,'420'!$J$39,'420'!$J$41,'420'!$J$43,'420'!$J$45,'420'!$J$47:$J$48,'420'!$J$50</definedName>
    <definedName name="OSRRefJ21x_0" localSheetId="91">'423'!$J$20:$J$28,'423'!$J$30:$J$39,'423'!$J$41,'423'!$J$43,'423'!$J$45,'423'!$J$47,'423'!$J$49,'423'!$J$51:$J$53,'423'!$J$55,'423'!$J$57,'423'!$J$59,'423'!$J$61,'423'!$J$63</definedName>
    <definedName name="OSRRefJ21x_0" localSheetId="92">'424'!$J$25:$J$31,'424'!$J$33:$J$38,'424'!$J$40,'424'!$J$42,'424'!$J$44,'424'!$J$46,'424'!$J$48,'424'!$J$50,'424'!$J$52,'424'!$J$54:$J$55,'424'!$J$57,'424'!$J$59:$J$61,'424'!$J$63:$J$69,'424'!$J$71</definedName>
    <definedName name="OSRRefJ21x_0" localSheetId="93">'425'!$J$26:$J$34,'425'!$J$36:$J$41,'425'!$J$43,'425'!$J$45:$J$46,'425'!$J$48,'425'!$J$50:$J$51,'425'!$J$53,'425'!$J$55,'425'!$J$57,'425'!$J$59:$J$62,'425'!$J$64,'425'!$J$66:$J$69,'425'!$J$71:$J$72,'425'!$J$74:$J$81,'425'!$J$83,'425'!$J$85,'425'!$J$87:$J$89</definedName>
    <definedName name="OSRRefJ21x_0" localSheetId="94">'430'!$J$19:$J$27,'430'!$J$29:$J$38,'430'!$J$40,'430'!$J$42,'430'!$J$44,'430'!$J$46,'430'!$J$48,'430'!$J$50,'430'!$J$52:$J$56,'430'!$J$58:$J$59,'430'!$J$61,'430'!$J$63:$J$64</definedName>
    <definedName name="OSRRefJ21x_0" localSheetId="95">'433'!$J$28:$J$37,'433'!$J$39:$J$48,'433'!$J$50,'433'!$J$52,'433'!$J$54,'433'!$J$56,'433'!$J$58,'433'!$J$60,'433'!$J$62,'433'!$J$64,'433'!$J$66,'433'!$J$68,'433'!$J$70,'433'!$J$72:$J$74,'433'!$J$76:$J$79,'433'!$J$81,'433'!$J$83:$J$91,'433'!$J$93,'433'!$J$95,'433'!$J$97:$J$98,'433'!$J$100</definedName>
    <definedName name="OSRRefJ21x_0" localSheetId="96">'435'!$J$24:$J$26,'435'!$J$28:$J$31,'435'!$J$33,'435'!$J$35,'435'!$J$37,'435'!$J$39,'435'!$J$41,'435'!$J$43,'435'!$J$45,'435'!$J$47:$J$48,'435'!$J$50:$J$56,'435'!$J$58,'435'!$J$60,'435'!$J$62</definedName>
    <definedName name="OSRRefJ21x_0" localSheetId="97">'444'!$J$26:$J$35,'444'!$J$37:$J$46,'444'!$J$48,'444'!$J$50,'444'!$J$52,'444'!$J$54,'444'!$J$56,'444'!$J$58,'444'!$J$60,'444'!$J$62,'444'!$J$64,'444'!$J$66,'444'!$J$68,'444'!$J$70:$J$73,'444'!$J$75:$J$78,'444'!$J$80:$J$81,'444'!$J$83:$J$92,'444'!$J$94:$J$95,'444'!$J$97,'444'!$J$99,'444'!$J$101</definedName>
    <definedName name="OSRRefJ21x_0" localSheetId="98">'445'!$J$24:$J$26,'445'!$J$28:$J$30,'445'!$J$32,'445'!$J$34,'445'!$J$36,'445'!$J$38,'445'!$J$40,'445'!$J$42,'445'!$J$44:$J$45,'445'!$J$47,'445'!$J$49:$J$52,'445'!$J$54,'445'!$J$56,'445'!$J$58</definedName>
    <definedName name="OSRRefJ21x_0" localSheetId="99">'450'!$J$26:$J$35,'450'!$J$37:$J$46,'450'!$J$48,'450'!$J$50,'450'!$J$52,'450'!$J$54:$J$55,'450'!$J$57,'450'!$J$59,'450'!$J$61,'450'!$J$63,'450'!$J$65,'450'!$J$67,'450'!$J$69:$J$71,'450'!$J$73:$J$76,'450'!$J$78,'450'!$J$80:$J$89,'450'!$J$91:$J$92,'450'!$J$94,'450'!$J$96:$J$98</definedName>
    <definedName name="OSRRefJ21x_0" localSheetId="100">'455'!$J$19:$J$26,'455'!$J$28:$J$29,'455'!$J$31,'455'!$J$33</definedName>
    <definedName name="OSRRefJ21x_0" localSheetId="41">'491'!$J$37:$J$46,'491'!$J$48:$J$57,'491'!$J$59,'491'!$J$61:$J$62,'491'!$J$64,'491'!$J$66:$J$69,'491'!$J$71:$J$72,'491'!$J$74,'491'!$J$76,'491'!$J$78,'491'!$J$80,'491'!$J$82:$J$83,'491'!$J$85,'491'!$J$87,'491'!$J$89,'491'!$J$91,'491'!$J$93,'491'!$J$95:$J$98,'491'!$J$100:$J$101,'491'!$J$103:$J$107,'491'!$J$109:$J$110,'491'!$J$112:$J$122,'491'!$J$124:$J$125,'491'!$J$127,'491'!$J$129:$J$131,'491'!$J$133</definedName>
    <definedName name="OSRRefJ21x_0" localSheetId="44">'492'!$J$30:$J$39,'492'!$J$41:$J$50,'492'!$J$52,'492'!$J$54,'492'!$J$56,'492'!$J$58:$J$59,'492'!$J$61,'492'!$J$63,'492'!$J$65,'492'!$J$67,'492'!$J$69,'492'!$J$71,'492'!$J$73,'492'!$J$75:$J$76,'492'!$J$78,'492'!$J$80:$J$83,'492'!$J$85:$J$88,'492'!$J$90:$J$91,'492'!$J$93:$J$102,'492'!$J$104:$J$105,'492'!$J$107,'492'!$J$109:$J$111,'492'!$J$113</definedName>
    <definedName name="OSRRefJ21x_0" localSheetId="101">'501'!$J$21:$J$29,'501'!$J$31:$J$40,'501'!$J$42,'501'!$J$44,'501'!$J$46,'501'!$J$48,'501'!$J$50:$J$51,'501'!$J$53,'501'!$J$55,'501'!$J$57,'501'!$J$59,'501'!$J$61:$J$64,'501'!$J$66,'501'!$J$68:$J$71,'501'!$J$73,'501'!$J$75,'501'!$J$77</definedName>
    <definedName name="OSRRefJ21x_0" localSheetId="8">'Div 2'!$J$20:$J$30,'Div 2'!$J$32:$J$41,'Div 2'!$J$43,'Div 2'!$J$45,'Div 2'!$J$47,'Div 2'!$J$49,'Div 2'!$J$51:$J$52,'Div 2'!$J$54:$J$55,'Div 2'!$J$57,'Div 2'!$J$59,'Div 2'!$J$61:$J$62,'Div 2'!$J$64:$J$65,'Div 2'!$J$67:$J$68,'Div 2'!$J$70,'Div 2'!$J$72:$J$75,'Div 2'!$J$77:$J$80,'Div 2'!$J$82:$J$83,'Div 2'!$J$85:$J$86,'Div 2'!$J$88:$J$94,'Div 2'!$J$96:$J$97,'Div 2'!$J$99,'Div 2'!$J$101:$J$102</definedName>
    <definedName name="OSRRefJ21x_0" localSheetId="11">'Div 3'!$J$209:$J$218,'Div 3'!$J$220:$J$229,'Div 3'!$J$231,'Div 3'!$J$233:$J$235,'Div 3'!$J$237,'Div 3'!$J$239:$J$242,'Div 3'!$J$244:$J$245,'Div 3'!$J$247:$J$248,'Div 3'!$J$250,'Div 3'!$J$252,'Div 3'!$J$254:$J$255,'Div 3'!$J$257:$J$259,'Div 3'!$J$261,'Div 3'!$J$263,'Div 3'!$J$265:$J$301,'Div 3'!$J$303:$J$304,'Div 3'!$J$306,'Div 3'!$J$308:$J$311,'Div 3'!$J$313:$J$317,'Div 3'!$J$319:$J$324,'Div 3'!$J$326:$J$327,'Div 3'!$J$329:$J$338,'Div 3'!$J$340:$J$341,'Div 3'!$J$343,'Div 3'!$J$345:$J$347,'Div 3'!$J$349</definedName>
    <definedName name="OSRRefJ21x_0" localSheetId="14">'Div 4'!$J$38:$J$47,'Div 4'!$J$49:$J$58,'Div 4'!$J$60,'Div 4'!$J$62:$J$63,'Div 4'!$J$65,'Div 4'!$J$67:$J$70,'Div 4'!$J$72:$J$73,'Div 4'!$J$75,'Div 4'!$J$77,'Div 4'!$J$79,'Div 4'!$J$81,'Div 4'!$J$83:$J$84,'Div 4'!$J$86,'Div 4'!$J$88,'Div 4'!$J$90:$J$91,'Div 4'!$J$93,'Div 4'!$J$95,'Div 4'!$J$97:$J$100,'Div 4'!$J$102:$J$103,'Div 4'!$J$105:$J$109,'Div 4'!$J$111:$J$112,'Div 4'!$J$114:$J$124,'Div 4'!$J$126:$J$127,'Div 4'!$J$129,'Div 4'!$J$131:$J$133,'Div 4'!$J$135</definedName>
    <definedName name="OSRRefJ21x_0" localSheetId="47">'Div 5'!$J$21:$J$29,'Div 5'!$J$31:$J$40,'Div 5'!$J$42,'Div 5'!$J$44,'Div 5'!$J$46,'Div 5'!$J$48,'Div 5'!$J$50:$J$51,'Div 5'!$J$53,'Div 5'!$J$55,'Div 5'!$J$57,'Div 5'!$J$59,'Div 5'!$J$61:$J$64,'Div 5'!$J$66,'Div 5'!$J$68:$J$71,'Div 5'!$J$73,'Div 5'!$J$75,'Div 5'!$J$77</definedName>
    <definedName name="OSRRefJ21x_0" localSheetId="50">'Div 6'!$J$63:$J$72,'Div 6'!$J$74:$J$83,'Div 6'!$J$85,'Div 6'!$J$87,'Div 6'!$J$89:$J$90,'Div 6'!$J$92,'Div 6'!$J$94,'Div 6'!$J$96:$J$97,'Div 6'!$J$99,'Div 6'!$J$101:$J$108,'Div 6'!$J$110:$J$111,'Div 6'!$J$113,'Div 6'!$J$115:$J$118,'Div 6'!$J$120,'Div 6'!$J$122,'Div 6'!$J$124:$J$125</definedName>
    <definedName name="OSRRefJ21x_0" localSheetId="2">Summary!$J$245:$J$254,Summary!$J$256:$J$265,Summary!$J$267,Summary!$J$269:$J$271,Summary!$J$273,Summary!$J$275:$J$278,Summary!$J$280:$J$281,Summary!$J$283:$J$284,Summary!$J$286,Summary!$J$288,Summary!$J$290:$J$291,Summary!$J$293:$J$295,Summary!$J$297,Summary!$J$299,Summary!$J$301:$J$340,Summary!$J$342:$J$343,Summary!$J$345,Summary!$J$347,Summary!$J$349:$J$352,Summary!$J$354:$J$358,Summary!$J$360:$J$365,Summary!$J$367:$J$368,Summary!$J$370:$J$380,Summary!$J$382:$J$383,Summary!$J$385,Summary!$J$387:$J$389,Summary!$J$391</definedName>
    <definedName name="OSRRefJ24x_0" localSheetId="56">'202'!$J$79:$J$81</definedName>
    <definedName name="OSRRefJ24x_0" localSheetId="17">'300'!$J$343:$J$358</definedName>
    <definedName name="OSRRefJ24x_0" localSheetId="20">'300 &amp; 317'!$J$371:$J$390</definedName>
    <definedName name="OSRRefJ24x_0" localSheetId="61">'301'!$J$112:$J$114</definedName>
    <definedName name="OSRRefJ24x_0" localSheetId="63">'307'!$J$189</definedName>
    <definedName name="OSRRefJ24x_0" localSheetId="29">'308'!$J$167:$J$170</definedName>
    <definedName name="OSRRefJ24x_0" localSheetId="64">'309'!$J$89</definedName>
    <definedName name="OSRRefJ24x_0" localSheetId="23">'310'!$J$127</definedName>
    <definedName name="OSRRefJ24x_0" localSheetId="38">'310 &amp; 491'!$J$150:$J$153</definedName>
    <definedName name="OSRRefJ24x_0" localSheetId="65">'311'!$J$145:$J$148</definedName>
    <definedName name="OSRRefJ24x_0" localSheetId="66">'312'!$J$101</definedName>
    <definedName name="OSRRefJ24x_0" localSheetId="68">'314'!$J$117</definedName>
    <definedName name="OSRRefJ24x_0" localSheetId="69">'315'!$J$133:$J$135</definedName>
    <definedName name="OSRRefJ24x_0" localSheetId="70">'316'!$J$98</definedName>
    <definedName name="OSRRefJ24x_0" localSheetId="71">'317'!$J$128:$J$133</definedName>
    <definedName name="OSRRefJ24x_0" localSheetId="73">'320'!$J$82:$J$93</definedName>
    <definedName name="OSRRefJ24x_0" localSheetId="26">'330'!$J$199</definedName>
    <definedName name="OSRRefJ24x_0" localSheetId="32">'331'!$J$212:$J$214</definedName>
    <definedName name="OSRRefJ24x_0" localSheetId="35">'332'!$J$121:$J$133</definedName>
    <definedName name="OSRRefJ24x_0" localSheetId="84">'411'!$J$106:$J$107</definedName>
    <definedName name="OSRRefJ24x_0" localSheetId="86">'413'!$J$89</definedName>
    <definedName name="OSRRefJ24x_0" localSheetId="88">'415'!$J$104</definedName>
    <definedName name="OSRRefJ24x_0" localSheetId="89">'418'!$J$105</definedName>
    <definedName name="OSRRefJ24x_0" localSheetId="91">'423'!$J$66:$J$68</definedName>
    <definedName name="OSRRefJ24x_0" localSheetId="92">'424'!$J$74</definedName>
    <definedName name="OSRRefJ24x_0" localSheetId="93">'425'!$J$92</definedName>
    <definedName name="OSRRefJ24x_0" localSheetId="100">'455'!$J$36:$J$38</definedName>
    <definedName name="OSRRefJ24x_0" localSheetId="41">'491'!$J$136:$J$139</definedName>
    <definedName name="OSRRefJ24x_0" localSheetId="101">'501'!$J$80:$J$82</definedName>
    <definedName name="OSRRefJ24x_0" localSheetId="8">'Div 2'!$J$105:$J$107</definedName>
    <definedName name="OSRRefJ24x_0" localSheetId="11">'Div 3'!$J$352:$J$367</definedName>
    <definedName name="OSRRefJ24x_0" localSheetId="14">'Div 4'!$J$138:$J$141</definedName>
    <definedName name="OSRRefJ24x_0" localSheetId="47">'Div 5'!$J$80:$J$82</definedName>
    <definedName name="OSRRefJ24x_0" localSheetId="50">'Div 6'!$J$128:$J$133</definedName>
    <definedName name="OSRRefJ24x_0" localSheetId="2">Summary!$J$394:$J$414</definedName>
    <definedName name="OSRRefL11x_0" localSheetId="55">'201'!$L$11</definedName>
    <definedName name="OSRRefL11x_0" localSheetId="56">'202'!$L$11</definedName>
    <definedName name="OSRRefL11x_0" localSheetId="17">'300'!$L$11:$L$133</definedName>
    <definedName name="OSRRefL11x_0" localSheetId="20">'300 &amp; 317'!$L$11:$L$151</definedName>
    <definedName name="OSRRefL11x_0" localSheetId="63">'307'!$L$11:$L$60</definedName>
    <definedName name="OSRRefL11x_0" localSheetId="29">'308'!$L$11:$L$54</definedName>
    <definedName name="OSRRefL11x_0" localSheetId="64">'309'!$L$11:$L$13</definedName>
    <definedName name="OSRRefL11x_0" localSheetId="23">'310'!$L$11:$L$27</definedName>
    <definedName name="OSRRefL11x_0" localSheetId="38">'310 &amp; 491'!$L$11:$L$36</definedName>
    <definedName name="OSRRefL11x_0" localSheetId="65">'311'!$L$11:$L$43</definedName>
    <definedName name="OSRRefL11x_0" localSheetId="66">'312'!$L$11:$L$34</definedName>
    <definedName name="OSRRefL11x_0" localSheetId="67">'313'!$L$11:$L$23</definedName>
    <definedName name="OSRRefL11x_0" localSheetId="68">'314'!$L$11:$L$35</definedName>
    <definedName name="OSRRefL11x_0" localSheetId="69">'315'!$L$11:$L$32</definedName>
    <definedName name="OSRRefL11x_0" localSheetId="70">'316'!$L$11:$L$30</definedName>
    <definedName name="OSRRefL11x_0" localSheetId="71">'317'!$L$11:$L$38</definedName>
    <definedName name="OSRRefL11x_0" localSheetId="73">'320'!$L$11:$L$20</definedName>
    <definedName name="OSRRefL11x_0" localSheetId="74">'321'!$L$11:$L$14</definedName>
    <definedName name="OSRRefL11x_0" localSheetId="75">'322'!$L$11:$L$13</definedName>
    <definedName name="OSRRefL11x_0" localSheetId="76">'323'!$L$11:$L$12</definedName>
    <definedName name="OSRRefL11x_0" localSheetId="77">'324'!$L$11:$L$14</definedName>
    <definedName name="OSRRefL11x_0" localSheetId="78">'325'!$L$11:$L$14</definedName>
    <definedName name="OSRRefL11x_0" localSheetId="79">'326'!$L$11:$L$55</definedName>
    <definedName name="OSRRefL11x_0" localSheetId="80">'327'!$L$11:$L$13</definedName>
    <definedName name="OSRRefL11x_0" localSheetId="26">'330'!$L$11:$L$66</definedName>
    <definedName name="OSRRefL11x_0" localSheetId="32">'331'!$L$11:$L$61</definedName>
    <definedName name="OSRRefL11x_0" localSheetId="35">'332'!$L$11:$L$41</definedName>
    <definedName name="OSRRefL11x_0" localSheetId="82">'405'!$L$11:$L$15</definedName>
    <definedName name="OSRRefL11x_0" localSheetId="83">'406'!$L$11:$L$12</definedName>
    <definedName name="OSRRefL11x_0" localSheetId="85">'412'!$L$11:$L$14</definedName>
    <definedName name="OSRRefL11x_0" localSheetId="86">'413'!$L$11:$L$14</definedName>
    <definedName name="OSRRefL11x_0" localSheetId="87">'414'!$L$11:$L$14</definedName>
    <definedName name="OSRRefL11x_0" localSheetId="88">'415'!$L$11:$L$14</definedName>
    <definedName name="OSRRefL11x_0" localSheetId="89">'418'!$L$11:$L$14</definedName>
    <definedName name="OSRRefL11x_0" localSheetId="90">'420'!$L$11:$L$12</definedName>
    <definedName name="OSRRefL11x_0" localSheetId="92">'424'!$L$11:$L$14</definedName>
    <definedName name="OSRRefL11x_0" localSheetId="93">'425'!$L$11:$L$15</definedName>
    <definedName name="OSRRefL11x_0" localSheetId="95">'433'!$L$11:$L$16</definedName>
    <definedName name="OSRRefL11x_0" localSheetId="96">'435'!$L$11:$L$13</definedName>
    <definedName name="OSRRefL11x_0" localSheetId="97">'444'!$L$11:$L$14</definedName>
    <definedName name="OSRRefL11x_0" localSheetId="98">'445'!$L$11:$L$13</definedName>
    <definedName name="OSRRefL11x_0" localSheetId="99">'450'!$L$11:$L$14</definedName>
    <definedName name="OSRRefL11x_0" localSheetId="41">'491'!$L$11:$L$24</definedName>
    <definedName name="OSRRefL11x_0" localSheetId="44">'492'!$L$11:$L$18</definedName>
    <definedName name="OSRRefL11x_0" localSheetId="101">'501'!$L$11:$L$12</definedName>
    <definedName name="OSRRefL11x_0" localSheetId="8">'Div 2'!$L$11</definedName>
    <definedName name="OSRRefL11x_0" localSheetId="11">'Div 3'!$L$11:$L$136</definedName>
    <definedName name="OSRRefL11x_0" localSheetId="14">'Div 4'!$L$11:$L$25</definedName>
    <definedName name="OSRRefL11x_0" localSheetId="47">'Div 5'!$L$11:$L$12</definedName>
    <definedName name="OSRRefL11x_0" localSheetId="50">'Div 6'!$L$11:$L$38</definedName>
    <definedName name="OSRRefL11x_0" localSheetId="2">Summary!$L$11:$L$164</definedName>
    <definedName name="OSRRefL14x_0" localSheetId="17">'300'!$L$136:$L$197</definedName>
    <definedName name="OSRRefL14x_0" localSheetId="20">'300 &amp; 317'!$L$154:$L$222</definedName>
    <definedName name="OSRRefL14x_0" localSheetId="61">'301'!$L$13</definedName>
    <definedName name="OSRRefL14x_0" localSheetId="63">'307'!$L$63:$L$93</definedName>
    <definedName name="OSRRefL14x_0" localSheetId="29">'308'!$L$57:$L$82</definedName>
    <definedName name="OSRRefL14x_0" localSheetId="64">'309'!$L$16:$L$18</definedName>
    <definedName name="OSRRefL14x_0" localSheetId="23">'310'!$L$30:$L$32</definedName>
    <definedName name="OSRRefL14x_0" localSheetId="38">'310 &amp; 491'!$L$39:$L$42</definedName>
    <definedName name="OSRRefL14x_0" localSheetId="65">'311'!$L$46:$L$64</definedName>
    <definedName name="OSRRefL14x_0" localSheetId="66">'312'!$L$37:$L$51</definedName>
    <definedName name="OSRRefL14x_0" localSheetId="67">'313'!$L$26:$L$28</definedName>
    <definedName name="OSRRefL14x_0" localSheetId="68">'314'!$L$38:$L$54</definedName>
    <definedName name="OSRRefL14x_0" localSheetId="69">'315'!$L$35:$L$50</definedName>
    <definedName name="OSRRefL14x_0" localSheetId="70">'316'!$L$33</definedName>
    <definedName name="OSRRefL14x_0" localSheetId="71">'317'!$L$41:$L$56</definedName>
    <definedName name="OSRRefL14x_0" localSheetId="73">'320'!$L$23:$L$28</definedName>
    <definedName name="OSRRefL14x_0" localSheetId="74">'321'!$L$17:$L$19</definedName>
    <definedName name="OSRRefL14x_0" localSheetId="75">'322'!$L$16:$L$18</definedName>
    <definedName name="OSRRefL14x_0" localSheetId="77">'324'!$L$17:$L$19</definedName>
    <definedName name="OSRRefL14x_0" localSheetId="78">'325'!$L$17:$L$19</definedName>
    <definedName name="OSRRefL14x_0" localSheetId="79">'326'!$L$58:$L$87</definedName>
    <definedName name="OSRRefL14x_0" localSheetId="80">'327'!$L$16:$L$18</definedName>
    <definedName name="OSRRefL14x_0" localSheetId="26">'330'!$L$69:$L$101</definedName>
    <definedName name="OSRRefL14x_0" localSheetId="32">'331'!$L$64:$L$98</definedName>
    <definedName name="OSRRefL14x_0" localSheetId="35">'332'!$L$44:$L$50</definedName>
    <definedName name="OSRRefL14x_0" localSheetId="82">'405'!$L$18:$L$20</definedName>
    <definedName name="OSRRefL14x_0" localSheetId="83">'406'!$L$15:$L$16</definedName>
    <definedName name="OSRRefL14x_0" localSheetId="85">'412'!$L$17:$L$20</definedName>
    <definedName name="OSRRefL14x_0" localSheetId="86">'413'!$L$17:$L$19</definedName>
    <definedName name="OSRRefL14x_0" localSheetId="87">'414'!$L$17:$L$19</definedName>
    <definedName name="OSRRefL14x_0" localSheetId="88">'415'!$L$17:$L$19</definedName>
    <definedName name="OSRRefL14x_0" localSheetId="89">'418'!$L$17:$L$19</definedName>
    <definedName name="OSRRefL14x_0" localSheetId="90">'420'!$L$15:$L$16</definedName>
    <definedName name="OSRRefL14x_0" localSheetId="91">'423'!$L$13</definedName>
    <definedName name="OSRRefL14x_0" localSheetId="92">'424'!$L$17:$L$18</definedName>
    <definedName name="OSRRefL14x_0" localSheetId="93">'425'!$L$18:$L$19</definedName>
    <definedName name="OSRRefL14x_0" localSheetId="95">'433'!$L$19:$L$21</definedName>
    <definedName name="OSRRefL14x_0" localSheetId="96">'435'!$L$16:$L$17</definedName>
    <definedName name="OSRRefL14x_0" localSheetId="97">'444'!$L$17:$L$19</definedName>
    <definedName name="OSRRefL14x_0" localSheetId="98">'445'!$L$16:$L$17</definedName>
    <definedName name="OSRRefL14x_0" localSheetId="99">'450'!$L$17:$L$19</definedName>
    <definedName name="OSRRefL14x_0" localSheetId="41">'491'!$L$27:$L$30</definedName>
    <definedName name="OSRRefL14x_0" localSheetId="44">'492'!$L$21:$L$23</definedName>
    <definedName name="OSRRefL14x_0" localSheetId="11">'Div 3'!$L$139:$L$202</definedName>
    <definedName name="OSRRefL14x_0" localSheetId="14">'Div 4'!$L$28:$L$31</definedName>
    <definedName name="OSRRefL14x_0" localSheetId="50">'Div 6'!$L$41:$L$56</definedName>
    <definedName name="OSRRefL14x_0" localSheetId="2">Summary!$L$167:$L$238</definedName>
    <definedName name="OSRRefL21_0x_0" localSheetId="54">'200'!$L$19:$L$20</definedName>
    <definedName name="OSRRefL21_0x_0" localSheetId="55">'201'!$L$20:$L$28</definedName>
    <definedName name="OSRRefL21_0x_0" localSheetId="56">'202'!$L$20:$L$28</definedName>
    <definedName name="OSRRefL21_0x_0" localSheetId="57">'203'!$L$19:$L$28</definedName>
    <definedName name="OSRRefL21_0x_0" localSheetId="58">'204'!$L$19:$L$28</definedName>
    <definedName name="OSRRefL21_0x_0" localSheetId="59">'205'!$L$19:$L$27</definedName>
    <definedName name="OSRRefL21_0x_0" localSheetId="60">'206'!$L$19:$L$27</definedName>
    <definedName name="OSRRefL21_0x_0" localSheetId="17">'300'!$L$204:$L$213</definedName>
    <definedName name="OSRRefL21_0x_0" localSheetId="20">'300 &amp; 317'!$L$229:$L$238</definedName>
    <definedName name="OSRRefL21_0x_0" localSheetId="61">'301'!$L$20:$L$28</definedName>
    <definedName name="OSRRefL21_0x_0" localSheetId="62">'306'!$L$19:$L$28</definedName>
    <definedName name="OSRRefL21_0x_0" localSheetId="63">'307'!$L$100:$L$108</definedName>
    <definedName name="OSRRefL21_0x_0" localSheetId="29">'308'!$L$89:$L$98</definedName>
    <definedName name="OSRRefL21_0x_0" localSheetId="64">'309'!$L$25:$L$33</definedName>
    <definedName name="OSRRefL21_0x_0" localSheetId="23">'310'!$L$39:$L$47</definedName>
    <definedName name="OSRRefL21_0x_0" localSheetId="38">'310 &amp; 491'!$L$49:$L$58</definedName>
    <definedName name="OSRRefL21_0x_0" localSheetId="65">'311'!$L$71:$L$80</definedName>
    <definedName name="OSRRefL21_0x_0" localSheetId="66">'312'!$L$58:$L$66</definedName>
    <definedName name="OSRRefL21_0x_0" localSheetId="67">'313'!$L$35:$L$43</definedName>
    <definedName name="OSRRefL21_0x_0" localSheetId="68">'314'!$L$61:$L$69</definedName>
    <definedName name="OSRRefL21_0x_0" localSheetId="69">'315'!$L$57:$L$65</definedName>
    <definedName name="OSRRefL21_0x_0" localSheetId="70">'316'!$L$40:$L$48</definedName>
    <definedName name="OSRRefL21_0x_0" localSheetId="71">'317'!$L$63:$L$72</definedName>
    <definedName name="OSRRefL21_0x_0" localSheetId="72">'318'!$L$19:$L$25</definedName>
    <definedName name="OSRRefL21_0x_0" localSheetId="73">'320'!$L$35:$L$42</definedName>
    <definedName name="OSRRefL21_0x_0" localSheetId="74">'321'!$L$26:$L$34</definedName>
    <definedName name="OSRRefL21_0x_0" localSheetId="75">'322'!$L$25:$L$33</definedName>
    <definedName name="OSRRefL21_0x_0" localSheetId="76">'323'!$L$21:$L$27</definedName>
    <definedName name="OSRRefL21_0x_0" localSheetId="77">'324'!$L$26:$L$33</definedName>
    <definedName name="OSRRefL21_0x_0" localSheetId="78">'325'!$L$26:$L$34</definedName>
    <definedName name="OSRRefL21_0x_0" localSheetId="79">'326'!$L$94:$L$102</definedName>
    <definedName name="OSRRefL21_0x_0" localSheetId="80">'327'!$L$25</definedName>
    <definedName name="OSRRefL21_0x_0" localSheetId="26">'330'!$L$108:$L$117</definedName>
    <definedName name="OSRRefL21_0x_0" localSheetId="32">'331'!$L$105:$L$113</definedName>
    <definedName name="OSRRefL21_0x_0" localSheetId="35">'332'!$L$57:$L$65</definedName>
    <definedName name="OSRRefL21_0x_0" localSheetId="81">'335'!$L$19:$L$26</definedName>
    <definedName name="OSRRefL21_0x_0" localSheetId="82">'405'!$L$27:$L$36</definedName>
    <definedName name="OSRRefL21_0x_0" localSheetId="83">'406'!$L$23:$L$30</definedName>
    <definedName name="OSRRefL21_0x_0" localSheetId="84">'411'!$L$19:$L$28</definedName>
    <definedName name="OSRRefL21_0x_0" localSheetId="85">'412'!$L$27:$L$36</definedName>
    <definedName name="OSRRefL21_0x_0" localSheetId="86">'413'!$L$26:$L$35</definedName>
    <definedName name="OSRRefL21_0x_0" localSheetId="87">'414'!$L$26:$L$34</definedName>
    <definedName name="OSRRefL21_0x_0" localSheetId="88">'415'!$L$26:$L$35</definedName>
    <definedName name="OSRRefL21_0x_0" localSheetId="89">'418'!$L$26:$L$34</definedName>
    <definedName name="OSRRefL21_0x_0" localSheetId="90">'420'!$L$23:$L$30</definedName>
    <definedName name="OSRRefL21_0x_0" localSheetId="91">'423'!$L$20:$L$28</definedName>
    <definedName name="OSRRefL21_0x_0" localSheetId="92">'424'!$L$25:$L$31</definedName>
    <definedName name="OSRRefL21_0x_0" localSheetId="93">'425'!$L$26:$L$34</definedName>
    <definedName name="OSRRefL21_0x_0" localSheetId="94">'430'!$L$19:$L$27</definedName>
    <definedName name="OSRRefL21_0x_0" localSheetId="95">'433'!$L$28:$L$37</definedName>
    <definedName name="OSRRefL21_0x_0" localSheetId="96">'435'!$L$24:$L$26</definedName>
    <definedName name="OSRRefL21_0x_0" localSheetId="97">'444'!$L$26:$L$35</definedName>
    <definedName name="OSRRefL21_0x_0" localSheetId="98">'445'!$L$24:$L$26</definedName>
    <definedName name="OSRRefL21_0x_0" localSheetId="99">'450'!$L$26:$L$35</definedName>
    <definedName name="OSRRefL21_0x_0" localSheetId="100">'455'!$L$19:$L$26</definedName>
    <definedName name="OSRRefL21_0x_0" localSheetId="41">'491'!$L$37:$L$46</definedName>
    <definedName name="OSRRefL21_0x_0" localSheetId="44">'492'!$L$30:$L$39</definedName>
    <definedName name="OSRRefL21_0x_0" localSheetId="101">'501'!$L$21:$L$29</definedName>
    <definedName name="OSRRefL21_0x_0" localSheetId="8">'Div 2'!$L$20:$L$30</definedName>
    <definedName name="OSRRefL21_0x_0" localSheetId="11">'Div 3'!$L$209:$L$218</definedName>
    <definedName name="OSRRefL21_0x_0" localSheetId="14">'Div 4'!$L$38:$L$47</definedName>
    <definedName name="OSRRefL21_0x_0" localSheetId="47">'Div 5'!$L$21:$L$29</definedName>
    <definedName name="OSRRefL21_0x_0" localSheetId="50">'Div 6'!$L$63:$L$72</definedName>
    <definedName name="OSRRefL21_0x_0" localSheetId="2">Summary!$L$245:$L$254</definedName>
    <definedName name="OSRRefL21_10x_0" localSheetId="55">'201'!$L$58</definedName>
    <definedName name="OSRRefL21_10x_0" localSheetId="56">'202'!$L$59:$L$61</definedName>
    <definedName name="OSRRefL21_10x_0" localSheetId="57">'203'!$L$60:$L$62</definedName>
    <definedName name="OSRRefL21_10x_0" localSheetId="58">'204'!$L$63:$L$66</definedName>
    <definedName name="OSRRefL21_10x_0" localSheetId="60">'206'!$L$59:$L$60</definedName>
    <definedName name="OSRRefL21_10x_0" localSheetId="17">'300'!$L$249:$L$250</definedName>
    <definedName name="OSRRefL21_10x_0" localSheetId="20">'300 &amp; 317'!$L$274:$L$275</definedName>
    <definedName name="OSRRefL21_10x_0" localSheetId="61">'301'!$L$63</definedName>
    <definedName name="OSRRefL21_10x_0" localSheetId="62">'306'!$L$63</definedName>
    <definedName name="OSRRefL21_10x_0" localSheetId="63">'307'!$L$162</definedName>
    <definedName name="OSRRefL21_10x_0" localSheetId="29">'308'!$L$142:$L$144</definedName>
    <definedName name="OSRRefL21_10x_0" localSheetId="64">'309'!$L$62:$L$63</definedName>
    <definedName name="OSRRefL21_10x_0" localSheetId="23">'310'!$L$78:$L$79</definedName>
    <definedName name="OSRRefL21_10x_0" localSheetId="38">'310 &amp; 491'!$L$92:$L$93</definedName>
    <definedName name="OSRRefL21_10x_0" localSheetId="65">'311'!$L$120:$L$122</definedName>
    <definedName name="OSRRefL21_10x_0" localSheetId="67">'313'!$L$73:$L$75</definedName>
    <definedName name="OSRRefL21_10x_0" localSheetId="68">'314'!$L$105:$L$108</definedName>
    <definedName name="OSRRefL21_10x_0" localSheetId="69">'315'!$L$102</definedName>
    <definedName name="OSRRefL21_10x_0" localSheetId="70">'316'!$L$80</definedName>
    <definedName name="OSRRefL21_10x_0" localSheetId="71">'317'!$L$110:$L$111</definedName>
    <definedName name="OSRRefL21_10x_0" localSheetId="73">'320'!$L$75</definedName>
    <definedName name="OSRRefL21_10x_0" localSheetId="74">'321'!$L$66:$L$67</definedName>
    <definedName name="OSRRefL21_10x_0" localSheetId="75">'322'!$L$62</definedName>
    <definedName name="OSRRefL21_10x_0" localSheetId="78">'325'!$L$64</definedName>
    <definedName name="OSRRefL21_10x_0" localSheetId="79">'326'!$L$135</definedName>
    <definedName name="OSRRefL21_10x_0" localSheetId="26">'330'!$L$171</definedName>
    <definedName name="OSRRefL21_10x_0" localSheetId="32">'331'!$L$146</definedName>
    <definedName name="OSRRefL21_10x_0" localSheetId="35">'332'!$L$98:$L$100</definedName>
    <definedName name="OSRRefL21_10x_0" localSheetId="82">'405'!$L$66:$L$68</definedName>
    <definedName name="OSRRefL21_10x_0" localSheetId="83">'406'!$L$55:$L$57</definedName>
    <definedName name="OSRRefL21_10x_0" localSheetId="84">'411'!$L$60</definedName>
    <definedName name="OSRRefL21_10x_0" localSheetId="85">'412'!$L$66</definedName>
    <definedName name="OSRRefL21_10x_0" localSheetId="86">'413'!$L$69:$L$78</definedName>
    <definedName name="OSRRefL21_10x_0" localSheetId="87">'414'!$L$63:$L$64</definedName>
    <definedName name="OSRRefL21_10x_0" localSheetId="88">'415'!$L$65</definedName>
    <definedName name="OSRRefL21_10x_0" localSheetId="89">'418'!$L$64</definedName>
    <definedName name="OSRRefL21_10x_0" localSheetId="91">'423'!$L$59</definedName>
    <definedName name="OSRRefL21_10x_0" localSheetId="92">'424'!$L$57</definedName>
    <definedName name="OSRRefL21_10x_0" localSheetId="93">'425'!$L$64</definedName>
    <definedName name="OSRRefL21_10x_0" localSheetId="94">'430'!$L$61</definedName>
    <definedName name="OSRRefL21_10x_0" localSheetId="95">'433'!$L$66</definedName>
    <definedName name="OSRRefL21_10x_0" localSheetId="96">'435'!$L$50:$L$56</definedName>
    <definedName name="OSRRefL21_10x_0" localSheetId="97">'444'!$L$64</definedName>
    <definedName name="OSRRefL21_10x_0" localSheetId="98">'445'!$L$49:$L$52</definedName>
    <definedName name="OSRRefL21_10x_0" localSheetId="99">'450'!$L$65</definedName>
    <definedName name="OSRRefL21_10x_0" localSheetId="41">'491'!$L$80</definedName>
    <definedName name="OSRRefL21_10x_0" localSheetId="44">'492'!$L$69</definedName>
    <definedName name="OSRRefL21_10x_0" localSheetId="101">'501'!$L$59</definedName>
    <definedName name="OSRRefL21_10x_0" localSheetId="8">'Div 2'!$L$61:$L$62</definedName>
    <definedName name="OSRRefL21_10x_0" localSheetId="11">'Div 3'!$L$254:$L$255</definedName>
    <definedName name="OSRRefL21_10x_0" localSheetId="14">'Div 4'!$L$81</definedName>
    <definedName name="OSRRefL21_10x_0" localSheetId="47">'Div 5'!$L$59</definedName>
    <definedName name="OSRRefL21_10x_0" localSheetId="50">'Div 6'!$L$110:$L$111</definedName>
    <definedName name="OSRRefL21_10x_0" localSheetId="2">Summary!$L$290:$L$291</definedName>
    <definedName name="OSRRefL21_11x_0" localSheetId="55">'201'!$L$60</definedName>
    <definedName name="OSRRefL21_11x_0" localSheetId="56">'202'!$L$63</definedName>
    <definedName name="OSRRefL21_11x_0" localSheetId="57">'203'!$L$64:$L$65</definedName>
    <definedName name="OSRRefL21_11x_0" localSheetId="58">'204'!$L$68:$L$69</definedName>
    <definedName name="OSRRefL21_11x_0" localSheetId="60">'206'!$L$62</definedName>
    <definedName name="OSRRefL21_11x_0" localSheetId="17">'300'!$L$252:$L$254</definedName>
    <definedName name="OSRRefL21_11x_0" localSheetId="20">'300 &amp; 317'!$L$277:$L$279</definedName>
    <definedName name="OSRRefL21_11x_0" localSheetId="61">'301'!$L$65</definedName>
    <definedName name="OSRRefL21_11x_0" localSheetId="62">'306'!$L$65</definedName>
    <definedName name="OSRRefL21_11x_0" localSheetId="63">'307'!$L$164</definedName>
    <definedName name="OSRRefL21_11x_0" localSheetId="29">'308'!$L$146</definedName>
    <definedName name="OSRRefL21_11x_0" localSheetId="64">'309'!$L$65:$L$67</definedName>
    <definedName name="OSRRefL21_11x_0" localSheetId="23">'310'!$L$81</definedName>
    <definedName name="OSRRefL21_11x_0" localSheetId="38">'310 &amp; 491'!$L$95:$L$97</definedName>
    <definedName name="OSRRefL21_11x_0" localSheetId="65">'311'!$L$124</definedName>
    <definedName name="OSRRefL21_11x_0" localSheetId="67">'313'!$L$77:$L$78</definedName>
    <definedName name="OSRRefL21_11x_0" localSheetId="68">'314'!$L$110</definedName>
    <definedName name="OSRRefL21_11x_0" localSheetId="69">'315'!$L$104:$L$106</definedName>
    <definedName name="OSRRefL21_11x_0" localSheetId="70">'316'!$L$82:$L$87</definedName>
    <definedName name="OSRRefL21_11x_0" localSheetId="71">'317'!$L$113</definedName>
    <definedName name="OSRRefL21_11x_0" localSheetId="73">'320'!$L$77</definedName>
    <definedName name="OSRRefL21_11x_0" localSheetId="74">'321'!$L$69:$L$71</definedName>
    <definedName name="OSRRefL21_11x_0" localSheetId="75">'322'!$L$64</definedName>
    <definedName name="OSRRefL21_11x_0" localSheetId="78">'325'!$L$66</definedName>
    <definedName name="OSRRefL21_11x_0" localSheetId="79">'326'!$L$137:$L$157</definedName>
    <definedName name="OSRRefL21_11x_0" localSheetId="26">'330'!$L$173</definedName>
    <definedName name="OSRRefL21_11x_0" localSheetId="32">'331'!$L$148:$L$168</definedName>
    <definedName name="OSRRefL21_11x_0" localSheetId="35">'332'!$L$102:$L$103</definedName>
    <definedName name="OSRRefL21_11x_0" localSheetId="82">'405'!$L$70</definedName>
    <definedName name="OSRRefL21_11x_0" localSheetId="83">'406'!$L$59</definedName>
    <definedName name="OSRRefL21_11x_0" localSheetId="84">'411'!$L$62</definedName>
    <definedName name="OSRRefL21_11x_0" localSheetId="85">'412'!$L$68:$L$70</definedName>
    <definedName name="OSRRefL21_11x_0" localSheetId="86">'413'!$L$80:$L$81</definedName>
    <definedName name="OSRRefL21_11x_0" localSheetId="87">'414'!$L$66</definedName>
    <definedName name="OSRRefL21_11x_0" localSheetId="88">'415'!$L$67:$L$70</definedName>
    <definedName name="OSRRefL21_11x_0" localSheetId="89">'418'!$L$66:$L$67</definedName>
    <definedName name="OSRRefL21_11x_0" localSheetId="91">'423'!$L$61</definedName>
    <definedName name="OSRRefL21_11x_0" localSheetId="92">'424'!$L$59:$L$61</definedName>
    <definedName name="OSRRefL21_11x_0" localSheetId="93">'425'!$L$66:$L$69</definedName>
    <definedName name="OSRRefL21_11x_0" localSheetId="94">'430'!$L$63:$L$64</definedName>
    <definedName name="OSRRefL21_11x_0" localSheetId="95">'433'!$L$68</definedName>
    <definedName name="OSRRefL21_11x_0" localSheetId="96">'435'!$L$58</definedName>
    <definedName name="OSRRefL21_11x_0" localSheetId="97">'444'!$L$66</definedName>
    <definedName name="OSRRefL21_11x_0" localSheetId="98">'445'!$L$54</definedName>
    <definedName name="OSRRefL21_11x_0" localSheetId="99">'450'!$L$67</definedName>
    <definedName name="OSRRefL21_11x_0" localSheetId="41">'491'!$L$82:$L$83</definedName>
    <definedName name="OSRRefL21_11x_0" localSheetId="44">'492'!$L$71</definedName>
    <definedName name="OSRRefL21_11x_0" localSheetId="101">'501'!$L$61:$L$64</definedName>
    <definedName name="OSRRefL21_11x_0" localSheetId="8">'Div 2'!$L$64:$L$65</definedName>
    <definedName name="OSRRefL21_11x_0" localSheetId="11">'Div 3'!$L$257:$L$259</definedName>
    <definedName name="OSRRefL21_11x_0" localSheetId="14">'Div 4'!$L$83:$L$84</definedName>
    <definedName name="OSRRefL21_11x_0" localSheetId="47">'Div 5'!$L$61:$L$64</definedName>
    <definedName name="OSRRefL21_11x_0" localSheetId="50">'Div 6'!$L$113</definedName>
    <definedName name="OSRRefL21_11x_0" localSheetId="2">Summary!$L$293:$L$295</definedName>
    <definedName name="OSRRefL21_12x_0" localSheetId="55">'201'!$L$62</definedName>
    <definedName name="OSRRefL21_12x_0" localSheetId="56">'202'!$L$65</definedName>
    <definedName name="OSRRefL21_12x_0" localSheetId="57">'203'!$L$67:$L$71</definedName>
    <definedName name="OSRRefL21_12x_0" localSheetId="58">'204'!$L$71</definedName>
    <definedName name="OSRRefL21_12x_0" localSheetId="60">'206'!$L$64:$L$65</definedName>
    <definedName name="OSRRefL21_12x_0" localSheetId="17">'300'!$L$256</definedName>
    <definedName name="OSRRefL21_12x_0" localSheetId="20">'300 &amp; 317'!$L$281</definedName>
    <definedName name="OSRRefL21_12x_0" localSheetId="61">'301'!$L$67</definedName>
    <definedName name="OSRRefL21_12x_0" localSheetId="62">'306'!$L$67</definedName>
    <definedName name="OSRRefL21_12x_0" localSheetId="63">'307'!$L$166:$L$167</definedName>
    <definedName name="OSRRefL21_12x_0" localSheetId="29">'308'!$L$148:$L$149</definedName>
    <definedName name="OSRRefL21_12x_0" localSheetId="64">'309'!$L$69</definedName>
    <definedName name="OSRRefL21_12x_0" localSheetId="23">'310'!$L$83</definedName>
    <definedName name="OSRRefL21_12x_0" localSheetId="38">'310 &amp; 491'!$L$99</definedName>
    <definedName name="OSRRefL21_12x_0" localSheetId="65">'311'!$L$126:$L$127</definedName>
    <definedName name="OSRRefL21_12x_0" localSheetId="67">'313'!$L$80:$L$81</definedName>
    <definedName name="OSRRefL21_12x_0" localSheetId="68">'314'!$L$112</definedName>
    <definedName name="OSRRefL21_12x_0" localSheetId="69">'315'!$L$108:$L$110</definedName>
    <definedName name="OSRRefL21_12x_0" localSheetId="70">'316'!$L$89</definedName>
    <definedName name="OSRRefL21_12x_0" localSheetId="71">'317'!$L$115:$L$118</definedName>
    <definedName name="OSRRefL21_12x_0" localSheetId="73">'320'!$L$79</definedName>
    <definedName name="OSRRefL21_12x_0" localSheetId="74">'321'!$L$73:$L$74</definedName>
    <definedName name="OSRRefL21_12x_0" localSheetId="75">'322'!$L$66:$L$67</definedName>
    <definedName name="OSRRefL21_12x_0" localSheetId="78">'325'!$L$68:$L$71</definedName>
    <definedName name="OSRRefL21_12x_0" localSheetId="79">'326'!$L$159</definedName>
    <definedName name="OSRRefL21_12x_0" localSheetId="26">'330'!$L$175:$L$176</definedName>
    <definedName name="OSRRefL21_12x_0" localSheetId="32">'331'!$L$170</definedName>
    <definedName name="OSRRefL21_12x_0" localSheetId="35">'332'!$L$105:$L$110</definedName>
    <definedName name="OSRRefL21_12x_0" localSheetId="82">'405'!$L$72:$L$75</definedName>
    <definedName name="OSRRefL21_12x_0" localSheetId="83">'406'!$L$61:$L$63</definedName>
    <definedName name="OSRRefL21_12x_0" localSheetId="84">'411'!$L$64</definedName>
    <definedName name="OSRRefL21_12x_0" localSheetId="85">'412'!$L$72</definedName>
    <definedName name="OSRRefL21_12x_0" localSheetId="86">'413'!$L$83</definedName>
    <definedName name="OSRRefL21_12x_0" localSheetId="87">'414'!$L$68:$L$70</definedName>
    <definedName name="OSRRefL21_12x_0" localSheetId="88">'415'!$L$72</definedName>
    <definedName name="OSRRefL21_12x_0" localSheetId="89">'418'!$L$69:$L$72</definedName>
    <definedName name="OSRRefL21_12x_0" localSheetId="91">'423'!$L$63</definedName>
    <definedName name="OSRRefL21_12x_0" localSheetId="92">'424'!$L$63:$L$69</definedName>
    <definedName name="OSRRefL21_12x_0" localSheetId="93">'425'!$L$71:$L$72</definedName>
    <definedName name="OSRRefL21_12x_0" localSheetId="95">'433'!$L$70</definedName>
    <definedName name="OSRRefL21_12x_0" localSheetId="96">'435'!$L$60</definedName>
    <definedName name="OSRRefL21_12x_0" localSheetId="97">'444'!$L$68</definedName>
    <definedName name="OSRRefL21_12x_0" localSheetId="98">'445'!$L$56</definedName>
    <definedName name="OSRRefL21_12x_0" localSheetId="99">'450'!$L$69:$L$71</definedName>
    <definedName name="OSRRefL21_12x_0" localSheetId="41">'491'!$L$85</definedName>
    <definedName name="OSRRefL21_12x_0" localSheetId="44">'492'!$L$73</definedName>
    <definedName name="OSRRefL21_12x_0" localSheetId="101">'501'!$L$66</definedName>
    <definedName name="OSRRefL21_12x_0" localSheetId="8">'Div 2'!$L$67:$L$68</definedName>
    <definedName name="OSRRefL21_12x_0" localSheetId="11">'Div 3'!$L$261</definedName>
    <definedName name="OSRRefL21_12x_0" localSheetId="14">'Div 4'!$L$86</definedName>
    <definedName name="OSRRefL21_12x_0" localSheetId="47">'Div 5'!$L$66</definedName>
    <definedName name="OSRRefL21_12x_0" localSheetId="50">'Div 6'!$L$115:$L$118</definedName>
    <definedName name="OSRRefL21_12x_0" localSheetId="2">Summary!$L$297</definedName>
    <definedName name="OSRRefL21_13x_0" localSheetId="55">'201'!$L$64:$L$67</definedName>
    <definedName name="OSRRefL21_13x_0" localSheetId="56">'202'!$L$67:$L$69</definedName>
    <definedName name="OSRRefL21_13x_0" localSheetId="57">'203'!$L$73</definedName>
    <definedName name="OSRRefL21_13x_0" localSheetId="58">'204'!$L$73:$L$74</definedName>
    <definedName name="OSRRefL21_13x_0" localSheetId="17">'300'!$L$258:$L$294</definedName>
    <definedName name="OSRRefL21_13x_0" localSheetId="20">'300 &amp; 317'!$L$283:$L$322</definedName>
    <definedName name="OSRRefL21_13x_0" localSheetId="61">'301'!$L$69:$L$70</definedName>
    <definedName name="OSRRefL21_13x_0" localSheetId="63">'307'!$L$169:$L$170</definedName>
    <definedName name="OSRRefL21_13x_0" localSheetId="29">'308'!$L$151:$L$154</definedName>
    <definedName name="OSRRefL21_13x_0" localSheetId="64">'309'!$L$71:$L$79</definedName>
    <definedName name="OSRRefL21_13x_0" localSheetId="23">'310'!$L$85</definedName>
    <definedName name="OSRRefL21_13x_0" localSheetId="38">'310 &amp; 491'!$L$101</definedName>
    <definedName name="OSRRefL21_13x_0" localSheetId="65">'311'!$L$129:$L$132</definedName>
    <definedName name="OSRRefL21_13x_0" localSheetId="67">'313'!$L$83:$L$89</definedName>
    <definedName name="OSRRefL21_13x_0" localSheetId="68">'314'!$L$114</definedName>
    <definedName name="OSRRefL21_13x_0" localSheetId="69">'315'!$L$112:$L$113</definedName>
    <definedName name="OSRRefL21_13x_0" localSheetId="70">'316'!$L$91</definedName>
    <definedName name="OSRRefL21_13x_0" localSheetId="71">'317'!$L$120</definedName>
    <definedName name="OSRRefL21_13x_0" localSheetId="74">'321'!$L$76:$L$83</definedName>
    <definedName name="OSRRefL21_13x_0" localSheetId="75">'322'!$L$69:$L$71</definedName>
    <definedName name="OSRRefL21_13x_0" localSheetId="78">'325'!$L$73:$L$76</definedName>
    <definedName name="OSRRefL21_13x_0" localSheetId="79">'326'!$L$161</definedName>
    <definedName name="OSRRefL21_13x_0" localSheetId="26">'330'!$L$178:$L$179</definedName>
    <definedName name="OSRRefL21_13x_0" localSheetId="32">'331'!$L$172</definedName>
    <definedName name="OSRRefL21_13x_0" localSheetId="35">'332'!$L$112</definedName>
    <definedName name="OSRRefL21_13x_0" localSheetId="82">'405'!$L$77:$L$78</definedName>
    <definedName name="OSRRefL21_13x_0" localSheetId="83">'406'!$L$65:$L$70</definedName>
    <definedName name="OSRRefL21_13x_0" localSheetId="84">'411'!$L$66</definedName>
    <definedName name="OSRRefL21_13x_0" localSheetId="85">'412'!$L$74:$L$78</definedName>
    <definedName name="OSRRefL21_13x_0" localSheetId="86">'413'!$L$85:$L$86</definedName>
    <definedName name="OSRRefL21_13x_0" localSheetId="87">'414'!$L$72</definedName>
    <definedName name="OSRRefL21_13x_0" localSheetId="88">'415'!$L$74:$L$78</definedName>
    <definedName name="OSRRefL21_13x_0" localSheetId="89">'418'!$L$74:$L$77</definedName>
    <definedName name="OSRRefL21_13x_0" localSheetId="92">'424'!$L$71</definedName>
    <definedName name="OSRRefL21_13x_0" localSheetId="93">'425'!$L$74:$L$81</definedName>
    <definedName name="OSRRefL21_13x_0" localSheetId="95">'433'!$L$72:$L$74</definedName>
    <definedName name="OSRRefL21_13x_0" localSheetId="96">'435'!$L$62</definedName>
    <definedName name="OSRRefL21_13x_0" localSheetId="97">'444'!$L$70:$L$73</definedName>
    <definedName name="OSRRefL21_13x_0" localSheetId="98">'445'!$L$58</definedName>
    <definedName name="OSRRefL21_13x_0" localSheetId="99">'450'!$L$73:$L$76</definedName>
    <definedName name="OSRRefL21_13x_0" localSheetId="41">'491'!$L$87</definedName>
    <definedName name="OSRRefL21_13x_0" localSheetId="44">'492'!$L$75:$L$76</definedName>
    <definedName name="OSRRefL21_13x_0" localSheetId="101">'501'!$L$68:$L$71</definedName>
    <definedName name="OSRRefL21_13x_0" localSheetId="8">'Div 2'!$L$70</definedName>
    <definedName name="OSRRefL21_13x_0" localSheetId="11">'Div 3'!$L$263</definedName>
    <definedName name="OSRRefL21_13x_0" localSheetId="14">'Div 4'!$L$88</definedName>
    <definedName name="OSRRefL21_13x_0" localSheetId="47">'Div 5'!$L$68:$L$71</definedName>
    <definedName name="OSRRefL21_13x_0" localSheetId="50">'Div 6'!$L$120</definedName>
    <definedName name="OSRRefL21_13x_0" localSheetId="2">Summary!$L$299</definedName>
    <definedName name="OSRRefL21_14x_0" localSheetId="55">'201'!$L$69:$L$71</definedName>
    <definedName name="OSRRefL21_14x_0" localSheetId="56">'202'!$L$71</definedName>
    <definedName name="OSRRefL21_14x_0" localSheetId="57">'203'!$L$75</definedName>
    <definedName name="OSRRefL21_14x_0" localSheetId="17">'300'!$L$296:$L$297</definedName>
    <definedName name="OSRRefL21_14x_0" localSheetId="20">'300 &amp; 317'!$L$324:$L$325</definedName>
    <definedName name="OSRRefL21_14x_0" localSheetId="61">'301'!$L$72:$L$73</definedName>
    <definedName name="OSRRefL21_14x_0" localSheetId="63">'307'!$L$172</definedName>
    <definedName name="OSRRefL21_14x_0" localSheetId="29">'308'!$L$156:$L$157</definedName>
    <definedName name="OSRRefL21_14x_0" localSheetId="64">'309'!$L$81</definedName>
    <definedName name="OSRRefL21_14x_0" localSheetId="23">'310'!$L$87</definedName>
    <definedName name="OSRRefL21_14x_0" localSheetId="38">'310 &amp; 491'!$L$103</definedName>
    <definedName name="OSRRefL21_14x_0" localSheetId="65">'311'!$L$134:$L$135</definedName>
    <definedName name="OSRRefL21_14x_0" localSheetId="67">'313'!$L$91:$L$92</definedName>
    <definedName name="OSRRefL21_14x_0" localSheetId="69">'315'!$L$115:$L$122</definedName>
    <definedName name="OSRRefL21_14x_0" localSheetId="70">'316'!$L$93</definedName>
    <definedName name="OSRRefL21_14x_0" localSheetId="71">'317'!$L$122</definedName>
    <definedName name="OSRRefL21_14x_0" localSheetId="74">'321'!$L$85:$L$86</definedName>
    <definedName name="OSRRefL21_14x_0" localSheetId="75">'322'!$L$73:$L$74</definedName>
    <definedName name="OSRRefL21_14x_0" localSheetId="78">'325'!$L$78:$L$79</definedName>
    <definedName name="OSRRefL21_14x_0" localSheetId="79">'326'!$L$163:$L$165</definedName>
    <definedName name="OSRRefL21_14x_0" localSheetId="26">'330'!$L$181</definedName>
    <definedName name="OSRRefL21_14x_0" localSheetId="32">'331'!$L$174:$L$177</definedName>
    <definedName name="OSRRefL21_14x_0" localSheetId="35">'332'!$L$114</definedName>
    <definedName name="OSRRefL21_14x_0" localSheetId="82">'405'!$L$80:$L$89</definedName>
    <definedName name="OSRRefL21_14x_0" localSheetId="83">'406'!$L$72</definedName>
    <definedName name="OSRRefL21_14x_0" localSheetId="84">'411'!$L$68:$L$71</definedName>
    <definedName name="OSRRefL21_14x_0" localSheetId="85">'412'!$L$80:$L$89</definedName>
    <definedName name="OSRRefL21_14x_0" localSheetId="87">'414'!$L$74:$L$82</definedName>
    <definedName name="OSRRefL21_14x_0" localSheetId="88">'415'!$L$80:$L$81</definedName>
    <definedName name="OSRRefL21_14x_0" localSheetId="89">'418'!$L$79:$L$80</definedName>
    <definedName name="OSRRefL21_14x_0" localSheetId="93">'425'!$L$83</definedName>
    <definedName name="OSRRefL21_14x_0" localSheetId="95">'433'!$L$76:$L$79</definedName>
    <definedName name="OSRRefL21_14x_0" localSheetId="97">'444'!$L$75:$L$78</definedName>
    <definedName name="OSRRefL21_14x_0" localSheetId="99">'450'!$L$78</definedName>
    <definedName name="OSRRefL21_14x_0" localSheetId="41">'491'!$L$89</definedName>
    <definedName name="OSRRefL21_14x_0" localSheetId="44">'492'!$L$78</definedName>
    <definedName name="OSRRefL21_14x_0" localSheetId="101">'501'!$L$73</definedName>
    <definedName name="OSRRefL21_14x_0" localSheetId="8">'Div 2'!$L$72:$L$75</definedName>
    <definedName name="OSRRefL21_14x_0" localSheetId="11">'Div 3'!$L$265:$L$301</definedName>
    <definedName name="OSRRefL21_14x_0" localSheetId="14">'Div 4'!$L$90:$L$91</definedName>
    <definedName name="OSRRefL21_14x_0" localSheetId="47">'Div 5'!$L$73</definedName>
    <definedName name="OSRRefL21_14x_0" localSheetId="50">'Div 6'!$L$122</definedName>
    <definedName name="OSRRefL21_14x_0" localSheetId="2">Summary!$L$301:$L$340</definedName>
    <definedName name="OSRRefL21_15x_0" localSheetId="55">'201'!$L$73</definedName>
    <definedName name="OSRRefL21_15x_0" localSheetId="56">'202'!$L$73</definedName>
    <definedName name="OSRRefL21_15x_0" localSheetId="57">'203'!$L$77:$L$78</definedName>
    <definedName name="OSRRefL21_15x_0" localSheetId="17">'300'!$L$299</definedName>
    <definedName name="OSRRefL21_15x_0" localSheetId="20">'300 &amp; 317'!$L$327</definedName>
    <definedName name="OSRRefL21_15x_0" localSheetId="61">'301'!$L$75</definedName>
    <definedName name="OSRRefL21_15x_0" localSheetId="63">'307'!$L$174:$L$179</definedName>
    <definedName name="OSRRefL21_15x_0" localSheetId="29">'308'!$L$159</definedName>
    <definedName name="OSRRefL21_15x_0" localSheetId="64">'309'!$L$83</definedName>
    <definedName name="OSRRefL21_15x_0" localSheetId="23">'310'!$L$89:$L$92</definedName>
    <definedName name="OSRRefL21_15x_0" localSheetId="38">'310 &amp; 491'!$L$105</definedName>
    <definedName name="OSRRefL21_15x_0" localSheetId="65">'311'!$L$137</definedName>
    <definedName name="OSRRefL21_15x_0" localSheetId="67">'313'!$L$94</definedName>
    <definedName name="OSRRefL21_15x_0" localSheetId="69">'315'!$L$124</definedName>
    <definedName name="OSRRefL21_15x_0" localSheetId="70">'316'!$L$95</definedName>
    <definedName name="OSRRefL21_15x_0" localSheetId="71">'317'!$L$124:$L$125</definedName>
    <definedName name="OSRRefL21_15x_0" localSheetId="74">'321'!$L$88</definedName>
    <definedName name="OSRRefL21_15x_0" localSheetId="75">'322'!$L$76:$L$84</definedName>
    <definedName name="OSRRefL21_15x_0" localSheetId="78">'325'!$L$81:$L$88</definedName>
    <definedName name="OSRRefL21_15x_0" localSheetId="79">'326'!$L$167:$L$169</definedName>
    <definedName name="OSRRefL21_15x_0" localSheetId="26">'330'!$L$183:$L$189</definedName>
    <definedName name="OSRRefL21_15x_0" localSheetId="32">'331'!$L$179:$L$181</definedName>
    <definedName name="OSRRefL21_15x_0" localSheetId="35">'332'!$L$116</definedName>
    <definedName name="OSRRefL21_15x_0" localSheetId="82">'405'!$L$91</definedName>
    <definedName name="OSRRefL21_15x_0" localSheetId="83">'406'!$L$74</definedName>
    <definedName name="OSRRefL21_15x_0" localSheetId="84">'411'!$L$73</definedName>
    <definedName name="OSRRefL21_15x_0" localSheetId="85">'412'!$L$91:$L$92</definedName>
    <definedName name="OSRRefL21_15x_0" localSheetId="87">'414'!$L$84</definedName>
    <definedName name="OSRRefL21_15x_0" localSheetId="88">'415'!$L$83:$L$91</definedName>
    <definedName name="OSRRefL21_15x_0" localSheetId="89">'418'!$L$82:$L$92</definedName>
    <definedName name="OSRRefL21_15x_0" localSheetId="93">'425'!$L$85</definedName>
    <definedName name="OSRRefL21_15x_0" localSheetId="95">'433'!$L$81</definedName>
    <definedName name="OSRRefL21_15x_0" localSheetId="97">'444'!$L$80:$L$81</definedName>
    <definedName name="OSRRefL21_15x_0" localSheetId="99">'450'!$L$80:$L$89</definedName>
    <definedName name="OSRRefL21_15x_0" localSheetId="41">'491'!$L$91</definedName>
    <definedName name="OSRRefL21_15x_0" localSheetId="44">'492'!$L$80:$L$83</definedName>
    <definedName name="OSRRefL21_15x_0" localSheetId="101">'501'!$L$75</definedName>
    <definedName name="OSRRefL21_15x_0" localSheetId="8">'Div 2'!$L$77:$L$80</definedName>
    <definedName name="OSRRefL21_15x_0" localSheetId="11">'Div 3'!$L$303:$L$304</definedName>
    <definedName name="OSRRefL21_15x_0" localSheetId="14">'Div 4'!$L$93</definedName>
    <definedName name="OSRRefL21_15x_0" localSheetId="47">'Div 5'!$L$75</definedName>
    <definedName name="OSRRefL21_15x_0" localSheetId="50">'Div 6'!$L$124:$L$125</definedName>
    <definedName name="OSRRefL21_15x_0" localSheetId="2">Summary!$L$342:$L$343</definedName>
    <definedName name="OSRRefL21_16x_0" localSheetId="55">'201'!$L$75:$L$78</definedName>
    <definedName name="OSRRefL21_16x_0" localSheetId="56">'202'!$L$75:$L$76</definedName>
    <definedName name="OSRRefL21_16x_0" localSheetId="17">'300'!$L$301:$L$304</definedName>
    <definedName name="OSRRefL21_16x_0" localSheetId="20">'300 &amp; 317'!$L$329:$L$332</definedName>
    <definedName name="OSRRefL21_16x_0" localSheetId="61">'301'!$L$77:$L$80</definedName>
    <definedName name="OSRRefL21_16x_0" localSheetId="63">'307'!$L$181:$L$182</definedName>
    <definedName name="OSRRefL21_16x_0" localSheetId="29">'308'!$L$161:$L$162</definedName>
    <definedName name="OSRRefL21_16x_0" localSheetId="64">'309'!$L$85:$L$86</definedName>
    <definedName name="OSRRefL21_16x_0" localSheetId="23">'310'!$L$94:$L$95</definedName>
    <definedName name="OSRRefL21_16x_0" localSheetId="38">'310 &amp; 491'!$L$107</definedName>
    <definedName name="OSRRefL21_16x_0" localSheetId="65">'311'!$L$139:$L$140</definedName>
    <definedName name="OSRRefL21_16x_0" localSheetId="67">'313'!$L$96:$L$97</definedName>
    <definedName name="OSRRefL21_16x_0" localSheetId="69">'315'!$L$126</definedName>
    <definedName name="OSRRefL21_16x_0" localSheetId="74">'321'!$L$90:$L$91</definedName>
    <definedName name="OSRRefL21_16x_0" localSheetId="75">'322'!$L$86</definedName>
    <definedName name="OSRRefL21_16x_0" localSheetId="78">'325'!$L$90:$L$91</definedName>
    <definedName name="OSRRefL21_16x_0" localSheetId="79">'326'!$L$171:$L$172</definedName>
    <definedName name="OSRRefL21_16x_0" localSheetId="26">'330'!$L$191:$L$192</definedName>
    <definedName name="OSRRefL21_16x_0" localSheetId="32">'331'!$L$183:$L$185</definedName>
    <definedName name="OSRRefL21_16x_0" localSheetId="35">'332'!$L$118</definedName>
    <definedName name="OSRRefL21_16x_0" localSheetId="82">'405'!$L$93</definedName>
    <definedName name="OSRRefL21_16x_0" localSheetId="83">'406'!$L$76:$L$77</definedName>
    <definedName name="OSRRefL21_16x_0" localSheetId="84">'411'!$L$75:$L$79</definedName>
    <definedName name="OSRRefL21_16x_0" localSheetId="85">'412'!$L$94</definedName>
    <definedName name="OSRRefL21_16x_0" localSheetId="87">'414'!$L$86</definedName>
    <definedName name="OSRRefL21_16x_0" localSheetId="88">'415'!$L$93:$L$94</definedName>
    <definedName name="OSRRefL21_16x_0" localSheetId="89">'418'!$L$94:$L$95</definedName>
    <definedName name="OSRRefL21_16x_0" localSheetId="93">'425'!$L$87:$L$89</definedName>
    <definedName name="OSRRefL21_16x_0" localSheetId="95">'433'!$L$83:$L$91</definedName>
    <definedName name="OSRRefL21_16x_0" localSheetId="97">'444'!$L$83:$L$92</definedName>
    <definedName name="OSRRefL21_16x_0" localSheetId="99">'450'!$L$91:$L$92</definedName>
    <definedName name="OSRRefL21_16x_0" localSheetId="41">'491'!$L$93</definedName>
    <definedName name="OSRRefL21_16x_0" localSheetId="44">'492'!$L$85:$L$88</definedName>
    <definedName name="OSRRefL21_16x_0" localSheetId="101">'501'!$L$77</definedName>
    <definedName name="OSRRefL21_16x_0" localSheetId="8">'Div 2'!$L$82:$L$83</definedName>
    <definedName name="OSRRefL21_16x_0" localSheetId="11">'Div 3'!$L$306</definedName>
    <definedName name="OSRRefL21_16x_0" localSheetId="14">'Div 4'!$L$95</definedName>
    <definedName name="OSRRefL21_16x_0" localSheetId="47">'Div 5'!$L$77</definedName>
    <definedName name="OSRRefL21_16x_0" localSheetId="2">Summary!$L$345</definedName>
    <definedName name="OSRRefL21_17x_0" localSheetId="55">'201'!$L$80:$L$81</definedName>
    <definedName name="OSRRefL21_17x_0" localSheetId="17">'300'!$L$306:$L$310</definedName>
    <definedName name="OSRRefL21_17x_0" localSheetId="20">'300 &amp; 317'!$L$334:$L$338</definedName>
    <definedName name="OSRRefL21_17x_0" localSheetId="61">'301'!$L$82</definedName>
    <definedName name="OSRRefL21_17x_0" localSheetId="63">'307'!$L$184</definedName>
    <definedName name="OSRRefL21_17x_0" localSheetId="29">'308'!$L$164</definedName>
    <definedName name="OSRRefL21_17x_0" localSheetId="23">'310'!$L$97:$L$100</definedName>
    <definedName name="OSRRefL21_17x_0" localSheetId="38">'310 &amp; 491'!$L$109:$L$112</definedName>
    <definedName name="OSRRefL21_17x_0" localSheetId="65">'311'!$L$142</definedName>
    <definedName name="OSRRefL21_17x_0" localSheetId="69">'315'!$L$128:$L$130</definedName>
    <definedName name="OSRRefL21_17x_0" localSheetId="74">'321'!$L$93</definedName>
    <definedName name="OSRRefL21_17x_0" localSheetId="75">'322'!$L$88</definedName>
    <definedName name="OSRRefL21_17x_0" localSheetId="78">'325'!$L$93</definedName>
    <definedName name="OSRRefL21_17x_0" localSheetId="79">'326'!$L$174:$L$181</definedName>
    <definedName name="OSRRefL21_17x_0" localSheetId="26">'330'!$L$194</definedName>
    <definedName name="OSRRefL21_17x_0" localSheetId="32">'331'!$L$187:$L$188</definedName>
    <definedName name="OSRRefL21_17x_0" localSheetId="82">'405'!$L$95</definedName>
    <definedName name="OSRRefL21_17x_0" localSheetId="84">'411'!$L$81:$L$82</definedName>
    <definedName name="OSRRefL21_17x_0" localSheetId="85">'412'!$L$96:$L$97</definedName>
    <definedName name="OSRRefL21_17x_0" localSheetId="87">'414'!$L$88</definedName>
    <definedName name="OSRRefL21_17x_0" localSheetId="88">'415'!$L$96</definedName>
    <definedName name="OSRRefL21_17x_0" localSheetId="89">'418'!$L$97</definedName>
    <definedName name="OSRRefL21_17x_0" localSheetId="95">'433'!$L$93</definedName>
    <definedName name="OSRRefL21_17x_0" localSheetId="97">'444'!$L$94:$L$95</definedName>
    <definedName name="OSRRefL21_17x_0" localSheetId="99">'450'!$L$94</definedName>
    <definedName name="OSRRefL21_17x_0" localSheetId="41">'491'!$L$95:$L$98</definedName>
    <definedName name="OSRRefL21_17x_0" localSheetId="44">'492'!$L$90:$L$91</definedName>
    <definedName name="OSRRefL21_17x_0" localSheetId="8">'Div 2'!$L$85:$L$86</definedName>
    <definedName name="OSRRefL21_17x_0" localSheetId="11">'Div 3'!$L$308:$L$311</definedName>
    <definedName name="OSRRefL21_17x_0" localSheetId="14">'Div 4'!$L$97:$L$100</definedName>
    <definedName name="OSRRefL21_17x_0" localSheetId="2">Summary!$L$347</definedName>
    <definedName name="OSRRefL21_18x_0" localSheetId="55">'201'!$L$83</definedName>
    <definedName name="OSRRefL21_18x_0" localSheetId="17">'300'!$L$312:$L$316</definedName>
    <definedName name="OSRRefL21_18x_0" localSheetId="20">'300 &amp; 317'!$L$340:$L$344</definedName>
    <definedName name="OSRRefL21_18x_0" localSheetId="61">'301'!$L$84:$L$87</definedName>
    <definedName name="OSRRefL21_18x_0" localSheetId="63">'307'!$L$186</definedName>
    <definedName name="OSRRefL21_18x_0" localSheetId="23">'310'!$L$102:$L$103</definedName>
    <definedName name="OSRRefL21_18x_0" localSheetId="38">'310 &amp; 491'!$L$114:$L$115</definedName>
    <definedName name="OSRRefL21_18x_0" localSheetId="75">'322'!$L$90:$L$92</definedName>
    <definedName name="OSRRefL21_18x_0" localSheetId="78">'325'!$L$95</definedName>
    <definedName name="OSRRefL21_18x_0" localSheetId="79">'326'!$L$183:$L$184</definedName>
    <definedName name="OSRRefL21_18x_0" localSheetId="26">'330'!$L$196</definedName>
    <definedName name="OSRRefL21_18x_0" localSheetId="32">'331'!$L$190:$L$198</definedName>
    <definedName name="OSRRefL21_18x_0" localSheetId="82">'405'!$L$97</definedName>
    <definedName name="OSRRefL21_18x_0" localSheetId="84">'411'!$L$84:$L$93</definedName>
    <definedName name="OSRRefL21_18x_0" localSheetId="85">'412'!$L$99</definedName>
    <definedName name="OSRRefL21_18x_0" localSheetId="88">'415'!$L$98:$L$99</definedName>
    <definedName name="OSRRefL21_18x_0" localSheetId="89">'418'!$L$99:$L$100</definedName>
    <definedName name="OSRRefL21_18x_0" localSheetId="95">'433'!$L$95</definedName>
    <definedName name="OSRRefL21_18x_0" localSheetId="97">'444'!$L$97</definedName>
    <definedName name="OSRRefL21_18x_0" localSheetId="99">'450'!$L$96:$L$98</definedName>
    <definedName name="OSRRefL21_18x_0" localSheetId="41">'491'!$L$100:$L$101</definedName>
    <definedName name="OSRRefL21_18x_0" localSheetId="44">'492'!$L$93:$L$102</definedName>
    <definedName name="OSRRefL21_18x_0" localSheetId="8">'Div 2'!$L$88:$L$94</definedName>
    <definedName name="OSRRefL21_18x_0" localSheetId="11">'Div 3'!$L$313:$L$317</definedName>
    <definedName name="OSRRefL21_18x_0" localSheetId="14">'Div 4'!$L$102:$L$103</definedName>
    <definedName name="OSRRefL21_18x_0" localSheetId="2">Summary!$L$349:$L$352</definedName>
    <definedName name="OSRRefL21_19x_0" localSheetId="55">'201'!$L$85:$L$86</definedName>
    <definedName name="OSRRefL21_19x_0" localSheetId="17">'300'!$L$318:$L$319</definedName>
    <definedName name="OSRRefL21_19x_0" localSheetId="20">'300 &amp; 317'!$L$346:$L$347</definedName>
    <definedName name="OSRRefL21_19x_0" localSheetId="61">'301'!$L$89:$L$90</definedName>
    <definedName name="OSRRefL21_19x_0" localSheetId="23">'310'!$L$105:$L$113</definedName>
    <definedName name="OSRRefL21_19x_0" localSheetId="38">'310 &amp; 491'!$L$117:$L$121</definedName>
    <definedName name="OSRRefL21_19x_0" localSheetId="75">'322'!$L$94</definedName>
    <definedName name="OSRRefL21_19x_0" localSheetId="78">'325'!$L$97</definedName>
    <definedName name="OSRRefL21_19x_0" localSheetId="79">'326'!$L$186</definedName>
    <definedName name="OSRRefL21_19x_0" localSheetId="32">'331'!$L$200:$L$201</definedName>
    <definedName name="OSRRefL21_19x_0" localSheetId="84">'411'!$L$95</definedName>
    <definedName name="OSRRefL21_19x_0" localSheetId="88">'415'!$L$101</definedName>
    <definedName name="OSRRefL21_19x_0" localSheetId="89">'418'!$L$102</definedName>
    <definedName name="OSRRefL21_19x_0" localSheetId="95">'433'!$L$97:$L$98</definedName>
    <definedName name="OSRRefL21_19x_0" localSheetId="97">'444'!$L$99</definedName>
    <definedName name="OSRRefL21_19x_0" localSheetId="41">'491'!$L$103:$L$107</definedName>
    <definedName name="OSRRefL21_19x_0" localSheetId="44">'492'!$L$104:$L$105</definedName>
    <definedName name="OSRRefL21_19x_0" localSheetId="8">'Div 2'!$L$96:$L$97</definedName>
    <definedName name="OSRRefL21_19x_0" localSheetId="11">'Div 3'!$L$319:$L$324</definedName>
    <definedName name="OSRRefL21_19x_0" localSheetId="14">'Div 4'!$L$105:$L$109</definedName>
    <definedName name="OSRRefL21_19x_0" localSheetId="2">Summary!$L$354:$L$358</definedName>
    <definedName name="OSRRefL21_1x_0" localSheetId="54">'200'!$L$22</definedName>
    <definedName name="OSRRefL21_1x_0" localSheetId="55">'201'!$L$30:$L$39</definedName>
    <definedName name="OSRRefL21_1x_0" localSheetId="56">'202'!$L$30:$L$39</definedName>
    <definedName name="OSRRefL21_1x_0" localSheetId="57">'203'!$L$30:$L$39</definedName>
    <definedName name="OSRRefL21_1x_0" localSheetId="58">'204'!$L$30:$L$39</definedName>
    <definedName name="OSRRefL21_1x_0" localSheetId="59">'205'!$L$29:$L$38</definedName>
    <definedName name="OSRRefL21_1x_0" localSheetId="60">'206'!$L$29:$L$38</definedName>
    <definedName name="OSRRefL21_1x_0" localSheetId="17">'300'!$L$215:$L$224</definedName>
    <definedName name="OSRRefL21_1x_0" localSheetId="20">'300 &amp; 317'!$L$240:$L$249</definedName>
    <definedName name="OSRRefL21_1x_0" localSheetId="61">'301'!$L$30:$L$39</definedName>
    <definedName name="OSRRefL21_1x_0" localSheetId="62">'306'!$L$30:$L$39</definedName>
    <definedName name="OSRRefL21_1x_0" localSheetId="63">'307'!$L$110:$L$119</definedName>
    <definedName name="OSRRefL21_1x_0" localSheetId="29">'308'!$L$100:$L$109</definedName>
    <definedName name="OSRRefL21_1x_0" localSheetId="64">'309'!$L$35:$L$44</definedName>
    <definedName name="OSRRefL21_1x_0" localSheetId="23">'310'!$L$49:$L$58</definedName>
    <definedName name="OSRRefL21_1x_0" localSheetId="38">'310 &amp; 491'!$L$60:$L$69</definedName>
    <definedName name="OSRRefL21_1x_0" localSheetId="65">'311'!$L$82:$L$91</definedName>
    <definedName name="OSRRefL21_1x_0" localSheetId="66">'312'!$L$68:$L$72</definedName>
    <definedName name="OSRRefL21_1x_0" localSheetId="67">'313'!$L$45:$L$54</definedName>
    <definedName name="OSRRefL21_1x_0" localSheetId="68">'314'!$L$71:$L$76</definedName>
    <definedName name="OSRRefL21_1x_0" localSheetId="69">'315'!$L$67:$L$76</definedName>
    <definedName name="OSRRefL21_1x_0" localSheetId="70">'316'!$L$50:$L$59</definedName>
    <definedName name="OSRRefL21_1x_0" localSheetId="71">'317'!$L$74:$L$83</definedName>
    <definedName name="OSRRefL21_1x_0" localSheetId="72">'318'!$L$27:$L$30</definedName>
    <definedName name="OSRRefL21_1x_0" localSheetId="73">'320'!$L$44:$L$50</definedName>
    <definedName name="OSRRefL21_1x_0" localSheetId="74">'321'!$L$36:$L$45</definedName>
    <definedName name="OSRRefL21_1x_0" localSheetId="75">'322'!$L$35:$L$44</definedName>
    <definedName name="OSRRefL21_1x_0" localSheetId="76">'323'!$L$29:$L$31</definedName>
    <definedName name="OSRRefL21_1x_0" localSheetId="77">'324'!$L$35:$L$44</definedName>
    <definedName name="OSRRefL21_1x_0" localSheetId="78">'325'!$L$36:$L$45</definedName>
    <definedName name="OSRRefL21_1x_0" localSheetId="79">'326'!$L$104:$L$113</definedName>
    <definedName name="OSRRefL21_1x_0" localSheetId="80">'327'!$L$27</definedName>
    <definedName name="OSRRefL21_1x_0" localSheetId="26">'330'!$L$119:$L$128</definedName>
    <definedName name="OSRRefL21_1x_0" localSheetId="32">'331'!$L$115:$L$124</definedName>
    <definedName name="OSRRefL21_1x_0" localSheetId="35">'332'!$L$67:$L$76</definedName>
    <definedName name="OSRRefL21_1x_0" localSheetId="81">'335'!$L$28:$L$32</definedName>
    <definedName name="OSRRefL21_1x_0" localSheetId="82">'405'!$L$38:$L$47</definedName>
    <definedName name="OSRRefL21_1x_0" localSheetId="83">'406'!$L$32:$L$37</definedName>
    <definedName name="OSRRefL21_1x_0" localSheetId="84">'411'!$L$30:$L$39</definedName>
    <definedName name="OSRRefL21_1x_0" localSheetId="85">'412'!$L$38:$L$47</definedName>
    <definedName name="OSRRefL21_1x_0" localSheetId="86">'413'!$L$37:$L$46</definedName>
    <definedName name="OSRRefL21_1x_0" localSheetId="87">'414'!$L$36:$L$45</definedName>
    <definedName name="OSRRefL21_1x_0" localSheetId="88">'415'!$L$37:$L$46</definedName>
    <definedName name="OSRRefL21_1x_0" localSheetId="89">'418'!$L$36:$L$45</definedName>
    <definedName name="OSRRefL21_1x_0" localSheetId="90">'420'!$L$32:$L$35</definedName>
    <definedName name="OSRRefL21_1x_0" localSheetId="91">'423'!$L$30:$L$39</definedName>
    <definedName name="OSRRefL21_1x_0" localSheetId="92">'424'!$L$33:$L$38</definedName>
    <definedName name="OSRRefL21_1x_0" localSheetId="93">'425'!$L$36:$L$41</definedName>
    <definedName name="OSRRefL21_1x_0" localSheetId="94">'430'!$L$29:$L$38</definedName>
    <definedName name="OSRRefL21_1x_0" localSheetId="95">'433'!$L$39:$L$48</definedName>
    <definedName name="OSRRefL21_1x_0" localSheetId="96">'435'!$L$28:$L$31</definedName>
    <definedName name="OSRRefL21_1x_0" localSheetId="97">'444'!$L$37:$L$46</definedName>
    <definedName name="OSRRefL21_1x_0" localSheetId="98">'445'!$L$28:$L$30</definedName>
    <definedName name="OSRRefL21_1x_0" localSheetId="99">'450'!$L$37:$L$46</definedName>
    <definedName name="OSRRefL21_1x_0" localSheetId="100">'455'!$L$28:$L$29</definedName>
    <definedName name="OSRRefL21_1x_0" localSheetId="41">'491'!$L$48:$L$57</definedName>
    <definedName name="OSRRefL21_1x_0" localSheetId="44">'492'!$L$41:$L$50</definedName>
    <definedName name="OSRRefL21_1x_0" localSheetId="101">'501'!$L$31:$L$40</definedName>
    <definedName name="OSRRefL21_1x_0" localSheetId="8">'Div 2'!$L$32:$L$41</definedName>
    <definedName name="OSRRefL21_1x_0" localSheetId="11">'Div 3'!$L$220:$L$229</definedName>
    <definedName name="OSRRefL21_1x_0" localSheetId="14">'Div 4'!$L$49:$L$58</definedName>
    <definedName name="OSRRefL21_1x_0" localSheetId="47">'Div 5'!$L$31:$L$40</definedName>
    <definedName name="OSRRefL21_1x_0" localSheetId="50">'Div 6'!$L$74:$L$83</definedName>
    <definedName name="OSRRefL21_1x_0" localSheetId="2">Summary!$L$256:$L$265</definedName>
    <definedName name="OSRRefL21_20x_0" localSheetId="17">'300'!$L$321:$L$329</definedName>
    <definedName name="OSRRefL21_20x_0" localSheetId="20">'300 &amp; 317'!$L$349:$L$357</definedName>
    <definedName name="OSRRefL21_20x_0" localSheetId="61">'301'!$L$92:$L$98</definedName>
    <definedName name="OSRRefL21_20x_0" localSheetId="23">'310'!$L$115:$L$116</definedName>
    <definedName name="OSRRefL21_20x_0" localSheetId="38">'310 &amp; 491'!$L$123:$L$124</definedName>
    <definedName name="OSRRefL21_20x_0" localSheetId="79">'326'!$L$188:$L$190</definedName>
    <definedName name="OSRRefL21_20x_0" localSheetId="32">'331'!$L$203</definedName>
    <definedName name="OSRRefL21_20x_0" localSheetId="84">'411'!$L$97</definedName>
    <definedName name="OSRRefL21_20x_0" localSheetId="95">'433'!$L$100</definedName>
    <definedName name="OSRRefL21_20x_0" localSheetId="97">'444'!$L$101</definedName>
    <definedName name="OSRRefL21_20x_0" localSheetId="41">'491'!$L$109:$L$110</definedName>
    <definedName name="OSRRefL21_20x_0" localSheetId="44">'492'!$L$107</definedName>
    <definedName name="OSRRefL21_20x_0" localSheetId="8">'Div 2'!$L$99</definedName>
    <definedName name="OSRRefL21_20x_0" localSheetId="11">'Div 3'!$L$326:$L$327</definedName>
    <definedName name="OSRRefL21_20x_0" localSheetId="14">'Div 4'!$L$111:$L$112</definedName>
    <definedName name="OSRRefL21_20x_0" localSheetId="2">Summary!$L$360:$L$365</definedName>
    <definedName name="OSRRefL21_21x_0" localSheetId="17">'300'!$L$331:$L$332</definedName>
    <definedName name="OSRRefL21_21x_0" localSheetId="20">'300 &amp; 317'!$L$359:$L$360</definedName>
    <definedName name="OSRRefL21_21x_0" localSheetId="61">'301'!$L$100:$L$101</definedName>
    <definedName name="OSRRefL21_21x_0" localSheetId="23">'310'!$L$118</definedName>
    <definedName name="OSRRefL21_21x_0" localSheetId="38">'310 &amp; 491'!$L$126:$L$136</definedName>
    <definedName name="OSRRefL21_21x_0" localSheetId="79">'326'!$L$192</definedName>
    <definedName name="OSRRefL21_21x_0" localSheetId="32">'331'!$L$205:$L$207</definedName>
    <definedName name="OSRRefL21_21x_0" localSheetId="84">'411'!$L$99:$L$101</definedName>
    <definedName name="OSRRefL21_21x_0" localSheetId="41">'491'!$L$112:$L$122</definedName>
    <definedName name="OSRRefL21_21x_0" localSheetId="44">'492'!$L$109:$L$111</definedName>
    <definedName name="OSRRefL21_21x_0" localSheetId="8">'Div 2'!$L$101:$L$102</definedName>
    <definedName name="OSRRefL21_21x_0" localSheetId="11">'Div 3'!$L$329:$L$338</definedName>
    <definedName name="OSRRefL21_21x_0" localSheetId="14">'Div 4'!$L$114:$L$124</definedName>
    <definedName name="OSRRefL21_21x_0" localSheetId="2">Summary!$L$367:$L$368</definedName>
    <definedName name="OSRRefL21_22x_0" localSheetId="17">'300'!$L$334</definedName>
    <definedName name="OSRRefL21_22x_0" localSheetId="20">'300 &amp; 317'!$L$362</definedName>
    <definedName name="OSRRefL21_22x_0" localSheetId="61">'301'!$L$103</definedName>
    <definedName name="OSRRefL21_22x_0" localSheetId="23">'310'!$L$120:$L$122</definedName>
    <definedName name="OSRRefL21_22x_0" localSheetId="38">'310 &amp; 491'!$L$138:$L$139</definedName>
    <definedName name="OSRRefL21_22x_0" localSheetId="32">'331'!$L$209</definedName>
    <definedName name="OSRRefL21_22x_0" localSheetId="84">'411'!$L$103</definedName>
    <definedName name="OSRRefL21_22x_0" localSheetId="41">'491'!$L$124:$L$125</definedName>
    <definedName name="OSRRefL21_22x_0" localSheetId="44">'492'!$L$113</definedName>
    <definedName name="OSRRefL21_22x_0" localSheetId="11">'Div 3'!$L$340:$L$341</definedName>
    <definedName name="OSRRefL21_22x_0" localSheetId="14">'Div 4'!$L$126:$L$127</definedName>
    <definedName name="OSRRefL21_22x_0" localSheetId="2">Summary!$L$370:$L$380</definedName>
    <definedName name="OSRRefL21_23x_0" localSheetId="17">'300'!$L$336:$L$338</definedName>
    <definedName name="OSRRefL21_23x_0" localSheetId="20">'300 &amp; 317'!$L$364:$L$366</definedName>
    <definedName name="OSRRefL21_23x_0" localSheetId="61">'301'!$L$105:$L$107</definedName>
    <definedName name="OSRRefL21_23x_0" localSheetId="23">'310'!$L$124</definedName>
    <definedName name="OSRRefL21_23x_0" localSheetId="38">'310 &amp; 491'!$L$141</definedName>
    <definedName name="OSRRefL21_23x_0" localSheetId="41">'491'!$L$127</definedName>
    <definedName name="OSRRefL21_23x_0" localSheetId="11">'Div 3'!$L$343</definedName>
    <definedName name="OSRRefL21_23x_0" localSheetId="14">'Div 4'!$L$129</definedName>
    <definedName name="OSRRefL21_23x_0" localSheetId="2">Summary!$L$382:$L$383</definedName>
    <definedName name="OSRRefL21_24x_0" localSheetId="17">'300'!$L$340</definedName>
    <definedName name="OSRRefL21_24x_0" localSheetId="20">'300 &amp; 317'!$L$368</definedName>
    <definedName name="OSRRefL21_24x_0" localSheetId="61">'301'!$L$109</definedName>
    <definedName name="OSRRefL21_24x_0" localSheetId="38">'310 &amp; 491'!$L$143:$L$145</definedName>
    <definedName name="OSRRefL21_24x_0" localSheetId="41">'491'!$L$129:$L$131</definedName>
    <definedName name="OSRRefL21_24x_0" localSheetId="11">'Div 3'!$L$345:$L$347</definedName>
    <definedName name="OSRRefL21_24x_0" localSheetId="14">'Div 4'!$L$131:$L$133</definedName>
    <definedName name="OSRRefL21_24x_0" localSheetId="2">Summary!$L$385</definedName>
    <definedName name="OSRRefL21_25x_0" localSheetId="38">'310 &amp; 491'!$L$147</definedName>
    <definedName name="OSRRefL21_25x_0" localSheetId="41">'491'!$L$133</definedName>
    <definedName name="OSRRefL21_25x_0" localSheetId="11">'Div 3'!$L$349</definedName>
    <definedName name="OSRRefL21_25x_0" localSheetId="14">'Div 4'!$L$135</definedName>
    <definedName name="OSRRefL21_25x_0" localSheetId="2">Summary!$L$387:$L$389</definedName>
    <definedName name="OSRRefL21_26x_0" localSheetId="2">Summary!$L$391</definedName>
    <definedName name="OSRRefL21_2x_0" localSheetId="54">'200'!$L$24</definedName>
    <definedName name="OSRRefL21_2x_0" localSheetId="55">'201'!$L$41</definedName>
    <definedName name="OSRRefL21_2x_0" localSheetId="56">'202'!$L$41</definedName>
    <definedName name="OSRRefL21_2x_0" localSheetId="57">'203'!$L$41</definedName>
    <definedName name="OSRRefL21_2x_0" localSheetId="58">'204'!$L$41</definedName>
    <definedName name="OSRRefL21_2x_0" localSheetId="59">'205'!$L$40</definedName>
    <definedName name="OSRRefL21_2x_0" localSheetId="60">'206'!$L$40</definedName>
    <definedName name="OSRRefL21_2x_0" localSheetId="17">'300'!$L$226</definedName>
    <definedName name="OSRRefL21_2x_0" localSheetId="20">'300 &amp; 317'!$L$251</definedName>
    <definedName name="OSRRefL21_2x_0" localSheetId="61">'301'!$L$41</definedName>
    <definedName name="OSRRefL21_2x_0" localSheetId="62">'306'!$L$41</definedName>
    <definedName name="OSRRefL21_2x_0" localSheetId="63">'307'!$L$121</definedName>
    <definedName name="OSRRefL21_2x_0" localSheetId="29">'308'!$L$111</definedName>
    <definedName name="OSRRefL21_2x_0" localSheetId="64">'309'!$L$46</definedName>
    <definedName name="OSRRefL21_2x_0" localSheetId="23">'310'!$L$60</definedName>
    <definedName name="OSRRefL21_2x_0" localSheetId="38">'310 &amp; 491'!$L$71</definedName>
    <definedName name="OSRRefL21_2x_0" localSheetId="65">'311'!$L$93</definedName>
    <definedName name="OSRRefL21_2x_0" localSheetId="66">'312'!$L$74</definedName>
    <definedName name="OSRRefL21_2x_0" localSheetId="67">'313'!$L$56</definedName>
    <definedName name="OSRRefL21_2x_0" localSheetId="68">'314'!$L$78</definedName>
    <definedName name="OSRRefL21_2x_0" localSheetId="69">'315'!$L$78</definedName>
    <definedName name="OSRRefL21_2x_0" localSheetId="70">'316'!$L$61</definedName>
    <definedName name="OSRRefL21_2x_0" localSheetId="71">'317'!$L$85</definedName>
    <definedName name="OSRRefL21_2x_0" localSheetId="72">'318'!$L$32</definedName>
    <definedName name="OSRRefL21_2x_0" localSheetId="73">'320'!$L$52</definedName>
    <definedName name="OSRRefL21_2x_0" localSheetId="74">'321'!$L$47</definedName>
    <definedName name="OSRRefL21_2x_0" localSheetId="75">'322'!$L$46</definedName>
    <definedName name="OSRRefL21_2x_0" localSheetId="76">'323'!$L$33</definedName>
    <definedName name="OSRRefL21_2x_0" localSheetId="77">'324'!$L$46</definedName>
    <definedName name="OSRRefL21_2x_0" localSheetId="78">'325'!$L$47</definedName>
    <definedName name="OSRRefL21_2x_0" localSheetId="79">'326'!$L$115</definedName>
    <definedName name="OSRRefL21_2x_0" localSheetId="80">'327'!$L$29</definedName>
    <definedName name="OSRRefL21_2x_0" localSheetId="26">'330'!$L$130</definedName>
    <definedName name="OSRRefL21_2x_0" localSheetId="32">'331'!$L$126</definedName>
    <definedName name="OSRRefL21_2x_0" localSheetId="35">'332'!$L$78</definedName>
    <definedName name="OSRRefL21_2x_0" localSheetId="81">'335'!$L$34</definedName>
    <definedName name="OSRRefL21_2x_0" localSheetId="82">'405'!$L$49</definedName>
    <definedName name="OSRRefL21_2x_0" localSheetId="83">'406'!$L$39</definedName>
    <definedName name="OSRRefL21_2x_0" localSheetId="84">'411'!$L$41</definedName>
    <definedName name="OSRRefL21_2x_0" localSheetId="85">'412'!$L$49</definedName>
    <definedName name="OSRRefL21_2x_0" localSheetId="86">'413'!$L$48</definedName>
    <definedName name="OSRRefL21_2x_0" localSheetId="87">'414'!$L$47</definedName>
    <definedName name="OSRRefL21_2x_0" localSheetId="88">'415'!$L$48</definedName>
    <definedName name="OSRRefL21_2x_0" localSheetId="89">'418'!$L$47</definedName>
    <definedName name="OSRRefL21_2x_0" localSheetId="90">'420'!$L$37</definedName>
    <definedName name="OSRRefL21_2x_0" localSheetId="91">'423'!$L$41</definedName>
    <definedName name="OSRRefL21_2x_0" localSheetId="92">'424'!$L$40</definedName>
    <definedName name="OSRRefL21_2x_0" localSheetId="93">'425'!$L$43</definedName>
    <definedName name="OSRRefL21_2x_0" localSheetId="94">'430'!$L$40</definedName>
    <definedName name="OSRRefL21_2x_0" localSheetId="95">'433'!$L$50</definedName>
    <definedName name="OSRRefL21_2x_0" localSheetId="96">'435'!$L$33</definedName>
    <definedName name="OSRRefL21_2x_0" localSheetId="97">'444'!$L$48</definedName>
    <definedName name="OSRRefL21_2x_0" localSheetId="98">'445'!$L$32</definedName>
    <definedName name="OSRRefL21_2x_0" localSheetId="99">'450'!$L$48</definedName>
    <definedName name="OSRRefL21_2x_0" localSheetId="100">'455'!$L$31</definedName>
    <definedName name="OSRRefL21_2x_0" localSheetId="41">'491'!$L$59</definedName>
    <definedName name="OSRRefL21_2x_0" localSheetId="44">'492'!$L$52</definedName>
    <definedName name="OSRRefL21_2x_0" localSheetId="101">'501'!$L$42</definedName>
    <definedName name="OSRRefL21_2x_0" localSheetId="8">'Div 2'!$L$43</definedName>
    <definedName name="OSRRefL21_2x_0" localSheetId="11">'Div 3'!$L$231</definedName>
    <definedName name="OSRRefL21_2x_0" localSheetId="14">'Div 4'!$L$60</definedName>
    <definedName name="OSRRefL21_2x_0" localSheetId="47">'Div 5'!$L$42</definedName>
    <definedName name="OSRRefL21_2x_0" localSheetId="50">'Div 6'!$L$85</definedName>
    <definedName name="OSRRefL21_2x_0" localSheetId="2">Summary!$L$267</definedName>
    <definedName name="OSRRefL21_3x_0" localSheetId="54">'200'!$L$26</definedName>
    <definedName name="OSRRefL21_3x_0" localSheetId="55">'201'!$L$43</definedName>
    <definedName name="OSRRefL21_3x_0" localSheetId="56">'202'!$L$43</definedName>
    <definedName name="OSRRefL21_3x_0" localSheetId="57">'203'!$L$43</definedName>
    <definedName name="OSRRefL21_3x_0" localSheetId="58">'204'!$L$43:$L$44</definedName>
    <definedName name="OSRRefL21_3x_0" localSheetId="59">'205'!$L$42</definedName>
    <definedName name="OSRRefL21_3x_0" localSheetId="60">'206'!$L$42</definedName>
    <definedName name="OSRRefL21_3x_0" localSheetId="17">'300'!$L$228:$L$230</definedName>
    <definedName name="OSRRefL21_3x_0" localSheetId="20">'300 &amp; 317'!$L$253:$L$255</definedName>
    <definedName name="OSRRefL21_3x_0" localSheetId="61">'301'!$L$43:$L$45</definedName>
    <definedName name="OSRRefL21_3x_0" localSheetId="62">'306'!$L$43</definedName>
    <definedName name="OSRRefL21_3x_0" localSheetId="63">'307'!$L$123</definedName>
    <definedName name="OSRRefL21_3x_0" localSheetId="29">'308'!$L$113:$L$114</definedName>
    <definedName name="OSRRefL21_3x_0" localSheetId="64">'309'!$L$48</definedName>
    <definedName name="OSRRefL21_3x_0" localSheetId="23">'310'!$L$62</definedName>
    <definedName name="OSRRefL21_3x_0" localSheetId="38">'310 &amp; 491'!$L$73:$L$74</definedName>
    <definedName name="OSRRefL21_3x_0" localSheetId="65">'311'!$L$95:$L$96</definedName>
    <definedName name="OSRRefL21_3x_0" localSheetId="66">'312'!$L$76</definedName>
    <definedName name="OSRRefL21_3x_0" localSheetId="67">'313'!$L$58</definedName>
    <definedName name="OSRRefL21_3x_0" localSheetId="68">'314'!$L$80:$L$81</definedName>
    <definedName name="OSRRefL21_3x_0" localSheetId="69">'315'!$L$80</definedName>
    <definedName name="OSRRefL21_3x_0" localSheetId="70">'316'!$L$63</definedName>
    <definedName name="OSRRefL21_3x_0" localSheetId="71">'317'!$L$87</definedName>
    <definedName name="OSRRefL21_3x_0" localSheetId="72">'318'!$L$34</definedName>
    <definedName name="OSRRefL21_3x_0" localSheetId="73">'320'!$L$54</definedName>
    <definedName name="OSRRefL21_3x_0" localSheetId="74">'321'!$L$49</definedName>
    <definedName name="OSRRefL21_3x_0" localSheetId="75">'322'!$L$48</definedName>
    <definedName name="OSRRefL21_3x_0" localSheetId="76">'323'!$L$35</definedName>
    <definedName name="OSRRefL21_3x_0" localSheetId="77">'324'!$L$48</definedName>
    <definedName name="OSRRefL21_3x_0" localSheetId="78">'325'!$L$49</definedName>
    <definedName name="OSRRefL21_3x_0" localSheetId="79">'326'!$L$117</definedName>
    <definedName name="OSRRefL21_3x_0" localSheetId="26">'330'!$L$132</definedName>
    <definedName name="OSRRefL21_3x_0" localSheetId="32">'331'!$L$128</definedName>
    <definedName name="OSRRefL21_3x_0" localSheetId="35">'332'!$L$80</definedName>
    <definedName name="OSRRefL21_3x_0" localSheetId="81">'335'!$L$36</definedName>
    <definedName name="OSRRefL21_3x_0" localSheetId="82">'405'!$L$51</definedName>
    <definedName name="OSRRefL21_3x_0" localSheetId="83">'406'!$L$41</definedName>
    <definedName name="OSRRefL21_3x_0" localSheetId="84">'411'!$L$43</definedName>
    <definedName name="OSRRefL21_3x_0" localSheetId="85">'412'!$L$51</definedName>
    <definedName name="OSRRefL21_3x_0" localSheetId="86">'413'!$L$50</definedName>
    <definedName name="OSRRefL21_3x_0" localSheetId="87">'414'!$L$49</definedName>
    <definedName name="OSRRefL21_3x_0" localSheetId="88">'415'!$L$50</definedName>
    <definedName name="OSRRefL21_3x_0" localSheetId="89">'418'!$L$49</definedName>
    <definedName name="OSRRefL21_3x_0" localSheetId="90">'420'!$L$39</definedName>
    <definedName name="OSRRefL21_3x_0" localSheetId="91">'423'!$L$43</definedName>
    <definedName name="OSRRefL21_3x_0" localSheetId="92">'424'!$L$42</definedName>
    <definedName name="OSRRefL21_3x_0" localSheetId="93">'425'!$L$45:$L$46</definedName>
    <definedName name="OSRRefL21_3x_0" localSheetId="94">'430'!$L$42</definedName>
    <definedName name="OSRRefL21_3x_0" localSheetId="95">'433'!$L$52</definedName>
    <definedName name="OSRRefL21_3x_0" localSheetId="96">'435'!$L$35</definedName>
    <definedName name="OSRRefL21_3x_0" localSheetId="97">'444'!$L$50</definedName>
    <definedName name="OSRRefL21_3x_0" localSheetId="98">'445'!$L$34</definedName>
    <definedName name="OSRRefL21_3x_0" localSheetId="99">'450'!$L$50</definedName>
    <definedName name="OSRRefL21_3x_0" localSheetId="100">'455'!$L$33</definedName>
    <definedName name="OSRRefL21_3x_0" localSheetId="41">'491'!$L$61:$L$62</definedName>
    <definedName name="OSRRefL21_3x_0" localSheetId="44">'492'!$L$54</definedName>
    <definedName name="OSRRefL21_3x_0" localSheetId="101">'501'!$L$44</definedName>
    <definedName name="OSRRefL21_3x_0" localSheetId="8">'Div 2'!$L$45</definedName>
    <definedName name="OSRRefL21_3x_0" localSheetId="11">'Div 3'!$L$233:$L$235</definedName>
    <definedName name="OSRRefL21_3x_0" localSheetId="14">'Div 4'!$L$62:$L$63</definedName>
    <definedName name="OSRRefL21_3x_0" localSheetId="47">'Div 5'!$L$44</definedName>
    <definedName name="OSRRefL21_3x_0" localSheetId="50">'Div 6'!$L$87</definedName>
    <definedName name="OSRRefL21_3x_0" localSheetId="2">Summary!$L$269:$L$271</definedName>
    <definedName name="OSRRefL21_4x_0" localSheetId="54">'200'!$L$28</definedName>
    <definedName name="OSRRefL21_4x_0" localSheetId="55">'201'!$L$45</definedName>
    <definedName name="OSRRefL21_4x_0" localSheetId="56">'202'!$L$45</definedName>
    <definedName name="OSRRefL21_4x_0" localSheetId="57">'203'!$L$45</definedName>
    <definedName name="OSRRefL21_4x_0" localSheetId="58">'204'!$L$46</definedName>
    <definedName name="OSRRefL21_4x_0" localSheetId="59">'205'!$L$44:$L$46</definedName>
    <definedName name="OSRRefL21_4x_0" localSheetId="60">'206'!$L$44</definedName>
    <definedName name="OSRRefL21_4x_0" localSheetId="17">'300'!$L$232</definedName>
    <definedName name="OSRRefL21_4x_0" localSheetId="20">'300 &amp; 317'!$L$257</definedName>
    <definedName name="OSRRefL21_4x_0" localSheetId="61">'301'!$L$47</definedName>
    <definedName name="OSRRefL21_4x_0" localSheetId="62">'306'!$L$45</definedName>
    <definedName name="OSRRefL21_4x_0" localSheetId="63">'307'!$L$125</definedName>
    <definedName name="OSRRefL21_4x_0" localSheetId="29">'308'!$L$116</definedName>
    <definedName name="OSRRefL21_4x_0" localSheetId="64">'309'!$L$50</definedName>
    <definedName name="OSRRefL21_4x_0" localSheetId="23">'310'!$L$64</definedName>
    <definedName name="OSRRefL21_4x_0" localSheetId="38">'310 &amp; 491'!$L$76</definedName>
    <definedName name="OSRRefL21_4x_0" localSheetId="65">'311'!$L$98</definedName>
    <definedName name="OSRRefL21_4x_0" localSheetId="66">'312'!$L$78:$L$79</definedName>
    <definedName name="OSRRefL21_4x_0" localSheetId="67">'313'!$L$60</definedName>
    <definedName name="OSRRefL21_4x_0" localSheetId="68">'314'!$L$83</definedName>
    <definedName name="OSRRefL21_4x_0" localSheetId="69">'315'!$L$82</definedName>
    <definedName name="OSRRefL21_4x_0" localSheetId="70">'316'!$L$65</definedName>
    <definedName name="OSRRefL21_4x_0" localSheetId="71">'317'!$L$89:$L$90</definedName>
    <definedName name="OSRRefL21_4x_0" localSheetId="72">'318'!$L$36</definedName>
    <definedName name="OSRRefL21_4x_0" localSheetId="73">'320'!$L$56</definedName>
    <definedName name="OSRRefL21_4x_0" localSheetId="74">'321'!$L$51</definedName>
    <definedName name="OSRRefL21_4x_0" localSheetId="75">'322'!$L$50</definedName>
    <definedName name="OSRRefL21_4x_0" localSheetId="76">'323'!$L$37</definedName>
    <definedName name="OSRRefL21_4x_0" localSheetId="78">'325'!$L$51</definedName>
    <definedName name="OSRRefL21_4x_0" localSheetId="79">'326'!$L$119</definedName>
    <definedName name="OSRRefL21_4x_0" localSheetId="26">'330'!$L$134</definedName>
    <definedName name="OSRRefL21_4x_0" localSheetId="32">'331'!$L$130</definedName>
    <definedName name="OSRRefL21_4x_0" localSheetId="35">'332'!$L$82</definedName>
    <definedName name="OSRRefL21_4x_0" localSheetId="81">'335'!$L$38</definedName>
    <definedName name="OSRRefL21_4x_0" localSheetId="82">'405'!$L$53</definedName>
    <definedName name="OSRRefL21_4x_0" localSheetId="83">'406'!$L$43</definedName>
    <definedName name="OSRRefL21_4x_0" localSheetId="84">'411'!$L$45</definedName>
    <definedName name="OSRRefL21_4x_0" localSheetId="85">'412'!$L$53</definedName>
    <definedName name="OSRRefL21_4x_0" localSheetId="86">'413'!$L$52</definedName>
    <definedName name="OSRRefL21_4x_0" localSheetId="87">'414'!$L$51</definedName>
    <definedName name="OSRRefL21_4x_0" localSheetId="88">'415'!$L$52</definedName>
    <definedName name="OSRRefL21_4x_0" localSheetId="89">'418'!$L$51</definedName>
    <definedName name="OSRRefL21_4x_0" localSheetId="90">'420'!$L$41</definedName>
    <definedName name="OSRRefL21_4x_0" localSheetId="91">'423'!$L$45</definedName>
    <definedName name="OSRRefL21_4x_0" localSheetId="92">'424'!$L$44</definedName>
    <definedName name="OSRRefL21_4x_0" localSheetId="93">'425'!$L$48</definedName>
    <definedName name="OSRRefL21_4x_0" localSheetId="94">'430'!$L$44</definedName>
    <definedName name="OSRRefL21_4x_0" localSheetId="95">'433'!$L$54</definedName>
    <definedName name="OSRRefL21_4x_0" localSheetId="96">'435'!$L$37</definedName>
    <definedName name="OSRRefL21_4x_0" localSheetId="97">'444'!$L$52</definedName>
    <definedName name="OSRRefL21_4x_0" localSheetId="98">'445'!$L$36</definedName>
    <definedName name="OSRRefL21_4x_0" localSheetId="99">'450'!$L$52</definedName>
    <definedName name="OSRRefL21_4x_0" localSheetId="41">'491'!$L$64</definedName>
    <definedName name="OSRRefL21_4x_0" localSheetId="44">'492'!$L$56</definedName>
    <definedName name="OSRRefL21_4x_0" localSheetId="101">'501'!$L$46</definedName>
    <definedName name="OSRRefL21_4x_0" localSheetId="8">'Div 2'!$L$47</definedName>
    <definedName name="OSRRefL21_4x_0" localSheetId="11">'Div 3'!$L$237</definedName>
    <definedName name="OSRRefL21_4x_0" localSheetId="14">'Div 4'!$L$65</definedName>
    <definedName name="OSRRefL21_4x_0" localSheetId="47">'Div 5'!$L$46</definedName>
    <definedName name="OSRRefL21_4x_0" localSheetId="50">'Div 6'!$L$89:$L$90</definedName>
    <definedName name="OSRRefL21_4x_0" localSheetId="2">Summary!$L$273</definedName>
    <definedName name="OSRRefL21_5x_0" localSheetId="54">'200'!$L$30:$L$31</definedName>
    <definedName name="OSRRefL21_5x_0" localSheetId="55">'201'!$L$47</definedName>
    <definedName name="OSRRefL21_5x_0" localSheetId="56">'202'!$L$47</definedName>
    <definedName name="OSRRefL21_5x_0" localSheetId="57">'203'!$L$47</definedName>
    <definedName name="OSRRefL21_5x_0" localSheetId="58">'204'!$L$48:$L$49</definedName>
    <definedName name="OSRRefL21_5x_0" localSheetId="59">'205'!$L$48</definedName>
    <definedName name="OSRRefL21_5x_0" localSheetId="60">'206'!$L$46</definedName>
    <definedName name="OSRRefL21_5x_0" localSheetId="17">'300'!$L$234:$L$237</definedName>
    <definedName name="OSRRefL21_5x_0" localSheetId="20">'300 &amp; 317'!$L$259:$L$262</definedName>
    <definedName name="OSRRefL21_5x_0" localSheetId="61">'301'!$L$49:$L$52</definedName>
    <definedName name="OSRRefL21_5x_0" localSheetId="62">'306'!$L$47:$L$48</definedName>
    <definedName name="OSRRefL21_5x_0" localSheetId="63">'307'!$L$127:$L$128</definedName>
    <definedName name="OSRRefL21_5x_0" localSheetId="29">'308'!$L$118</definedName>
    <definedName name="OSRRefL21_5x_0" localSheetId="64">'309'!$L$52</definedName>
    <definedName name="OSRRefL21_5x_0" localSheetId="23">'310'!$L$66:$L$67</definedName>
    <definedName name="OSRRefL21_5x_0" localSheetId="38">'310 &amp; 491'!$L$78:$L$81</definedName>
    <definedName name="OSRRefL21_5x_0" localSheetId="65">'311'!$L$100</definedName>
    <definedName name="OSRRefL21_5x_0" localSheetId="66">'312'!$L$81:$L$89</definedName>
    <definedName name="OSRRefL21_5x_0" localSheetId="67">'313'!$L$62</definedName>
    <definedName name="OSRRefL21_5x_0" localSheetId="68">'314'!$L$85:$L$86</definedName>
    <definedName name="OSRRefL21_5x_0" localSheetId="69">'315'!$L$84:$L$85</definedName>
    <definedName name="OSRRefL21_5x_0" localSheetId="70">'316'!$L$67</definedName>
    <definedName name="OSRRefL21_5x_0" localSheetId="71">'317'!$L$92</definedName>
    <definedName name="OSRRefL21_5x_0" localSheetId="72">'318'!$L$38</definedName>
    <definedName name="OSRRefL21_5x_0" localSheetId="73">'320'!$L$58:$L$59</definedName>
    <definedName name="OSRRefL21_5x_0" localSheetId="74">'321'!$L$53</definedName>
    <definedName name="OSRRefL21_5x_0" localSheetId="75">'322'!$L$52</definedName>
    <definedName name="OSRRefL21_5x_0" localSheetId="76">'323'!$L$39</definedName>
    <definedName name="OSRRefL21_5x_0" localSheetId="78">'325'!$L$53:$L$54</definedName>
    <definedName name="OSRRefL21_5x_0" localSheetId="79">'326'!$L$121:$L$122</definedName>
    <definedName name="OSRRefL21_5x_0" localSheetId="26">'330'!$L$136:$L$137</definedName>
    <definedName name="OSRRefL21_5x_0" localSheetId="32">'331'!$L$132:$L$133</definedName>
    <definedName name="OSRRefL21_5x_0" localSheetId="35">'332'!$L$84</definedName>
    <definedName name="OSRRefL21_5x_0" localSheetId="81">'335'!$L$40:$L$41</definedName>
    <definedName name="OSRRefL21_5x_0" localSheetId="82">'405'!$L$55:$L$56</definedName>
    <definedName name="OSRRefL21_5x_0" localSheetId="83">'406'!$L$45</definedName>
    <definedName name="OSRRefL21_5x_0" localSheetId="84">'411'!$L$47:$L$50</definedName>
    <definedName name="OSRRefL21_5x_0" localSheetId="85">'412'!$L$55:$L$56</definedName>
    <definedName name="OSRRefL21_5x_0" localSheetId="86">'413'!$L$54</definedName>
    <definedName name="OSRRefL21_5x_0" localSheetId="87">'414'!$L$53</definedName>
    <definedName name="OSRRefL21_5x_0" localSheetId="88">'415'!$L$54:$L$55</definedName>
    <definedName name="OSRRefL21_5x_0" localSheetId="89">'418'!$L$53:$L$54</definedName>
    <definedName name="OSRRefL21_5x_0" localSheetId="90">'420'!$L$43</definedName>
    <definedName name="OSRRefL21_5x_0" localSheetId="91">'423'!$L$47</definedName>
    <definedName name="OSRRefL21_5x_0" localSheetId="92">'424'!$L$46</definedName>
    <definedName name="OSRRefL21_5x_0" localSheetId="93">'425'!$L$50:$L$51</definedName>
    <definedName name="OSRRefL21_5x_0" localSheetId="94">'430'!$L$46</definedName>
    <definedName name="OSRRefL21_5x_0" localSheetId="95">'433'!$L$56</definedName>
    <definedName name="OSRRefL21_5x_0" localSheetId="96">'435'!$L$39</definedName>
    <definedName name="OSRRefL21_5x_0" localSheetId="97">'444'!$L$54</definedName>
    <definedName name="OSRRefL21_5x_0" localSheetId="98">'445'!$L$38</definedName>
    <definedName name="OSRRefL21_5x_0" localSheetId="99">'450'!$L$54:$L$55</definedName>
    <definedName name="OSRRefL21_5x_0" localSheetId="41">'491'!$L$66:$L$69</definedName>
    <definedName name="OSRRefL21_5x_0" localSheetId="44">'492'!$L$58:$L$59</definedName>
    <definedName name="OSRRefL21_5x_0" localSheetId="101">'501'!$L$48</definedName>
    <definedName name="OSRRefL21_5x_0" localSheetId="8">'Div 2'!$L$49</definedName>
    <definedName name="OSRRefL21_5x_0" localSheetId="11">'Div 3'!$L$239:$L$242</definedName>
    <definedName name="OSRRefL21_5x_0" localSheetId="14">'Div 4'!$L$67:$L$70</definedName>
    <definedName name="OSRRefL21_5x_0" localSheetId="47">'Div 5'!$L$48</definedName>
    <definedName name="OSRRefL21_5x_0" localSheetId="50">'Div 6'!$L$92</definedName>
    <definedName name="OSRRefL21_5x_0" localSheetId="2">Summary!$L$275:$L$278</definedName>
    <definedName name="OSRRefL21_6x_0" localSheetId="55">'201'!$L$49:$L$50</definedName>
    <definedName name="OSRRefL21_6x_0" localSheetId="56">'202'!$L$49:$L$50</definedName>
    <definedName name="OSRRefL21_6x_0" localSheetId="57">'203'!$L$49</definedName>
    <definedName name="OSRRefL21_6x_0" localSheetId="58">'204'!$L$51</definedName>
    <definedName name="OSRRefL21_6x_0" localSheetId="59">'205'!$L$50:$L$53</definedName>
    <definedName name="OSRRefL21_6x_0" localSheetId="60">'206'!$L$48</definedName>
    <definedName name="OSRRefL21_6x_0" localSheetId="17">'300'!$L$239:$L$240</definedName>
    <definedName name="OSRRefL21_6x_0" localSheetId="20">'300 &amp; 317'!$L$264:$L$265</definedName>
    <definedName name="OSRRefL21_6x_0" localSheetId="61">'301'!$L$54:$L$55</definedName>
    <definedName name="OSRRefL21_6x_0" localSheetId="62">'306'!$L$50</definedName>
    <definedName name="OSRRefL21_6x_0" localSheetId="63">'307'!$L$130</definedName>
    <definedName name="OSRRefL21_6x_0" localSheetId="29">'308'!$L$120:$L$121</definedName>
    <definedName name="OSRRefL21_6x_0" localSheetId="64">'309'!$L$54</definedName>
    <definedName name="OSRRefL21_6x_0" localSheetId="23">'310'!$L$69</definedName>
    <definedName name="OSRRefL21_6x_0" localSheetId="38">'310 &amp; 491'!$L$83:$L$84</definedName>
    <definedName name="OSRRefL21_6x_0" localSheetId="65">'311'!$L$102:$L$103</definedName>
    <definedName name="OSRRefL21_6x_0" localSheetId="66">'312'!$L$91:$L$92</definedName>
    <definedName name="OSRRefL21_6x_0" localSheetId="67">'313'!$L$64</definedName>
    <definedName name="OSRRefL21_6x_0" localSheetId="68">'314'!$L$88:$L$97</definedName>
    <definedName name="OSRRefL21_6x_0" localSheetId="69">'315'!$L$87</definedName>
    <definedName name="OSRRefL21_6x_0" localSheetId="70">'316'!$L$69</definedName>
    <definedName name="OSRRefL21_6x_0" localSheetId="71">'317'!$L$94</definedName>
    <definedName name="OSRRefL21_6x_0" localSheetId="72">'318'!$L$40</definedName>
    <definedName name="OSRRefL21_6x_0" localSheetId="73">'320'!$L$61</definedName>
    <definedName name="OSRRefL21_6x_0" localSheetId="74">'321'!$L$55</definedName>
    <definedName name="OSRRefL21_6x_0" localSheetId="75">'322'!$L$54</definedName>
    <definedName name="OSRRefL21_6x_0" localSheetId="76">'323'!$L$41</definedName>
    <definedName name="OSRRefL21_6x_0" localSheetId="78">'325'!$L$56</definedName>
    <definedName name="OSRRefL21_6x_0" localSheetId="79">'326'!$L$124:$L$125</definedName>
    <definedName name="OSRRefL21_6x_0" localSheetId="26">'330'!$L$139</definedName>
    <definedName name="OSRRefL21_6x_0" localSheetId="32">'331'!$L$135:$L$136</definedName>
    <definedName name="OSRRefL21_6x_0" localSheetId="35">'332'!$L$86</definedName>
    <definedName name="OSRRefL21_6x_0" localSheetId="81">'335'!$L$43:$L$45</definedName>
    <definedName name="OSRRefL21_6x_0" localSheetId="82">'405'!$L$58</definedName>
    <definedName name="OSRRefL21_6x_0" localSheetId="83">'406'!$L$47</definedName>
    <definedName name="OSRRefL21_6x_0" localSheetId="84">'411'!$L$52</definedName>
    <definedName name="OSRRefL21_6x_0" localSheetId="85">'412'!$L$58</definedName>
    <definedName name="OSRRefL21_6x_0" localSheetId="86">'413'!$L$56</definedName>
    <definedName name="OSRRefL21_6x_0" localSheetId="87">'414'!$L$55</definedName>
    <definedName name="OSRRefL21_6x_0" localSheetId="88">'415'!$L$57</definedName>
    <definedName name="OSRRefL21_6x_0" localSheetId="89">'418'!$L$56</definedName>
    <definedName name="OSRRefL21_6x_0" localSheetId="90">'420'!$L$45</definedName>
    <definedName name="OSRRefL21_6x_0" localSheetId="91">'423'!$L$49</definedName>
    <definedName name="OSRRefL21_6x_0" localSheetId="92">'424'!$L$48</definedName>
    <definedName name="OSRRefL21_6x_0" localSheetId="93">'425'!$L$53</definedName>
    <definedName name="OSRRefL21_6x_0" localSheetId="94">'430'!$L$48</definedName>
    <definedName name="OSRRefL21_6x_0" localSheetId="95">'433'!$L$58</definedName>
    <definedName name="OSRRefL21_6x_0" localSheetId="96">'435'!$L$41</definedName>
    <definedName name="OSRRefL21_6x_0" localSheetId="97">'444'!$L$56</definedName>
    <definedName name="OSRRefL21_6x_0" localSheetId="98">'445'!$L$40</definedName>
    <definedName name="OSRRefL21_6x_0" localSheetId="99">'450'!$L$57</definedName>
    <definedName name="OSRRefL21_6x_0" localSheetId="41">'491'!$L$71:$L$72</definedName>
    <definedName name="OSRRefL21_6x_0" localSheetId="44">'492'!$L$61</definedName>
    <definedName name="OSRRefL21_6x_0" localSheetId="101">'501'!$L$50:$L$51</definedName>
    <definedName name="OSRRefL21_6x_0" localSheetId="8">'Div 2'!$L$51:$L$52</definedName>
    <definedName name="OSRRefL21_6x_0" localSheetId="11">'Div 3'!$L$244:$L$245</definedName>
    <definedName name="OSRRefL21_6x_0" localSheetId="14">'Div 4'!$L$72:$L$73</definedName>
    <definedName name="OSRRefL21_6x_0" localSheetId="47">'Div 5'!$L$50:$L$51</definedName>
    <definedName name="OSRRefL21_6x_0" localSheetId="50">'Div 6'!$L$94</definedName>
    <definedName name="OSRRefL21_6x_0" localSheetId="2">Summary!$L$280:$L$281</definedName>
    <definedName name="OSRRefL21_7x_0" localSheetId="55">'201'!$L$52</definedName>
    <definedName name="OSRRefL21_7x_0" localSheetId="56">'202'!$L$52</definedName>
    <definedName name="OSRRefL21_7x_0" localSheetId="57">'203'!$L$51</definedName>
    <definedName name="OSRRefL21_7x_0" localSheetId="58">'204'!$L$53</definedName>
    <definedName name="OSRRefL21_7x_0" localSheetId="59">'205'!$L$55</definedName>
    <definedName name="OSRRefL21_7x_0" localSheetId="60">'206'!$L$50:$L$52</definedName>
    <definedName name="OSRRefL21_7x_0" localSheetId="17">'300'!$L$242:$L$243</definedName>
    <definedName name="OSRRefL21_7x_0" localSheetId="20">'300 &amp; 317'!$L$267:$L$268</definedName>
    <definedName name="OSRRefL21_7x_0" localSheetId="61">'301'!$L$57</definedName>
    <definedName name="OSRRefL21_7x_0" localSheetId="62">'306'!$L$52:$L$53</definedName>
    <definedName name="OSRRefL21_7x_0" localSheetId="63">'307'!$L$132:$L$133</definedName>
    <definedName name="OSRRefL21_7x_0" localSheetId="29">'308'!$L$123:$L$124</definedName>
    <definedName name="OSRRefL21_7x_0" localSheetId="64">'309'!$L$56</definedName>
    <definedName name="OSRRefL21_7x_0" localSheetId="23">'310'!$L$71</definedName>
    <definedName name="OSRRefL21_7x_0" localSheetId="38">'310 &amp; 491'!$L$86</definedName>
    <definedName name="OSRRefL21_7x_0" localSheetId="65">'311'!$L$105:$L$106</definedName>
    <definedName name="OSRRefL21_7x_0" localSheetId="66">'312'!$L$94</definedName>
    <definedName name="OSRRefL21_7x_0" localSheetId="67">'313'!$L$66:$L$67</definedName>
    <definedName name="OSRRefL21_7x_0" localSheetId="68">'314'!$L$99</definedName>
    <definedName name="OSRRefL21_7x_0" localSheetId="69">'315'!$L$89:$L$90</definedName>
    <definedName name="OSRRefL21_7x_0" localSheetId="70">'316'!$L$71:$L$72</definedName>
    <definedName name="OSRRefL21_7x_0" localSheetId="71">'317'!$L$96:$L$97</definedName>
    <definedName name="OSRRefL21_7x_0" localSheetId="72">'318'!$L$42</definedName>
    <definedName name="OSRRefL21_7x_0" localSheetId="73">'320'!$L$63:$L$66</definedName>
    <definedName name="OSRRefL21_7x_0" localSheetId="74">'321'!$L$57:$L$58</definedName>
    <definedName name="OSRRefL21_7x_0" localSheetId="75">'322'!$L$56</definedName>
    <definedName name="OSRRefL21_7x_0" localSheetId="76">'323'!$L$43:$L$45</definedName>
    <definedName name="OSRRefL21_7x_0" localSheetId="78">'325'!$L$58</definedName>
    <definedName name="OSRRefL21_7x_0" localSheetId="79">'326'!$L$127</definedName>
    <definedName name="OSRRefL21_7x_0" localSheetId="26">'330'!$L$141:$L$142</definedName>
    <definedName name="OSRRefL21_7x_0" localSheetId="32">'331'!$L$138</definedName>
    <definedName name="OSRRefL21_7x_0" localSheetId="35">'332'!$L$88:$L$89</definedName>
    <definedName name="OSRRefL21_7x_0" localSheetId="81">'335'!$L$47</definedName>
    <definedName name="OSRRefL21_7x_0" localSheetId="82">'405'!$L$60</definedName>
    <definedName name="OSRRefL21_7x_0" localSheetId="83">'406'!$L$49</definedName>
    <definedName name="OSRRefL21_7x_0" localSheetId="84">'411'!$L$54</definedName>
    <definedName name="OSRRefL21_7x_0" localSheetId="85">'412'!$L$60</definedName>
    <definedName name="OSRRefL21_7x_0" localSheetId="86">'413'!$L$58</definedName>
    <definedName name="OSRRefL21_7x_0" localSheetId="87">'414'!$L$57</definedName>
    <definedName name="OSRRefL21_7x_0" localSheetId="88">'415'!$L$59</definedName>
    <definedName name="OSRRefL21_7x_0" localSheetId="89">'418'!$L$58</definedName>
    <definedName name="OSRRefL21_7x_0" localSheetId="90">'420'!$L$47:$L$48</definedName>
    <definedName name="OSRRefL21_7x_0" localSheetId="91">'423'!$L$51:$L$53</definedName>
    <definedName name="OSRRefL21_7x_0" localSheetId="92">'424'!$L$50</definedName>
    <definedName name="OSRRefL21_7x_0" localSheetId="93">'425'!$L$55</definedName>
    <definedName name="OSRRefL21_7x_0" localSheetId="94">'430'!$L$50</definedName>
    <definedName name="OSRRefL21_7x_0" localSheetId="95">'433'!$L$60</definedName>
    <definedName name="OSRRefL21_7x_0" localSheetId="96">'435'!$L$43</definedName>
    <definedName name="OSRRefL21_7x_0" localSheetId="97">'444'!$L$58</definedName>
    <definedName name="OSRRefL21_7x_0" localSheetId="98">'445'!$L$42</definedName>
    <definedName name="OSRRefL21_7x_0" localSheetId="99">'450'!$L$59</definedName>
    <definedName name="OSRRefL21_7x_0" localSheetId="41">'491'!$L$74</definedName>
    <definedName name="OSRRefL21_7x_0" localSheetId="44">'492'!$L$63</definedName>
    <definedName name="OSRRefL21_7x_0" localSheetId="101">'501'!$L$53</definedName>
    <definedName name="OSRRefL21_7x_0" localSheetId="8">'Div 2'!$L$54:$L$55</definedName>
    <definedName name="OSRRefL21_7x_0" localSheetId="11">'Div 3'!$L$247:$L$248</definedName>
    <definedName name="OSRRefL21_7x_0" localSheetId="14">'Div 4'!$L$75</definedName>
    <definedName name="OSRRefL21_7x_0" localSheetId="47">'Div 5'!$L$53</definedName>
    <definedName name="OSRRefL21_7x_0" localSheetId="50">'Div 6'!$L$96:$L$97</definedName>
    <definedName name="OSRRefL21_7x_0" localSheetId="2">Summary!$L$283:$L$284</definedName>
    <definedName name="OSRRefL21_8x_0" localSheetId="55">'201'!$L$54</definedName>
    <definedName name="OSRRefL21_8x_0" localSheetId="56">'202'!$L$54</definedName>
    <definedName name="OSRRefL21_8x_0" localSheetId="57">'203'!$L$53:$L$54</definedName>
    <definedName name="OSRRefL21_8x_0" localSheetId="58">'204'!$L$55:$L$58</definedName>
    <definedName name="OSRRefL21_8x_0" localSheetId="59">'205'!$L$57</definedName>
    <definedName name="OSRRefL21_8x_0" localSheetId="60">'206'!$L$54</definedName>
    <definedName name="OSRRefL21_8x_0" localSheetId="17">'300'!$L$245</definedName>
    <definedName name="OSRRefL21_8x_0" localSheetId="20">'300 &amp; 317'!$L$270</definedName>
    <definedName name="OSRRefL21_8x_0" localSheetId="61">'301'!$L$59</definedName>
    <definedName name="OSRRefL21_8x_0" localSheetId="62">'306'!$L$55:$L$59</definedName>
    <definedName name="OSRRefL21_8x_0" localSheetId="63">'307'!$L$135</definedName>
    <definedName name="OSRRefL21_8x_0" localSheetId="29">'308'!$L$126:$L$138</definedName>
    <definedName name="OSRRefL21_8x_0" localSheetId="64">'309'!$L$58</definedName>
    <definedName name="OSRRefL21_8x_0" localSheetId="23">'310'!$L$73</definedName>
    <definedName name="OSRRefL21_8x_0" localSheetId="38">'310 &amp; 491'!$L$88</definedName>
    <definedName name="OSRRefL21_8x_0" localSheetId="65">'311'!$L$108:$L$116</definedName>
    <definedName name="OSRRefL21_8x_0" localSheetId="66">'312'!$L$96</definedName>
    <definedName name="OSRRefL21_8x_0" localSheetId="67">'313'!$L$69</definedName>
    <definedName name="OSRRefL21_8x_0" localSheetId="68">'314'!$L$101</definedName>
    <definedName name="OSRRefL21_8x_0" localSheetId="69">'315'!$L$92</definedName>
    <definedName name="OSRRefL21_8x_0" localSheetId="70">'316'!$L$74</definedName>
    <definedName name="OSRRefL21_8x_0" localSheetId="71">'317'!$L$99</definedName>
    <definedName name="OSRRefL21_8x_0" localSheetId="72">'318'!$L$44</definedName>
    <definedName name="OSRRefL21_8x_0" localSheetId="73">'320'!$L$68:$L$69</definedName>
    <definedName name="OSRRefL21_8x_0" localSheetId="74">'321'!$L$60</definedName>
    <definedName name="OSRRefL21_8x_0" localSheetId="75">'322'!$L$58</definedName>
    <definedName name="OSRRefL21_8x_0" localSheetId="78">'325'!$L$60</definedName>
    <definedName name="OSRRefL21_8x_0" localSheetId="79">'326'!$L$129:$L$130</definedName>
    <definedName name="OSRRefL21_8x_0" localSheetId="26">'330'!$L$144</definedName>
    <definedName name="OSRRefL21_8x_0" localSheetId="32">'331'!$L$140:$L$141</definedName>
    <definedName name="OSRRefL21_8x_0" localSheetId="35">'332'!$L$91</definedName>
    <definedName name="OSRRefL21_8x_0" localSheetId="81">'335'!$L$49</definedName>
    <definedName name="OSRRefL21_8x_0" localSheetId="82">'405'!$L$62</definedName>
    <definedName name="OSRRefL21_8x_0" localSheetId="83">'406'!$L$51</definedName>
    <definedName name="OSRRefL21_8x_0" localSheetId="84">'411'!$L$56</definedName>
    <definedName name="OSRRefL21_8x_0" localSheetId="85">'412'!$L$62</definedName>
    <definedName name="OSRRefL21_8x_0" localSheetId="86">'413'!$L$60:$L$63</definedName>
    <definedName name="OSRRefL21_8x_0" localSheetId="87">'414'!$L$59</definedName>
    <definedName name="OSRRefL21_8x_0" localSheetId="88">'415'!$L$61</definedName>
    <definedName name="OSRRefL21_8x_0" localSheetId="89">'418'!$L$60</definedName>
    <definedName name="OSRRefL21_8x_0" localSheetId="90">'420'!$L$50</definedName>
    <definedName name="OSRRefL21_8x_0" localSheetId="91">'423'!$L$55</definedName>
    <definedName name="OSRRefL21_8x_0" localSheetId="92">'424'!$L$52</definedName>
    <definedName name="OSRRefL21_8x_0" localSheetId="93">'425'!$L$57</definedName>
    <definedName name="OSRRefL21_8x_0" localSheetId="94">'430'!$L$52:$L$56</definedName>
    <definedName name="OSRRefL21_8x_0" localSheetId="95">'433'!$L$62</definedName>
    <definedName name="OSRRefL21_8x_0" localSheetId="96">'435'!$L$45</definedName>
    <definedName name="OSRRefL21_8x_0" localSheetId="97">'444'!$L$60</definedName>
    <definedName name="OSRRefL21_8x_0" localSheetId="98">'445'!$L$44:$L$45</definedName>
    <definedName name="OSRRefL21_8x_0" localSheetId="99">'450'!$L$61</definedName>
    <definedName name="OSRRefL21_8x_0" localSheetId="41">'491'!$L$76</definedName>
    <definedName name="OSRRefL21_8x_0" localSheetId="44">'492'!$L$65</definedName>
    <definedName name="OSRRefL21_8x_0" localSheetId="101">'501'!$L$55</definedName>
    <definedName name="OSRRefL21_8x_0" localSheetId="8">'Div 2'!$L$57</definedName>
    <definedName name="OSRRefL21_8x_0" localSheetId="11">'Div 3'!$L$250</definedName>
    <definedName name="OSRRefL21_8x_0" localSheetId="14">'Div 4'!$L$77</definedName>
    <definedName name="OSRRefL21_8x_0" localSheetId="47">'Div 5'!$L$55</definedName>
    <definedName name="OSRRefL21_8x_0" localSheetId="50">'Div 6'!$L$99</definedName>
    <definedName name="OSRRefL21_8x_0" localSheetId="2">Summary!$L$286</definedName>
    <definedName name="OSRRefL21_9x_0" localSheetId="55">'201'!$L$56</definedName>
    <definedName name="OSRRefL21_9x_0" localSheetId="56">'202'!$L$56:$L$57</definedName>
    <definedName name="OSRRefL21_9x_0" localSheetId="57">'203'!$L$56:$L$58</definedName>
    <definedName name="OSRRefL21_9x_0" localSheetId="58">'204'!$L$60:$L$61</definedName>
    <definedName name="OSRRefL21_9x_0" localSheetId="60">'206'!$L$56:$L$57</definedName>
    <definedName name="OSRRefL21_9x_0" localSheetId="17">'300'!$L$247</definedName>
    <definedName name="OSRRefL21_9x_0" localSheetId="20">'300 &amp; 317'!$L$272</definedName>
    <definedName name="OSRRefL21_9x_0" localSheetId="61">'301'!$L$61</definedName>
    <definedName name="OSRRefL21_9x_0" localSheetId="62">'306'!$L$61</definedName>
    <definedName name="OSRRefL21_9x_0" localSheetId="63">'307'!$L$137:$L$160</definedName>
    <definedName name="OSRRefL21_9x_0" localSheetId="29">'308'!$L$140</definedName>
    <definedName name="OSRRefL21_9x_0" localSheetId="64">'309'!$L$60</definedName>
    <definedName name="OSRRefL21_9x_0" localSheetId="23">'310'!$L$75:$L$76</definedName>
    <definedName name="OSRRefL21_9x_0" localSheetId="38">'310 &amp; 491'!$L$90</definedName>
    <definedName name="OSRRefL21_9x_0" localSheetId="65">'311'!$L$118</definedName>
    <definedName name="OSRRefL21_9x_0" localSheetId="66">'312'!$L$98</definedName>
    <definedName name="OSRRefL21_9x_0" localSheetId="67">'313'!$L$71</definedName>
    <definedName name="OSRRefL21_9x_0" localSheetId="68">'314'!$L$103</definedName>
    <definedName name="OSRRefL21_9x_0" localSheetId="69">'315'!$L$94:$L$100</definedName>
    <definedName name="OSRRefL21_9x_0" localSheetId="70">'316'!$L$76:$L$78</definedName>
    <definedName name="OSRRefL21_9x_0" localSheetId="71">'317'!$L$101:$L$108</definedName>
    <definedName name="OSRRefL21_9x_0" localSheetId="73">'320'!$L$71:$L$73</definedName>
    <definedName name="OSRRefL21_9x_0" localSheetId="74">'321'!$L$62:$L$64</definedName>
    <definedName name="OSRRefL21_9x_0" localSheetId="75">'322'!$L$60</definedName>
    <definedName name="OSRRefL21_9x_0" localSheetId="78">'325'!$L$62</definedName>
    <definedName name="OSRRefL21_9x_0" localSheetId="79">'326'!$L$132:$L$133</definedName>
    <definedName name="OSRRefL21_9x_0" localSheetId="26">'330'!$L$146:$L$169</definedName>
    <definedName name="OSRRefL21_9x_0" localSheetId="32">'331'!$L$143:$L$144</definedName>
    <definedName name="OSRRefL21_9x_0" localSheetId="35">'332'!$L$93:$L$96</definedName>
    <definedName name="OSRRefL21_9x_0" localSheetId="81">'335'!$L$51:$L$52</definedName>
    <definedName name="OSRRefL21_9x_0" localSheetId="82">'405'!$L$64</definedName>
    <definedName name="OSRRefL21_9x_0" localSheetId="83">'406'!$L$53</definedName>
    <definedName name="OSRRefL21_9x_0" localSheetId="84">'411'!$L$58</definedName>
    <definedName name="OSRRefL21_9x_0" localSheetId="85">'412'!$L$64</definedName>
    <definedName name="OSRRefL21_9x_0" localSheetId="86">'413'!$L$65:$L$67</definedName>
    <definedName name="OSRRefL21_9x_0" localSheetId="87">'414'!$L$61</definedName>
    <definedName name="OSRRefL21_9x_0" localSheetId="88">'415'!$L$63</definedName>
    <definedName name="OSRRefL21_9x_0" localSheetId="89">'418'!$L$62</definedName>
    <definedName name="OSRRefL21_9x_0" localSheetId="91">'423'!$L$57</definedName>
    <definedName name="OSRRefL21_9x_0" localSheetId="92">'424'!$L$54:$L$55</definedName>
    <definedName name="OSRRefL21_9x_0" localSheetId="93">'425'!$L$59:$L$62</definedName>
    <definedName name="OSRRefL21_9x_0" localSheetId="94">'430'!$L$58:$L$59</definedName>
    <definedName name="OSRRefL21_9x_0" localSheetId="95">'433'!$L$64</definedName>
    <definedName name="OSRRefL21_9x_0" localSheetId="96">'435'!$L$47:$L$48</definedName>
    <definedName name="OSRRefL21_9x_0" localSheetId="97">'444'!$L$62</definedName>
    <definedName name="OSRRefL21_9x_0" localSheetId="98">'445'!$L$47</definedName>
    <definedName name="OSRRefL21_9x_0" localSheetId="99">'450'!$L$63</definedName>
    <definedName name="OSRRefL21_9x_0" localSheetId="41">'491'!$L$78</definedName>
    <definedName name="OSRRefL21_9x_0" localSheetId="44">'492'!$L$67</definedName>
    <definedName name="OSRRefL21_9x_0" localSheetId="101">'501'!$L$57</definedName>
    <definedName name="OSRRefL21_9x_0" localSheetId="8">'Div 2'!$L$59</definedName>
    <definedName name="OSRRefL21_9x_0" localSheetId="11">'Div 3'!$L$252</definedName>
    <definedName name="OSRRefL21_9x_0" localSheetId="14">'Div 4'!$L$79</definedName>
    <definedName name="OSRRefL21_9x_0" localSheetId="47">'Div 5'!$L$57</definedName>
    <definedName name="OSRRefL21_9x_0" localSheetId="50">'Div 6'!$L$101:$L$108</definedName>
    <definedName name="OSRRefL21_9x_0" localSheetId="2">Summary!$L$288</definedName>
    <definedName name="OSRRefL21x_0" localSheetId="54">'200'!$L$19:$L$20,'200'!$L$22,'200'!$L$24,'200'!$L$26,'200'!$L$28,'200'!$L$30:$L$31</definedName>
    <definedName name="OSRRefL21x_0" localSheetId="55">'201'!$L$20:$L$28,'201'!$L$30:$L$39,'201'!$L$41,'201'!$L$43,'201'!$L$45,'201'!$L$47,'201'!$L$49:$L$50,'201'!$L$52,'201'!$L$54,'201'!$L$56,'201'!$L$58,'201'!$L$60,'201'!$L$62,'201'!$L$64:$L$67,'201'!$L$69:$L$71,'201'!$L$73,'201'!$L$75:$L$78,'201'!$L$80:$L$81,'201'!$L$83,'201'!$L$85:$L$86</definedName>
    <definedName name="OSRRefL21x_0" localSheetId="56">'202'!$L$20:$L$28,'202'!$L$30:$L$39,'202'!$L$41,'202'!$L$43,'202'!$L$45,'202'!$L$47,'202'!$L$49:$L$50,'202'!$L$52,'202'!$L$54,'202'!$L$56:$L$57,'202'!$L$59:$L$61,'202'!$L$63,'202'!$L$65,'202'!$L$67:$L$69,'202'!$L$71,'202'!$L$73,'202'!$L$75:$L$76</definedName>
    <definedName name="OSRRefL21x_0" localSheetId="57">'203'!$L$19:$L$28,'203'!$L$30:$L$39,'203'!$L$41,'203'!$L$43,'203'!$L$45,'203'!$L$47,'203'!$L$49,'203'!$L$51,'203'!$L$53:$L$54,'203'!$L$56:$L$58,'203'!$L$60:$L$62,'203'!$L$64:$L$65,'203'!$L$67:$L$71,'203'!$L$73,'203'!$L$75,'203'!$L$77:$L$78</definedName>
    <definedName name="OSRRefL21x_0" localSheetId="58">'204'!$L$19:$L$28,'204'!$L$30:$L$39,'204'!$L$41,'204'!$L$43:$L$44,'204'!$L$46,'204'!$L$48:$L$49,'204'!$L$51,'204'!$L$53,'204'!$L$55:$L$58,'204'!$L$60:$L$61,'204'!$L$63:$L$66,'204'!$L$68:$L$69,'204'!$L$71,'204'!$L$73:$L$74</definedName>
    <definedName name="OSRRefL21x_0" localSheetId="59">'205'!$L$19:$L$27,'205'!$L$29:$L$38,'205'!$L$40,'205'!$L$42,'205'!$L$44:$L$46,'205'!$L$48,'205'!$L$50:$L$53,'205'!$L$55,'205'!$L$57</definedName>
    <definedName name="OSRRefL21x_0" localSheetId="60">'206'!$L$19:$L$27,'206'!$L$29:$L$38,'206'!$L$40,'206'!$L$42,'206'!$L$44,'206'!$L$46,'206'!$L$48,'206'!$L$50:$L$52,'206'!$L$54,'206'!$L$56:$L$57,'206'!$L$59:$L$60,'206'!$L$62,'206'!$L$64:$L$65</definedName>
    <definedName name="OSRRefL21x_0" localSheetId="17">'300'!$L$204:$L$213,'300'!$L$215:$L$224,'300'!$L$226,'300'!$L$228:$L$230,'300'!$L$232,'300'!$L$234:$L$237,'300'!$L$239:$L$240,'300'!$L$242:$L$243,'300'!$L$245,'300'!$L$247,'300'!$L$249:$L$250,'300'!$L$252:$L$254,'300'!$L$256,'300'!$L$258:$L$294,'300'!$L$296:$L$297,'300'!$L$299,'300'!$L$301:$L$304,'300'!$L$306:$L$310,'300'!$L$312:$L$316,'300'!$L$318:$L$319,'300'!$L$321:$L$329,'300'!$L$331:$L$332,'300'!$L$334,'300'!$L$336:$L$338,'300'!$L$340</definedName>
    <definedName name="OSRRefL21x_0" localSheetId="20">'300 &amp; 317'!$L$229:$L$238,'300 &amp; 317'!$L$240:$L$249,'300 &amp; 317'!$L$251,'300 &amp; 317'!$L$253:$L$255,'300 &amp; 317'!$L$257,'300 &amp; 317'!$L$259:$L$262,'300 &amp; 317'!$L$264:$L$265,'300 &amp; 317'!$L$267:$L$268,'300 &amp; 317'!$L$270,'300 &amp; 317'!$L$272,'300 &amp; 317'!$L$274:$L$275,'300 &amp; 317'!$L$277:$L$279,'300 &amp; 317'!$L$281,'300 &amp; 317'!$L$283:$L$322,'300 &amp; 317'!$L$324:$L$325,'300 &amp; 317'!$L$327,'300 &amp; 317'!$L$329:$L$332,'300 &amp; 317'!$L$334:$L$338,'300 &amp; 317'!$L$340:$L$344,'300 &amp; 317'!$L$346:$L$347,'300 &amp; 317'!$L$349:$L$357,'300 &amp; 317'!$L$359:$L$360,'300 &amp; 317'!$L$362,'300 &amp; 317'!$L$364:$L$366,'300 &amp; 317'!$L$368</definedName>
    <definedName name="OSRRefL21x_0" localSheetId="61">'301'!$L$20:$L$28,'301'!$L$30:$L$39,'301'!$L$41,'301'!$L$43:$L$45,'301'!$L$47,'301'!$L$49:$L$52,'301'!$L$54:$L$55,'301'!$L$57,'301'!$L$59,'301'!$L$61,'301'!$L$63,'301'!$L$65,'301'!$L$67,'301'!$L$69:$L$70,'301'!$L$72:$L$73,'301'!$L$75,'301'!$L$77:$L$80,'301'!$L$82,'301'!$L$84:$L$87,'301'!$L$89:$L$90,'301'!$L$92:$L$98,'301'!$L$100:$L$101,'301'!$L$103,'301'!$L$105:$L$107,'301'!$L$109</definedName>
    <definedName name="OSRRefL21x_0" localSheetId="62">'306'!$L$19:$L$28,'306'!$L$30:$L$39,'306'!$L$41,'306'!$L$43,'306'!$L$45,'306'!$L$47:$L$48,'306'!$L$50,'306'!$L$52:$L$53,'306'!$L$55:$L$59,'306'!$L$61,'306'!$L$63,'306'!$L$65,'306'!$L$67</definedName>
    <definedName name="OSRRefL21x_0" localSheetId="63">'307'!$L$100:$L$108,'307'!$L$110:$L$119,'307'!$L$121,'307'!$L$123,'307'!$L$125,'307'!$L$127:$L$128,'307'!$L$130,'307'!$L$132:$L$133,'307'!$L$135,'307'!$L$137:$L$160,'307'!$L$162,'307'!$L$164,'307'!$L$166:$L$167,'307'!$L$169:$L$170,'307'!$L$172,'307'!$L$174:$L$179,'307'!$L$181:$L$182,'307'!$L$184,'307'!$L$186</definedName>
    <definedName name="OSRRefL21x_0" localSheetId="29">'308'!$L$89:$L$98,'308'!$L$100:$L$109,'308'!$L$111,'308'!$L$113:$L$114,'308'!$L$116,'308'!$L$118,'308'!$L$120:$L$121,'308'!$L$123:$L$124,'308'!$L$126:$L$138,'308'!$L$140,'308'!$L$142:$L$144,'308'!$L$146,'308'!$L$148:$L$149,'308'!$L$151:$L$154,'308'!$L$156:$L$157,'308'!$L$159,'308'!$L$161:$L$162,'308'!$L$164</definedName>
    <definedName name="OSRRefL21x_0" localSheetId="64">'309'!$L$25:$L$33,'309'!$L$35:$L$44,'309'!$L$46,'309'!$L$48,'309'!$L$50,'309'!$L$52,'309'!$L$54,'309'!$L$56,'309'!$L$58,'309'!$L$60,'309'!$L$62:$L$63,'309'!$L$65:$L$67,'309'!$L$69,'309'!$L$71:$L$79,'309'!$L$81,'309'!$L$83,'309'!$L$85:$L$86</definedName>
    <definedName name="OSRRefL21x_0" localSheetId="23">'310'!$L$39:$L$47,'310'!$L$49:$L$58,'310'!$L$60,'310'!$L$62,'310'!$L$64,'310'!$L$66:$L$67,'310'!$L$69,'310'!$L$71,'310'!$L$73,'310'!$L$75:$L$76,'310'!$L$78:$L$79,'310'!$L$81,'310'!$L$83,'310'!$L$85,'310'!$L$87,'310'!$L$89:$L$92,'310'!$L$94:$L$95,'310'!$L$97:$L$100,'310'!$L$102:$L$103,'310'!$L$105:$L$113,'310'!$L$115:$L$116,'310'!$L$118,'310'!$L$120:$L$122,'310'!$L$124</definedName>
    <definedName name="OSRRefL21x_0" localSheetId="38">'310 &amp; 491'!$L$49:$L$58,'310 &amp; 491'!$L$60:$L$69,'310 &amp; 491'!$L$71,'310 &amp; 491'!$L$73:$L$74,'310 &amp; 491'!$L$76,'310 &amp; 491'!$L$78:$L$81,'310 &amp; 491'!$L$83:$L$84,'310 &amp; 491'!$L$86,'310 &amp; 491'!$L$88,'310 &amp; 491'!$L$90,'310 &amp; 491'!$L$92:$L$93,'310 &amp; 491'!$L$95:$L$97,'310 &amp; 491'!$L$99,'310 &amp; 491'!$L$101,'310 &amp; 491'!$L$103,'310 &amp; 491'!$L$105,'310 &amp; 491'!$L$107,'310 &amp; 491'!$L$109:$L$112,'310 &amp; 491'!$L$114:$L$115,'310 &amp; 491'!$L$117:$L$121,'310 &amp; 491'!$L$123:$L$124,'310 &amp; 491'!$L$126:$L$136,'310 &amp; 491'!$L$138:$L$139,'310 &amp; 491'!$L$141,'310 &amp; 491'!$L$143:$L$145,'310 &amp; 491'!$L$147</definedName>
    <definedName name="OSRRefL21x_0" localSheetId="65">'311'!$L$71:$L$80,'311'!$L$82:$L$91,'311'!$L$93,'311'!$L$95:$L$96,'311'!$L$98,'311'!$L$100,'311'!$L$102:$L$103,'311'!$L$105:$L$106,'311'!$L$108:$L$116,'311'!$L$118,'311'!$L$120:$L$122,'311'!$L$124,'311'!$L$126:$L$127,'311'!$L$129:$L$132,'311'!$L$134:$L$135,'311'!$L$137,'311'!$L$139:$L$140,'311'!$L$142</definedName>
    <definedName name="OSRRefL21x_0" localSheetId="66">'312'!$L$58:$L$66,'312'!$L$68:$L$72,'312'!$L$74,'312'!$L$76,'312'!$L$78:$L$79,'312'!$L$81:$L$89,'312'!$L$91:$L$92,'312'!$L$94,'312'!$L$96,'312'!$L$98</definedName>
    <definedName name="OSRRefL21x_0" localSheetId="67">'313'!$L$35:$L$43,'313'!$L$45:$L$54,'313'!$L$56,'313'!$L$58,'313'!$L$60,'313'!$L$62,'313'!$L$64,'313'!$L$66:$L$67,'313'!$L$69,'313'!$L$71,'313'!$L$73:$L$75,'313'!$L$77:$L$78,'313'!$L$80:$L$81,'313'!$L$83:$L$89,'313'!$L$91:$L$92,'313'!$L$94,'313'!$L$96:$L$97</definedName>
    <definedName name="OSRRefL21x_0" localSheetId="68">'314'!$L$61:$L$69,'314'!$L$71:$L$76,'314'!$L$78,'314'!$L$80:$L$81,'314'!$L$83,'314'!$L$85:$L$86,'314'!$L$88:$L$97,'314'!$L$99,'314'!$L$101,'314'!$L$103,'314'!$L$105:$L$108,'314'!$L$110,'314'!$L$112,'314'!$L$114</definedName>
    <definedName name="OSRRefL21x_0" localSheetId="69">'315'!$L$57:$L$65,'315'!$L$67:$L$76,'315'!$L$78,'315'!$L$80,'315'!$L$82,'315'!$L$84:$L$85,'315'!$L$87,'315'!$L$89:$L$90,'315'!$L$92,'315'!$L$94:$L$100,'315'!$L$102,'315'!$L$104:$L$106,'315'!$L$108:$L$110,'315'!$L$112:$L$113,'315'!$L$115:$L$122,'315'!$L$124,'315'!$L$126,'315'!$L$128:$L$130</definedName>
    <definedName name="OSRRefL21x_0" localSheetId="70">'316'!$L$40:$L$48,'316'!$L$50:$L$59,'316'!$L$61,'316'!$L$63,'316'!$L$65,'316'!$L$67,'316'!$L$69,'316'!$L$71:$L$72,'316'!$L$74,'316'!$L$76:$L$78,'316'!$L$80,'316'!$L$82:$L$87,'316'!$L$89,'316'!$L$91,'316'!$L$93,'316'!$L$95</definedName>
    <definedName name="OSRRefL21x_0" localSheetId="71">'317'!$L$63:$L$72,'317'!$L$74:$L$83,'317'!$L$85,'317'!$L$87,'317'!$L$89:$L$90,'317'!$L$92,'317'!$L$94,'317'!$L$96:$L$97,'317'!$L$99,'317'!$L$101:$L$108,'317'!$L$110:$L$111,'317'!$L$113,'317'!$L$115:$L$118,'317'!$L$120,'317'!$L$122,'317'!$L$124:$L$125</definedName>
    <definedName name="OSRRefL21x_0" localSheetId="72">'318'!$L$19:$L$25,'318'!$L$27:$L$30,'318'!$L$32,'318'!$L$34,'318'!$L$36,'318'!$L$38,'318'!$L$40,'318'!$L$42,'318'!$L$44</definedName>
    <definedName name="OSRRefL21x_0" localSheetId="73">'320'!$L$35:$L$42,'320'!$L$44:$L$50,'320'!$L$52,'320'!$L$54,'320'!$L$56,'320'!$L$58:$L$59,'320'!$L$61,'320'!$L$63:$L$66,'320'!$L$68:$L$69,'320'!$L$71:$L$73,'320'!$L$75,'320'!$L$77,'320'!$L$79</definedName>
    <definedName name="OSRRefL21x_0" localSheetId="74">'321'!$L$26:$L$34,'321'!$L$36:$L$45,'321'!$L$47,'321'!$L$49,'321'!$L$51,'321'!$L$53,'321'!$L$55,'321'!$L$57:$L$58,'321'!$L$60,'321'!$L$62:$L$64,'321'!$L$66:$L$67,'321'!$L$69:$L$71,'321'!$L$73:$L$74,'321'!$L$76:$L$83,'321'!$L$85:$L$86,'321'!$L$88,'321'!$L$90:$L$91,'321'!$L$93</definedName>
    <definedName name="OSRRefL21x_0" localSheetId="75">'322'!$L$25:$L$33,'322'!$L$35:$L$44,'322'!$L$46,'322'!$L$48,'322'!$L$50,'322'!$L$52,'322'!$L$54,'322'!$L$56,'322'!$L$58,'322'!$L$60,'322'!$L$62,'322'!$L$64,'322'!$L$66:$L$67,'322'!$L$69:$L$71,'322'!$L$73:$L$74,'322'!$L$76:$L$84,'322'!$L$86,'322'!$L$88,'322'!$L$90:$L$92,'322'!$L$94</definedName>
    <definedName name="OSRRefL21x_0" localSheetId="76">'323'!$L$21:$L$27,'323'!$L$29:$L$31,'323'!$L$33,'323'!$L$35,'323'!$L$37,'323'!$L$39,'323'!$L$41,'323'!$L$43:$L$45</definedName>
    <definedName name="OSRRefL21x_0" localSheetId="77">'324'!$L$26:$L$33,'324'!$L$35:$L$44,'324'!$L$46,'324'!$L$48</definedName>
    <definedName name="OSRRefL21x_0" localSheetId="78">'325'!$L$26:$L$34,'325'!$L$36:$L$45,'325'!$L$47,'325'!$L$49,'325'!$L$51,'325'!$L$53:$L$54,'325'!$L$56,'325'!$L$58,'325'!$L$60,'325'!$L$62,'325'!$L$64,'325'!$L$66,'325'!$L$68:$L$71,'325'!$L$73:$L$76,'325'!$L$78:$L$79,'325'!$L$81:$L$88,'325'!$L$90:$L$91,'325'!$L$93,'325'!$L$95,'325'!$L$97</definedName>
    <definedName name="OSRRefL21x_0" localSheetId="79">'326'!$L$94:$L$102,'326'!$L$104:$L$113,'326'!$L$115,'326'!$L$117,'326'!$L$119,'326'!$L$121:$L$122,'326'!$L$124:$L$125,'326'!$L$127,'326'!$L$129:$L$130,'326'!$L$132:$L$133,'326'!$L$135,'326'!$L$137:$L$157,'326'!$L$159,'326'!$L$161,'326'!$L$163:$L$165,'326'!$L$167:$L$169,'326'!$L$171:$L$172,'326'!$L$174:$L$181,'326'!$L$183:$L$184,'326'!$L$186,'326'!$L$188:$L$190,'326'!$L$192</definedName>
    <definedName name="OSRRefL21x_0" localSheetId="80">'327'!$L$25,'327'!$L$27,'327'!$L$29</definedName>
    <definedName name="OSRRefL21x_0" localSheetId="26">'330'!$L$108:$L$117,'330'!$L$119:$L$128,'330'!$L$130,'330'!$L$132,'330'!$L$134,'330'!$L$136:$L$137,'330'!$L$139,'330'!$L$141:$L$142,'330'!$L$144,'330'!$L$146:$L$169,'330'!$L$171,'330'!$L$173,'330'!$L$175:$L$176,'330'!$L$178:$L$179,'330'!$L$181,'330'!$L$183:$L$189,'330'!$L$191:$L$192,'330'!$L$194,'330'!$L$196</definedName>
    <definedName name="OSRRefL21x_0" localSheetId="32">'331'!$L$105:$L$113,'331'!$L$115:$L$124,'331'!$L$126,'331'!$L$128,'331'!$L$130,'331'!$L$132:$L$133,'331'!$L$135:$L$136,'331'!$L$138,'331'!$L$140:$L$141,'331'!$L$143:$L$144,'331'!$L$146,'331'!$L$148:$L$168,'331'!$L$170,'331'!$L$172,'331'!$L$174:$L$177,'331'!$L$179:$L$181,'331'!$L$183:$L$185,'331'!$L$187:$L$188,'331'!$L$190:$L$198,'331'!$L$200:$L$201,'331'!$L$203,'331'!$L$205:$L$207,'331'!$L$209</definedName>
    <definedName name="OSRRefL21x_0" localSheetId="35">'332'!$L$57:$L$65,'332'!$L$67:$L$76,'332'!$L$78,'332'!$L$80,'332'!$L$82,'332'!$L$84,'332'!$L$86,'332'!$L$88:$L$89,'332'!$L$91,'332'!$L$93:$L$96,'332'!$L$98:$L$100,'332'!$L$102:$L$103,'332'!$L$105:$L$110,'332'!$L$112,'332'!$L$114,'332'!$L$116,'332'!$L$118</definedName>
    <definedName name="OSRRefL21x_0" localSheetId="81">'335'!$L$19:$L$26,'335'!$L$28:$L$32,'335'!$L$34,'335'!$L$36,'335'!$L$38,'335'!$L$40:$L$41,'335'!$L$43:$L$45,'335'!$L$47,'335'!$L$49,'335'!$L$51:$L$52</definedName>
    <definedName name="OSRRefL21x_0" localSheetId="82">'405'!$L$27:$L$36,'405'!$L$38:$L$47,'405'!$L$49,'405'!$L$51,'405'!$L$53,'405'!$L$55:$L$56,'405'!$L$58,'405'!$L$60,'405'!$L$62,'405'!$L$64,'405'!$L$66:$L$68,'405'!$L$70,'405'!$L$72:$L$75,'405'!$L$77:$L$78,'405'!$L$80:$L$89,'405'!$L$91,'405'!$L$93,'405'!$L$95,'405'!$L$97</definedName>
    <definedName name="OSRRefL21x_0" localSheetId="83">'406'!$L$23:$L$30,'406'!$L$32:$L$37,'406'!$L$39,'406'!$L$41,'406'!$L$43,'406'!$L$45,'406'!$L$47,'406'!$L$49,'406'!$L$51,'406'!$L$53,'406'!$L$55:$L$57,'406'!$L$59,'406'!$L$61:$L$63,'406'!$L$65:$L$70,'406'!$L$72,'406'!$L$74,'406'!$L$76:$L$77</definedName>
    <definedName name="OSRRefL21x_0" localSheetId="84">'411'!$L$19:$L$28,'411'!$L$30:$L$39,'411'!$L$41,'411'!$L$43,'411'!$L$45,'411'!$L$47:$L$50,'411'!$L$52,'411'!$L$54,'411'!$L$56,'411'!$L$58,'411'!$L$60,'411'!$L$62,'411'!$L$64,'411'!$L$66,'411'!$L$68:$L$71,'411'!$L$73,'411'!$L$75:$L$79,'411'!$L$81:$L$82,'411'!$L$84:$L$93,'411'!$L$95,'411'!$L$97,'411'!$L$99:$L$101,'411'!$L$103</definedName>
    <definedName name="OSRRefL21x_0" localSheetId="85">'412'!$L$27:$L$36,'412'!$L$38:$L$47,'412'!$L$49,'412'!$L$51,'412'!$L$53,'412'!$L$55:$L$56,'412'!$L$58,'412'!$L$60,'412'!$L$62,'412'!$L$64,'412'!$L$66,'412'!$L$68:$L$70,'412'!$L$72,'412'!$L$74:$L$78,'412'!$L$80:$L$89,'412'!$L$91:$L$92,'412'!$L$94,'412'!$L$96:$L$97,'412'!$L$99</definedName>
    <definedName name="OSRRefL21x_0" localSheetId="86">'413'!$L$26:$L$35,'413'!$L$37:$L$46,'413'!$L$48,'413'!$L$50,'413'!$L$52,'413'!$L$54,'413'!$L$56,'413'!$L$58,'413'!$L$60:$L$63,'413'!$L$65:$L$67,'413'!$L$69:$L$78,'413'!$L$80:$L$81,'413'!$L$83,'413'!$L$85:$L$86</definedName>
    <definedName name="OSRRefL21x_0" localSheetId="87">'414'!$L$26:$L$34,'414'!$L$36:$L$45,'414'!$L$47,'414'!$L$49,'414'!$L$51,'414'!$L$53,'414'!$L$55,'414'!$L$57,'414'!$L$59,'414'!$L$61,'414'!$L$63:$L$64,'414'!$L$66,'414'!$L$68:$L$70,'414'!$L$72,'414'!$L$74:$L$82,'414'!$L$84,'414'!$L$86,'414'!$L$88</definedName>
    <definedName name="OSRRefL21x_0" localSheetId="88">'415'!$L$26:$L$35,'415'!$L$37:$L$46,'415'!$L$48,'415'!$L$50,'415'!$L$52,'415'!$L$54:$L$55,'415'!$L$57,'415'!$L$59,'415'!$L$61,'415'!$L$63,'415'!$L$65,'415'!$L$67:$L$70,'415'!$L$72,'415'!$L$74:$L$78,'415'!$L$80:$L$81,'415'!$L$83:$L$91,'415'!$L$93:$L$94,'415'!$L$96,'415'!$L$98:$L$99,'415'!$L$101</definedName>
    <definedName name="OSRRefL21x_0" localSheetId="89">'418'!$L$26:$L$34,'418'!$L$36:$L$45,'418'!$L$47,'418'!$L$49,'418'!$L$51,'418'!$L$53:$L$54,'418'!$L$56,'418'!$L$58,'418'!$L$60,'418'!$L$62,'418'!$L$64,'418'!$L$66:$L$67,'418'!$L$69:$L$72,'418'!$L$74:$L$77,'418'!$L$79:$L$80,'418'!$L$82:$L$92,'418'!$L$94:$L$95,'418'!$L$97,'418'!$L$99:$L$100,'418'!$L$102</definedName>
    <definedName name="OSRRefL21x_0" localSheetId="90">'420'!$L$23:$L$30,'420'!$L$32:$L$35,'420'!$L$37,'420'!$L$39,'420'!$L$41,'420'!$L$43,'420'!$L$45,'420'!$L$47:$L$48,'420'!$L$50</definedName>
    <definedName name="OSRRefL21x_0" localSheetId="91">'423'!$L$20:$L$28,'423'!$L$30:$L$39,'423'!$L$41,'423'!$L$43,'423'!$L$45,'423'!$L$47,'423'!$L$49,'423'!$L$51:$L$53,'423'!$L$55,'423'!$L$57,'423'!$L$59,'423'!$L$61,'423'!$L$63</definedName>
    <definedName name="OSRRefL21x_0" localSheetId="92">'424'!$L$25:$L$31,'424'!$L$33:$L$38,'424'!$L$40,'424'!$L$42,'424'!$L$44,'424'!$L$46,'424'!$L$48,'424'!$L$50,'424'!$L$52,'424'!$L$54:$L$55,'424'!$L$57,'424'!$L$59:$L$61,'424'!$L$63:$L$69,'424'!$L$71</definedName>
    <definedName name="OSRRefL21x_0" localSheetId="93">'425'!$L$26:$L$34,'425'!$L$36:$L$41,'425'!$L$43,'425'!$L$45:$L$46,'425'!$L$48,'425'!$L$50:$L$51,'425'!$L$53,'425'!$L$55,'425'!$L$57,'425'!$L$59:$L$62,'425'!$L$64,'425'!$L$66:$L$69,'425'!$L$71:$L$72,'425'!$L$74:$L$81,'425'!$L$83,'425'!$L$85,'425'!$L$87:$L$89</definedName>
    <definedName name="OSRRefL21x_0" localSheetId="94">'430'!$L$19:$L$27,'430'!$L$29:$L$38,'430'!$L$40,'430'!$L$42,'430'!$L$44,'430'!$L$46,'430'!$L$48,'430'!$L$50,'430'!$L$52:$L$56,'430'!$L$58:$L$59,'430'!$L$61,'430'!$L$63:$L$64</definedName>
    <definedName name="OSRRefL21x_0" localSheetId="95">'433'!$L$28:$L$37,'433'!$L$39:$L$48,'433'!$L$50,'433'!$L$52,'433'!$L$54,'433'!$L$56,'433'!$L$58,'433'!$L$60,'433'!$L$62,'433'!$L$64,'433'!$L$66,'433'!$L$68,'433'!$L$70,'433'!$L$72:$L$74,'433'!$L$76:$L$79,'433'!$L$81,'433'!$L$83:$L$91,'433'!$L$93,'433'!$L$95,'433'!$L$97:$L$98,'433'!$L$100</definedName>
    <definedName name="OSRRefL21x_0" localSheetId="96">'435'!$L$24:$L$26,'435'!$L$28:$L$31,'435'!$L$33,'435'!$L$35,'435'!$L$37,'435'!$L$39,'435'!$L$41,'435'!$L$43,'435'!$L$45,'435'!$L$47:$L$48,'435'!$L$50:$L$56,'435'!$L$58,'435'!$L$60,'435'!$L$62</definedName>
    <definedName name="OSRRefL21x_0" localSheetId="97">'444'!$L$26:$L$35,'444'!$L$37:$L$46,'444'!$L$48,'444'!$L$50,'444'!$L$52,'444'!$L$54,'444'!$L$56,'444'!$L$58,'444'!$L$60,'444'!$L$62,'444'!$L$64,'444'!$L$66,'444'!$L$68,'444'!$L$70:$L$73,'444'!$L$75:$L$78,'444'!$L$80:$L$81,'444'!$L$83:$L$92,'444'!$L$94:$L$95,'444'!$L$97,'444'!$L$99,'444'!$L$101</definedName>
    <definedName name="OSRRefL21x_0" localSheetId="98">'445'!$L$24:$L$26,'445'!$L$28:$L$30,'445'!$L$32,'445'!$L$34,'445'!$L$36,'445'!$L$38,'445'!$L$40,'445'!$L$42,'445'!$L$44:$L$45,'445'!$L$47,'445'!$L$49:$L$52,'445'!$L$54,'445'!$L$56,'445'!$L$58</definedName>
    <definedName name="OSRRefL21x_0" localSheetId="99">'450'!$L$26:$L$35,'450'!$L$37:$L$46,'450'!$L$48,'450'!$L$50,'450'!$L$52,'450'!$L$54:$L$55,'450'!$L$57,'450'!$L$59,'450'!$L$61,'450'!$L$63,'450'!$L$65,'450'!$L$67,'450'!$L$69:$L$71,'450'!$L$73:$L$76,'450'!$L$78,'450'!$L$80:$L$89,'450'!$L$91:$L$92,'450'!$L$94,'450'!$L$96:$L$98</definedName>
    <definedName name="OSRRefL21x_0" localSheetId="100">'455'!$L$19:$L$26,'455'!$L$28:$L$29,'455'!$L$31,'455'!$L$33</definedName>
    <definedName name="OSRRefL21x_0" localSheetId="41">'491'!$L$37:$L$46,'491'!$L$48:$L$57,'491'!$L$59,'491'!$L$61:$L$62,'491'!$L$64,'491'!$L$66:$L$69,'491'!$L$71:$L$72,'491'!$L$74,'491'!$L$76,'491'!$L$78,'491'!$L$80,'491'!$L$82:$L$83,'491'!$L$85,'491'!$L$87,'491'!$L$89,'491'!$L$91,'491'!$L$93,'491'!$L$95:$L$98,'491'!$L$100:$L$101,'491'!$L$103:$L$107,'491'!$L$109:$L$110,'491'!$L$112:$L$122,'491'!$L$124:$L$125,'491'!$L$127,'491'!$L$129:$L$131,'491'!$L$133</definedName>
    <definedName name="OSRRefL21x_0" localSheetId="44">'492'!$L$30:$L$39,'492'!$L$41:$L$50,'492'!$L$52,'492'!$L$54,'492'!$L$56,'492'!$L$58:$L$59,'492'!$L$61,'492'!$L$63,'492'!$L$65,'492'!$L$67,'492'!$L$69,'492'!$L$71,'492'!$L$73,'492'!$L$75:$L$76,'492'!$L$78,'492'!$L$80:$L$83,'492'!$L$85:$L$88,'492'!$L$90:$L$91,'492'!$L$93:$L$102,'492'!$L$104:$L$105,'492'!$L$107,'492'!$L$109:$L$111,'492'!$L$113</definedName>
    <definedName name="OSRRefL21x_0" localSheetId="101">'501'!$L$21:$L$29,'501'!$L$31:$L$40,'501'!$L$42,'501'!$L$44,'501'!$L$46,'501'!$L$48,'501'!$L$50:$L$51,'501'!$L$53,'501'!$L$55,'501'!$L$57,'501'!$L$59,'501'!$L$61:$L$64,'501'!$L$66,'501'!$L$68:$L$71,'501'!$L$73,'501'!$L$75,'501'!$L$77</definedName>
    <definedName name="OSRRefL21x_0" localSheetId="8">'Div 2'!$L$20:$L$30,'Div 2'!$L$32:$L$41,'Div 2'!$L$43,'Div 2'!$L$45,'Div 2'!$L$47,'Div 2'!$L$49,'Div 2'!$L$51:$L$52,'Div 2'!$L$54:$L$55,'Div 2'!$L$57,'Div 2'!$L$59,'Div 2'!$L$61:$L$62,'Div 2'!$L$64:$L$65,'Div 2'!$L$67:$L$68,'Div 2'!$L$70,'Div 2'!$L$72:$L$75,'Div 2'!$L$77:$L$80,'Div 2'!$L$82:$L$83,'Div 2'!$L$85:$L$86,'Div 2'!$L$88:$L$94,'Div 2'!$L$96:$L$97,'Div 2'!$L$99,'Div 2'!$L$101:$L$102</definedName>
    <definedName name="OSRRefL21x_0" localSheetId="11">'Div 3'!$L$209:$L$218,'Div 3'!$L$220:$L$229,'Div 3'!$L$231,'Div 3'!$L$233:$L$235,'Div 3'!$L$237,'Div 3'!$L$239:$L$242,'Div 3'!$L$244:$L$245,'Div 3'!$L$247:$L$248,'Div 3'!$L$250,'Div 3'!$L$252,'Div 3'!$L$254:$L$255,'Div 3'!$L$257:$L$259,'Div 3'!$L$261,'Div 3'!$L$263,'Div 3'!$L$265:$L$301,'Div 3'!$L$303:$L$304,'Div 3'!$L$306,'Div 3'!$L$308:$L$311,'Div 3'!$L$313:$L$317,'Div 3'!$L$319:$L$324,'Div 3'!$L$326:$L$327,'Div 3'!$L$329:$L$338,'Div 3'!$L$340:$L$341,'Div 3'!$L$343,'Div 3'!$L$345:$L$347,'Div 3'!$L$349</definedName>
    <definedName name="OSRRefL21x_0" localSheetId="14">'Div 4'!$L$38:$L$47,'Div 4'!$L$49:$L$58,'Div 4'!$L$60,'Div 4'!$L$62:$L$63,'Div 4'!$L$65,'Div 4'!$L$67:$L$70,'Div 4'!$L$72:$L$73,'Div 4'!$L$75,'Div 4'!$L$77,'Div 4'!$L$79,'Div 4'!$L$81,'Div 4'!$L$83:$L$84,'Div 4'!$L$86,'Div 4'!$L$88,'Div 4'!$L$90:$L$91,'Div 4'!$L$93,'Div 4'!$L$95,'Div 4'!$L$97:$L$100,'Div 4'!$L$102:$L$103,'Div 4'!$L$105:$L$109,'Div 4'!$L$111:$L$112,'Div 4'!$L$114:$L$124,'Div 4'!$L$126:$L$127,'Div 4'!$L$129,'Div 4'!$L$131:$L$133,'Div 4'!$L$135</definedName>
    <definedName name="OSRRefL21x_0" localSheetId="47">'Div 5'!$L$21:$L$29,'Div 5'!$L$31:$L$40,'Div 5'!$L$42,'Div 5'!$L$44,'Div 5'!$L$46,'Div 5'!$L$48,'Div 5'!$L$50:$L$51,'Div 5'!$L$53,'Div 5'!$L$55,'Div 5'!$L$57,'Div 5'!$L$59,'Div 5'!$L$61:$L$64,'Div 5'!$L$66,'Div 5'!$L$68:$L$71,'Div 5'!$L$73,'Div 5'!$L$75,'Div 5'!$L$77</definedName>
    <definedName name="OSRRefL21x_0" localSheetId="50">'Div 6'!$L$63:$L$72,'Div 6'!$L$74:$L$83,'Div 6'!$L$85,'Div 6'!$L$87,'Div 6'!$L$89:$L$90,'Div 6'!$L$92,'Div 6'!$L$94,'Div 6'!$L$96:$L$97,'Div 6'!$L$99,'Div 6'!$L$101:$L$108,'Div 6'!$L$110:$L$111,'Div 6'!$L$113,'Div 6'!$L$115:$L$118,'Div 6'!$L$120,'Div 6'!$L$122,'Div 6'!$L$124:$L$125</definedName>
    <definedName name="OSRRefL21x_0" localSheetId="2">Summary!$L$245:$L$254,Summary!$L$256:$L$265,Summary!$L$267,Summary!$L$269:$L$271,Summary!$L$273,Summary!$L$275:$L$278,Summary!$L$280:$L$281,Summary!$L$283:$L$284,Summary!$L$286,Summary!$L$288,Summary!$L$290:$L$291,Summary!$L$293:$L$295,Summary!$L$297,Summary!$L$299,Summary!$L$301:$L$340,Summary!$L$342:$L$343,Summary!$L$345,Summary!$L$347,Summary!$L$349:$L$352,Summary!$L$354:$L$358,Summary!$L$360:$L$365,Summary!$L$367:$L$368,Summary!$L$370:$L$380,Summary!$L$382:$L$383,Summary!$L$385,Summary!$L$387:$L$389,Summary!$L$391</definedName>
    <definedName name="OSRRefL24x_0" localSheetId="56">'202'!$L$79:$L$81</definedName>
    <definedName name="OSRRefL24x_0" localSheetId="17">'300'!$L$343:$L$358</definedName>
    <definedName name="OSRRefL24x_0" localSheetId="20">'300 &amp; 317'!$L$371:$L$390</definedName>
    <definedName name="OSRRefL24x_0" localSheetId="61">'301'!$L$112:$L$114</definedName>
    <definedName name="OSRRefL24x_0" localSheetId="63">'307'!$L$189</definedName>
    <definedName name="OSRRefL24x_0" localSheetId="29">'308'!$L$167:$L$170</definedName>
    <definedName name="OSRRefL24x_0" localSheetId="64">'309'!$L$89</definedName>
    <definedName name="OSRRefL24x_0" localSheetId="23">'310'!$L$127</definedName>
    <definedName name="OSRRefL24x_0" localSheetId="38">'310 &amp; 491'!$L$150:$L$153</definedName>
    <definedName name="OSRRefL24x_0" localSheetId="65">'311'!$L$145:$L$148</definedName>
    <definedName name="OSRRefL24x_0" localSheetId="66">'312'!$L$101</definedName>
    <definedName name="OSRRefL24x_0" localSheetId="68">'314'!$L$117</definedName>
    <definedName name="OSRRefL24x_0" localSheetId="69">'315'!$L$133:$L$135</definedName>
    <definedName name="OSRRefL24x_0" localSheetId="70">'316'!$L$98</definedName>
    <definedName name="OSRRefL24x_0" localSheetId="71">'317'!$L$128:$L$133</definedName>
    <definedName name="OSRRefL24x_0" localSheetId="73">'320'!$L$82:$L$93</definedName>
    <definedName name="OSRRefL24x_0" localSheetId="26">'330'!$L$199</definedName>
    <definedName name="OSRRefL24x_0" localSheetId="32">'331'!$L$212:$L$214</definedName>
    <definedName name="OSRRefL24x_0" localSheetId="35">'332'!$L$121:$L$133</definedName>
    <definedName name="OSRRefL24x_0" localSheetId="84">'411'!$L$106:$L$107</definedName>
    <definedName name="OSRRefL24x_0" localSheetId="86">'413'!$L$89</definedName>
    <definedName name="OSRRefL24x_0" localSheetId="88">'415'!$L$104</definedName>
    <definedName name="OSRRefL24x_0" localSheetId="89">'418'!$L$105</definedName>
    <definedName name="OSRRefL24x_0" localSheetId="91">'423'!$L$66:$L$68</definedName>
    <definedName name="OSRRefL24x_0" localSheetId="92">'424'!$L$74</definedName>
    <definedName name="OSRRefL24x_0" localSheetId="93">'425'!$L$92</definedName>
    <definedName name="OSRRefL24x_0" localSheetId="100">'455'!$L$36:$L$38</definedName>
    <definedName name="OSRRefL24x_0" localSheetId="41">'491'!$L$136:$L$139</definedName>
    <definedName name="OSRRefL24x_0" localSheetId="101">'501'!$L$80:$L$82</definedName>
    <definedName name="OSRRefL24x_0" localSheetId="8">'Div 2'!$L$105:$L$107</definedName>
    <definedName name="OSRRefL24x_0" localSheetId="11">'Div 3'!$L$352:$L$367</definedName>
    <definedName name="OSRRefL24x_0" localSheetId="14">'Div 4'!$L$138:$L$141</definedName>
    <definedName name="OSRRefL24x_0" localSheetId="47">'Div 5'!$L$80:$L$82</definedName>
    <definedName name="OSRRefL24x_0" localSheetId="50">'Div 6'!$L$128:$L$133</definedName>
    <definedName name="OSRRefL24x_0" localSheetId="2">Summary!$L$394:$L$414</definedName>
    <definedName name="OSRRefN11x_0" localSheetId="55">'201'!$N$11</definedName>
    <definedName name="OSRRefN11x_0" localSheetId="56">'202'!$N$11</definedName>
    <definedName name="OSRRefN11x_0" localSheetId="17">'300'!$N$11:$N$133</definedName>
    <definedName name="OSRRefN11x_0" localSheetId="20">'300 &amp; 317'!$N$11:$N$151</definedName>
    <definedName name="OSRRefN11x_0" localSheetId="63">'307'!$N$11:$N$60</definedName>
    <definedName name="OSRRefN11x_0" localSheetId="29">'308'!$N$11:$N$54</definedName>
    <definedName name="OSRRefN11x_0" localSheetId="64">'309'!$N$11:$N$13</definedName>
    <definedName name="OSRRefN11x_0" localSheetId="23">'310'!$N$11:$N$27</definedName>
    <definedName name="OSRRefN11x_0" localSheetId="38">'310 &amp; 491'!$N$11:$N$36</definedName>
    <definedName name="OSRRefN11x_0" localSheetId="65">'311'!$N$11:$N$43</definedName>
    <definedName name="OSRRefN11x_0" localSheetId="66">'312'!$N$11:$N$34</definedName>
    <definedName name="OSRRefN11x_0" localSheetId="67">'313'!$N$11:$N$23</definedName>
    <definedName name="OSRRefN11x_0" localSheetId="68">'314'!$N$11:$N$35</definedName>
    <definedName name="OSRRefN11x_0" localSheetId="69">'315'!$N$11:$N$32</definedName>
    <definedName name="OSRRefN11x_0" localSheetId="70">'316'!$N$11:$N$30</definedName>
    <definedName name="OSRRefN11x_0" localSheetId="71">'317'!$N$11:$N$38</definedName>
    <definedName name="OSRRefN11x_0" localSheetId="73">'320'!$N$11:$N$20</definedName>
    <definedName name="OSRRefN11x_0" localSheetId="74">'321'!$N$11:$N$14</definedName>
    <definedName name="OSRRefN11x_0" localSheetId="75">'322'!$N$11:$N$13</definedName>
    <definedName name="OSRRefN11x_0" localSheetId="76">'323'!$N$11:$N$12</definedName>
    <definedName name="OSRRefN11x_0" localSheetId="77">'324'!$N$11:$N$14</definedName>
    <definedName name="OSRRefN11x_0" localSheetId="78">'325'!$N$11:$N$14</definedName>
    <definedName name="OSRRefN11x_0" localSheetId="79">'326'!$N$11:$N$55</definedName>
    <definedName name="OSRRefN11x_0" localSheetId="80">'327'!$N$11:$N$13</definedName>
    <definedName name="OSRRefN11x_0" localSheetId="26">'330'!$N$11:$N$66</definedName>
    <definedName name="OSRRefN11x_0" localSheetId="32">'331'!$N$11:$N$61</definedName>
    <definedName name="OSRRefN11x_0" localSheetId="35">'332'!$N$11:$N$41</definedName>
    <definedName name="OSRRefN11x_0" localSheetId="82">'405'!$N$11:$N$15</definedName>
    <definedName name="OSRRefN11x_0" localSheetId="83">'406'!$N$11:$N$12</definedName>
    <definedName name="OSRRefN11x_0" localSheetId="85">'412'!$N$11:$N$14</definedName>
    <definedName name="OSRRefN11x_0" localSheetId="86">'413'!$N$11:$N$14</definedName>
    <definedName name="OSRRefN11x_0" localSheetId="87">'414'!$N$11:$N$14</definedName>
    <definedName name="OSRRefN11x_0" localSheetId="88">'415'!$N$11:$N$14</definedName>
    <definedName name="OSRRefN11x_0" localSheetId="89">'418'!$N$11:$N$14</definedName>
    <definedName name="OSRRefN11x_0" localSheetId="90">'420'!$N$11:$N$12</definedName>
    <definedName name="OSRRefN11x_0" localSheetId="92">'424'!$N$11:$N$14</definedName>
    <definedName name="OSRRefN11x_0" localSheetId="93">'425'!$N$11:$N$15</definedName>
    <definedName name="OSRRefN11x_0" localSheetId="95">'433'!$N$11:$N$16</definedName>
    <definedName name="OSRRefN11x_0" localSheetId="96">'435'!$N$11:$N$13</definedName>
    <definedName name="OSRRefN11x_0" localSheetId="97">'444'!$N$11:$N$14</definedName>
    <definedName name="OSRRefN11x_0" localSheetId="98">'445'!$N$11:$N$13</definedName>
    <definedName name="OSRRefN11x_0" localSheetId="99">'450'!$N$11:$N$14</definedName>
    <definedName name="OSRRefN11x_0" localSheetId="41">'491'!$N$11:$N$24</definedName>
    <definedName name="OSRRefN11x_0" localSheetId="44">'492'!$N$11:$N$18</definedName>
    <definedName name="OSRRefN11x_0" localSheetId="101">'501'!$N$11:$N$12</definedName>
    <definedName name="OSRRefN11x_0" localSheetId="8">'Div 2'!$N$11</definedName>
    <definedName name="OSRRefN11x_0" localSheetId="11">'Div 3'!$N$11:$N$136</definedName>
    <definedName name="OSRRefN11x_0" localSheetId="14">'Div 4'!$N$11:$N$25</definedName>
    <definedName name="OSRRefN11x_0" localSheetId="47">'Div 5'!$N$11:$N$12</definedName>
    <definedName name="OSRRefN11x_0" localSheetId="50">'Div 6'!$N$11:$N$38</definedName>
    <definedName name="OSRRefN11x_0" localSheetId="2">Summary!$N$11:$N$164</definedName>
    <definedName name="OSRRefN14x_0" localSheetId="17">'300'!$N$136:$N$197</definedName>
    <definedName name="OSRRefN14x_0" localSheetId="20">'300 &amp; 317'!$N$154:$N$222</definedName>
    <definedName name="OSRRefN14x_0" localSheetId="61">'301'!$N$13</definedName>
    <definedName name="OSRRefN14x_0" localSheetId="63">'307'!$N$63:$N$93</definedName>
    <definedName name="OSRRefN14x_0" localSheetId="29">'308'!$N$57:$N$82</definedName>
    <definedName name="OSRRefN14x_0" localSheetId="64">'309'!$N$16:$N$18</definedName>
    <definedName name="OSRRefN14x_0" localSheetId="23">'310'!$N$30:$N$32</definedName>
    <definedName name="OSRRefN14x_0" localSheetId="38">'310 &amp; 491'!$N$39:$N$42</definedName>
    <definedName name="OSRRefN14x_0" localSheetId="65">'311'!$N$46:$N$64</definedName>
    <definedName name="OSRRefN14x_0" localSheetId="66">'312'!$N$37:$N$51</definedName>
    <definedName name="OSRRefN14x_0" localSheetId="67">'313'!$N$26:$N$28</definedName>
    <definedName name="OSRRefN14x_0" localSheetId="68">'314'!$N$38:$N$54</definedName>
    <definedName name="OSRRefN14x_0" localSheetId="69">'315'!$N$35:$N$50</definedName>
    <definedName name="OSRRefN14x_0" localSheetId="70">'316'!$N$33</definedName>
    <definedName name="OSRRefN14x_0" localSheetId="71">'317'!$N$41:$N$56</definedName>
    <definedName name="OSRRefN14x_0" localSheetId="73">'320'!$N$23:$N$28</definedName>
    <definedName name="OSRRefN14x_0" localSheetId="74">'321'!$N$17:$N$19</definedName>
    <definedName name="OSRRefN14x_0" localSheetId="75">'322'!$N$16:$N$18</definedName>
    <definedName name="OSRRefN14x_0" localSheetId="77">'324'!$N$17:$N$19</definedName>
    <definedName name="OSRRefN14x_0" localSheetId="78">'325'!$N$17:$N$19</definedName>
    <definedName name="OSRRefN14x_0" localSheetId="79">'326'!$N$58:$N$87</definedName>
    <definedName name="OSRRefN14x_0" localSheetId="80">'327'!$N$16:$N$18</definedName>
    <definedName name="OSRRefN14x_0" localSheetId="26">'330'!$N$69:$N$101</definedName>
    <definedName name="OSRRefN14x_0" localSheetId="32">'331'!$N$64:$N$98</definedName>
    <definedName name="OSRRefN14x_0" localSheetId="35">'332'!$N$44:$N$50</definedName>
    <definedName name="OSRRefN14x_0" localSheetId="82">'405'!$N$18:$N$20</definedName>
    <definedName name="OSRRefN14x_0" localSheetId="83">'406'!$N$15:$N$16</definedName>
    <definedName name="OSRRefN14x_0" localSheetId="85">'412'!$N$17:$N$20</definedName>
    <definedName name="OSRRefN14x_0" localSheetId="86">'413'!$N$17:$N$19</definedName>
    <definedName name="OSRRefN14x_0" localSheetId="87">'414'!$N$17:$N$19</definedName>
    <definedName name="OSRRefN14x_0" localSheetId="88">'415'!$N$17:$N$19</definedName>
    <definedName name="OSRRefN14x_0" localSheetId="89">'418'!$N$17:$N$19</definedName>
    <definedName name="OSRRefN14x_0" localSheetId="90">'420'!$N$15:$N$16</definedName>
    <definedName name="OSRRefN14x_0" localSheetId="91">'423'!$N$13</definedName>
    <definedName name="OSRRefN14x_0" localSheetId="92">'424'!$N$17:$N$18</definedName>
    <definedName name="OSRRefN14x_0" localSheetId="93">'425'!$N$18:$N$19</definedName>
    <definedName name="OSRRefN14x_0" localSheetId="95">'433'!$N$19:$N$21</definedName>
    <definedName name="OSRRefN14x_0" localSheetId="96">'435'!$N$16:$N$17</definedName>
    <definedName name="OSRRefN14x_0" localSheetId="97">'444'!$N$17:$N$19</definedName>
    <definedName name="OSRRefN14x_0" localSheetId="98">'445'!$N$16:$N$17</definedName>
    <definedName name="OSRRefN14x_0" localSheetId="99">'450'!$N$17:$N$19</definedName>
    <definedName name="OSRRefN14x_0" localSheetId="41">'491'!$N$27:$N$30</definedName>
    <definedName name="OSRRefN14x_0" localSheetId="44">'492'!$N$21:$N$23</definedName>
    <definedName name="OSRRefN14x_0" localSheetId="11">'Div 3'!$N$139:$N$202</definedName>
    <definedName name="OSRRefN14x_0" localSheetId="14">'Div 4'!$N$28:$N$31</definedName>
    <definedName name="OSRRefN14x_0" localSheetId="50">'Div 6'!$N$41:$N$56</definedName>
    <definedName name="OSRRefN14x_0" localSheetId="2">Summary!$N$167:$N$238</definedName>
    <definedName name="OSRRefN21_0x_0" localSheetId="54">'200'!$N$19:$N$20</definedName>
    <definedName name="OSRRefN21_0x_0" localSheetId="55">'201'!$N$20:$N$28</definedName>
    <definedName name="OSRRefN21_0x_0" localSheetId="56">'202'!$N$20:$N$28</definedName>
    <definedName name="OSRRefN21_0x_0" localSheetId="57">'203'!$N$19:$N$28</definedName>
    <definedName name="OSRRefN21_0x_0" localSheetId="58">'204'!$N$19:$N$28</definedName>
    <definedName name="OSRRefN21_0x_0" localSheetId="59">'205'!$N$19:$N$27</definedName>
    <definedName name="OSRRefN21_0x_0" localSheetId="60">'206'!$N$19:$N$27</definedName>
    <definedName name="OSRRefN21_0x_0" localSheetId="17">'300'!$N$204:$N$213</definedName>
    <definedName name="OSRRefN21_0x_0" localSheetId="20">'300 &amp; 317'!$N$229:$N$238</definedName>
    <definedName name="OSRRefN21_0x_0" localSheetId="61">'301'!$N$20:$N$28</definedName>
    <definedName name="OSRRefN21_0x_0" localSheetId="62">'306'!$N$19:$N$28</definedName>
    <definedName name="OSRRefN21_0x_0" localSheetId="63">'307'!$N$100:$N$108</definedName>
    <definedName name="OSRRefN21_0x_0" localSheetId="29">'308'!$N$89:$N$98</definedName>
    <definedName name="OSRRefN21_0x_0" localSheetId="64">'309'!$N$25:$N$33</definedName>
    <definedName name="OSRRefN21_0x_0" localSheetId="23">'310'!$N$39:$N$47</definedName>
    <definedName name="OSRRefN21_0x_0" localSheetId="38">'310 &amp; 491'!$N$49:$N$58</definedName>
    <definedName name="OSRRefN21_0x_0" localSheetId="65">'311'!$N$71:$N$80</definedName>
    <definedName name="OSRRefN21_0x_0" localSheetId="66">'312'!$N$58:$N$66</definedName>
    <definedName name="OSRRefN21_0x_0" localSheetId="67">'313'!$N$35:$N$43</definedName>
    <definedName name="OSRRefN21_0x_0" localSheetId="68">'314'!$N$61:$N$69</definedName>
    <definedName name="OSRRefN21_0x_0" localSheetId="69">'315'!$N$57:$N$65</definedName>
    <definedName name="OSRRefN21_0x_0" localSheetId="70">'316'!$N$40:$N$48</definedName>
    <definedName name="OSRRefN21_0x_0" localSheetId="71">'317'!$N$63:$N$72</definedName>
    <definedName name="OSRRefN21_0x_0" localSheetId="72">'318'!$N$19:$N$25</definedName>
    <definedName name="OSRRefN21_0x_0" localSheetId="73">'320'!$N$35:$N$42</definedName>
    <definedName name="OSRRefN21_0x_0" localSheetId="74">'321'!$N$26:$N$34</definedName>
    <definedName name="OSRRefN21_0x_0" localSheetId="75">'322'!$N$25:$N$33</definedName>
    <definedName name="OSRRefN21_0x_0" localSheetId="76">'323'!$N$21:$N$27</definedName>
    <definedName name="OSRRefN21_0x_0" localSheetId="77">'324'!$N$26:$N$33</definedName>
    <definedName name="OSRRefN21_0x_0" localSheetId="78">'325'!$N$26:$N$34</definedName>
    <definedName name="OSRRefN21_0x_0" localSheetId="79">'326'!$N$94:$N$102</definedName>
    <definedName name="OSRRefN21_0x_0" localSheetId="80">'327'!$N$25</definedName>
    <definedName name="OSRRefN21_0x_0" localSheetId="26">'330'!$N$108:$N$117</definedName>
    <definedName name="OSRRefN21_0x_0" localSheetId="32">'331'!$N$105:$N$113</definedName>
    <definedName name="OSRRefN21_0x_0" localSheetId="35">'332'!$N$57:$N$65</definedName>
    <definedName name="OSRRefN21_0x_0" localSheetId="81">'335'!$N$19:$N$26</definedName>
    <definedName name="OSRRefN21_0x_0" localSheetId="82">'405'!$N$27:$N$36</definedName>
    <definedName name="OSRRefN21_0x_0" localSheetId="83">'406'!$N$23:$N$30</definedName>
    <definedName name="OSRRefN21_0x_0" localSheetId="84">'411'!$N$19:$N$28</definedName>
    <definedName name="OSRRefN21_0x_0" localSheetId="85">'412'!$N$27:$N$36</definedName>
    <definedName name="OSRRefN21_0x_0" localSheetId="86">'413'!$N$26:$N$35</definedName>
    <definedName name="OSRRefN21_0x_0" localSheetId="87">'414'!$N$26:$N$34</definedName>
    <definedName name="OSRRefN21_0x_0" localSheetId="88">'415'!$N$26:$N$35</definedName>
    <definedName name="OSRRefN21_0x_0" localSheetId="89">'418'!$N$26:$N$34</definedName>
    <definedName name="OSRRefN21_0x_0" localSheetId="90">'420'!$N$23:$N$30</definedName>
    <definedName name="OSRRefN21_0x_0" localSheetId="91">'423'!$N$20:$N$28</definedName>
    <definedName name="OSRRefN21_0x_0" localSheetId="92">'424'!$N$25:$N$31</definedName>
    <definedName name="OSRRefN21_0x_0" localSheetId="93">'425'!$N$26:$N$34</definedName>
    <definedName name="OSRRefN21_0x_0" localSheetId="94">'430'!$N$19:$N$27</definedName>
    <definedName name="OSRRefN21_0x_0" localSheetId="95">'433'!$N$28:$N$37</definedName>
    <definedName name="OSRRefN21_0x_0" localSheetId="96">'435'!$N$24:$N$26</definedName>
    <definedName name="OSRRefN21_0x_0" localSheetId="97">'444'!$N$26:$N$35</definedName>
    <definedName name="OSRRefN21_0x_0" localSheetId="98">'445'!$N$24:$N$26</definedName>
    <definedName name="OSRRefN21_0x_0" localSheetId="99">'450'!$N$26:$N$35</definedName>
    <definedName name="OSRRefN21_0x_0" localSheetId="100">'455'!$N$19:$N$26</definedName>
    <definedName name="OSRRefN21_0x_0" localSheetId="41">'491'!$N$37:$N$46</definedName>
    <definedName name="OSRRefN21_0x_0" localSheetId="44">'492'!$N$30:$N$39</definedName>
    <definedName name="OSRRefN21_0x_0" localSheetId="101">'501'!$N$21:$N$29</definedName>
    <definedName name="OSRRefN21_0x_0" localSheetId="8">'Div 2'!$N$20:$N$30</definedName>
    <definedName name="OSRRefN21_0x_0" localSheetId="11">'Div 3'!$N$209:$N$218</definedName>
    <definedName name="OSRRefN21_0x_0" localSheetId="14">'Div 4'!$N$38:$N$47</definedName>
    <definedName name="OSRRefN21_0x_0" localSheetId="47">'Div 5'!$N$21:$N$29</definedName>
    <definedName name="OSRRefN21_0x_0" localSheetId="50">'Div 6'!$N$63:$N$72</definedName>
    <definedName name="OSRRefN21_0x_0" localSheetId="2">Summary!$N$245:$N$254</definedName>
    <definedName name="OSRRefN21_10x_0" localSheetId="55">'201'!$N$58</definedName>
    <definedName name="OSRRefN21_10x_0" localSheetId="56">'202'!$N$59:$N$61</definedName>
    <definedName name="OSRRefN21_10x_0" localSheetId="57">'203'!$N$60:$N$62</definedName>
    <definedName name="OSRRefN21_10x_0" localSheetId="58">'204'!$N$63:$N$66</definedName>
    <definedName name="OSRRefN21_10x_0" localSheetId="60">'206'!$N$59:$N$60</definedName>
    <definedName name="OSRRefN21_10x_0" localSheetId="17">'300'!$N$249:$N$250</definedName>
    <definedName name="OSRRefN21_10x_0" localSheetId="20">'300 &amp; 317'!$N$274:$N$275</definedName>
    <definedName name="OSRRefN21_10x_0" localSheetId="61">'301'!$N$63</definedName>
    <definedName name="OSRRefN21_10x_0" localSheetId="62">'306'!$N$63</definedName>
    <definedName name="OSRRefN21_10x_0" localSheetId="63">'307'!$N$162</definedName>
    <definedName name="OSRRefN21_10x_0" localSheetId="29">'308'!$N$142:$N$144</definedName>
    <definedName name="OSRRefN21_10x_0" localSheetId="64">'309'!$N$62:$N$63</definedName>
    <definedName name="OSRRefN21_10x_0" localSheetId="23">'310'!$N$78:$N$79</definedName>
    <definedName name="OSRRefN21_10x_0" localSheetId="38">'310 &amp; 491'!$N$92:$N$93</definedName>
    <definedName name="OSRRefN21_10x_0" localSheetId="65">'311'!$N$120:$N$122</definedName>
    <definedName name="OSRRefN21_10x_0" localSheetId="67">'313'!$N$73:$N$75</definedName>
    <definedName name="OSRRefN21_10x_0" localSheetId="68">'314'!$N$105:$N$108</definedName>
    <definedName name="OSRRefN21_10x_0" localSheetId="69">'315'!$N$102</definedName>
    <definedName name="OSRRefN21_10x_0" localSheetId="70">'316'!$N$80</definedName>
    <definedName name="OSRRefN21_10x_0" localSheetId="71">'317'!$N$110:$N$111</definedName>
    <definedName name="OSRRefN21_10x_0" localSheetId="73">'320'!$N$75</definedName>
    <definedName name="OSRRefN21_10x_0" localSheetId="74">'321'!$N$66:$N$67</definedName>
    <definedName name="OSRRefN21_10x_0" localSheetId="75">'322'!$N$62</definedName>
    <definedName name="OSRRefN21_10x_0" localSheetId="78">'325'!$N$64</definedName>
    <definedName name="OSRRefN21_10x_0" localSheetId="79">'326'!$N$135</definedName>
    <definedName name="OSRRefN21_10x_0" localSheetId="26">'330'!$N$171</definedName>
    <definedName name="OSRRefN21_10x_0" localSheetId="32">'331'!$N$146</definedName>
    <definedName name="OSRRefN21_10x_0" localSheetId="35">'332'!$N$98:$N$100</definedName>
    <definedName name="OSRRefN21_10x_0" localSheetId="82">'405'!$N$66:$N$68</definedName>
    <definedName name="OSRRefN21_10x_0" localSheetId="83">'406'!$N$55:$N$57</definedName>
    <definedName name="OSRRefN21_10x_0" localSheetId="84">'411'!$N$60</definedName>
    <definedName name="OSRRefN21_10x_0" localSheetId="85">'412'!$N$66</definedName>
    <definedName name="OSRRefN21_10x_0" localSheetId="86">'413'!$N$69:$N$78</definedName>
    <definedName name="OSRRefN21_10x_0" localSheetId="87">'414'!$N$63:$N$64</definedName>
    <definedName name="OSRRefN21_10x_0" localSheetId="88">'415'!$N$65</definedName>
    <definedName name="OSRRefN21_10x_0" localSheetId="89">'418'!$N$64</definedName>
    <definedName name="OSRRefN21_10x_0" localSheetId="91">'423'!$N$59</definedName>
    <definedName name="OSRRefN21_10x_0" localSheetId="92">'424'!$N$57</definedName>
    <definedName name="OSRRefN21_10x_0" localSheetId="93">'425'!$N$64</definedName>
    <definedName name="OSRRefN21_10x_0" localSheetId="94">'430'!$N$61</definedName>
    <definedName name="OSRRefN21_10x_0" localSheetId="95">'433'!$N$66</definedName>
    <definedName name="OSRRefN21_10x_0" localSheetId="96">'435'!$N$50:$N$56</definedName>
    <definedName name="OSRRefN21_10x_0" localSheetId="97">'444'!$N$64</definedName>
    <definedName name="OSRRefN21_10x_0" localSheetId="98">'445'!$N$49:$N$52</definedName>
    <definedName name="OSRRefN21_10x_0" localSheetId="99">'450'!$N$65</definedName>
    <definedName name="OSRRefN21_10x_0" localSheetId="41">'491'!$N$80</definedName>
    <definedName name="OSRRefN21_10x_0" localSheetId="44">'492'!$N$69</definedName>
    <definedName name="OSRRefN21_10x_0" localSheetId="101">'501'!$N$59</definedName>
    <definedName name="OSRRefN21_10x_0" localSheetId="8">'Div 2'!$N$61:$N$62</definedName>
    <definedName name="OSRRefN21_10x_0" localSheetId="11">'Div 3'!$N$254:$N$255</definedName>
    <definedName name="OSRRefN21_10x_0" localSheetId="14">'Div 4'!$N$81</definedName>
    <definedName name="OSRRefN21_10x_0" localSheetId="47">'Div 5'!$N$59</definedName>
    <definedName name="OSRRefN21_10x_0" localSheetId="50">'Div 6'!$N$110:$N$111</definedName>
    <definedName name="OSRRefN21_10x_0" localSheetId="2">Summary!$N$290:$N$291</definedName>
    <definedName name="OSRRefN21_11x_0" localSheetId="55">'201'!$N$60</definedName>
    <definedName name="OSRRefN21_11x_0" localSheetId="56">'202'!$N$63</definedName>
    <definedName name="OSRRefN21_11x_0" localSheetId="57">'203'!$N$64:$N$65</definedName>
    <definedName name="OSRRefN21_11x_0" localSheetId="58">'204'!$N$68:$N$69</definedName>
    <definedName name="OSRRefN21_11x_0" localSheetId="60">'206'!$N$62</definedName>
    <definedName name="OSRRefN21_11x_0" localSheetId="17">'300'!$N$252:$N$254</definedName>
    <definedName name="OSRRefN21_11x_0" localSheetId="20">'300 &amp; 317'!$N$277:$N$279</definedName>
    <definedName name="OSRRefN21_11x_0" localSheetId="61">'301'!$N$65</definedName>
    <definedName name="OSRRefN21_11x_0" localSheetId="62">'306'!$N$65</definedName>
    <definedName name="OSRRefN21_11x_0" localSheetId="63">'307'!$N$164</definedName>
    <definedName name="OSRRefN21_11x_0" localSheetId="29">'308'!$N$146</definedName>
    <definedName name="OSRRefN21_11x_0" localSheetId="64">'309'!$N$65:$N$67</definedName>
    <definedName name="OSRRefN21_11x_0" localSheetId="23">'310'!$N$81</definedName>
    <definedName name="OSRRefN21_11x_0" localSheetId="38">'310 &amp; 491'!$N$95:$N$97</definedName>
    <definedName name="OSRRefN21_11x_0" localSheetId="65">'311'!$N$124</definedName>
    <definedName name="OSRRefN21_11x_0" localSheetId="67">'313'!$N$77:$N$78</definedName>
    <definedName name="OSRRefN21_11x_0" localSheetId="68">'314'!$N$110</definedName>
    <definedName name="OSRRefN21_11x_0" localSheetId="69">'315'!$N$104:$N$106</definedName>
    <definedName name="OSRRefN21_11x_0" localSheetId="70">'316'!$N$82:$N$87</definedName>
    <definedName name="OSRRefN21_11x_0" localSheetId="71">'317'!$N$113</definedName>
    <definedName name="OSRRefN21_11x_0" localSheetId="73">'320'!$N$77</definedName>
    <definedName name="OSRRefN21_11x_0" localSheetId="74">'321'!$N$69:$N$71</definedName>
    <definedName name="OSRRefN21_11x_0" localSheetId="75">'322'!$N$64</definedName>
    <definedName name="OSRRefN21_11x_0" localSheetId="78">'325'!$N$66</definedName>
    <definedName name="OSRRefN21_11x_0" localSheetId="79">'326'!$N$137:$N$157</definedName>
    <definedName name="OSRRefN21_11x_0" localSheetId="26">'330'!$N$173</definedName>
    <definedName name="OSRRefN21_11x_0" localSheetId="32">'331'!$N$148:$N$168</definedName>
    <definedName name="OSRRefN21_11x_0" localSheetId="35">'332'!$N$102:$N$103</definedName>
    <definedName name="OSRRefN21_11x_0" localSheetId="82">'405'!$N$70</definedName>
    <definedName name="OSRRefN21_11x_0" localSheetId="83">'406'!$N$59</definedName>
    <definedName name="OSRRefN21_11x_0" localSheetId="84">'411'!$N$62</definedName>
    <definedName name="OSRRefN21_11x_0" localSheetId="85">'412'!$N$68:$N$70</definedName>
    <definedName name="OSRRefN21_11x_0" localSheetId="86">'413'!$N$80:$N$81</definedName>
    <definedName name="OSRRefN21_11x_0" localSheetId="87">'414'!$N$66</definedName>
    <definedName name="OSRRefN21_11x_0" localSheetId="88">'415'!$N$67:$N$70</definedName>
    <definedName name="OSRRefN21_11x_0" localSheetId="89">'418'!$N$66:$N$67</definedName>
    <definedName name="OSRRefN21_11x_0" localSheetId="91">'423'!$N$61</definedName>
    <definedName name="OSRRefN21_11x_0" localSheetId="92">'424'!$N$59:$N$61</definedName>
    <definedName name="OSRRefN21_11x_0" localSheetId="93">'425'!$N$66:$N$69</definedName>
    <definedName name="OSRRefN21_11x_0" localSheetId="94">'430'!$N$63:$N$64</definedName>
    <definedName name="OSRRefN21_11x_0" localSheetId="95">'433'!$N$68</definedName>
    <definedName name="OSRRefN21_11x_0" localSheetId="96">'435'!$N$58</definedName>
    <definedName name="OSRRefN21_11x_0" localSheetId="97">'444'!$N$66</definedName>
    <definedName name="OSRRefN21_11x_0" localSheetId="98">'445'!$N$54</definedName>
    <definedName name="OSRRefN21_11x_0" localSheetId="99">'450'!$N$67</definedName>
    <definedName name="OSRRefN21_11x_0" localSheetId="41">'491'!$N$82:$N$83</definedName>
    <definedName name="OSRRefN21_11x_0" localSheetId="44">'492'!$N$71</definedName>
    <definedName name="OSRRefN21_11x_0" localSheetId="101">'501'!$N$61:$N$64</definedName>
    <definedName name="OSRRefN21_11x_0" localSheetId="8">'Div 2'!$N$64:$N$65</definedName>
    <definedName name="OSRRefN21_11x_0" localSheetId="11">'Div 3'!$N$257:$N$259</definedName>
    <definedName name="OSRRefN21_11x_0" localSheetId="14">'Div 4'!$N$83:$N$84</definedName>
    <definedName name="OSRRefN21_11x_0" localSheetId="47">'Div 5'!$N$61:$N$64</definedName>
    <definedName name="OSRRefN21_11x_0" localSheetId="50">'Div 6'!$N$113</definedName>
    <definedName name="OSRRefN21_11x_0" localSheetId="2">Summary!$N$293:$N$295</definedName>
    <definedName name="OSRRefN21_12x_0" localSheetId="55">'201'!$N$62</definedName>
    <definedName name="OSRRefN21_12x_0" localSheetId="56">'202'!$N$65</definedName>
    <definedName name="OSRRefN21_12x_0" localSheetId="57">'203'!$N$67:$N$71</definedName>
    <definedName name="OSRRefN21_12x_0" localSheetId="58">'204'!$N$71</definedName>
    <definedName name="OSRRefN21_12x_0" localSheetId="60">'206'!$N$64:$N$65</definedName>
    <definedName name="OSRRefN21_12x_0" localSheetId="17">'300'!$N$256</definedName>
    <definedName name="OSRRefN21_12x_0" localSheetId="20">'300 &amp; 317'!$N$281</definedName>
    <definedName name="OSRRefN21_12x_0" localSheetId="61">'301'!$N$67</definedName>
    <definedName name="OSRRefN21_12x_0" localSheetId="62">'306'!$N$67</definedName>
    <definedName name="OSRRefN21_12x_0" localSheetId="63">'307'!$N$166:$N$167</definedName>
    <definedName name="OSRRefN21_12x_0" localSheetId="29">'308'!$N$148:$N$149</definedName>
    <definedName name="OSRRefN21_12x_0" localSheetId="64">'309'!$N$69</definedName>
    <definedName name="OSRRefN21_12x_0" localSheetId="23">'310'!$N$83</definedName>
    <definedName name="OSRRefN21_12x_0" localSheetId="38">'310 &amp; 491'!$N$99</definedName>
    <definedName name="OSRRefN21_12x_0" localSheetId="65">'311'!$N$126:$N$127</definedName>
    <definedName name="OSRRefN21_12x_0" localSheetId="67">'313'!$N$80:$N$81</definedName>
    <definedName name="OSRRefN21_12x_0" localSheetId="68">'314'!$N$112</definedName>
    <definedName name="OSRRefN21_12x_0" localSheetId="69">'315'!$N$108:$N$110</definedName>
    <definedName name="OSRRefN21_12x_0" localSheetId="70">'316'!$N$89</definedName>
    <definedName name="OSRRefN21_12x_0" localSheetId="71">'317'!$N$115:$N$118</definedName>
    <definedName name="OSRRefN21_12x_0" localSheetId="73">'320'!$N$79</definedName>
    <definedName name="OSRRefN21_12x_0" localSheetId="74">'321'!$N$73:$N$74</definedName>
    <definedName name="OSRRefN21_12x_0" localSheetId="75">'322'!$N$66:$N$67</definedName>
    <definedName name="OSRRefN21_12x_0" localSheetId="78">'325'!$N$68:$N$71</definedName>
    <definedName name="OSRRefN21_12x_0" localSheetId="79">'326'!$N$159</definedName>
    <definedName name="OSRRefN21_12x_0" localSheetId="26">'330'!$N$175:$N$176</definedName>
    <definedName name="OSRRefN21_12x_0" localSheetId="32">'331'!$N$170</definedName>
    <definedName name="OSRRefN21_12x_0" localSheetId="35">'332'!$N$105:$N$110</definedName>
    <definedName name="OSRRefN21_12x_0" localSheetId="82">'405'!$N$72:$N$75</definedName>
    <definedName name="OSRRefN21_12x_0" localSheetId="83">'406'!$N$61:$N$63</definedName>
    <definedName name="OSRRefN21_12x_0" localSheetId="84">'411'!$N$64</definedName>
    <definedName name="OSRRefN21_12x_0" localSheetId="85">'412'!$N$72</definedName>
    <definedName name="OSRRefN21_12x_0" localSheetId="86">'413'!$N$83</definedName>
    <definedName name="OSRRefN21_12x_0" localSheetId="87">'414'!$N$68:$N$70</definedName>
    <definedName name="OSRRefN21_12x_0" localSheetId="88">'415'!$N$72</definedName>
    <definedName name="OSRRefN21_12x_0" localSheetId="89">'418'!$N$69:$N$72</definedName>
    <definedName name="OSRRefN21_12x_0" localSheetId="91">'423'!$N$63</definedName>
    <definedName name="OSRRefN21_12x_0" localSheetId="92">'424'!$N$63:$N$69</definedName>
    <definedName name="OSRRefN21_12x_0" localSheetId="93">'425'!$N$71:$N$72</definedName>
    <definedName name="OSRRefN21_12x_0" localSheetId="95">'433'!$N$70</definedName>
    <definedName name="OSRRefN21_12x_0" localSheetId="96">'435'!$N$60</definedName>
    <definedName name="OSRRefN21_12x_0" localSheetId="97">'444'!$N$68</definedName>
    <definedName name="OSRRefN21_12x_0" localSheetId="98">'445'!$N$56</definedName>
    <definedName name="OSRRefN21_12x_0" localSheetId="99">'450'!$N$69:$N$71</definedName>
    <definedName name="OSRRefN21_12x_0" localSheetId="41">'491'!$N$85</definedName>
    <definedName name="OSRRefN21_12x_0" localSheetId="44">'492'!$N$73</definedName>
    <definedName name="OSRRefN21_12x_0" localSheetId="101">'501'!$N$66</definedName>
    <definedName name="OSRRefN21_12x_0" localSheetId="8">'Div 2'!$N$67:$N$68</definedName>
    <definedName name="OSRRefN21_12x_0" localSheetId="11">'Div 3'!$N$261</definedName>
    <definedName name="OSRRefN21_12x_0" localSheetId="14">'Div 4'!$N$86</definedName>
    <definedName name="OSRRefN21_12x_0" localSheetId="47">'Div 5'!$N$66</definedName>
    <definedName name="OSRRefN21_12x_0" localSheetId="50">'Div 6'!$N$115:$N$118</definedName>
    <definedName name="OSRRefN21_12x_0" localSheetId="2">Summary!$N$297</definedName>
    <definedName name="OSRRefN21_13x_0" localSheetId="55">'201'!$N$64:$N$67</definedName>
    <definedName name="OSRRefN21_13x_0" localSheetId="56">'202'!$N$67:$N$69</definedName>
    <definedName name="OSRRefN21_13x_0" localSheetId="57">'203'!$N$73</definedName>
    <definedName name="OSRRefN21_13x_0" localSheetId="58">'204'!$N$73:$N$74</definedName>
    <definedName name="OSRRefN21_13x_0" localSheetId="17">'300'!$N$258:$N$294</definedName>
    <definedName name="OSRRefN21_13x_0" localSheetId="20">'300 &amp; 317'!$N$283:$N$322</definedName>
    <definedName name="OSRRefN21_13x_0" localSheetId="61">'301'!$N$69:$N$70</definedName>
    <definedName name="OSRRefN21_13x_0" localSheetId="63">'307'!$N$169:$N$170</definedName>
    <definedName name="OSRRefN21_13x_0" localSheetId="29">'308'!$N$151:$N$154</definedName>
    <definedName name="OSRRefN21_13x_0" localSheetId="64">'309'!$N$71:$N$79</definedName>
    <definedName name="OSRRefN21_13x_0" localSheetId="23">'310'!$N$85</definedName>
    <definedName name="OSRRefN21_13x_0" localSheetId="38">'310 &amp; 491'!$N$101</definedName>
    <definedName name="OSRRefN21_13x_0" localSheetId="65">'311'!$N$129:$N$132</definedName>
    <definedName name="OSRRefN21_13x_0" localSheetId="67">'313'!$N$83:$N$89</definedName>
    <definedName name="OSRRefN21_13x_0" localSheetId="68">'314'!$N$114</definedName>
    <definedName name="OSRRefN21_13x_0" localSheetId="69">'315'!$N$112:$N$113</definedName>
    <definedName name="OSRRefN21_13x_0" localSheetId="70">'316'!$N$91</definedName>
    <definedName name="OSRRefN21_13x_0" localSheetId="71">'317'!$N$120</definedName>
    <definedName name="OSRRefN21_13x_0" localSheetId="74">'321'!$N$76:$N$83</definedName>
    <definedName name="OSRRefN21_13x_0" localSheetId="75">'322'!$N$69:$N$71</definedName>
    <definedName name="OSRRefN21_13x_0" localSheetId="78">'325'!$N$73:$N$76</definedName>
    <definedName name="OSRRefN21_13x_0" localSheetId="79">'326'!$N$161</definedName>
    <definedName name="OSRRefN21_13x_0" localSheetId="26">'330'!$N$178:$N$179</definedName>
    <definedName name="OSRRefN21_13x_0" localSheetId="32">'331'!$N$172</definedName>
    <definedName name="OSRRefN21_13x_0" localSheetId="35">'332'!$N$112</definedName>
    <definedName name="OSRRefN21_13x_0" localSheetId="82">'405'!$N$77:$N$78</definedName>
    <definedName name="OSRRefN21_13x_0" localSheetId="83">'406'!$N$65:$N$70</definedName>
    <definedName name="OSRRefN21_13x_0" localSheetId="84">'411'!$N$66</definedName>
    <definedName name="OSRRefN21_13x_0" localSheetId="85">'412'!$N$74:$N$78</definedName>
    <definedName name="OSRRefN21_13x_0" localSheetId="86">'413'!$N$85:$N$86</definedName>
    <definedName name="OSRRefN21_13x_0" localSheetId="87">'414'!$N$72</definedName>
    <definedName name="OSRRefN21_13x_0" localSheetId="88">'415'!$N$74:$N$78</definedName>
    <definedName name="OSRRefN21_13x_0" localSheetId="89">'418'!$N$74:$N$77</definedName>
    <definedName name="OSRRefN21_13x_0" localSheetId="92">'424'!$N$71</definedName>
    <definedName name="OSRRefN21_13x_0" localSheetId="93">'425'!$N$74:$N$81</definedName>
    <definedName name="OSRRefN21_13x_0" localSheetId="95">'433'!$N$72:$N$74</definedName>
    <definedName name="OSRRefN21_13x_0" localSheetId="96">'435'!$N$62</definedName>
    <definedName name="OSRRefN21_13x_0" localSheetId="97">'444'!$N$70:$N$73</definedName>
    <definedName name="OSRRefN21_13x_0" localSheetId="98">'445'!$N$58</definedName>
    <definedName name="OSRRefN21_13x_0" localSheetId="99">'450'!$N$73:$N$76</definedName>
    <definedName name="OSRRefN21_13x_0" localSheetId="41">'491'!$N$87</definedName>
    <definedName name="OSRRefN21_13x_0" localSheetId="44">'492'!$N$75:$N$76</definedName>
    <definedName name="OSRRefN21_13x_0" localSheetId="101">'501'!$N$68:$N$71</definedName>
    <definedName name="OSRRefN21_13x_0" localSheetId="8">'Div 2'!$N$70</definedName>
    <definedName name="OSRRefN21_13x_0" localSheetId="11">'Div 3'!$N$263</definedName>
    <definedName name="OSRRefN21_13x_0" localSheetId="14">'Div 4'!$N$88</definedName>
    <definedName name="OSRRefN21_13x_0" localSheetId="47">'Div 5'!$N$68:$N$71</definedName>
    <definedName name="OSRRefN21_13x_0" localSheetId="50">'Div 6'!$N$120</definedName>
    <definedName name="OSRRefN21_13x_0" localSheetId="2">Summary!$N$299</definedName>
    <definedName name="OSRRefN21_14x_0" localSheetId="55">'201'!$N$69:$N$71</definedName>
    <definedName name="OSRRefN21_14x_0" localSheetId="56">'202'!$N$71</definedName>
    <definedName name="OSRRefN21_14x_0" localSheetId="57">'203'!$N$75</definedName>
    <definedName name="OSRRefN21_14x_0" localSheetId="17">'300'!$N$296:$N$297</definedName>
    <definedName name="OSRRefN21_14x_0" localSheetId="20">'300 &amp; 317'!$N$324:$N$325</definedName>
    <definedName name="OSRRefN21_14x_0" localSheetId="61">'301'!$N$72:$N$73</definedName>
    <definedName name="OSRRefN21_14x_0" localSheetId="63">'307'!$N$172</definedName>
    <definedName name="OSRRefN21_14x_0" localSheetId="29">'308'!$N$156:$N$157</definedName>
    <definedName name="OSRRefN21_14x_0" localSheetId="64">'309'!$N$81</definedName>
    <definedName name="OSRRefN21_14x_0" localSheetId="23">'310'!$N$87</definedName>
    <definedName name="OSRRefN21_14x_0" localSheetId="38">'310 &amp; 491'!$N$103</definedName>
    <definedName name="OSRRefN21_14x_0" localSheetId="65">'311'!$N$134:$N$135</definedName>
    <definedName name="OSRRefN21_14x_0" localSheetId="67">'313'!$N$91:$N$92</definedName>
    <definedName name="OSRRefN21_14x_0" localSheetId="69">'315'!$N$115:$N$122</definedName>
    <definedName name="OSRRefN21_14x_0" localSheetId="70">'316'!$N$93</definedName>
    <definedName name="OSRRefN21_14x_0" localSheetId="71">'317'!$N$122</definedName>
    <definedName name="OSRRefN21_14x_0" localSheetId="74">'321'!$N$85:$N$86</definedName>
    <definedName name="OSRRefN21_14x_0" localSheetId="75">'322'!$N$73:$N$74</definedName>
    <definedName name="OSRRefN21_14x_0" localSheetId="78">'325'!$N$78:$N$79</definedName>
    <definedName name="OSRRefN21_14x_0" localSheetId="79">'326'!$N$163:$N$165</definedName>
    <definedName name="OSRRefN21_14x_0" localSheetId="26">'330'!$N$181</definedName>
    <definedName name="OSRRefN21_14x_0" localSheetId="32">'331'!$N$174:$N$177</definedName>
    <definedName name="OSRRefN21_14x_0" localSheetId="35">'332'!$N$114</definedName>
    <definedName name="OSRRefN21_14x_0" localSheetId="82">'405'!$N$80:$N$89</definedName>
    <definedName name="OSRRefN21_14x_0" localSheetId="83">'406'!$N$72</definedName>
    <definedName name="OSRRefN21_14x_0" localSheetId="84">'411'!$N$68:$N$71</definedName>
    <definedName name="OSRRefN21_14x_0" localSheetId="85">'412'!$N$80:$N$89</definedName>
    <definedName name="OSRRefN21_14x_0" localSheetId="87">'414'!$N$74:$N$82</definedName>
    <definedName name="OSRRefN21_14x_0" localSheetId="88">'415'!$N$80:$N$81</definedName>
    <definedName name="OSRRefN21_14x_0" localSheetId="89">'418'!$N$79:$N$80</definedName>
    <definedName name="OSRRefN21_14x_0" localSheetId="93">'425'!$N$83</definedName>
    <definedName name="OSRRefN21_14x_0" localSheetId="95">'433'!$N$76:$N$79</definedName>
    <definedName name="OSRRefN21_14x_0" localSheetId="97">'444'!$N$75:$N$78</definedName>
    <definedName name="OSRRefN21_14x_0" localSheetId="99">'450'!$N$78</definedName>
    <definedName name="OSRRefN21_14x_0" localSheetId="41">'491'!$N$89</definedName>
    <definedName name="OSRRefN21_14x_0" localSheetId="44">'492'!$N$78</definedName>
    <definedName name="OSRRefN21_14x_0" localSheetId="101">'501'!$N$73</definedName>
    <definedName name="OSRRefN21_14x_0" localSheetId="8">'Div 2'!$N$72:$N$75</definedName>
    <definedName name="OSRRefN21_14x_0" localSheetId="11">'Div 3'!$N$265:$N$301</definedName>
    <definedName name="OSRRefN21_14x_0" localSheetId="14">'Div 4'!$N$90:$N$91</definedName>
    <definedName name="OSRRefN21_14x_0" localSheetId="47">'Div 5'!$N$73</definedName>
    <definedName name="OSRRefN21_14x_0" localSheetId="50">'Div 6'!$N$122</definedName>
    <definedName name="OSRRefN21_14x_0" localSheetId="2">Summary!$N$301:$N$340</definedName>
    <definedName name="OSRRefN21_15x_0" localSheetId="55">'201'!$N$73</definedName>
    <definedName name="OSRRefN21_15x_0" localSheetId="56">'202'!$N$73</definedName>
    <definedName name="OSRRefN21_15x_0" localSheetId="57">'203'!$N$77:$N$78</definedName>
    <definedName name="OSRRefN21_15x_0" localSheetId="17">'300'!$N$299</definedName>
    <definedName name="OSRRefN21_15x_0" localSheetId="20">'300 &amp; 317'!$N$327</definedName>
    <definedName name="OSRRefN21_15x_0" localSheetId="61">'301'!$N$75</definedName>
    <definedName name="OSRRefN21_15x_0" localSheetId="63">'307'!$N$174:$N$179</definedName>
    <definedName name="OSRRefN21_15x_0" localSheetId="29">'308'!$N$159</definedName>
    <definedName name="OSRRefN21_15x_0" localSheetId="64">'309'!$N$83</definedName>
    <definedName name="OSRRefN21_15x_0" localSheetId="23">'310'!$N$89:$N$92</definedName>
    <definedName name="OSRRefN21_15x_0" localSheetId="38">'310 &amp; 491'!$N$105</definedName>
    <definedName name="OSRRefN21_15x_0" localSheetId="65">'311'!$N$137</definedName>
    <definedName name="OSRRefN21_15x_0" localSheetId="67">'313'!$N$94</definedName>
    <definedName name="OSRRefN21_15x_0" localSheetId="69">'315'!$N$124</definedName>
    <definedName name="OSRRefN21_15x_0" localSheetId="70">'316'!$N$95</definedName>
    <definedName name="OSRRefN21_15x_0" localSheetId="71">'317'!$N$124:$N$125</definedName>
    <definedName name="OSRRefN21_15x_0" localSheetId="74">'321'!$N$88</definedName>
    <definedName name="OSRRefN21_15x_0" localSheetId="75">'322'!$N$76:$N$84</definedName>
    <definedName name="OSRRefN21_15x_0" localSheetId="78">'325'!$N$81:$N$88</definedName>
    <definedName name="OSRRefN21_15x_0" localSheetId="79">'326'!$N$167:$N$169</definedName>
    <definedName name="OSRRefN21_15x_0" localSheetId="26">'330'!$N$183:$N$189</definedName>
    <definedName name="OSRRefN21_15x_0" localSheetId="32">'331'!$N$179:$N$181</definedName>
    <definedName name="OSRRefN21_15x_0" localSheetId="35">'332'!$N$116</definedName>
    <definedName name="OSRRefN21_15x_0" localSheetId="82">'405'!$N$91</definedName>
    <definedName name="OSRRefN21_15x_0" localSheetId="83">'406'!$N$74</definedName>
    <definedName name="OSRRefN21_15x_0" localSheetId="84">'411'!$N$73</definedName>
    <definedName name="OSRRefN21_15x_0" localSheetId="85">'412'!$N$91:$N$92</definedName>
    <definedName name="OSRRefN21_15x_0" localSheetId="87">'414'!$N$84</definedName>
    <definedName name="OSRRefN21_15x_0" localSheetId="88">'415'!$N$83:$N$91</definedName>
    <definedName name="OSRRefN21_15x_0" localSheetId="89">'418'!$N$82:$N$92</definedName>
    <definedName name="OSRRefN21_15x_0" localSheetId="93">'425'!$N$85</definedName>
    <definedName name="OSRRefN21_15x_0" localSheetId="95">'433'!$N$81</definedName>
    <definedName name="OSRRefN21_15x_0" localSheetId="97">'444'!$N$80:$N$81</definedName>
    <definedName name="OSRRefN21_15x_0" localSheetId="99">'450'!$N$80:$N$89</definedName>
    <definedName name="OSRRefN21_15x_0" localSheetId="41">'491'!$N$91</definedName>
    <definedName name="OSRRefN21_15x_0" localSheetId="44">'492'!$N$80:$N$83</definedName>
    <definedName name="OSRRefN21_15x_0" localSheetId="101">'501'!$N$75</definedName>
    <definedName name="OSRRefN21_15x_0" localSheetId="8">'Div 2'!$N$77:$N$80</definedName>
    <definedName name="OSRRefN21_15x_0" localSheetId="11">'Div 3'!$N$303:$N$304</definedName>
    <definedName name="OSRRefN21_15x_0" localSheetId="14">'Div 4'!$N$93</definedName>
    <definedName name="OSRRefN21_15x_0" localSheetId="47">'Div 5'!$N$75</definedName>
    <definedName name="OSRRefN21_15x_0" localSheetId="50">'Div 6'!$N$124:$N$125</definedName>
    <definedName name="OSRRefN21_15x_0" localSheetId="2">Summary!$N$342:$N$343</definedName>
    <definedName name="OSRRefN21_16x_0" localSheetId="55">'201'!$N$75:$N$78</definedName>
    <definedName name="OSRRefN21_16x_0" localSheetId="56">'202'!$N$75:$N$76</definedName>
    <definedName name="OSRRefN21_16x_0" localSheetId="17">'300'!$N$301:$N$304</definedName>
    <definedName name="OSRRefN21_16x_0" localSheetId="20">'300 &amp; 317'!$N$329:$N$332</definedName>
    <definedName name="OSRRefN21_16x_0" localSheetId="61">'301'!$N$77:$N$80</definedName>
    <definedName name="OSRRefN21_16x_0" localSheetId="63">'307'!$N$181:$N$182</definedName>
    <definedName name="OSRRefN21_16x_0" localSheetId="29">'308'!$N$161:$N$162</definedName>
    <definedName name="OSRRefN21_16x_0" localSheetId="64">'309'!$N$85:$N$86</definedName>
    <definedName name="OSRRefN21_16x_0" localSheetId="23">'310'!$N$94:$N$95</definedName>
    <definedName name="OSRRefN21_16x_0" localSheetId="38">'310 &amp; 491'!$N$107</definedName>
    <definedName name="OSRRefN21_16x_0" localSheetId="65">'311'!$N$139:$N$140</definedName>
    <definedName name="OSRRefN21_16x_0" localSheetId="67">'313'!$N$96:$N$97</definedName>
    <definedName name="OSRRefN21_16x_0" localSheetId="69">'315'!$N$126</definedName>
    <definedName name="OSRRefN21_16x_0" localSheetId="74">'321'!$N$90:$N$91</definedName>
    <definedName name="OSRRefN21_16x_0" localSheetId="75">'322'!$N$86</definedName>
    <definedName name="OSRRefN21_16x_0" localSheetId="78">'325'!$N$90:$N$91</definedName>
    <definedName name="OSRRefN21_16x_0" localSheetId="79">'326'!$N$171:$N$172</definedName>
    <definedName name="OSRRefN21_16x_0" localSheetId="26">'330'!$N$191:$N$192</definedName>
    <definedName name="OSRRefN21_16x_0" localSheetId="32">'331'!$N$183:$N$185</definedName>
    <definedName name="OSRRefN21_16x_0" localSheetId="35">'332'!$N$118</definedName>
    <definedName name="OSRRefN21_16x_0" localSheetId="82">'405'!$N$93</definedName>
    <definedName name="OSRRefN21_16x_0" localSheetId="83">'406'!$N$76:$N$77</definedName>
    <definedName name="OSRRefN21_16x_0" localSheetId="84">'411'!$N$75:$N$79</definedName>
    <definedName name="OSRRefN21_16x_0" localSheetId="85">'412'!$N$94</definedName>
    <definedName name="OSRRefN21_16x_0" localSheetId="87">'414'!$N$86</definedName>
    <definedName name="OSRRefN21_16x_0" localSheetId="88">'415'!$N$93:$N$94</definedName>
    <definedName name="OSRRefN21_16x_0" localSheetId="89">'418'!$N$94:$N$95</definedName>
    <definedName name="OSRRefN21_16x_0" localSheetId="93">'425'!$N$87:$N$89</definedName>
    <definedName name="OSRRefN21_16x_0" localSheetId="95">'433'!$N$83:$N$91</definedName>
    <definedName name="OSRRefN21_16x_0" localSheetId="97">'444'!$N$83:$N$92</definedName>
    <definedName name="OSRRefN21_16x_0" localSheetId="99">'450'!$N$91:$N$92</definedName>
    <definedName name="OSRRefN21_16x_0" localSheetId="41">'491'!$N$93</definedName>
    <definedName name="OSRRefN21_16x_0" localSheetId="44">'492'!$N$85:$N$88</definedName>
    <definedName name="OSRRefN21_16x_0" localSheetId="101">'501'!$N$77</definedName>
    <definedName name="OSRRefN21_16x_0" localSheetId="8">'Div 2'!$N$82:$N$83</definedName>
    <definedName name="OSRRefN21_16x_0" localSheetId="11">'Div 3'!$N$306</definedName>
    <definedName name="OSRRefN21_16x_0" localSheetId="14">'Div 4'!$N$95</definedName>
    <definedName name="OSRRefN21_16x_0" localSheetId="47">'Div 5'!$N$77</definedName>
    <definedName name="OSRRefN21_16x_0" localSheetId="2">Summary!$N$345</definedName>
    <definedName name="OSRRefN21_17x_0" localSheetId="55">'201'!$N$80:$N$81</definedName>
    <definedName name="OSRRefN21_17x_0" localSheetId="17">'300'!$N$306:$N$310</definedName>
    <definedName name="OSRRefN21_17x_0" localSheetId="20">'300 &amp; 317'!$N$334:$N$338</definedName>
    <definedName name="OSRRefN21_17x_0" localSheetId="61">'301'!$N$82</definedName>
    <definedName name="OSRRefN21_17x_0" localSheetId="63">'307'!$N$184</definedName>
    <definedName name="OSRRefN21_17x_0" localSheetId="29">'308'!$N$164</definedName>
    <definedName name="OSRRefN21_17x_0" localSheetId="23">'310'!$N$97:$N$100</definedName>
    <definedName name="OSRRefN21_17x_0" localSheetId="38">'310 &amp; 491'!$N$109:$N$112</definedName>
    <definedName name="OSRRefN21_17x_0" localSheetId="65">'311'!$N$142</definedName>
    <definedName name="OSRRefN21_17x_0" localSheetId="69">'315'!$N$128:$N$130</definedName>
    <definedName name="OSRRefN21_17x_0" localSheetId="74">'321'!$N$93</definedName>
    <definedName name="OSRRefN21_17x_0" localSheetId="75">'322'!$N$88</definedName>
    <definedName name="OSRRefN21_17x_0" localSheetId="78">'325'!$N$93</definedName>
    <definedName name="OSRRefN21_17x_0" localSheetId="79">'326'!$N$174:$N$181</definedName>
    <definedName name="OSRRefN21_17x_0" localSheetId="26">'330'!$N$194</definedName>
    <definedName name="OSRRefN21_17x_0" localSheetId="32">'331'!$N$187:$N$188</definedName>
    <definedName name="OSRRefN21_17x_0" localSheetId="82">'405'!$N$95</definedName>
    <definedName name="OSRRefN21_17x_0" localSheetId="84">'411'!$N$81:$N$82</definedName>
    <definedName name="OSRRefN21_17x_0" localSheetId="85">'412'!$N$96:$N$97</definedName>
    <definedName name="OSRRefN21_17x_0" localSheetId="87">'414'!$N$88</definedName>
    <definedName name="OSRRefN21_17x_0" localSheetId="88">'415'!$N$96</definedName>
    <definedName name="OSRRefN21_17x_0" localSheetId="89">'418'!$N$97</definedName>
    <definedName name="OSRRefN21_17x_0" localSheetId="95">'433'!$N$93</definedName>
    <definedName name="OSRRefN21_17x_0" localSheetId="97">'444'!$N$94:$N$95</definedName>
    <definedName name="OSRRefN21_17x_0" localSheetId="99">'450'!$N$94</definedName>
    <definedName name="OSRRefN21_17x_0" localSheetId="41">'491'!$N$95:$N$98</definedName>
    <definedName name="OSRRefN21_17x_0" localSheetId="44">'492'!$N$90:$N$91</definedName>
    <definedName name="OSRRefN21_17x_0" localSheetId="8">'Div 2'!$N$85:$N$86</definedName>
    <definedName name="OSRRefN21_17x_0" localSheetId="11">'Div 3'!$N$308:$N$311</definedName>
    <definedName name="OSRRefN21_17x_0" localSheetId="14">'Div 4'!$N$97:$N$100</definedName>
    <definedName name="OSRRefN21_17x_0" localSheetId="2">Summary!$N$347</definedName>
    <definedName name="OSRRefN21_18x_0" localSheetId="55">'201'!$N$83</definedName>
    <definedName name="OSRRefN21_18x_0" localSheetId="17">'300'!$N$312:$N$316</definedName>
    <definedName name="OSRRefN21_18x_0" localSheetId="20">'300 &amp; 317'!$N$340:$N$344</definedName>
    <definedName name="OSRRefN21_18x_0" localSheetId="61">'301'!$N$84:$N$87</definedName>
    <definedName name="OSRRefN21_18x_0" localSheetId="63">'307'!$N$186</definedName>
    <definedName name="OSRRefN21_18x_0" localSheetId="23">'310'!$N$102:$N$103</definedName>
    <definedName name="OSRRefN21_18x_0" localSheetId="38">'310 &amp; 491'!$N$114:$N$115</definedName>
    <definedName name="OSRRefN21_18x_0" localSheetId="75">'322'!$N$90:$N$92</definedName>
    <definedName name="OSRRefN21_18x_0" localSheetId="78">'325'!$N$95</definedName>
    <definedName name="OSRRefN21_18x_0" localSheetId="79">'326'!$N$183:$N$184</definedName>
    <definedName name="OSRRefN21_18x_0" localSheetId="26">'330'!$N$196</definedName>
    <definedName name="OSRRefN21_18x_0" localSheetId="32">'331'!$N$190:$N$198</definedName>
    <definedName name="OSRRefN21_18x_0" localSheetId="82">'405'!$N$97</definedName>
    <definedName name="OSRRefN21_18x_0" localSheetId="84">'411'!$N$84:$N$93</definedName>
    <definedName name="OSRRefN21_18x_0" localSheetId="85">'412'!$N$99</definedName>
    <definedName name="OSRRefN21_18x_0" localSheetId="88">'415'!$N$98:$N$99</definedName>
    <definedName name="OSRRefN21_18x_0" localSheetId="89">'418'!$N$99:$N$100</definedName>
    <definedName name="OSRRefN21_18x_0" localSheetId="95">'433'!$N$95</definedName>
    <definedName name="OSRRefN21_18x_0" localSheetId="97">'444'!$N$97</definedName>
    <definedName name="OSRRefN21_18x_0" localSheetId="99">'450'!$N$96:$N$98</definedName>
    <definedName name="OSRRefN21_18x_0" localSheetId="41">'491'!$N$100:$N$101</definedName>
    <definedName name="OSRRefN21_18x_0" localSheetId="44">'492'!$N$93:$N$102</definedName>
    <definedName name="OSRRefN21_18x_0" localSheetId="8">'Div 2'!$N$88:$N$94</definedName>
    <definedName name="OSRRefN21_18x_0" localSheetId="11">'Div 3'!$N$313:$N$317</definedName>
    <definedName name="OSRRefN21_18x_0" localSheetId="14">'Div 4'!$N$102:$N$103</definedName>
    <definedName name="OSRRefN21_18x_0" localSheetId="2">Summary!$N$349:$N$352</definedName>
    <definedName name="OSRRefN21_19x_0" localSheetId="55">'201'!$N$85:$N$86</definedName>
    <definedName name="OSRRefN21_19x_0" localSheetId="17">'300'!$N$318:$N$319</definedName>
    <definedName name="OSRRefN21_19x_0" localSheetId="20">'300 &amp; 317'!$N$346:$N$347</definedName>
    <definedName name="OSRRefN21_19x_0" localSheetId="61">'301'!$N$89:$N$90</definedName>
    <definedName name="OSRRefN21_19x_0" localSheetId="23">'310'!$N$105:$N$113</definedName>
    <definedName name="OSRRefN21_19x_0" localSheetId="38">'310 &amp; 491'!$N$117:$N$121</definedName>
    <definedName name="OSRRefN21_19x_0" localSheetId="75">'322'!$N$94</definedName>
    <definedName name="OSRRefN21_19x_0" localSheetId="78">'325'!$N$97</definedName>
    <definedName name="OSRRefN21_19x_0" localSheetId="79">'326'!$N$186</definedName>
    <definedName name="OSRRefN21_19x_0" localSheetId="32">'331'!$N$200:$N$201</definedName>
    <definedName name="OSRRefN21_19x_0" localSheetId="84">'411'!$N$95</definedName>
    <definedName name="OSRRefN21_19x_0" localSheetId="88">'415'!$N$101</definedName>
    <definedName name="OSRRefN21_19x_0" localSheetId="89">'418'!$N$102</definedName>
    <definedName name="OSRRefN21_19x_0" localSheetId="95">'433'!$N$97:$N$98</definedName>
    <definedName name="OSRRefN21_19x_0" localSheetId="97">'444'!$N$99</definedName>
    <definedName name="OSRRefN21_19x_0" localSheetId="41">'491'!$N$103:$N$107</definedName>
    <definedName name="OSRRefN21_19x_0" localSheetId="44">'492'!$N$104:$N$105</definedName>
    <definedName name="OSRRefN21_19x_0" localSheetId="8">'Div 2'!$N$96:$N$97</definedName>
    <definedName name="OSRRefN21_19x_0" localSheetId="11">'Div 3'!$N$319:$N$324</definedName>
    <definedName name="OSRRefN21_19x_0" localSheetId="14">'Div 4'!$N$105:$N$109</definedName>
    <definedName name="OSRRefN21_19x_0" localSheetId="2">Summary!$N$354:$N$358</definedName>
    <definedName name="OSRRefN21_1x_0" localSheetId="54">'200'!$N$22</definedName>
    <definedName name="OSRRefN21_1x_0" localSheetId="55">'201'!$N$30:$N$39</definedName>
    <definedName name="OSRRefN21_1x_0" localSheetId="56">'202'!$N$30:$N$39</definedName>
    <definedName name="OSRRefN21_1x_0" localSheetId="57">'203'!$N$30:$N$39</definedName>
    <definedName name="OSRRefN21_1x_0" localSheetId="58">'204'!$N$30:$N$39</definedName>
    <definedName name="OSRRefN21_1x_0" localSheetId="59">'205'!$N$29:$N$38</definedName>
    <definedName name="OSRRefN21_1x_0" localSheetId="60">'206'!$N$29:$N$38</definedName>
    <definedName name="OSRRefN21_1x_0" localSheetId="17">'300'!$N$215:$N$224</definedName>
    <definedName name="OSRRefN21_1x_0" localSheetId="20">'300 &amp; 317'!$N$240:$N$249</definedName>
    <definedName name="OSRRefN21_1x_0" localSheetId="61">'301'!$N$30:$N$39</definedName>
    <definedName name="OSRRefN21_1x_0" localSheetId="62">'306'!$N$30:$N$39</definedName>
    <definedName name="OSRRefN21_1x_0" localSheetId="63">'307'!$N$110:$N$119</definedName>
    <definedName name="OSRRefN21_1x_0" localSheetId="29">'308'!$N$100:$N$109</definedName>
    <definedName name="OSRRefN21_1x_0" localSheetId="64">'309'!$N$35:$N$44</definedName>
    <definedName name="OSRRefN21_1x_0" localSheetId="23">'310'!$N$49:$N$58</definedName>
    <definedName name="OSRRefN21_1x_0" localSheetId="38">'310 &amp; 491'!$N$60:$N$69</definedName>
    <definedName name="OSRRefN21_1x_0" localSheetId="65">'311'!$N$82:$N$91</definedName>
    <definedName name="OSRRefN21_1x_0" localSheetId="66">'312'!$N$68:$N$72</definedName>
    <definedName name="OSRRefN21_1x_0" localSheetId="67">'313'!$N$45:$N$54</definedName>
    <definedName name="OSRRefN21_1x_0" localSheetId="68">'314'!$N$71:$N$76</definedName>
    <definedName name="OSRRefN21_1x_0" localSheetId="69">'315'!$N$67:$N$76</definedName>
    <definedName name="OSRRefN21_1x_0" localSheetId="70">'316'!$N$50:$N$59</definedName>
    <definedName name="OSRRefN21_1x_0" localSheetId="71">'317'!$N$74:$N$83</definedName>
    <definedName name="OSRRefN21_1x_0" localSheetId="72">'318'!$N$27:$N$30</definedName>
    <definedName name="OSRRefN21_1x_0" localSheetId="73">'320'!$N$44:$N$50</definedName>
    <definedName name="OSRRefN21_1x_0" localSheetId="74">'321'!$N$36:$N$45</definedName>
    <definedName name="OSRRefN21_1x_0" localSheetId="75">'322'!$N$35:$N$44</definedName>
    <definedName name="OSRRefN21_1x_0" localSheetId="76">'323'!$N$29:$N$31</definedName>
    <definedName name="OSRRefN21_1x_0" localSheetId="77">'324'!$N$35:$N$44</definedName>
    <definedName name="OSRRefN21_1x_0" localSheetId="78">'325'!$N$36:$N$45</definedName>
    <definedName name="OSRRefN21_1x_0" localSheetId="79">'326'!$N$104:$N$113</definedName>
    <definedName name="OSRRefN21_1x_0" localSheetId="80">'327'!$N$27</definedName>
    <definedName name="OSRRefN21_1x_0" localSheetId="26">'330'!$N$119:$N$128</definedName>
    <definedName name="OSRRefN21_1x_0" localSheetId="32">'331'!$N$115:$N$124</definedName>
    <definedName name="OSRRefN21_1x_0" localSheetId="35">'332'!$N$67:$N$76</definedName>
    <definedName name="OSRRefN21_1x_0" localSheetId="81">'335'!$N$28:$N$32</definedName>
    <definedName name="OSRRefN21_1x_0" localSheetId="82">'405'!$N$38:$N$47</definedName>
    <definedName name="OSRRefN21_1x_0" localSheetId="83">'406'!$N$32:$N$37</definedName>
    <definedName name="OSRRefN21_1x_0" localSheetId="84">'411'!$N$30:$N$39</definedName>
    <definedName name="OSRRefN21_1x_0" localSheetId="85">'412'!$N$38:$N$47</definedName>
    <definedName name="OSRRefN21_1x_0" localSheetId="86">'413'!$N$37:$N$46</definedName>
    <definedName name="OSRRefN21_1x_0" localSheetId="87">'414'!$N$36:$N$45</definedName>
    <definedName name="OSRRefN21_1x_0" localSheetId="88">'415'!$N$37:$N$46</definedName>
    <definedName name="OSRRefN21_1x_0" localSheetId="89">'418'!$N$36:$N$45</definedName>
    <definedName name="OSRRefN21_1x_0" localSheetId="90">'420'!$N$32:$N$35</definedName>
    <definedName name="OSRRefN21_1x_0" localSheetId="91">'423'!$N$30:$N$39</definedName>
    <definedName name="OSRRefN21_1x_0" localSheetId="92">'424'!$N$33:$N$38</definedName>
    <definedName name="OSRRefN21_1x_0" localSheetId="93">'425'!$N$36:$N$41</definedName>
    <definedName name="OSRRefN21_1x_0" localSheetId="94">'430'!$N$29:$N$38</definedName>
    <definedName name="OSRRefN21_1x_0" localSheetId="95">'433'!$N$39:$N$48</definedName>
    <definedName name="OSRRefN21_1x_0" localSheetId="96">'435'!$N$28:$N$31</definedName>
    <definedName name="OSRRefN21_1x_0" localSheetId="97">'444'!$N$37:$N$46</definedName>
    <definedName name="OSRRefN21_1x_0" localSheetId="98">'445'!$N$28:$N$30</definedName>
    <definedName name="OSRRefN21_1x_0" localSheetId="99">'450'!$N$37:$N$46</definedName>
    <definedName name="OSRRefN21_1x_0" localSheetId="100">'455'!$N$28:$N$29</definedName>
    <definedName name="OSRRefN21_1x_0" localSheetId="41">'491'!$N$48:$N$57</definedName>
    <definedName name="OSRRefN21_1x_0" localSheetId="44">'492'!$N$41:$N$50</definedName>
    <definedName name="OSRRefN21_1x_0" localSheetId="101">'501'!$N$31:$N$40</definedName>
    <definedName name="OSRRefN21_1x_0" localSheetId="8">'Div 2'!$N$32:$N$41</definedName>
    <definedName name="OSRRefN21_1x_0" localSheetId="11">'Div 3'!$N$220:$N$229</definedName>
    <definedName name="OSRRefN21_1x_0" localSheetId="14">'Div 4'!$N$49:$N$58</definedName>
    <definedName name="OSRRefN21_1x_0" localSheetId="47">'Div 5'!$N$31:$N$40</definedName>
    <definedName name="OSRRefN21_1x_0" localSheetId="50">'Div 6'!$N$74:$N$83</definedName>
    <definedName name="OSRRefN21_1x_0" localSheetId="2">Summary!$N$256:$N$265</definedName>
    <definedName name="OSRRefN21_20x_0" localSheetId="17">'300'!$N$321:$N$329</definedName>
    <definedName name="OSRRefN21_20x_0" localSheetId="20">'300 &amp; 317'!$N$349:$N$357</definedName>
    <definedName name="OSRRefN21_20x_0" localSheetId="61">'301'!$N$92:$N$98</definedName>
    <definedName name="OSRRefN21_20x_0" localSheetId="23">'310'!$N$115:$N$116</definedName>
    <definedName name="OSRRefN21_20x_0" localSheetId="38">'310 &amp; 491'!$N$123:$N$124</definedName>
    <definedName name="OSRRefN21_20x_0" localSheetId="79">'326'!$N$188:$N$190</definedName>
    <definedName name="OSRRefN21_20x_0" localSheetId="32">'331'!$N$203</definedName>
    <definedName name="OSRRefN21_20x_0" localSheetId="84">'411'!$N$97</definedName>
    <definedName name="OSRRefN21_20x_0" localSheetId="95">'433'!$N$100</definedName>
    <definedName name="OSRRefN21_20x_0" localSheetId="97">'444'!$N$101</definedName>
    <definedName name="OSRRefN21_20x_0" localSheetId="41">'491'!$N$109:$N$110</definedName>
    <definedName name="OSRRefN21_20x_0" localSheetId="44">'492'!$N$107</definedName>
    <definedName name="OSRRefN21_20x_0" localSheetId="8">'Div 2'!$N$99</definedName>
    <definedName name="OSRRefN21_20x_0" localSheetId="11">'Div 3'!$N$326:$N$327</definedName>
    <definedName name="OSRRefN21_20x_0" localSheetId="14">'Div 4'!$N$111:$N$112</definedName>
    <definedName name="OSRRefN21_20x_0" localSheetId="2">Summary!$N$360:$N$365</definedName>
    <definedName name="OSRRefN21_21x_0" localSheetId="17">'300'!$N$331:$N$332</definedName>
    <definedName name="OSRRefN21_21x_0" localSheetId="20">'300 &amp; 317'!$N$359:$N$360</definedName>
    <definedName name="OSRRefN21_21x_0" localSheetId="61">'301'!$N$100:$N$101</definedName>
    <definedName name="OSRRefN21_21x_0" localSheetId="23">'310'!$N$118</definedName>
    <definedName name="OSRRefN21_21x_0" localSheetId="38">'310 &amp; 491'!$N$126:$N$136</definedName>
    <definedName name="OSRRefN21_21x_0" localSheetId="79">'326'!$N$192</definedName>
    <definedName name="OSRRefN21_21x_0" localSheetId="32">'331'!$N$205:$N$207</definedName>
    <definedName name="OSRRefN21_21x_0" localSheetId="84">'411'!$N$99:$N$101</definedName>
    <definedName name="OSRRefN21_21x_0" localSheetId="41">'491'!$N$112:$N$122</definedName>
    <definedName name="OSRRefN21_21x_0" localSheetId="44">'492'!$N$109:$N$111</definedName>
    <definedName name="OSRRefN21_21x_0" localSheetId="8">'Div 2'!$N$101:$N$102</definedName>
    <definedName name="OSRRefN21_21x_0" localSheetId="11">'Div 3'!$N$329:$N$338</definedName>
    <definedName name="OSRRefN21_21x_0" localSheetId="14">'Div 4'!$N$114:$N$124</definedName>
    <definedName name="OSRRefN21_21x_0" localSheetId="2">Summary!$N$367:$N$368</definedName>
    <definedName name="OSRRefN21_22x_0" localSheetId="17">'300'!$N$334</definedName>
    <definedName name="OSRRefN21_22x_0" localSheetId="20">'300 &amp; 317'!$N$362</definedName>
    <definedName name="OSRRefN21_22x_0" localSheetId="61">'301'!$N$103</definedName>
    <definedName name="OSRRefN21_22x_0" localSheetId="23">'310'!$N$120:$N$122</definedName>
    <definedName name="OSRRefN21_22x_0" localSheetId="38">'310 &amp; 491'!$N$138:$N$139</definedName>
    <definedName name="OSRRefN21_22x_0" localSheetId="32">'331'!$N$209</definedName>
    <definedName name="OSRRefN21_22x_0" localSheetId="84">'411'!$N$103</definedName>
    <definedName name="OSRRefN21_22x_0" localSheetId="41">'491'!$N$124:$N$125</definedName>
    <definedName name="OSRRefN21_22x_0" localSheetId="44">'492'!$N$113</definedName>
    <definedName name="OSRRefN21_22x_0" localSheetId="11">'Div 3'!$N$340:$N$341</definedName>
    <definedName name="OSRRefN21_22x_0" localSheetId="14">'Div 4'!$N$126:$N$127</definedName>
    <definedName name="OSRRefN21_22x_0" localSheetId="2">Summary!$N$370:$N$380</definedName>
    <definedName name="OSRRefN21_23x_0" localSheetId="17">'300'!$N$336:$N$338</definedName>
    <definedName name="OSRRefN21_23x_0" localSheetId="20">'300 &amp; 317'!$N$364:$N$366</definedName>
    <definedName name="OSRRefN21_23x_0" localSheetId="61">'301'!$N$105:$N$107</definedName>
    <definedName name="OSRRefN21_23x_0" localSheetId="23">'310'!$N$124</definedName>
    <definedName name="OSRRefN21_23x_0" localSheetId="38">'310 &amp; 491'!$N$141</definedName>
    <definedName name="OSRRefN21_23x_0" localSheetId="41">'491'!$N$127</definedName>
    <definedName name="OSRRefN21_23x_0" localSheetId="11">'Div 3'!$N$343</definedName>
    <definedName name="OSRRefN21_23x_0" localSheetId="14">'Div 4'!$N$129</definedName>
    <definedName name="OSRRefN21_23x_0" localSheetId="2">Summary!$N$382:$N$383</definedName>
    <definedName name="OSRRefN21_24x_0" localSheetId="17">'300'!$N$340</definedName>
    <definedName name="OSRRefN21_24x_0" localSheetId="20">'300 &amp; 317'!$N$368</definedName>
    <definedName name="OSRRefN21_24x_0" localSheetId="61">'301'!$N$109</definedName>
    <definedName name="OSRRefN21_24x_0" localSheetId="38">'310 &amp; 491'!$N$143:$N$145</definedName>
    <definedName name="OSRRefN21_24x_0" localSheetId="41">'491'!$N$129:$N$131</definedName>
    <definedName name="OSRRefN21_24x_0" localSheetId="11">'Div 3'!$N$345:$N$347</definedName>
    <definedName name="OSRRefN21_24x_0" localSheetId="14">'Div 4'!$N$131:$N$133</definedName>
    <definedName name="OSRRefN21_24x_0" localSheetId="2">Summary!$N$385</definedName>
    <definedName name="OSRRefN21_25x_0" localSheetId="38">'310 &amp; 491'!$N$147</definedName>
    <definedName name="OSRRefN21_25x_0" localSheetId="41">'491'!$N$133</definedName>
    <definedName name="OSRRefN21_25x_0" localSheetId="11">'Div 3'!$N$349</definedName>
    <definedName name="OSRRefN21_25x_0" localSheetId="14">'Div 4'!$N$135</definedName>
    <definedName name="OSRRefN21_25x_0" localSheetId="2">Summary!$N$387:$N$389</definedName>
    <definedName name="OSRRefN21_26x_0" localSheetId="2">Summary!$N$391</definedName>
    <definedName name="OSRRefN21_2x_0" localSheetId="54">'200'!$N$24</definedName>
    <definedName name="OSRRefN21_2x_0" localSheetId="55">'201'!$N$41</definedName>
    <definedName name="OSRRefN21_2x_0" localSheetId="56">'202'!$N$41</definedName>
    <definedName name="OSRRefN21_2x_0" localSheetId="57">'203'!$N$41</definedName>
    <definedName name="OSRRefN21_2x_0" localSheetId="58">'204'!$N$41</definedName>
    <definedName name="OSRRefN21_2x_0" localSheetId="59">'205'!$N$40</definedName>
    <definedName name="OSRRefN21_2x_0" localSheetId="60">'206'!$N$40</definedName>
    <definedName name="OSRRefN21_2x_0" localSheetId="17">'300'!$N$226</definedName>
    <definedName name="OSRRefN21_2x_0" localSheetId="20">'300 &amp; 317'!$N$251</definedName>
    <definedName name="OSRRefN21_2x_0" localSheetId="61">'301'!$N$41</definedName>
    <definedName name="OSRRefN21_2x_0" localSheetId="62">'306'!$N$41</definedName>
    <definedName name="OSRRefN21_2x_0" localSheetId="63">'307'!$N$121</definedName>
    <definedName name="OSRRefN21_2x_0" localSheetId="29">'308'!$N$111</definedName>
    <definedName name="OSRRefN21_2x_0" localSheetId="64">'309'!$N$46</definedName>
    <definedName name="OSRRefN21_2x_0" localSheetId="23">'310'!$N$60</definedName>
    <definedName name="OSRRefN21_2x_0" localSheetId="38">'310 &amp; 491'!$N$71</definedName>
    <definedName name="OSRRefN21_2x_0" localSheetId="65">'311'!$N$93</definedName>
    <definedName name="OSRRefN21_2x_0" localSheetId="66">'312'!$N$74</definedName>
    <definedName name="OSRRefN21_2x_0" localSheetId="67">'313'!$N$56</definedName>
    <definedName name="OSRRefN21_2x_0" localSheetId="68">'314'!$N$78</definedName>
    <definedName name="OSRRefN21_2x_0" localSheetId="69">'315'!$N$78</definedName>
    <definedName name="OSRRefN21_2x_0" localSheetId="70">'316'!$N$61</definedName>
    <definedName name="OSRRefN21_2x_0" localSheetId="71">'317'!$N$85</definedName>
    <definedName name="OSRRefN21_2x_0" localSheetId="72">'318'!$N$32</definedName>
    <definedName name="OSRRefN21_2x_0" localSheetId="73">'320'!$N$52</definedName>
    <definedName name="OSRRefN21_2x_0" localSheetId="74">'321'!$N$47</definedName>
    <definedName name="OSRRefN21_2x_0" localSheetId="75">'322'!$N$46</definedName>
    <definedName name="OSRRefN21_2x_0" localSheetId="76">'323'!$N$33</definedName>
    <definedName name="OSRRefN21_2x_0" localSheetId="77">'324'!$N$46</definedName>
    <definedName name="OSRRefN21_2x_0" localSheetId="78">'325'!$N$47</definedName>
    <definedName name="OSRRefN21_2x_0" localSheetId="79">'326'!$N$115</definedName>
    <definedName name="OSRRefN21_2x_0" localSheetId="80">'327'!$N$29</definedName>
    <definedName name="OSRRefN21_2x_0" localSheetId="26">'330'!$N$130</definedName>
    <definedName name="OSRRefN21_2x_0" localSheetId="32">'331'!$N$126</definedName>
    <definedName name="OSRRefN21_2x_0" localSheetId="35">'332'!$N$78</definedName>
    <definedName name="OSRRefN21_2x_0" localSheetId="81">'335'!$N$34</definedName>
    <definedName name="OSRRefN21_2x_0" localSheetId="82">'405'!$N$49</definedName>
    <definedName name="OSRRefN21_2x_0" localSheetId="83">'406'!$N$39</definedName>
    <definedName name="OSRRefN21_2x_0" localSheetId="84">'411'!$N$41</definedName>
    <definedName name="OSRRefN21_2x_0" localSheetId="85">'412'!$N$49</definedName>
    <definedName name="OSRRefN21_2x_0" localSheetId="86">'413'!$N$48</definedName>
    <definedName name="OSRRefN21_2x_0" localSheetId="87">'414'!$N$47</definedName>
    <definedName name="OSRRefN21_2x_0" localSheetId="88">'415'!$N$48</definedName>
    <definedName name="OSRRefN21_2x_0" localSheetId="89">'418'!$N$47</definedName>
    <definedName name="OSRRefN21_2x_0" localSheetId="90">'420'!$N$37</definedName>
    <definedName name="OSRRefN21_2x_0" localSheetId="91">'423'!$N$41</definedName>
    <definedName name="OSRRefN21_2x_0" localSheetId="92">'424'!$N$40</definedName>
    <definedName name="OSRRefN21_2x_0" localSheetId="93">'425'!$N$43</definedName>
    <definedName name="OSRRefN21_2x_0" localSheetId="94">'430'!$N$40</definedName>
    <definedName name="OSRRefN21_2x_0" localSheetId="95">'433'!$N$50</definedName>
    <definedName name="OSRRefN21_2x_0" localSheetId="96">'435'!$N$33</definedName>
    <definedName name="OSRRefN21_2x_0" localSheetId="97">'444'!$N$48</definedName>
    <definedName name="OSRRefN21_2x_0" localSheetId="98">'445'!$N$32</definedName>
    <definedName name="OSRRefN21_2x_0" localSheetId="99">'450'!$N$48</definedName>
    <definedName name="OSRRefN21_2x_0" localSheetId="100">'455'!$N$31</definedName>
    <definedName name="OSRRefN21_2x_0" localSheetId="41">'491'!$N$59</definedName>
    <definedName name="OSRRefN21_2x_0" localSheetId="44">'492'!$N$52</definedName>
    <definedName name="OSRRefN21_2x_0" localSheetId="101">'501'!$N$42</definedName>
    <definedName name="OSRRefN21_2x_0" localSheetId="8">'Div 2'!$N$43</definedName>
    <definedName name="OSRRefN21_2x_0" localSheetId="11">'Div 3'!$N$231</definedName>
    <definedName name="OSRRefN21_2x_0" localSheetId="14">'Div 4'!$N$60</definedName>
    <definedName name="OSRRefN21_2x_0" localSheetId="47">'Div 5'!$N$42</definedName>
    <definedName name="OSRRefN21_2x_0" localSheetId="50">'Div 6'!$N$85</definedName>
    <definedName name="OSRRefN21_2x_0" localSheetId="2">Summary!$N$267</definedName>
    <definedName name="OSRRefN21_3x_0" localSheetId="54">'200'!$N$26</definedName>
    <definedName name="OSRRefN21_3x_0" localSheetId="55">'201'!$N$43</definedName>
    <definedName name="OSRRefN21_3x_0" localSheetId="56">'202'!$N$43</definedName>
    <definedName name="OSRRefN21_3x_0" localSheetId="57">'203'!$N$43</definedName>
    <definedName name="OSRRefN21_3x_0" localSheetId="58">'204'!$N$43:$N$44</definedName>
    <definedName name="OSRRefN21_3x_0" localSheetId="59">'205'!$N$42</definedName>
    <definedName name="OSRRefN21_3x_0" localSheetId="60">'206'!$N$42</definedName>
    <definedName name="OSRRefN21_3x_0" localSheetId="17">'300'!$N$228:$N$230</definedName>
    <definedName name="OSRRefN21_3x_0" localSheetId="20">'300 &amp; 317'!$N$253:$N$255</definedName>
    <definedName name="OSRRefN21_3x_0" localSheetId="61">'301'!$N$43:$N$45</definedName>
    <definedName name="OSRRefN21_3x_0" localSheetId="62">'306'!$N$43</definedName>
    <definedName name="OSRRefN21_3x_0" localSheetId="63">'307'!$N$123</definedName>
    <definedName name="OSRRefN21_3x_0" localSheetId="29">'308'!$N$113:$N$114</definedName>
    <definedName name="OSRRefN21_3x_0" localSheetId="64">'309'!$N$48</definedName>
    <definedName name="OSRRefN21_3x_0" localSheetId="23">'310'!$N$62</definedName>
    <definedName name="OSRRefN21_3x_0" localSheetId="38">'310 &amp; 491'!$N$73:$N$74</definedName>
    <definedName name="OSRRefN21_3x_0" localSheetId="65">'311'!$N$95:$N$96</definedName>
    <definedName name="OSRRefN21_3x_0" localSheetId="66">'312'!$N$76</definedName>
    <definedName name="OSRRefN21_3x_0" localSheetId="67">'313'!$N$58</definedName>
    <definedName name="OSRRefN21_3x_0" localSheetId="68">'314'!$N$80:$N$81</definedName>
    <definedName name="OSRRefN21_3x_0" localSheetId="69">'315'!$N$80</definedName>
    <definedName name="OSRRefN21_3x_0" localSheetId="70">'316'!$N$63</definedName>
    <definedName name="OSRRefN21_3x_0" localSheetId="71">'317'!$N$87</definedName>
    <definedName name="OSRRefN21_3x_0" localSheetId="72">'318'!$N$34</definedName>
    <definedName name="OSRRefN21_3x_0" localSheetId="73">'320'!$N$54</definedName>
    <definedName name="OSRRefN21_3x_0" localSheetId="74">'321'!$N$49</definedName>
    <definedName name="OSRRefN21_3x_0" localSheetId="75">'322'!$N$48</definedName>
    <definedName name="OSRRefN21_3x_0" localSheetId="76">'323'!$N$35</definedName>
    <definedName name="OSRRefN21_3x_0" localSheetId="77">'324'!$N$48</definedName>
    <definedName name="OSRRefN21_3x_0" localSheetId="78">'325'!$N$49</definedName>
    <definedName name="OSRRefN21_3x_0" localSheetId="79">'326'!$N$117</definedName>
    <definedName name="OSRRefN21_3x_0" localSheetId="26">'330'!$N$132</definedName>
    <definedName name="OSRRefN21_3x_0" localSheetId="32">'331'!$N$128</definedName>
    <definedName name="OSRRefN21_3x_0" localSheetId="35">'332'!$N$80</definedName>
    <definedName name="OSRRefN21_3x_0" localSheetId="81">'335'!$N$36</definedName>
    <definedName name="OSRRefN21_3x_0" localSheetId="82">'405'!$N$51</definedName>
    <definedName name="OSRRefN21_3x_0" localSheetId="83">'406'!$N$41</definedName>
    <definedName name="OSRRefN21_3x_0" localSheetId="84">'411'!$N$43</definedName>
    <definedName name="OSRRefN21_3x_0" localSheetId="85">'412'!$N$51</definedName>
    <definedName name="OSRRefN21_3x_0" localSheetId="86">'413'!$N$50</definedName>
    <definedName name="OSRRefN21_3x_0" localSheetId="87">'414'!$N$49</definedName>
    <definedName name="OSRRefN21_3x_0" localSheetId="88">'415'!$N$50</definedName>
    <definedName name="OSRRefN21_3x_0" localSheetId="89">'418'!$N$49</definedName>
    <definedName name="OSRRefN21_3x_0" localSheetId="90">'420'!$N$39</definedName>
    <definedName name="OSRRefN21_3x_0" localSheetId="91">'423'!$N$43</definedName>
    <definedName name="OSRRefN21_3x_0" localSheetId="92">'424'!$N$42</definedName>
    <definedName name="OSRRefN21_3x_0" localSheetId="93">'425'!$N$45:$N$46</definedName>
    <definedName name="OSRRefN21_3x_0" localSheetId="94">'430'!$N$42</definedName>
    <definedName name="OSRRefN21_3x_0" localSheetId="95">'433'!$N$52</definedName>
    <definedName name="OSRRefN21_3x_0" localSheetId="96">'435'!$N$35</definedName>
    <definedName name="OSRRefN21_3x_0" localSheetId="97">'444'!$N$50</definedName>
    <definedName name="OSRRefN21_3x_0" localSheetId="98">'445'!$N$34</definedName>
    <definedName name="OSRRefN21_3x_0" localSheetId="99">'450'!$N$50</definedName>
    <definedName name="OSRRefN21_3x_0" localSheetId="100">'455'!$N$33</definedName>
    <definedName name="OSRRefN21_3x_0" localSheetId="41">'491'!$N$61:$N$62</definedName>
    <definedName name="OSRRefN21_3x_0" localSheetId="44">'492'!$N$54</definedName>
    <definedName name="OSRRefN21_3x_0" localSheetId="101">'501'!$N$44</definedName>
    <definedName name="OSRRefN21_3x_0" localSheetId="8">'Div 2'!$N$45</definedName>
    <definedName name="OSRRefN21_3x_0" localSheetId="11">'Div 3'!$N$233:$N$235</definedName>
    <definedName name="OSRRefN21_3x_0" localSheetId="14">'Div 4'!$N$62:$N$63</definedName>
    <definedName name="OSRRefN21_3x_0" localSheetId="47">'Div 5'!$N$44</definedName>
    <definedName name="OSRRefN21_3x_0" localSheetId="50">'Div 6'!$N$87</definedName>
    <definedName name="OSRRefN21_3x_0" localSheetId="2">Summary!$N$269:$N$271</definedName>
    <definedName name="OSRRefN21_4x_0" localSheetId="54">'200'!$N$28</definedName>
    <definedName name="OSRRefN21_4x_0" localSheetId="55">'201'!$N$45</definedName>
    <definedName name="OSRRefN21_4x_0" localSheetId="56">'202'!$N$45</definedName>
    <definedName name="OSRRefN21_4x_0" localSheetId="57">'203'!$N$45</definedName>
    <definedName name="OSRRefN21_4x_0" localSheetId="58">'204'!$N$46</definedName>
    <definedName name="OSRRefN21_4x_0" localSheetId="59">'205'!$N$44:$N$46</definedName>
    <definedName name="OSRRefN21_4x_0" localSheetId="60">'206'!$N$44</definedName>
    <definedName name="OSRRefN21_4x_0" localSheetId="17">'300'!$N$232</definedName>
    <definedName name="OSRRefN21_4x_0" localSheetId="20">'300 &amp; 317'!$N$257</definedName>
    <definedName name="OSRRefN21_4x_0" localSheetId="61">'301'!$N$47</definedName>
    <definedName name="OSRRefN21_4x_0" localSheetId="62">'306'!$N$45</definedName>
    <definedName name="OSRRefN21_4x_0" localSheetId="63">'307'!$N$125</definedName>
    <definedName name="OSRRefN21_4x_0" localSheetId="29">'308'!$N$116</definedName>
    <definedName name="OSRRefN21_4x_0" localSheetId="64">'309'!$N$50</definedName>
    <definedName name="OSRRefN21_4x_0" localSheetId="23">'310'!$N$64</definedName>
    <definedName name="OSRRefN21_4x_0" localSheetId="38">'310 &amp; 491'!$N$76</definedName>
    <definedName name="OSRRefN21_4x_0" localSheetId="65">'311'!$N$98</definedName>
    <definedName name="OSRRefN21_4x_0" localSheetId="66">'312'!$N$78:$N$79</definedName>
    <definedName name="OSRRefN21_4x_0" localSheetId="67">'313'!$N$60</definedName>
    <definedName name="OSRRefN21_4x_0" localSheetId="68">'314'!$N$83</definedName>
    <definedName name="OSRRefN21_4x_0" localSheetId="69">'315'!$N$82</definedName>
    <definedName name="OSRRefN21_4x_0" localSheetId="70">'316'!$N$65</definedName>
    <definedName name="OSRRefN21_4x_0" localSheetId="71">'317'!$N$89:$N$90</definedName>
    <definedName name="OSRRefN21_4x_0" localSheetId="72">'318'!$N$36</definedName>
    <definedName name="OSRRefN21_4x_0" localSheetId="73">'320'!$N$56</definedName>
    <definedName name="OSRRefN21_4x_0" localSheetId="74">'321'!$N$51</definedName>
    <definedName name="OSRRefN21_4x_0" localSheetId="75">'322'!$N$50</definedName>
    <definedName name="OSRRefN21_4x_0" localSheetId="76">'323'!$N$37</definedName>
    <definedName name="OSRRefN21_4x_0" localSheetId="78">'325'!$N$51</definedName>
    <definedName name="OSRRefN21_4x_0" localSheetId="79">'326'!$N$119</definedName>
    <definedName name="OSRRefN21_4x_0" localSheetId="26">'330'!$N$134</definedName>
    <definedName name="OSRRefN21_4x_0" localSheetId="32">'331'!$N$130</definedName>
    <definedName name="OSRRefN21_4x_0" localSheetId="35">'332'!$N$82</definedName>
    <definedName name="OSRRefN21_4x_0" localSheetId="81">'335'!$N$38</definedName>
    <definedName name="OSRRefN21_4x_0" localSheetId="82">'405'!$N$53</definedName>
    <definedName name="OSRRefN21_4x_0" localSheetId="83">'406'!$N$43</definedName>
    <definedName name="OSRRefN21_4x_0" localSheetId="84">'411'!$N$45</definedName>
    <definedName name="OSRRefN21_4x_0" localSheetId="85">'412'!$N$53</definedName>
    <definedName name="OSRRefN21_4x_0" localSheetId="86">'413'!$N$52</definedName>
    <definedName name="OSRRefN21_4x_0" localSheetId="87">'414'!$N$51</definedName>
    <definedName name="OSRRefN21_4x_0" localSheetId="88">'415'!$N$52</definedName>
    <definedName name="OSRRefN21_4x_0" localSheetId="89">'418'!$N$51</definedName>
    <definedName name="OSRRefN21_4x_0" localSheetId="90">'420'!$N$41</definedName>
    <definedName name="OSRRefN21_4x_0" localSheetId="91">'423'!$N$45</definedName>
    <definedName name="OSRRefN21_4x_0" localSheetId="92">'424'!$N$44</definedName>
    <definedName name="OSRRefN21_4x_0" localSheetId="93">'425'!$N$48</definedName>
    <definedName name="OSRRefN21_4x_0" localSheetId="94">'430'!$N$44</definedName>
    <definedName name="OSRRefN21_4x_0" localSheetId="95">'433'!$N$54</definedName>
    <definedName name="OSRRefN21_4x_0" localSheetId="96">'435'!$N$37</definedName>
    <definedName name="OSRRefN21_4x_0" localSheetId="97">'444'!$N$52</definedName>
    <definedName name="OSRRefN21_4x_0" localSheetId="98">'445'!$N$36</definedName>
    <definedName name="OSRRefN21_4x_0" localSheetId="99">'450'!$N$52</definedName>
    <definedName name="OSRRefN21_4x_0" localSheetId="41">'491'!$N$64</definedName>
    <definedName name="OSRRefN21_4x_0" localSheetId="44">'492'!$N$56</definedName>
    <definedName name="OSRRefN21_4x_0" localSheetId="101">'501'!$N$46</definedName>
    <definedName name="OSRRefN21_4x_0" localSheetId="8">'Div 2'!$N$47</definedName>
    <definedName name="OSRRefN21_4x_0" localSheetId="11">'Div 3'!$N$237</definedName>
    <definedName name="OSRRefN21_4x_0" localSheetId="14">'Div 4'!$N$65</definedName>
    <definedName name="OSRRefN21_4x_0" localSheetId="47">'Div 5'!$N$46</definedName>
    <definedName name="OSRRefN21_4x_0" localSheetId="50">'Div 6'!$N$89:$N$90</definedName>
    <definedName name="OSRRefN21_4x_0" localSheetId="2">Summary!$N$273</definedName>
    <definedName name="OSRRefN21_5x_0" localSheetId="54">'200'!$N$30:$N$31</definedName>
    <definedName name="OSRRefN21_5x_0" localSheetId="55">'201'!$N$47</definedName>
    <definedName name="OSRRefN21_5x_0" localSheetId="56">'202'!$N$47</definedName>
    <definedName name="OSRRefN21_5x_0" localSheetId="57">'203'!$N$47</definedName>
    <definedName name="OSRRefN21_5x_0" localSheetId="58">'204'!$N$48:$N$49</definedName>
    <definedName name="OSRRefN21_5x_0" localSheetId="59">'205'!$N$48</definedName>
    <definedName name="OSRRefN21_5x_0" localSheetId="60">'206'!$N$46</definedName>
    <definedName name="OSRRefN21_5x_0" localSheetId="17">'300'!$N$234:$N$237</definedName>
    <definedName name="OSRRefN21_5x_0" localSheetId="20">'300 &amp; 317'!$N$259:$N$262</definedName>
    <definedName name="OSRRefN21_5x_0" localSheetId="61">'301'!$N$49:$N$52</definedName>
    <definedName name="OSRRefN21_5x_0" localSheetId="62">'306'!$N$47:$N$48</definedName>
    <definedName name="OSRRefN21_5x_0" localSheetId="63">'307'!$N$127:$N$128</definedName>
    <definedName name="OSRRefN21_5x_0" localSheetId="29">'308'!$N$118</definedName>
    <definedName name="OSRRefN21_5x_0" localSheetId="64">'309'!$N$52</definedName>
    <definedName name="OSRRefN21_5x_0" localSheetId="23">'310'!$N$66:$N$67</definedName>
    <definedName name="OSRRefN21_5x_0" localSheetId="38">'310 &amp; 491'!$N$78:$N$81</definedName>
    <definedName name="OSRRefN21_5x_0" localSheetId="65">'311'!$N$100</definedName>
    <definedName name="OSRRefN21_5x_0" localSheetId="66">'312'!$N$81:$N$89</definedName>
    <definedName name="OSRRefN21_5x_0" localSheetId="67">'313'!$N$62</definedName>
    <definedName name="OSRRefN21_5x_0" localSheetId="68">'314'!$N$85:$N$86</definedName>
    <definedName name="OSRRefN21_5x_0" localSheetId="69">'315'!$N$84:$N$85</definedName>
    <definedName name="OSRRefN21_5x_0" localSheetId="70">'316'!$N$67</definedName>
    <definedName name="OSRRefN21_5x_0" localSheetId="71">'317'!$N$92</definedName>
    <definedName name="OSRRefN21_5x_0" localSheetId="72">'318'!$N$38</definedName>
    <definedName name="OSRRefN21_5x_0" localSheetId="73">'320'!$N$58:$N$59</definedName>
    <definedName name="OSRRefN21_5x_0" localSheetId="74">'321'!$N$53</definedName>
    <definedName name="OSRRefN21_5x_0" localSheetId="75">'322'!$N$52</definedName>
    <definedName name="OSRRefN21_5x_0" localSheetId="76">'323'!$N$39</definedName>
    <definedName name="OSRRefN21_5x_0" localSheetId="78">'325'!$N$53:$N$54</definedName>
    <definedName name="OSRRefN21_5x_0" localSheetId="79">'326'!$N$121:$N$122</definedName>
    <definedName name="OSRRefN21_5x_0" localSheetId="26">'330'!$N$136:$N$137</definedName>
    <definedName name="OSRRefN21_5x_0" localSheetId="32">'331'!$N$132:$N$133</definedName>
    <definedName name="OSRRefN21_5x_0" localSheetId="35">'332'!$N$84</definedName>
    <definedName name="OSRRefN21_5x_0" localSheetId="81">'335'!$N$40:$N$41</definedName>
    <definedName name="OSRRefN21_5x_0" localSheetId="82">'405'!$N$55:$N$56</definedName>
    <definedName name="OSRRefN21_5x_0" localSheetId="83">'406'!$N$45</definedName>
    <definedName name="OSRRefN21_5x_0" localSheetId="84">'411'!$N$47:$N$50</definedName>
    <definedName name="OSRRefN21_5x_0" localSheetId="85">'412'!$N$55:$N$56</definedName>
    <definedName name="OSRRefN21_5x_0" localSheetId="86">'413'!$N$54</definedName>
    <definedName name="OSRRefN21_5x_0" localSheetId="87">'414'!$N$53</definedName>
    <definedName name="OSRRefN21_5x_0" localSheetId="88">'415'!$N$54:$N$55</definedName>
    <definedName name="OSRRefN21_5x_0" localSheetId="89">'418'!$N$53:$N$54</definedName>
    <definedName name="OSRRefN21_5x_0" localSheetId="90">'420'!$N$43</definedName>
    <definedName name="OSRRefN21_5x_0" localSheetId="91">'423'!$N$47</definedName>
    <definedName name="OSRRefN21_5x_0" localSheetId="92">'424'!$N$46</definedName>
    <definedName name="OSRRefN21_5x_0" localSheetId="93">'425'!$N$50:$N$51</definedName>
    <definedName name="OSRRefN21_5x_0" localSheetId="94">'430'!$N$46</definedName>
    <definedName name="OSRRefN21_5x_0" localSheetId="95">'433'!$N$56</definedName>
    <definedName name="OSRRefN21_5x_0" localSheetId="96">'435'!$N$39</definedName>
    <definedName name="OSRRefN21_5x_0" localSheetId="97">'444'!$N$54</definedName>
    <definedName name="OSRRefN21_5x_0" localSheetId="98">'445'!$N$38</definedName>
    <definedName name="OSRRefN21_5x_0" localSheetId="99">'450'!$N$54:$N$55</definedName>
    <definedName name="OSRRefN21_5x_0" localSheetId="41">'491'!$N$66:$N$69</definedName>
    <definedName name="OSRRefN21_5x_0" localSheetId="44">'492'!$N$58:$N$59</definedName>
    <definedName name="OSRRefN21_5x_0" localSheetId="101">'501'!$N$48</definedName>
    <definedName name="OSRRefN21_5x_0" localSheetId="8">'Div 2'!$N$49</definedName>
    <definedName name="OSRRefN21_5x_0" localSheetId="11">'Div 3'!$N$239:$N$242</definedName>
    <definedName name="OSRRefN21_5x_0" localSheetId="14">'Div 4'!$N$67:$N$70</definedName>
    <definedName name="OSRRefN21_5x_0" localSheetId="47">'Div 5'!$N$48</definedName>
    <definedName name="OSRRefN21_5x_0" localSheetId="50">'Div 6'!$N$92</definedName>
    <definedName name="OSRRefN21_5x_0" localSheetId="2">Summary!$N$275:$N$278</definedName>
    <definedName name="OSRRefN21_6x_0" localSheetId="55">'201'!$N$49:$N$50</definedName>
    <definedName name="OSRRefN21_6x_0" localSheetId="56">'202'!$N$49:$N$50</definedName>
    <definedName name="OSRRefN21_6x_0" localSheetId="57">'203'!$N$49</definedName>
    <definedName name="OSRRefN21_6x_0" localSheetId="58">'204'!$N$51</definedName>
    <definedName name="OSRRefN21_6x_0" localSheetId="59">'205'!$N$50:$N$53</definedName>
    <definedName name="OSRRefN21_6x_0" localSheetId="60">'206'!$N$48</definedName>
    <definedName name="OSRRefN21_6x_0" localSheetId="17">'300'!$N$239:$N$240</definedName>
    <definedName name="OSRRefN21_6x_0" localSheetId="20">'300 &amp; 317'!$N$264:$N$265</definedName>
    <definedName name="OSRRefN21_6x_0" localSheetId="61">'301'!$N$54:$N$55</definedName>
    <definedName name="OSRRefN21_6x_0" localSheetId="62">'306'!$N$50</definedName>
    <definedName name="OSRRefN21_6x_0" localSheetId="63">'307'!$N$130</definedName>
    <definedName name="OSRRefN21_6x_0" localSheetId="29">'308'!$N$120:$N$121</definedName>
    <definedName name="OSRRefN21_6x_0" localSheetId="64">'309'!$N$54</definedName>
    <definedName name="OSRRefN21_6x_0" localSheetId="23">'310'!$N$69</definedName>
    <definedName name="OSRRefN21_6x_0" localSheetId="38">'310 &amp; 491'!$N$83:$N$84</definedName>
    <definedName name="OSRRefN21_6x_0" localSheetId="65">'311'!$N$102:$N$103</definedName>
    <definedName name="OSRRefN21_6x_0" localSheetId="66">'312'!$N$91:$N$92</definedName>
    <definedName name="OSRRefN21_6x_0" localSheetId="67">'313'!$N$64</definedName>
    <definedName name="OSRRefN21_6x_0" localSheetId="68">'314'!$N$88:$N$97</definedName>
    <definedName name="OSRRefN21_6x_0" localSheetId="69">'315'!$N$87</definedName>
    <definedName name="OSRRefN21_6x_0" localSheetId="70">'316'!$N$69</definedName>
    <definedName name="OSRRefN21_6x_0" localSheetId="71">'317'!$N$94</definedName>
    <definedName name="OSRRefN21_6x_0" localSheetId="72">'318'!$N$40</definedName>
    <definedName name="OSRRefN21_6x_0" localSheetId="73">'320'!$N$61</definedName>
    <definedName name="OSRRefN21_6x_0" localSheetId="74">'321'!$N$55</definedName>
    <definedName name="OSRRefN21_6x_0" localSheetId="75">'322'!$N$54</definedName>
    <definedName name="OSRRefN21_6x_0" localSheetId="76">'323'!$N$41</definedName>
    <definedName name="OSRRefN21_6x_0" localSheetId="78">'325'!$N$56</definedName>
    <definedName name="OSRRefN21_6x_0" localSheetId="79">'326'!$N$124:$N$125</definedName>
    <definedName name="OSRRefN21_6x_0" localSheetId="26">'330'!$N$139</definedName>
    <definedName name="OSRRefN21_6x_0" localSheetId="32">'331'!$N$135:$N$136</definedName>
    <definedName name="OSRRefN21_6x_0" localSheetId="35">'332'!$N$86</definedName>
    <definedName name="OSRRefN21_6x_0" localSheetId="81">'335'!$N$43:$N$45</definedName>
    <definedName name="OSRRefN21_6x_0" localSheetId="82">'405'!$N$58</definedName>
    <definedName name="OSRRefN21_6x_0" localSheetId="83">'406'!$N$47</definedName>
    <definedName name="OSRRefN21_6x_0" localSheetId="84">'411'!$N$52</definedName>
    <definedName name="OSRRefN21_6x_0" localSheetId="85">'412'!$N$58</definedName>
    <definedName name="OSRRefN21_6x_0" localSheetId="86">'413'!$N$56</definedName>
    <definedName name="OSRRefN21_6x_0" localSheetId="87">'414'!$N$55</definedName>
    <definedName name="OSRRefN21_6x_0" localSheetId="88">'415'!$N$57</definedName>
    <definedName name="OSRRefN21_6x_0" localSheetId="89">'418'!$N$56</definedName>
    <definedName name="OSRRefN21_6x_0" localSheetId="90">'420'!$N$45</definedName>
    <definedName name="OSRRefN21_6x_0" localSheetId="91">'423'!$N$49</definedName>
    <definedName name="OSRRefN21_6x_0" localSheetId="92">'424'!$N$48</definedName>
    <definedName name="OSRRefN21_6x_0" localSheetId="93">'425'!$N$53</definedName>
    <definedName name="OSRRefN21_6x_0" localSheetId="94">'430'!$N$48</definedName>
    <definedName name="OSRRefN21_6x_0" localSheetId="95">'433'!$N$58</definedName>
    <definedName name="OSRRefN21_6x_0" localSheetId="96">'435'!$N$41</definedName>
    <definedName name="OSRRefN21_6x_0" localSheetId="97">'444'!$N$56</definedName>
    <definedName name="OSRRefN21_6x_0" localSheetId="98">'445'!$N$40</definedName>
    <definedName name="OSRRefN21_6x_0" localSheetId="99">'450'!$N$57</definedName>
    <definedName name="OSRRefN21_6x_0" localSheetId="41">'491'!$N$71:$N$72</definedName>
    <definedName name="OSRRefN21_6x_0" localSheetId="44">'492'!$N$61</definedName>
    <definedName name="OSRRefN21_6x_0" localSheetId="101">'501'!$N$50:$N$51</definedName>
    <definedName name="OSRRefN21_6x_0" localSheetId="8">'Div 2'!$N$51:$N$52</definedName>
    <definedName name="OSRRefN21_6x_0" localSheetId="11">'Div 3'!$N$244:$N$245</definedName>
    <definedName name="OSRRefN21_6x_0" localSheetId="14">'Div 4'!$N$72:$N$73</definedName>
    <definedName name="OSRRefN21_6x_0" localSheetId="47">'Div 5'!$N$50:$N$51</definedName>
    <definedName name="OSRRefN21_6x_0" localSheetId="50">'Div 6'!$N$94</definedName>
    <definedName name="OSRRefN21_6x_0" localSheetId="2">Summary!$N$280:$N$281</definedName>
    <definedName name="OSRRefN21_7x_0" localSheetId="55">'201'!$N$52</definedName>
    <definedName name="OSRRefN21_7x_0" localSheetId="56">'202'!$N$52</definedName>
    <definedName name="OSRRefN21_7x_0" localSheetId="57">'203'!$N$51</definedName>
    <definedName name="OSRRefN21_7x_0" localSheetId="58">'204'!$N$53</definedName>
    <definedName name="OSRRefN21_7x_0" localSheetId="59">'205'!$N$55</definedName>
    <definedName name="OSRRefN21_7x_0" localSheetId="60">'206'!$N$50:$N$52</definedName>
    <definedName name="OSRRefN21_7x_0" localSheetId="17">'300'!$N$242:$N$243</definedName>
    <definedName name="OSRRefN21_7x_0" localSheetId="20">'300 &amp; 317'!$N$267:$N$268</definedName>
    <definedName name="OSRRefN21_7x_0" localSheetId="61">'301'!$N$57</definedName>
    <definedName name="OSRRefN21_7x_0" localSheetId="62">'306'!$N$52:$N$53</definedName>
    <definedName name="OSRRefN21_7x_0" localSheetId="63">'307'!$N$132:$N$133</definedName>
    <definedName name="OSRRefN21_7x_0" localSheetId="29">'308'!$N$123:$N$124</definedName>
    <definedName name="OSRRefN21_7x_0" localSheetId="64">'309'!$N$56</definedName>
    <definedName name="OSRRefN21_7x_0" localSheetId="23">'310'!$N$71</definedName>
    <definedName name="OSRRefN21_7x_0" localSheetId="38">'310 &amp; 491'!$N$86</definedName>
    <definedName name="OSRRefN21_7x_0" localSheetId="65">'311'!$N$105:$N$106</definedName>
    <definedName name="OSRRefN21_7x_0" localSheetId="66">'312'!$N$94</definedName>
    <definedName name="OSRRefN21_7x_0" localSheetId="67">'313'!$N$66:$N$67</definedName>
    <definedName name="OSRRefN21_7x_0" localSheetId="68">'314'!$N$99</definedName>
    <definedName name="OSRRefN21_7x_0" localSheetId="69">'315'!$N$89:$N$90</definedName>
    <definedName name="OSRRefN21_7x_0" localSheetId="70">'316'!$N$71:$N$72</definedName>
    <definedName name="OSRRefN21_7x_0" localSheetId="71">'317'!$N$96:$N$97</definedName>
    <definedName name="OSRRefN21_7x_0" localSheetId="72">'318'!$N$42</definedName>
    <definedName name="OSRRefN21_7x_0" localSheetId="73">'320'!$N$63:$N$66</definedName>
    <definedName name="OSRRefN21_7x_0" localSheetId="74">'321'!$N$57:$N$58</definedName>
    <definedName name="OSRRefN21_7x_0" localSheetId="75">'322'!$N$56</definedName>
    <definedName name="OSRRefN21_7x_0" localSheetId="76">'323'!$N$43:$N$45</definedName>
    <definedName name="OSRRefN21_7x_0" localSheetId="78">'325'!$N$58</definedName>
    <definedName name="OSRRefN21_7x_0" localSheetId="79">'326'!$N$127</definedName>
    <definedName name="OSRRefN21_7x_0" localSheetId="26">'330'!$N$141:$N$142</definedName>
    <definedName name="OSRRefN21_7x_0" localSheetId="32">'331'!$N$138</definedName>
    <definedName name="OSRRefN21_7x_0" localSheetId="35">'332'!$N$88:$N$89</definedName>
    <definedName name="OSRRefN21_7x_0" localSheetId="81">'335'!$N$47</definedName>
    <definedName name="OSRRefN21_7x_0" localSheetId="82">'405'!$N$60</definedName>
    <definedName name="OSRRefN21_7x_0" localSheetId="83">'406'!$N$49</definedName>
    <definedName name="OSRRefN21_7x_0" localSheetId="84">'411'!$N$54</definedName>
    <definedName name="OSRRefN21_7x_0" localSheetId="85">'412'!$N$60</definedName>
    <definedName name="OSRRefN21_7x_0" localSheetId="86">'413'!$N$58</definedName>
    <definedName name="OSRRefN21_7x_0" localSheetId="87">'414'!$N$57</definedName>
    <definedName name="OSRRefN21_7x_0" localSheetId="88">'415'!$N$59</definedName>
    <definedName name="OSRRefN21_7x_0" localSheetId="89">'418'!$N$58</definedName>
    <definedName name="OSRRefN21_7x_0" localSheetId="90">'420'!$N$47:$N$48</definedName>
    <definedName name="OSRRefN21_7x_0" localSheetId="91">'423'!$N$51:$N$53</definedName>
    <definedName name="OSRRefN21_7x_0" localSheetId="92">'424'!$N$50</definedName>
    <definedName name="OSRRefN21_7x_0" localSheetId="93">'425'!$N$55</definedName>
    <definedName name="OSRRefN21_7x_0" localSheetId="94">'430'!$N$50</definedName>
    <definedName name="OSRRefN21_7x_0" localSheetId="95">'433'!$N$60</definedName>
    <definedName name="OSRRefN21_7x_0" localSheetId="96">'435'!$N$43</definedName>
    <definedName name="OSRRefN21_7x_0" localSheetId="97">'444'!$N$58</definedName>
    <definedName name="OSRRefN21_7x_0" localSheetId="98">'445'!$N$42</definedName>
    <definedName name="OSRRefN21_7x_0" localSheetId="99">'450'!$N$59</definedName>
    <definedName name="OSRRefN21_7x_0" localSheetId="41">'491'!$N$74</definedName>
    <definedName name="OSRRefN21_7x_0" localSheetId="44">'492'!$N$63</definedName>
    <definedName name="OSRRefN21_7x_0" localSheetId="101">'501'!$N$53</definedName>
    <definedName name="OSRRefN21_7x_0" localSheetId="8">'Div 2'!$N$54:$N$55</definedName>
    <definedName name="OSRRefN21_7x_0" localSheetId="11">'Div 3'!$N$247:$N$248</definedName>
    <definedName name="OSRRefN21_7x_0" localSheetId="14">'Div 4'!$N$75</definedName>
    <definedName name="OSRRefN21_7x_0" localSheetId="47">'Div 5'!$N$53</definedName>
    <definedName name="OSRRefN21_7x_0" localSheetId="50">'Div 6'!$N$96:$N$97</definedName>
    <definedName name="OSRRefN21_7x_0" localSheetId="2">Summary!$N$283:$N$284</definedName>
    <definedName name="OSRRefN21_8x_0" localSheetId="55">'201'!$N$54</definedName>
    <definedName name="OSRRefN21_8x_0" localSheetId="56">'202'!$N$54</definedName>
    <definedName name="OSRRefN21_8x_0" localSheetId="57">'203'!$N$53:$N$54</definedName>
    <definedName name="OSRRefN21_8x_0" localSheetId="58">'204'!$N$55:$N$58</definedName>
    <definedName name="OSRRefN21_8x_0" localSheetId="59">'205'!$N$57</definedName>
    <definedName name="OSRRefN21_8x_0" localSheetId="60">'206'!$N$54</definedName>
    <definedName name="OSRRefN21_8x_0" localSheetId="17">'300'!$N$245</definedName>
    <definedName name="OSRRefN21_8x_0" localSheetId="20">'300 &amp; 317'!$N$270</definedName>
    <definedName name="OSRRefN21_8x_0" localSheetId="61">'301'!$N$59</definedName>
    <definedName name="OSRRefN21_8x_0" localSheetId="62">'306'!$N$55:$N$59</definedName>
    <definedName name="OSRRefN21_8x_0" localSheetId="63">'307'!$N$135</definedName>
    <definedName name="OSRRefN21_8x_0" localSheetId="29">'308'!$N$126:$N$138</definedName>
    <definedName name="OSRRefN21_8x_0" localSheetId="64">'309'!$N$58</definedName>
    <definedName name="OSRRefN21_8x_0" localSheetId="23">'310'!$N$73</definedName>
    <definedName name="OSRRefN21_8x_0" localSheetId="38">'310 &amp; 491'!$N$88</definedName>
    <definedName name="OSRRefN21_8x_0" localSheetId="65">'311'!$N$108:$N$116</definedName>
    <definedName name="OSRRefN21_8x_0" localSheetId="66">'312'!$N$96</definedName>
    <definedName name="OSRRefN21_8x_0" localSheetId="67">'313'!$N$69</definedName>
    <definedName name="OSRRefN21_8x_0" localSheetId="68">'314'!$N$101</definedName>
    <definedName name="OSRRefN21_8x_0" localSheetId="69">'315'!$N$92</definedName>
    <definedName name="OSRRefN21_8x_0" localSheetId="70">'316'!$N$74</definedName>
    <definedName name="OSRRefN21_8x_0" localSheetId="71">'317'!$N$99</definedName>
    <definedName name="OSRRefN21_8x_0" localSheetId="72">'318'!$N$44</definedName>
    <definedName name="OSRRefN21_8x_0" localSheetId="73">'320'!$N$68:$N$69</definedName>
    <definedName name="OSRRefN21_8x_0" localSheetId="74">'321'!$N$60</definedName>
    <definedName name="OSRRefN21_8x_0" localSheetId="75">'322'!$N$58</definedName>
    <definedName name="OSRRefN21_8x_0" localSheetId="78">'325'!$N$60</definedName>
    <definedName name="OSRRefN21_8x_0" localSheetId="79">'326'!$N$129:$N$130</definedName>
    <definedName name="OSRRefN21_8x_0" localSheetId="26">'330'!$N$144</definedName>
    <definedName name="OSRRefN21_8x_0" localSheetId="32">'331'!$N$140:$N$141</definedName>
    <definedName name="OSRRefN21_8x_0" localSheetId="35">'332'!$N$91</definedName>
    <definedName name="OSRRefN21_8x_0" localSheetId="81">'335'!$N$49</definedName>
    <definedName name="OSRRefN21_8x_0" localSheetId="82">'405'!$N$62</definedName>
    <definedName name="OSRRefN21_8x_0" localSheetId="83">'406'!$N$51</definedName>
    <definedName name="OSRRefN21_8x_0" localSheetId="84">'411'!$N$56</definedName>
    <definedName name="OSRRefN21_8x_0" localSheetId="85">'412'!$N$62</definedName>
    <definedName name="OSRRefN21_8x_0" localSheetId="86">'413'!$N$60:$N$63</definedName>
    <definedName name="OSRRefN21_8x_0" localSheetId="87">'414'!$N$59</definedName>
    <definedName name="OSRRefN21_8x_0" localSheetId="88">'415'!$N$61</definedName>
    <definedName name="OSRRefN21_8x_0" localSheetId="89">'418'!$N$60</definedName>
    <definedName name="OSRRefN21_8x_0" localSheetId="90">'420'!$N$50</definedName>
    <definedName name="OSRRefN21_8x_0" localSheetId="91">'423'!$N$55</definedName>
    <definedName name="OSRRefN21_8x_0" localSheetId="92">'424'!$N$52</definedName>
    <definedName name="OSRRefN21_8x_0" localSheetId="93">'425'!$N$57</definedName>
    <definedName name="OSRRefN21_8x_0" localSheetId="94">'430'!$N$52:$N$56</definedName>
    <definedName name="OSRRefN21_8x_0" localSheetId="95">'433'!$N$62</definedName>
    <definedName name="OSRRefN21_8x_0" localSheetId="96">'435'!$N$45</definedName>
    <definedName name="OSRRefN21_8x_0" localSheetId="97">'444'!$N$60</definedName>
    <definedName name="OSRRefN21_8x_0" localSheetId="98">'445'!$N$44:$N$45</definedName>
    <definedName name="OSRRefN21_8x_0" localSheetId="99">'450'!$N$61</definedName>
    <definedName name="OSRRefN21_8x_0" localSheetId="41">'491'!$N$76</definedName>
    <definedName name="OSRRefN21_8x_0" localSheetId="44">'492'!$N$65</definedName>
    <definedName name="OSRRefN21_8x_0" localSheetId="101">'501'!$N$55</definedName>
    <definedName name="OSRRefN21_8x_0" localSheetId="8">'Div 2'!$N$57</definedName>
    <definedName name="OSRRefN21_8x_0" localSheetId="11">'Div 3'!$N$250</definedName>
    <definedName name="OSRRefN21_8x_0" localSheetId="14">'Div 4'!$N$77</definedName>
    <definedName name="OSRRefN21_8x_0" localSheetId="47">'Div 5'!$N$55</definedName>
    <definedName name="OSRRefN21_8x_0" localSheetId="50">'Div 6'!$N$99</definedName>
    <definedName name="OSRRefN21_8x_0" localSheetId="2">Summary!$N$286</definedName>
    <definedName name="OSRRefN21_9x_0" localSheetId="55">'201'!$N$56</definedName>
    <definedName name="OSRRefN21_9x_0" localSheetId="56">'202'!$N$56:$N$57</definedName>
    <definedName name="OSRRefN21_9x_0" localSheetId="57">'203'!$N$56:$N$58</definedName>
    <definedName name="OSRRefN21_9x_0" localSheetId="58">'204'!$N$60:$N$61</definedName>
    <definedName name="OSRRefN21_9x_0" localSheetId="60">'206'!$N$56:$N$57</definedName>
    <definedName name="OSRRefN21_9x_0" localSheetId="17">'300'!$N$247</definedName>
    <definedName name="OSRRefN21_9x_0" localSheetId="20">'300 &amp; 317'!$N$272</definedName>
    <definedName name="OSRRefN21_9x_0" localSheetId="61">'301'!$N$61</definedName>
    <definedName name="OSRRefN21_9x_0" localSheetId="62">'306'!$N$61</definedName>
    <definedName name="OSRRefN21_9x_0" localSheetId="63">'307'!$N$137:$N$160</definedName>
    <definedName name="OSRRefN21_9x_0" localSheetId="29">'308'!$N$140</definedName>
    <definedName name="OSRRefN21_9x_0" localSheetId="64">'309'!$N$60</definedName>
    <definedName name="OSRRefN21_9x_0" localSheetId="23">'310'!$N$75:$N$76</definedName>
    <definedName name="OSRRefN21_9x_0" localSheetId="38">'310 &amp; 491'!$N$90</definedName>
    <definedName name="OSRRefN21_9x_0" localSheetId="65">'311'!$N$118</definedName>
    <definedName name="OSRRefN21_9x_0" localSheetId="66">'312'!$N$98</definedName>
    <definedName name="OSRRefN21_9x_0" localSheetId="67">'313'!$N$71</definedName>
    <definedName name="OSRRefN21_9x_0" localSheetId="68">'314'!$N$103</definedName>
    <definedName name="OSRRefN21_9x_0" localSheetId="69">'315'!$N$94:$N$100</definedName>
    <definedName name="OSRRefN21_9x_0" localSheetId="70">'316'!$N$76:$N$78</definedName>
    <definedName name="OSRRefN21_9x_0" localSheetId="71">'317'!$N$101:$N$108</definedName>
    <definedName name="OSRRefN21_9x_0" localSheetId="73">'320'!$N$71:$N$73</definedName>
    <definedName name="OSRRefN21_9x_0" localSheetId="74">'321'!$N$62:$N$64</definedName>
    <definedName name="OSRRefN21_9x_0" localSheetId="75">'322'!$N$60</definedName>
    <definedName name="OSRRefN21_9x_0" localSheetId="78">'325'!$N$62</definedName>
    <definedName name="OSRRefN21_9x_0" localSheetId="79">'326'!$N$132:$N$133</definedName>
    <definedName name="OSRRefN21_9x_0" localSheetId="26">'330'!$N$146:$N$169</definedName>
    <definedName name="OSRRefN21_9x_0" localSheetId="32">'331'!$N$143:$N$144</definedName>
    <definedName name="OSRRefN21_9x_0" localSheetId="35">'332'!$N$93:$N$96</definedName>
    <definedName name="OSRRefN21_9x_0" localSheetId="81">'335'!$N$51:$N$52</definedName>
    <definedName name="OSRRefN21_9x_0" localSheetId="82">'405'!$N$64</definedName>
    <definedName name="OSRRefN21_9x_0" localSheetId="83">'406'!$N$53</definedName>
    <definedName name="OSRRefN21_9x_0" localSheetId="84">'411'!$N$58</definedName>
    <definedName name="OSRRefN21_9x_0" localSheetId="85">'412'!$N$64</definedName>
    <definedName name="OSRRefN21_9x_0" localSheetId="86">'413'!$N$65:$N$67</definedName>
    <definedName name="OSRRefN21_9x_0" localSheetId="87">'414'!$N$61</definedName>
    <definedName name="OSRRefN21_9x_0" localSheetId="88">'415'!$N$63</definedName>
    <definedName name="OSRRefN21_9x_0" localSheetId="89">'418'!$N$62</definedName>
    <definedName name="OSRRefN21_9x_0" localSheetId="91">'423'!$N$57</definedName>
    <definedName name="OSRRefN21_9x_0" localSheetId="92">'424'!$N$54:$N$55</definedName>
    <definedName name="OSRRefN21_9x_0" localSheetId="93">'425'!$N$59:$N$62</definedName>
    <definedName name="OSRRefN21_9x_0" localSheetId="94">'430'!$N$58:$N$59</definedName>
    <definedName name="OSRRefN21_9x_0" localSheetId="95">'433'!$N$64</definedName>
    <definedName name="OSRRefN21_9x_0" localSheetId="96">'435'!$N$47:$N$48</definedName>
    <definedName name="OSRRefN21_9x_0" localSheetId="97">'444'!$N$62</definedName>
    <definedName name="OSRRefN21_9x_0" localSheetId="98">'445'!$N$47</definedName>
    <definedName name="OSRRefN21_9x_0" localSheetId="99">'450'!$N$63</definedName>
    <definedName name="OSRRefN21_9x_0" localSheetId="41">'491'!$N$78</definedName>
    <definedName name="OSRRefN21_9x_0" localSheetId="44">'492'!$N$67</definedName>
    <definedName name="OSRRefN21_9x_0" localSheetId="101">'501'!$N$57</definedName>
    <definedName name="OSRRefN21_9x_0" localSheetId="8">'Div 2'!$N$59</definedName>
    <definedName name="OSRRefN21_9x_0" localSheetId="11">'Div 3'!$N$252</definedName>
    <definedName name="OSRRefN21_9x_0" localSheetId="14">'Div 4'!$N$79</definedName>
    <definedName name="OSRRefN21_9x_0" localSheetId="47">'Div 5'!$N$57</definedName>
    <definedName name="OSRRefN21_9x_0" localSheetId="50">'Div 6'!$N$101:$N$108</definedName>
    <definedName name="OSRRefN21_9x_0" localSheetId="2">Summary!$N$288</definedName>
    <definedName name="OSRRefN21x_0" localSheetId="54">'200'!$N$19:$N$20,'200'!$N$22,'200'!$N$24,'200'!$N$26,'200'!$N$28,'200'!$N$30:$N$31</definedName>
    <definedName name="OSRRefN21x_0" localSheetId="55">'201'!$N$20:$N$28,'201'!$N$30:$N$39,'201'!$N$41,'201'!$N$43,'201'!$N$45,'201'!$N$47,'201'!$N$49:$N$50,'201'!$N$52,'201'!$N$54,'201'!$N$56,'201'!$N$58,'201'!$N$60,'201'!$N$62,'201'!$N$64:$N$67,'201'!$N$69:$N$71,'201'!$N$73,'201'!$N$75:$N$78,'201'!$N$80:$N$81,'201'!$N$83,'201'!$N$85:$N$86</definedName>
    <definedName name="OSRRefN21x_0" localSheetId="56">'202'!$N$20:$N$28,'202'!$N$30:$N$39,'202'!$N$41,'202'!$N$43,'202'!$N$45,'202'!$N$47,'202'!$N$49:$N$50,'202'!$N$52,'202'!$N$54,'202'!$N$56:$N$57,'202'!$N$59:$N$61,'202'!$N$63,'202'!$N$65,'202'!$N$67:$N$69,'202'!$N$71,'202'!$N$73,'202'!$N$75:$N$76</definedName>
    <definedName name="OSRRefN21x_0" localSheetId="57">'203'!$N$19:$N$28,'203'!$N$30:$N$39,'203'!$N$41,'203'!$N$43,'203'!$N$45,'203'!$N$47,'203'!$N$49,'203'!$N$51,'203'!$N$53:$N$54,'203'!$N$56:$N$58,'203'!$N$60:$N$62,'203'!$N$64:$N$65,'203'!$N$67:$N$71,'203'!$N$73,'203'!$N$75,'203'!$N$77:$N$78</definedName>
    <definedName name="OSRRefN21x_0" localSheetId="58">'204'!$N$19:$N$28,'204'!$N$30:$N$39,'204'!$N$41,'204'!$N$43:$N$44,'204'!$N$46,'204'!$N$48:$N$49,'204'!$N$51,'204'!$N$53,'204'!$N$55:$N$58,'204'!$N$60:$N$61,'204'!$N$63:$N$66,'204'!$N$68:$N$69,'204'!$N$71,'204'!$N$73:$N$74</definedName>
    <definedName name="OSRRefN21x_0" localSheetId="59">'205'!$N$19:$N$27,'205'!$N$29:$N$38,'205'!$N$40,'205'!$N$42,'205'!$N$44:$N$46,'205'!$N$48,'205'!$N$50:$N$53,'205'!$N$55,'205'!$N$57</definedName>
    <definedName name="OSRRefN21x_0" localSheetId="60">'206'!$N$19:$N$27,'206'!$N$29:$N$38,'206'!$N$40,'206'!$N$42,'206'!$N$44,'206'!$N$46,'206'!$N$48,'206'!$N$50:$N$52,'206'!$N$54,'206'!$N$56:$N$57,'206'!$N$59:$N$60,'206'!$N$62,'206'!$N$64:$N$65</definedName>
    <definedName name="OSRRefN21x_0" localSheetId="17">'300'!$N$204:$N$213,'300'!$N$215:$N$224,'300'!$N$226,'300'!$N$228:$N$230,'300'!$N$232,'300'!$N$234:$N$237,'300'!$N$239:$N$240,'300'!$N$242:$N$243,'300'!$N$245,'300'!$N$247,'300'!$N$249:$N$250,'300'!$N$252:$N$254,'300'!$N$256,'300'!$N$258:$N$294,'300'!$N$296:$N$297,'300'!$N$299,'300'!$N$301:$N$304,'300'!$N$306:$N$310,'300'!$N$312:$N$316,'300'!$N$318:$N$319,'300'!$N$321:$N$329,'300'!$N$331:$N$332,'300'!$N$334,'300'!$N$336:$N$338,'300'!$N$340</definedName>
    <definedName name="OSRRefN21x_0" localSheetId="20">'300 &amp; 317'!$N$229:$N$238,'300 &amp; 317'!$N$240:$N$249,'300 &amp; 317'!$N$251,'300 &amp; 317'!$N$253:$N$255,'300 &amp; 317'!$N$257,'300 &amp; 317'!$N$259:$N$262,'300 &amp; 317'!$N$264:$N$265,'300 &amp; 317'!$N$267:$N$268,'300 &amp; 317'!$N$270,'300 &amp; 317'!$N$272,'300 &amp; 317'!$N$274:$N$275,'300 &amp; 317'!$N$277:$N$279,'300 &amp; 317'!$N$281,'300 &amp; 317'!$N$283:$N$322,'300 &amp; 317'!$N$324:$N$325,'300 &amp; 317'!$N$327,'300 &amp; 317'!$N$329:$N$332,'300 &amp; 317'!$N$334:$N$338,'300 &amp; 317'!$N$340:$N$344,'300 &amp; 317'!$N$346:$N$347,'300 &amp; 317'!$N$349:$N$357,'300 &amp; 317'!$N$359:$N$360,'300 &amp; 317'!$N$362,'300 &amp; 317'!$N$364:$N$366,'300 &amp; 317'!$N$368</definedName>
    <definedName name="OSRRefN21x_0" localSheetId="61">'301'!$N$20:$N$28,'301'!$N$30:$N$39,'301'!$N$41,'301'!$N$43:$N$45,'301'!$N$47,'301'!$N$49:$N$52,'301'!$N$54:$N$55,'301'!$N$57,'301'!$N$59,'301'!$N$61,'301'!$N$63,'301'!$N$65,'301'!$N$67,'301'!$N$69:$N$70,'301'!$N$72:$N$73,'301'!$N$75,'301'!$N$77:$N$80,'301'!$N$82,'301'!$N$84:$N$87,'301'!$N$89:$N$90,'301'!$N$92:$N$98,'301'!$N$100:$N$101,'301'!$N$103,'301'!$N$105:$N$107,'301'!$N$109</definedName>
    <definedName name="OSRRefN21x_0" localSheetId="62">'306'!$N$19:$N$28,'306'!$N$30:$N$39,'306'!$N$41,'306'!$N$43,'306'!$N$45,'306'!$N$47:$N$48,'306'!$N$50,'306'!$N$52:$N$53,'306'!$N$55:$N$59,'306'!$N$61,'306'!$N$63,'306'!$N$65,'306'!$N$67</definedName>
    <definedName name="OSRRefN21x_0" localSheetId="63">'307'!$N$100:$N$108,'307'!$N$110:$N$119,'307'!$N$121,'307'!$N$123,'307'!$N$125,'307'!$N$127:$N$128,'307'!$N$130,'307'!$N$132:$N$133,'307'!$N$135,'307'!$N$137:$N$160,'307'!$N$162,'307'!$N$164,'307'!$N$166:$N$167,'307'!$N$169:$N$170,'307'!$N$172,'307'!$N$174:$N$179,'307'!$N$181:$N$182,'307'!$N$184,'307'!$N$186</definedName>
    <definedName name="OSRRefN21x_0" localSheetId="29">'308'!$N$89:$N$98,'308'!$N$100:$N$109,'308'!$N$111,'308'!$N$113:$N$114,'308'!$N$116,'308'!$N$118,'308'!$N$120:$N$121,'308'!$N$123:$N$124,'308'!$N$126:$N$138,'308'!$N$140,'308'!$N$142:$N$144,'308'!$N$146,'308'!$N$148:$N$149,'308'!$N$151:$N$154,'308'!$N$156:$N$157,'308'!$N$159,'308'!$N$161:$N$162,'308'!$N$164</definedName>
    <definedName name="OSRRefN21x_0" localSheetId="64">'309'!$N$25:$N$33,'309'!$N$35:$N$44,'309'!$N$46,'309'!$N$48,'309'!$N$50,'309'!$N$52,'309'!$N$54,'309'!$N$56,'309'!$N$58,'309'!$N$60,'309'!$N$62:$N$63,'309'!$N$65:$N$67,'309'!$N$69,'309'!$N$71:$N$79,'309'!$N$81,'309'!$N$83,'309'!$N$85:$N$86</definedName>
    <definedName name="OSRRefN21x_0" localSheetId="23">'310'!$N$39:$N$47,'310'!$N$49:$N$58,'310'!$N$60,'310'!$N$62,'310'!$N$64,'310'!$N$66:$N$67,'310'!$N$69,'310'!$N$71,'310'!$N$73,'310'!$N$75:$N$76,'310'!$N$78:$N$79,'310'!$N$81,'310'!$N$83,'310'!$N$85,'310'!$N$87,'310'!$N$89:$N$92,'310'!$N$94:$N$95,'310'!$N$97:$N$100,'310'!$N$102:$N$103,'310'!$N$105:$N$113,'310'!$N$115:$N$116,'310'!$N$118,'310'!$N$120:$N$122,'310'!$N$124</definedName>
    <definedName name="OSRRefN21x_0" localSheetId="38">'310 &amp; 491'!$N$49:$N$58,'310 &amp; 491'!$N$60:$N$69,'310 &amp; 491'!$N$71,'310 &amp; 491'!$N$73:$N$74,'310 &amp; 491'!$N$76,'310 &amp; 491'!$N$78:$N$81,'310 &amp; 491'!$N$83:$N$84,'310 &amp; 491'!$N$86,'310 &amp; 491'!$N$88,'310 &amp; 491'!$N$90,'310 &amp; 491'!$N$92:$N$93,'310 &amp; 491'!$N$95:$N$97,'310 &amp; 491'!$N$99,'310 &amp; 491'!$N$101,'310 &amp; 491'!$N$103,'310 &amp; 491'!$N$105,'310 &amp; 491'!$N$107,'310 &amp; 491'!$N$109:$N$112,'310 &amp; 491'!$N$114:$N$115,'310 &amp; 491'!$N$117:$N$121,'310 &amp; 491'!$N$123:$N$124,'310 &amp; 491'!$N$126:$N$136,'310 &amp; 491'!$N$138:$N$139,'310 &amp; 491'!$N$141,'310 &amp; 491'!$N$143:$N$145,'310 &amp; 491'!$N$147</definedName>
    <definedName name="OSRRefN21x_0" localSheetId="65">'311'!$N$71:$N$80,'311'!$N$82:$N$91,'311'!$N$93,'311'!$N$95:$N$96,'311'!$N$98,'311'!$N$100,'311'!$N$102:$N$103,'311'!$N$105:$N$106,'311'!$N$108:$N$116,'311'!$N$118,'311'!$N$120:$N$122,'311'!$N$124,'311'!$N$126:$N$127,'311'!$N$129:$N$132,'311'!$N$134:$N$135,'311'!$N$137,'311'!$N$139:$N$140,'311'!$N$142</definedName>
    <definedName name="OSRRefN21x_0" localSheetId="66">'312'!$N$58:$N$66,'312'!$N$68:$N$72,'312'!$N$74,'312'!$N$76,'312'!$N$78:$N$79,'312'!$N$81:$N$89,'312'!$N$91:$N$92,'312'!$N$94,'312'!$N$96,'312'!$N$98</definedName>
    <definedName name="OSRRefN21x_0" localSheetId="67">'313'!$N$35:$N$43,'313'!$N$45:$N$54,'313'!$N$56,'313'!$N$58,'313'!$N$60,'313'!$N$62,'313'!$N$64,'313'!$N$66:$N$67,'313'!$N$69,'313'!$N$71,'313'!$N$73:$N$75,'313'!$N$77:$N$78,'313'!$N$80:$N$81,'313'!$N$83:$N$89,'313'!$N$91:$N$92,'313'!$N$94,'313'!$N$96:$N$97</definedName>
    <definedName name="OSRRefN21x_0" localSheetId="68">'314'!$N$61:$N$69,'314'!$N$71:$N$76,'314'!$N$78,'314'!$N$80:$N$81,'314'!$N$83,'314'!$N$85:$N$86,'314'!$N$88:$N$97,'314'!$N$99,'314'!$N$101,'314'!$N$103,'314'!$N$105:$N$108,'314'!$N$110,'314'!$N$112,'314'!$N$114</definedName>
    <definedName name="OSRRefN21x_0" localSheetId="69">'315'!$N$57:$N$65,'315'!$N$67:$N$76,'315'!$N$78,'315'!$N$80,'315'!$N$82,'315'!$N$84:$N$85,'315'!$N$87,'315'!$N$89:$N$90,'315'!$N$92,'315'!$N$94:$N$100,'315'!$N$102,'315'!$N$104:$N$106,'315'!$N$108:$N$110,'315'!$N$112:$N$113,'315'!$N$115:$N$122,'315'!$N$124,'315'!$N$126,'315'!$N$128:$N$130</definedName>
    <definedName name="OSRRefN21x_0" localSheetId="70">'316'!$N$40:$N$48,'316'!$N$50:$N$59,'316'!$N$61,'316'!$N$63,'316'!$N$65,'316'!$N$67,'316'!$N$69,'316'!$N$71:$N$72,'316'!$N$74,'316'!$N$76:$N$78,'316'!$N$80,'316'!$N$82:$N$87,'316'!$N$89,'316'!$N$91,'316'!$N$93,'316'!$N$95</definedName>
    <definedName name="OSRRefN21x_0" localSheetId="71">'317'!$N$63:$N$72,'317'!$N$74:$N$83,'317'!$N$85,'317'!$N$87,'317'!$N$89:$N$90,'317'!$N$92,'317'!$N$94,'317'!$N$96:$N$97,'317'!$N$99,'317'!$N$101:$N$108,'317'!$N$110:$N$111,'317'!$N$113,'317'!$N$115:$N$118,'317'!$N$120,'317'!$N$122,'317'!$N$124:$N$125</definedName>
    <definedName name="OSRRefN21x_0" localSheetId="72">'318'!$N$19:$N$25,'318'!$N$27:$N$30,'318'!$N$32,'318'!$N$34,'318'!$N$36,'318'!$N$38,'318'!$N$40,'318'!$N$42,'318'!$N$44</definedName>
    <definedName name="OSRRefN21x_0" localSheetId="73">'320'!$N$35:$N$42,'320'!$N$44:$N$50,'320'!$N$52,'320'!$N$54,'320'!$N$56,'320'!$N$58:$N$59,'320'!$N$61,'320'!$N$63:$N$66,'320'!$N$68:$N$69,'320'!$N$71:$N$73,'320'!$N$75,'320'!$N$77,'320'!$N$79</definedName>
    <definedName name="OSRRefN21x_0" localSheetId="74">'321'!$N$26:$N$34,'321'!$N$36:$N$45,'321'!$N$47,'321'!$N$49,'321'!$N$51,'321'!$N$53,'321'!$N$55,'321'!$N$57:$N$58,'321'!$N$60,'321'!$N$62:$N$64,'321'!$N$66:$N$67,'321'!$N$69:$N$71,'321'!$N$73:$N$74,'321'!$N$76:$N$83,'321'!$N$85:$N$86,'321'!$N$88,'321'!$N$90:$N$91,'321'!$N$93</definedName>
    <definedName name="OSRRefN21x_0" localSheetId="75">'322'!$N$25:$N$33,'322'!$N$35:$N$44,'322'!$N$46,'322'!$N$48,'322'!$N$50,'322'!$N$52,'322'!$N$54,'322'!$N$56,'322'!$N$58,'322'!$N$60,'322'!$N$62,'322'!$N$64,'322'!$N$66:$N$67,'322'!$N$69:$N$71,'322'!$N$73:$N$74,'322'!$N$76:$N$84,'322'!$N$86,'322'!$N$88,'322'!$N$90:$N$92,'322'!$N$94</definedName>
    <definedName name="OSRRefN21x_0" localSheetId="76">'323'!$N$21:$N$27,'323'!$N$29:$N$31,'323'!$N$33,'323'!$N$35,'323'!$N$37,'323'!$N$39,'323'!$N$41,'323'!$N$43:$N$45</definedName>
    <definedName name="OSRRefN21x_0" localSheetId="77">'324'!$N$26:$N$33,'324'!$N$35:$N$44,'324'!$N$46,'324'!$N$48</definedName>
    <definedName name="OSRRefN21x_0" localSheetId="78">'325'!$N$26:$N$34,'325'!$N$36:$N$45,'325'!$N$47,'325'!$N$49,'325'!$N$51,'325'!$N$53:$N$54,'325'!$N$56,'325'!$N$58,'325'!$N$60,'325'!$N$62,'325'!$N$64,'325'!$N$66,'325'!$N$68:$N$71,'325'!$N$73:$N$76,'325'!$N$78:$N$79,'325'!$N$81:$N$88,'325'!$N$90:$N$91,'325'!$N$93,'325'!$N$95,'325'!$N$97</definedName>
    <definedName name="OSRRefN21x_0" localSheetId="79">'326'!$N$94:$N$102,'326'!$N$104:$N$113,'326'!$N$115,'326'!$N$117,'326'!$N$119,'326'!$N$121:$N$122,'326'!$N$124:$N$125,'326'!$N$127,'326'!$N$129:$N$130,'326'!$N$132:$N$133,'326'!$N$135,'326'!$N$137:$N$157,'326'!$N$159,'326'!$N$161,'326'!$N$163:$N$165,'326'!$N$167:$N$169,'326'!$N$171:$N$172,'326'!$N$174:$N$181,'326'!$N$183:$N$184,'326'!$N$186,'326'!$N$188:$N$190,'326'!$N$192</definedName>
    <definedName name="OSRRefN21x_0" localSheetId="80">'327'!$N$25,'327'!$N$27,'327'!$N$29</definedName>
    <definedName name="OSRRefN21x_0" localSheetId="26">'330'!$N$108:$N$117,'330'!$N$119:$N$128,'330'!$N$130,'330'!$N$132,'330'!$N$134,'330'!$N$136:$N$137,'330'!$N$139,'330'!$N$141:$N$142,'330'!$N$144,'330'!$N$146:$N$169,'330'!$N$171,'330'!$N$173,'330'!$N$175:$N$176,'330'!$N$178:$N$179,'330'!$N$181,'330'!$N$183:$N$189,'330'!$N$191:$N$192,'330'!$N$194,'330'!$N$196</definedName>
    <definedName name="OSRRefN21x_0" localSheetId="32">'331'!$N$105:$N$113,'331'!$N$115:$N$124,'331'!$N$126,'331'!$N$128,'331'!$N$130,'331'!$N$132:$N$133,'331'!$N$135:$N$136,'331'!$N$138,'331'!$N$140:$N$141,'331'!$N$143:$N$144,'331'!$N$146,'331'!$N$148:$N$168,'331'!$N$170,'331'!$N$172,'331'!$N$174:$N$177,'331'!$N$179:$N$181,'331'!$N$183:$N$185,'331'!$N$187:$N$188,'331'!$N$190:$N$198,'331'!$N$200:$N$201,'331'!$N$203,'331'!$N$205:$N$207,'331'!$N$209</definedName>
    <definedName name="OSRRefN21x_0" localSheetId="35">'332'!$N$57:$N$65,'332'!$N$67:$N$76,'332'!$N$78,'332'!$N$80,'332'!$N$82,'332'!$N$84,'332'!$N$86,'332'!$N$88:$N$89,'332'!$N$91,'332'!$N$93:$N$96,'332'!$N$98:$N$100,'332'!$N$102:$N$103,'332'!$N$105:$N$110,'332'!$N$112,'332'!$N$114,'332'!$N$116,'332'!$N$118</definedName>
    <definedName name="OSRRefN21x_0" localSheetId="81">'335'!$N$19:$N$26,'335'!$N$28:$N$32,'335'!$N$34,'335'!$N$36,'335'!$N$38,'335'!$N$40:$N$41,'335'!$N$43:$N$45,'335'!$N$47,'335'!$N$49,'335'!$N$51:$N$52</definedName>
    <definedName name="OSRRefN21x_0" localSheetId="82">'405'!$N$27:$N$36,'405'!$N$38:$N$47,'405'!$N$49,'405'!$N$51,'405'!$N$53,'405'!$N$55:$N$56,'405'!$N$58,'405'!$N$60,'405'!$N$62,'405'!$N$64,'405'!$N$66:$N$68,'405'!$N$70,'405'!$N$72:$N$75,'405'!$N$77:$N$78,'405'!$N$80:$N$89,'405'!$N$91,'405'!$N$93,'405'!$N$95,'405'!$N$97</definedName>
    <definedName name="OSRRefN21x_0" localSheetId="83">'406'!$N$23:$N$30,'406'!$N$32:$N$37,'406'!$N$39,'406'!$N$41,'406'!$N$43,'406'!$N$45,'406'!$N$47,'406'!$N$49,'406'!$N$51,'406'!$N$53,'406'!$N$55:$N$57,'406'!$N$59,'406'!$N$61:$N$63,'406'!$N$65:$N$70,'406'!$N$72,'406'!$N$74,'406'!$N$76:$N$77</definedName>
    <definedName name="OSRRefN21x_0" localSheetId="84">'411'!$N$19:$N$28,'411'!$N$30:$N$39,'411'!$N$41,'411'!$N$43,'411'!$N$45,'411'!$N$47:$N$50,'411'!$N$52,'411'!$N$54,'411'!$N$56,'411'!$N$58,'411'!$N$60,'411'!$N$62,'411'!$N$64,'411'!$N$66,'411'!$N$68:$N$71,'411'!$N$73,'411'!$N$75:$N$79,'411'!$N$81:$N$82,'411'!$N$84:$N$93,'411'!$N$95,'411'!$N$97,'411'!$N$99:$N$101,'411'!$N$103</definedName>
    <definedName name="OSRRefN21x_0" localSheetId="85">'412'!$N$27:$N$36,'412'!$N$38:$N$47,'412'!$N$49,'412'!$N$51,'412'!$N$53,'412'!$N$55:$N$56,'412'!$N$58,'412'!$N$60,'412'!$N$62,'412'!$N$64,'412'!$N$66,'412'!$N$68:$N$70,'412'!$N$72,'412'!$N$74:$N$78,'412'!$N$80:$N$89,'412'!$N$91:$N$92,'412'!$N$94,'412'!$N$96:$N$97,'412'!$N$99</definedName>
    <definedName name="OSRRefN21x_0" localSheetId="86">'413'!$N$26:$N$35,'413'!$N$37:$N$46,'413'!$N$48,'413'!$N$50,'413'!$N$52,'413'!$N$54,'413'!$N$56,'413'!$N$58,'413'!$N$60:$N$63,'413'!$N$65:$N$67,'413'!$N$69:$N$78,'413'!$N$80:$N$81,'413'!$N$83,'413'!$N$85:$N$86</definedName>
    <definedName name="OSRRefN21x_0" localSheetId="87">'414'!$N$26:$N$34,'414'!$N$36:$N$45,'414'!$N$47,'414'!$N$49,'414'!$N$51,'414'!$N$53,'414'!$N$55,'414'!$N$57,'414'!$N$59,'414'!$N$61,'414'!$N$63:$N$64,'414'!$N$66,'414'!$N$68:$N$70,'414'!$N$72,'414'!$N$74:$N$82,'414'!$N$84,'414'!$N$86,'414'!$N$88</definedName>
    <definedName name="OSRRefN21x_0" localSheetId="88">'415'!$N$26:$N$35,'415'!$N$37:$N$46,'415'!$N$48,'415'!$N$50,'415'!$N$52,'415'!$N$54:$N$55,'415'!$N$57,'415'!$N$59,'415'!$N$61,'415'!$N$63,'415'!$N$65,'415'!$N$67:$N$70,'415'!$N$72,'415'!$N$74:$N$78,'415'!$N$80:$N$81,'415'!$N$83:$N$91,'415'!$N$93:$N$94,'415'!$N$96,'415'!$N$98:$N$99,'415'!$N$101</definedName>
    <definedName name="OSRRefN21x_0" localSheetId="89">'418'!$N$26:$N$34,'418'!$N$36:$N$45,'418'!$N$47,'418'!$N$49,'418'!$N$51,'418'!$N$53:$N$54,'418'!$N$56,'418'!$N$58,'418'!$N$60,'418'!$N$62,'418'!$N$64,'418'!$N$66:$N$67,'418'!$N$69:$N$72,'418'!$N$74:$N$77,'418'!$N$79:$N$80,'418'!$N$82:$N$92,'418'!$N$94:$N$95,'418'!$N$97,'418'!$N$99:$N$100,'418'!$N$102</definedName>
    <definedName name="OSRRefN21x_0" localSheetId="90">'420'!$N$23:$N$30,'420'!$N$32:$N$35,'420'!$N$37,'420'!$N$39,'420'!$N$41,'420'!$N$43,'420'!$N$45,'420'!$N$47:$N$48,'420'!$N$50</definedName>
    <definedName name="OSRRefN21x_0" localSheetId="91">'423'!$N$20:$N$28,'423'!$N$30:$N$39,'423'!$N$41,'423'!$N$43,'423'!$N$45,'423'!$N$47,'423'!$N$49,'423'!$N$51:$N$53,'423'!$N$55,'423'!$N$57,'423'!$N$59,'423'!$N$61,'423'!$N$63</definedName>
    <definedName name="OSRRefN21x_0" localSheetId="92">'424'!$N$25:$N$31,'424'!$N$33:$N$38,'424'!$N$40,'424'!$N$42,'424'!$N$44,'424'!$N$46,'424'!$N$48,'424'!$N$50,'424'!$N$52,'424'!$N$54:$N$55,'424'!$N$57,'424'!$N$59:$N$61,'424'!$N$63:$N$69,'424'!$N$71</definedName>
    <definedName name="OSRRefN21x_0" localSheetId="93">'425'!$N$26:$N$34,'425'!$N$36:$N$41,'425'!$N$43,'425'!$N$45:$N$46,'425'!$N$48,'425'!$N$50:$N$51,'425'!$N$53,'425'!$N$55,'425'!$N$57,'425'!$N$59:$N$62,'425'!$N$64,'425'!$N$66:$N$69,'425'!$N$71:$N$72,'425'!$N$74:$N$81,'425'!$N$83,'425'!$N$85,'425'!$N$87:$N$89</definedName>
    <definedName name="OSRRefN21x_0" localSheetId="94">'430'!$N$19:$N$27,'430'!$N$29:$N$38,'430'!$N$40,'430'!$N$42,'430'!$N$44,'430'!$N$46,'430'!$N$48,'430'!$N$50,'430'!$N$52:$N$56,'430'!$N$58:$N$59,'430'!$N$61,'430'!$N$63:$N$64</definedName>
    <definedName name="OSRRefN21x_0" localSheetId="95">'433'!$N$28:$N$37,'433'!$N$39:$N$48,'433'!$N$50,'433'!$N$52,'433'!$N$54,'433'!$N$56,'433'!$N$58,'433'!$N$60,'433'!$N$62,'433'!$N$64,'433'!$N$66,'433'!$N$68,'433'!$N$70,'433'!$N$72:$N$74,'433'!$N$76:$N$79,'433'!$N$81,'433'!$N$83:$N$91,'433'!$N$93,'433'!$N$95,'433'!$N$97:$N$98,'433'!$N$100</definedName>
    <definedName name="OSRRefN21x_0" localSheetId="96">'435'!$N$24:$N$26,'435'!$N$28:$N$31,'435'!$N$33,'435'!$N$35,'435'!$N$37,'435'!$N$39,'435'!$N$41,'435'!$N$43,'435'!$N$45,'435'!$N$47:$N$48,'435'!$N$50:$N$56,'435'!$N$58,'435'!$N$60,'435'!$N$62</definedName>
    <definedName name="OSRRefN21x_0" localSheetId="97">'444'!$N$26:$N$35,'444'!$N$37:$N$46,'444'!$N$48,'444'!$N$50,'444'!$N$52,'444'!$N$54,'444'!$N$56,'444'!$N$58,'444'!$N$60,'444'!$N$62,'444'!$N$64,'444'!$N$66,'444'!$N$68,'444'!$N$70:$N$73,'444'!$N$75:$N$78,'444'!$N$80:$N$81,'444'!$N$83:$N$92,'444'!$N$94:$N$95,'444'!$N$97,'444'!$N$99,'444'!$N$101</definedName>
    <definedName name="OSRRefN21x_0" localSheetId="98">'445'!$N$24:$N$26,'445'!$N$28:$N$30,'445'!$N$32,'445'!$N$34,'445'!$N$36,'445'!$N$38,'445'!$N$40,'445'!$N$42,'445'!$N$44:$N$45,'445'!$N$47,'445'!$N$49:$N$52,'445'!$N$54,'445'!$N$56,'445'!$N$58</definedName>
    <definedName name="OSRRefN21x_0" localSheetId="99">'450'!$N$26:$N$35,'450'!$N$37:$N$46,'450'!$N$48,'450'!$N$50,'450'!$N$52,'450'!$N$54:$N$55,'450'!$N$57,'450'!$N$59,'450'!$N$61,'450'!$N$63,'450'!$N$65,'450'!$N$67,'450'!$N$69:$N$71,'450'!$N$73:$N$76,'450'!$N$78,'450'!$N$80:$N$89,'450'!$N$91:$N$92,'450'!$N$94,'450'!$N$96:$N$98</definedName>
    <definedName name="OSRRefN21x_0" localSheetId="100">'455'!$N$19:$N$26,'455'!$N$28:$N$29,'455'!$N$31,'455'!$N$33</definedName>
    <definedName name="OSRRefN21x_0" localSheetId="41">'491'!$N$37:$N$46,'491'!$N$48:$N$57,'491'!$N$59,'491'!$N$61:$N$62,'491'!$N$64,'491'!$N$66:$N$69,'491'!$N$71:$N$72,'491'!$N$74,'491'!$N$76,'491'!$N$78,'491'!$N$80,'491'!$N$82:$N$83,'491'!$N$85,'491'!$N$87,'491'!$N$89,'491'!$N$91,'491'!$N$93,'491'!$N$95:$N$98,'491'!$N$100:$N$101,'491'!$N$103:$N$107,'491'!$N$109:$N$110,'491'!$N$112:$N$122,'491'!$N$124:$N$125,'491'!$N$127,'491'!$N$129:$N$131,'491'!$N$133</definedName>
    <definedName name="OSRRefN21x_0" localSheetId="44">'492'!$N$30:$N$39,'492'!$N$41:$N$50,'492'!$N$52,'492'!$N$54,'492'!$N$56,'492'!$N$58:$N$59,'492'!$N$61,'492'!$N$63,'492'!$N$65,'492'!$N$67,'492'!$N$69,'492'!$N$71,'492'!$N$73,'492'!$N$75:$N$76,'492'!$N$78,'492'!$N$80:$N$83,'492'!$N$85:$N$88,'492'!$N$90:$N$91,'492'!$N$93:$N$102,'492'!$N$104:$N$105,'492'!$N$107,'492'!$N$109:$N$111,'492'!$N$113</definedName>
    <definedName name="OSRRefN21x_0" localSheetId="101">'501'!$N$21:$N$29,'501'!$N$31:$N$40,'501'!$N$42,'501'!$N$44,'501'!$N$46,'501'!$N$48,'501'!$N$50:$N$51,'501'!$N$53,'501'!$N$55,'501'!$N$57,'501'!$N$59,'501'!$N$61:$N$64,'501'!$N$66,'501'!$N$68:$N$71,'501'!$N$73,'501'!$N$75,'501'!$N$77</definedName>
    <definedName name="OSRRefN21x_0" localSheetId="8">'Div 2'!$N$20:$N$30,'Div 2'!$N$32:$N$41,'Div 2'!$N$43,'Div 2'!$N$45,'Div 2'!$N$47,'Div 2'!$N$49,'Div 2'!$N$51:$N$52,'Div 2'!$N$54:$N$55,'Div 2'!$N$57,'Div 2'!$N$59,'Div 2'!$N$61:$N$62,'Div 2'!$N$64:$N$65,'Div 2'!$N$67:$N$68,'Div 2'!$N$70,'Div 2'!$N$72:$N$75,'Div 2'!$N$77:$N$80,'Div 2'!$N$82:$N$83,'Div 2'!$N$85:$N$86,'Div 2'!$N$88:$N$94,'Div 2'!$N$96:$N$97,'Div 2'!$N$99,'Div 2'!$N$101:$N$102</definedName>
    <definedName name="OSRRefN21x_0" localSheetId="11">'Div 3'!$N$209:$N$218,'Div 3'!$N$220:$N$229,'Div 3'!$N$231,'Div 3'!$N$233:$N$235,'Div 3'!$N$237,'Div 3'!$N$239:$N$242,'Div 3'!$N$244:$N$245,'Div 3'!$N$247:$N$248,'Div 3'!$N$250,'Div 3'!$N$252,'Div 3'!$N$254:$N$255,'Div 3'!$N$257:$N$259,'Div 3'!$N$261,'Div 3'!$N$263,'Div 3'!$N$265:$N$301,'Div 3'!$N$303:$N$304,'Div 3'!$N$306,'Div 3'!$N$308:$N$311,'Div 3'!$N$313:$N$317,'Div 3'!$N$319:$N$324,'Div 3'!$N$326:$N$327,'Div 3'!$N$329:$N$338,'Div 3'!$N$340:$N$341,'Div 3'!$N$343,'Div 3'!$N$345:$N$347,'Div 3'!$N$349</definedName>
    <definedName name="OSRRefN21x_0" localSheetId="14">'Div 4'!$N$38:$N$47,'Div 4'!$N$49:$N$58,'Div 4'!$N$60,'Div 4'!$N$62:$N$63,'Div 4'!$N$65,'Div 4'!$N$67:$N$70,'Div 4'!$N$72:$N$73,'Div 4'!$N$75,'Div 4'!$N$77,'Div 4'!$N$79,'Div 4'!$N$81,'Div 4'!$N$83:$N$84,'Div 4'!$N$86,'Div 4'!$N$88,'Div 4'!$N$90:$N$91,'Div 4'!$N$93,'Div 4'!$N$95,'Div 4'!$N$97:$N$100,'Div 4'!$N$102:$N$103,'Div 4'!$N$105:$N$109,'Div 4'!$N$111:$N$112,'Div 4'!$N$114:$N$124,'Div 4'!$N$126:$N$127,'Div 4'!$N$129,'Div 4'!$N$131:$N$133,'Div 4'!$N$135</definedName>
    <definedName name="OSRRefN21x_0" localSheetId="47">'Div 5'!$N$21:$N$29,'Div 5'!$N$31:$N$40,'Div 5'!$N$42,'Div 5'!$N$44,'Div 5'!$N$46,'Div 5'!$N$48,'Div 5'!$N$50:$N$51,'Div 5'!$N$53,'Div 5'!$N$55,'Div 5'!$N$57,'Div 5'!$N$59,'Div 5'!$N$61:$N$64,'Div 5'!$N$66,'Div 5'!$N$68:$N$71,'Div 5'!$N$73,'Div 5'!$N$75,'Div 5'!$N$77</definedName>
    <definedName name="OSRRefN21x_0" localSheetId="50">'Div 6'!$N$63:$N$72,'Div 6'!$N$74:$N$83,'Div 6'!$N$85,'Div 6'!$N$87,'Div 6'!$N$89:$N$90,'Div 6'!$N$92,'Div 6'!$N$94,'Div 6'!$N$96:$N$97,'Div 6'!$N$99,'Div 6'!$N$101:$N$108,'Div 6'!$N$110:$N$111,'Div 6'!$N$113,'Div 6'!$N$115:$N$118,'Div 6'!$N$120,'Div 6'!$N$122,'Div 6'!$N$124:$N$125</definedName>
    <definedName name="OSRRefN21x_0" localSheetId="2">Summary!$N$245:$N$254,Summary!$N$256:$N$265,Summary!$N$267,Summary!$N$269:$N$271,Summary!$N$273,Summary!$N$275:$N$278,Summary!$N$280:$N$281,Summary!$N$283:$N$284,Summary!$N$286,Summary!$N$288,Summary!$N$290:$N$291,Summary!$N$293:$N$295,Summary!$N$297,Summary!$N$299,Summary!$N$301:$N$340,Summary!$N$342:$N$343,Summary!$N$345,Summary!$N$347,Summary!$N$349:$N$352,Summary!$N$354:$N$358,Summary!$N$360:$N$365,Summary!$N$367:$N$368,Summary!$N$370:$N$380,Summary!$N$382:$N$383,Summary!$N$385,Summary!$N$387:$N$389,Summary!$N$391</definedName>
    <definedName name="OSRRefN24x_0" localSheetId="56">'202'!$N$79:$N$81</definedName>
    <definedName name="OSRRefN24x_0" localSheetId="17">'300'!$N$343:$N$358</definedName>
    <definedName name="OSRRefN24x_0" localSheetId="20">'300 &amp; 317'!$N$371:$N$390</definedName>
    <definedName name="OSRRefN24x_0" localSheetId="61">'301'!$N$112:$N$114</definedName>
    <definedName name="OSRRefN24x_0" localSheetId="63">'307'!$N$189</definedName>
    <definedName name="OSRRefN24x_0" localSheetId="29">'308'!$N$167:$N$170</definedName>
    <definedName name="OSRRefN24x_0" localSheetId="64">'309'!$N$89</definedName>
    <definedName name="OSRRefN24x_0" localSheetId="23">'310'!$N$127</definedName>
    <definedName name="OSRRefN24x_0" localSheetId="38">'310 &amp; 491'!$N$150:$N$153</definedName>
    <definedName name="OSRRefN24x_0" localSheetId="65">'311'!$N$145:$N$148</definedName>
    <definedName name="OSRRefN24x_0" localSheetId="66">'312'!$N$101</definedName>
    <definedName name="OSRRefN24x_0" localSheetId="68">'314'!$N$117</definedName>
    <definedName name="OSRRefN24x_0" localSheetId="69">'315'!$N$133:$N$135</definedName>
    <definedName name="OSRRefN24x_0" localSheetId="70">'316'!$N$98</definedName>
    <definedName name="OSRRefN24x_0" localSheetId="71">'317'!$N$128:$N$133</definedName>
    <definedName name="OSRRefN24x_0" localSheetId="73">'320'!$N$82:$N$93</definedName>
    <definedName name="OSRRefN24x_0" localSheetId="26">'330'!$N$199</definedName>
    <definedName name="OSRRefN24x_0" localSheetId="32">'331'!$N$212:$N$214</definedName>
    <definedName name="OSRRefN24x_0" localSheetId="35">'332'!$N$121:$N$133</definedName>
    <definedName name="OSRRefN24x_0" localSheetId="84">'411'!$N$106:$N$107</definedName>
    <definedName name="OSRRefN24x_0" localSheetId="86">'413'!$N$89</definedName>
    <definedName name="OSRRefN24x_0" localSheetId="88">'415'!$N$104</definedName>
    <definedName name="OSRRefN24x_0" localSheetId="89">'418'!$N$105</definedName>
    <definedName name="OSRRefN24x_0" localSheetId="91">'423'!$N$66:$N$68</definedName>
    <definedName name="OSRRefN24x_0" localSheetId="92">'424'!$N$74</definedName>
    <definedName name="OSRRefN24x_0" localSheetId="93">'425'!$N$92</definedName>
    <definedName name="OSRRefN24x_0" localSheetId="100">'455'!$N$36:$N$38</definedName>
    <definedName name="OSRRefN24x_0" localSheetId="41">'491'!$N$136:$N$139</definedName>
    <definedName name="OSRRefN24x_0" localSheetId="101">'501'!$N$80:$N$82</definedName>
    <definedName name="OSRRefN24x_0" localSheetId="8">'Div 2'!$N$105:$N$107</definedName>
    <definedName name="OSRRefN24x_0" localSheetId="11">'Div 3'!$N$352:$N$367</definedName>
    <definedName name="OSRRefN24x_0" localSheetId="14">'Div 4'!$N$138:$N$141</definedName>
    <definedName name="OSRRefN24x_0" localSheetId="47">'Div 5'!$N$80:$N$82</definedName>
    <definedName name="OSRRefN24x_0" localSheetId="50">'Div 6'!$N$128:$N$133</definedName>
    <definedName name="OSRRefN24x_0" localSheetId="2">Summary!$N$394:$N$414</definedName>
    <definedName name="OSRRefP11x_0" localSheetId="55">'201'!$P$11</definedName>
    <definedName name="OSRRefP11x_0" localSheetId="56">'202'!$P$11</definedName>
    <definedName name="OSRRefP11x_0" localSheetId="17">'300'!$P$11:$P$133</definedName>
    <definedName name="OSRRefP11x_0" localSheetId="20">'300 &amp; 317'!$P$11:$P$151</definedName>
    <definedName name="OSRRefP11x_0" localSheetId="63">'307'!$P$11:$P$60</definedName>
    <definedName name="OSRRefP11x_0" localSheetId="29">'308'!$P$11:$P$54</definedName>
    <definedName name="OSRRefP11x_0" localSheetId="64">'309'!$P$11:$P$13</definedName>
    <definedName name="OSRRefP11x_0" localSheetId="23">'310'!$P$11:$P$27</definedName>
    <definedName name="OSRRefP11x_0" localSheetId="38">'310 &amp; 491'!$P$11:$P$36</definedName>
    <definedName name="OSRRefP11x_0" localSheetId="65">'311'!$P$11:$P$43</definedName>
    <definedName name="OSRRefP11x_0" localSheetId="66">'312'!$P$11:$P$34</definedName>
    <definedName name="OSRRefP11x_0" localSheetId="67">'313'!$P$11:$P$23</definedName>
    <definedName name="OSRRefP11x_0" localSheetId="68">'314'!$P$11:$P$35</definedName>
    <definedName name="OSRRefP11x_0" localSheetId="69">'315'!$P$11:$P$32</definedName>
    <definedName name="OSRRefP11x_0" localSheetId="70">'316'!$P$11:$P$30</definedName>
    <definedName name="OSRRefP11x_0" localSheetId="71">'317'!$P$11:$P$38</definedName>
    <definedName name="OSRRefP11x_0" localSheetId="73">'320'!$P$11:$P$20</definedName>
    <definedName name="OSRRefP11x_0" localSheetId="74">'321'!$P$11:$P$14</definedName>
    <definedName name="OSRRefP11x_0" localSheetId="75">'322'!$P$11:$P$13</definedName>
    <definedName name="OSRRefP11x_0" localSheetId="76">'323'!$P$11:$P$12</definedName>
    <definedName name="OSRRefP11x_0" localSheetId="77">'324'!$P$11:$P$14</definedName>
    <definedName name="OSRRefP11x_0" localSheetId="78">'325'!$P$11:$P$14</definedName>
    <definedName name="OSRRefP11x_0" localSheetId="79">'326'!$P$11:$P$55</definedName>
    <definedName name="OSRRefP11x_0" localSheetId="80">'327'!$P$11:$P$13</definedName>
    <definedName name="OSRRefP11x_0" localSheetId="26">'330'!$P$11:$P$66</definedName>
    <definedName name="OSRRefP11x_0" localSheetId="32">'331'!$P$11:$P$61</definedName>
    <definedName name="OSRRefP11x_0" localSheetId="35">'332'!$P$11:$P$41</definedName>
    <definedName name="OSRRefP11x_0" localSheetId="82">'405'!$P$11:$P$15</definedName>
    <definedName name="OSRRefP11x_0" localSheetId="83">'406'!$P$11:$P$12</definedName>
    <definedName name="OSRRefP11x_0" localSheetId="85">'412'!$P$11:$P$14</definedName>
    <definedName name="OSRRefP11x_0" localSheetId="86">'413'!$P$11:$P$14</definedName>
    <definedName name="OSRRefP11x_0" localSheetId="87">'414'!$P$11:$P$14</definedName>
    <definedName name="OSRRefP11x_0" localSheetId="88">'415'!$P$11:$P$14</definedName>
    <definedName name="OSRRefP11x_0" localSheetId="89">'418'!$P$11:$P$14</definedName>
    <definedName name="OSRRefP11x_0" localSheetId="90">'420'!$P$11:$P$12</definedName>
    <definedName name="OSRRefP11x_0" localSheetId="92">'424'!$P$11:$P$14</definedName>
    <definedName name="OSRRefP11x_0" localSheetId="93">'425'!$P$11:$P$15</definedName>
    <definedName name="OSRRefP11x_0" localSheetId="95">'433'!$P$11:$P$16</definedName>
    <definedName name="OSRRefP11x_0" localSheetId="96">'435'!$P$11:$P$13</definedName>
    <definedName name="OSRRefP11x_0" localSheetId="97">'444'!$P$11:$P$14</definedName>
    <definedName name="OSRRefP11x_0" localSheetId="98">'445'!$P$11:$P$13</definedName>
    <definedName name="OSRRefP11x_0" localSheetId="99">'450'!$P$11:$P$14</definedName>
    <definedName name="OSRRefP11x_0" localSheetId="41">'491'!$P$11:$P$24</definedName>
    <definedName name="OSRRefP11x_0" localSheetId="44">'492'!$P$11:$P$18</definedName>
    <definedName name="OSRRefP11x_0" localSheetId="101">'501'!$P$11:$P$12</definedName>
    <definedName name="OSRRefP11x_0" localSheetId="8">'Div 2'!$P$11</definedName>
    <definedName name="OSRRefP11x_0" localSheetId="11">'Div 3'!$P$11:$P$136</definedName>
    <definedName name="OSRRefP11x_0" localSheetId="14">'Div 4'!$P$11:$P$25</definedName>
    <definedName name="OSRRefP11x_0" localSheetId="47">'Div 5'!$P$11:$P$12</definedName>
    <definedName name="OSRRefP11x_0" localSheetId="50">'Div 6'!$P$11:$P$38</definedName>
    <definedName name="OSRRefP11x_0" localSheetId="2">Summary!$P$11:$P$164</definedName>
    <definedName name="OSRRefP14x_0" localSheetId="17">'300'!$P$136:$P$197</definedName>
    <definedName name="OSRRefP14x_0" localSheetId="20">'300 &amp; 317'!$P$154:$P$222</definedName>
    <definedName name="OSRRefP14x_0" localSheetId="61">'301'!$P$13</definedName>
    <definedName name="OSRRefP14x_0" localSheetId="63">'307'!$P$63:$P$93</definedName>
    <definedName name="OSRRefP14x_0" localSheetId="29">'308'!$P$57:$P$82</definedName>
    <definedName name="OSRRefP14x_0" localSheetId="64">'309'!$P$16:$P$18</definedName>
    <definedName name="OSRRefP14x_0" localSheetId="23">'310'!$P$30:$P$32</definedName>
    <definedName name="OSRRefP14x_0" localSheetId="38">'310 &amp; 491'!$P$39:$P$42</definedName>
    <definedName name="OSRRefP14x_0" localSheetId="65">'311'!$P$46:$P$64</definedName>
    <definedName name="OSRRefP14x_0" localSheetId="66">'312'!$P$37:$P$51</definedName>
    <definedName name="OSRRefP14x_0" localSheetId="67">'313'!$P$26:$P$28</definedName>
    <definedName name="OSRRefP14x_0" localSheetId="68">'314'!$P$38:$P$54</definedName>
    <definedName name="OSRRefP14x_0" localSheetId="69">'315'!$P$35:$P$50</definedName>
    <definedName name="OSRRefP14x_0" localSheetId="70">'316'!$P$33</definedName>
    <definedName name="OSRRefP14x_0" localSheetId="71">'317'!$P$41:$P$56</definedName>
    <definedName name="OSRRefP14x_0" localSheetId="73">'320'!$P$23:$P$28</definedName>
    <definedName name="OSRRefP14x_0" localSheetId="74">'321'!$P$17:$P$19</definedName>
    <definedName name="OSRRefP14x_0" localSheetId="75">'322'!$P$16:$P$18</definedName>
    <definedName name="OSRRefP14x_0" localSheetId="77">'324'!$P$17:$P$19</definedName>
    <definedName name="OSRRefP14x_0" localSheetId="78">'325'!$P$17:$P$19</definedName>
    <definedName name="OSRRefP14x_0" localSheetId="79">'326'!$P$58:$P$87</definedName>
    <definedName name="OSRRefP14x_0" localSheetId="80">'327'!$P$16:$P$18</definedName>
    <definedName name="OSRRefP14x_0" localSheetId="26">'330'!$P$69:$P$101</definedName>
    <definedName name="OSRRefP14x_0" localSheetId="32">'331'!$P$64:$P$98</definedName>
    <definedName name="OSRRefP14x_0" localSheetId="35">'332'!$P$44:$P$50</definedName>
    <definedName name="OSRRefP14x_0" localSheetId="82">'405'!$P$18:$P$20</definedName>
    <definedName name="OSRRefP14x_0" localSheetId="83">'406'!$P$15:$P$16</definedName>
    <definedName name="OSRRefP14x_0" localSheetId="85">'412'!$P$17:$P$20</definedName>
    <definedName name="OSRRefP14x_0" localSheetId="86">'413'!$P$17:$P$19</definedName>
    <definedName name="OSRRefP14x_0" localSheetId="87">'414'!$P$17:$P$19</definedName>
    <definedName name="OSRRefP14x_0" localSheetId="88">'415'!$P$17:$P$19</definedName>
    <definedName name="OSRRefP14x_0" localSheetId="89">'418'!$P$17:$P$19</definedName>
    <definedName name="OSRRefP14x_0" localSheetId="90">'420'!$P$15:$P$16</definedName>
    <definedName name="OSRRefP14x_0" localSheetId="91">'423'!$P$13</definedName>
    <definedName name="OSRRefP14x_0" localSheetId="92">'424'!$P$17:$P$18</definedName>
    <definedName name="OSRRefP14x_0" localSheetId="93">'425'!$P$18:$P$19</definedName>
    <definedName name="OSRRefP14x_0" localSheetId="95">'433'!$P$19:$P$21</definedName>
    <definedName name="OSRRefP14x_0" localSheetId="96">'435'!$P$16:$P$17</definedName>
    <definedName name="OSRRefP14x_0" localSheetId="97">'444'!$P$17:$P$19</definedName>
    <definedName name="OSRRefP14x_0" localSheetId="98">'445'!$P$16:$P$17</definedName>
    <definedName name="OSRRefP14x_0" localSheetId="99">'450'!$P$17:$P$19</definedName>
    <definedName name="OSRRefP14x_0" localSheetId="41">'491'!$P$27:$P$30</definedName>
    <definedName name="OSRRefP14x_0" localSheetId="44">'492'!$P$21:$P$23</definedName>
    <definedName name="OSRRefP14x_0" localSheetId="11">'Div 3'!$P$139:$P$202</definedName>
    <definedName name="OSRRefP14x_0" localSheetId="14">'Div 4'!$P$28:$P$31</definedName>
    <definedName name="OSRRefP14x_0" localSheetId="50">'Div 6'!$P$41:$P$56</definedName>
    <definedName name="OSRRefP14x_0" localSheetId="2">Summary!$P$167:$P$238</definedName>
    <definedName name="OSRRefP21_0x_0" localSheetId="54">'200'!$P$19:$P$20</definedName>
    <definedName name="OSRRefP21_0x_0" localSheetId="55">'201'!$P$20:$P$28</definedName>
    <definedName name="OSRRefP21_0x_0" localSheetId="56">'202'!$P$20:$P$28</definedName>
    <definedName name="OSRRefP21_0x_0" localSheetId="57">'203'!$P$19:$P$28</definedName>
    <definedName name="OSRRefP21_0x_0" localSheetId="58">'204'!$P$19:$P$28</definedName>
    <definedName name="OSRRefP21_0x_0" localSheetId="59">'205'!$P$19:$P$27</definedName>
    <definedName name="OSRRefP21_0x_0" localSheetId="60">'206'!$P$19:$P$27</definedName>
    <definedName name="OSRRefP21_0x_0" localSheetId="17">'300'!$P$204:$P$213</definedName>
    <definedName name="OSRRefP21_0x_0" localSheetId="20">'300 &amp; 317'!$P$229:$P$238</definedName>
    <definedName name="OSRRefP21_0x_0" localSheetId="61">'301'!$P$20:$P$28</definedName>
    <definedName name="OSRRefP21_0x_0" localSheetId="62">'306'!$P$19:$P$28</definedName>
    <definedName name="OSRRefP21_0x_0" localSheetId="63">'307'!$P$100:$P$108</definedName>
    <definedName name="OSRRefP21_0x_0" localSheetId="29">'308'!$P$89:$P$98</definedName>
    <definedName name="OSRRefP21_0x_0" localSheetId="64">'309'!$P$25:$P$33</definedName>
    <definedName name="OSRRefP21_0x_0" localSheetId="23">'310'!$P$39:$P$47</definedName>
    <definedName name="OSRRefP21_0x_0" localSheetId="38">'310 &amp; 491'!$P$49:$P$58</definedName>
    <definedName name="OSRRefP21_0x_0" localSheetId="65">'311'!$P$71:$P$80</definedName>
    <definedName name="OSRRefP21_0x_0" localSheetId="66">'312'!$P$58:$P$66</definedName>
    <definedName name="OSRRefP21_0x_0" localSheetId="67">'313'!$P$35:$P$43</definedName>
    <definedName name="OSRRefP21_0x_0" localSheetId="68">'314'!$P$61:$P$69</definedName>
    <definedName name="OSRRefP21_0x_0" localSheetId="69">'315'!$P$57:$P$65</definedName>
    <definedName name="OSRRefP21_0x_0" localSheetId="70">'316'!$P$40:$P$48</definedName>
    <definedName name="OSRRefP21_0x_0" localSheetId="71">'317'!$P$63:$P$72</definedName>
    <definedName name="OSRRefP21_0x_0" localSheetId="72">'318'!$P$19:$P$25</definedName>
    <definedName name="OSRRefP21_0x_0" localSheetId="73">'320'!$P$35:$P$42</definedName>
    <definedName name="OSRRefP21_0x_0" localSheetId="74">'321'!$P$26:$P$34</definedName>
    <definedName name="OSRRefP21_0x_0" localSheetId="75">'322'!$P$25:$P$33</definedName>
    <definedName name="OSRRefP21_0x_0" localSheetId="76">'323'!$P$21:$P$27</definedName>
    <definedName name="OSRRefP21_0x_0" localSheetId="77">'324'!$P$26:$P$33</definedName>
    <definedName name="OSRRefP21_0x_0" localSheetId="78">'325'!$P$26:$P$34</definedName>
    <definedName name="OSRRefP21_0x_0" localSheetId="79">'326'!$P$94:$P$102</definedName>
    <definedName name="OSRRefP21_0x_0" localSheetId="80">'327'!$P$25</definedName>
    <definedName name="OSRRefP21_0x_0" localSheetId="26">'330'!$P$108:$P$117</definedName>
    <definedName name="OSRRefP21_0x_0" localSheetId="32">'331'!$P$105:$P$113</definedName>
    <definedName name="OSRRefP21_0x_0" localSheetId="35">'332'!$P$57:$P$65</definedName>
    <definedName name="OSRRefP21_0x_0" localSheetId="81">'335'!$P$19:$P$26</definedName>
    <definedName name="OSRRefP21_0x_0" localSheetId="82">'405'!$P$27:$P$36</definedName>
    <definedName name="OSRRefP21_0x_0" localSheetId="83">'406'!$P$23:$P$30</definedName>
    <definedName name="OSRRefP21_0x_0" localSheetId="84">'411'!$P$19:$P$28</definedName>
    <definedName name="OSRRefP21_0x_0" localSheetId="85">'412'!$P$27:$P$36</definedName>
    <definedName name="OSRRefP21_0x_0" localSheetId="86">'413'!$P$26:$P$35</definedName>
    <definedName name="OSRRefP21_0x_0" localSheetId="87">'414'!$P$26:$P$34</definedName>
    <definedName name="OSRRefP21_0x_0" localSheetId="88">'415'!$P$26:$P$35</definedName>
    <definedName name="OSRRefP21_0x_0" localSheetId="89">'418'!$P$26:$P$34</definedName>
    <definedName name="OSRRefP21_0x_0" localSheetId="90">'420'!$P$23:$P$30</definedName>
    <definedName name="OSRRefP21_0x_0" localSheetId="91">'423'!$P$20:$P$28</definedName>
    <definedName name="OSRRefP21_0x_0" localSheetId="92">'424'!$P$25:$P$31</definedName>
    <definedName name="OSRRefP21_0x_0" localSheetId="93">'425'!$P$26:$P$34</definedName>
    <definedName name="OSRRefP21_0x_0" localSheetId="94">'430'!$P$19:$P$27</definedName>
    <definedName name="OSRRefP21_0x_0" localSheetId="95">'433'!$P$28:$P$37</definedName>
    <definedName name="OSRRefP21_0x_0" localSheetId="96">'435'!$P$24:$P$26</definedName>
    <definedName name="OSRRefP21_0x_0" localSheetId="97">'444'!$P$26:$P$35</definedName>
    <definedName name="OSRRefP21_0x_0" localSheetId="98">'445'!$P$24:$P$26</definedName>
    <definedName name="OSRRefP21_0x_0" localSheetId="99">'450'!$P$26:$P$35</definedName>
    <definedName name="OSRRefP21_0x_0" localSheetId="100">'455'!$P$19:$P$26</definedName>
    <definedName name="OSRRefP21_0x_0" localSheetId="41">'491'!$P$37:$P$46</definedName>
    <definedName name="OSRRefP21_0x_0" localSheetId="44">'492'!$P$30:$P$39</definedName>
    <definedName name="OSRRefP21_0x_0" localSheetId="101">'501'!$P$21:$P$29</definedName>
    <definedName name="OSRRefP21_0x_0" localSheetId="8">'Div 2'!$P$20:$P$30</definedName>
    <definedName name="OSRRefP21_0x_0" localSheetId="11">'Div 3'!$P$209:$P$218</definedName>
    <definedName name="OSRRefP21_0x_0" localSheetId="14">'Div 4'!$P$38:$P$47</definedName>
    <definedName name="OSRRefP21_0x_0" localSheetId="47">'Div 5'!$P$21:$P$29</definedName>
    <definedName name="OSRRefP21_0x_0" localSheetId="50">'Div 6'!$P$63:$P$72</definedName>
    <definedName name="OSRRefP21_0x_0" localSheetId="2">Summary!$P$245:$P$254</definedName>
    <definedName name="OSRRefP21_10x_0" localSheetId="55">'201'!$P$58</definedName>
    <definedName name="OSRRefP21_10x_0" localSheetId="56">'202'!$P$59:$P$61</definedName>
    <definedName name="OSRRefP21_10x_0" localSheetId="57">'203'!$P$60:$P$62</definedName>
    <definedName name="OSRRefP21_10x_0" localSheetId="58">'204'!$P$63:$P$66</definedName>
    <definedName name="OSRRefP21_10x_0" localSheetId="60">'206'!$P$59:$P$60</definedName>
    <definedName name="OSRRefP21_10x_0" localSheetId="17">'300'!$P$249:$P$250</definedName>
    <definedName name="OSRRefP21_10x_0" localSheetId="20">'300 &amp; 317'!$P$274:$P$275</definedName>
    <definedName name="OSRRefP21_10x_0" localSheetId="61">'301'!$P$63</definedName>
    <definedName name="OSRRefP21_10x_0" localSheetId="62">'306'!$P$63</definedName>
    <definedName name="OSRRefP21_10x_0" localSheetId="63">'307'!$P$162</definedName>
    <definedName name="OSRRefP21_10x_0" localSheetId="29">'308'!$P$142:$P$144</definedName>
    <definedName name="OSRRefP21_10x_0" localSheetId="64">'309'!$P$62:$P$63</definedName>
    <definedName name="OSRRefP21_10x_0" localSheetId="23">'310'!$P$78:$P$79</definedName>
    <definedName name="OSRRefP21_10x_0" localSheetId="38">'310 &amp; 491'!$P$92:$P$93</definedName>
    <definedName name="OSRRefP21_10x_0" localSheetId="65">'311'!$P$120:$P$122</definedName>
    <definedName name="OSRRefP21_10x_0" localSheetId="67">'313'!$P$73:$P$75</definedName>
    <definedName name="OSRRefP21_10x_0" localSheetId="68">'314'!$P$105:$P$108</definedName>
    <definedName name="OSRRefP21_10x_0" localSheetId="69">'315'!$P$102</definedName>
    <definedName name="OSRRefP21_10x_0" localSheetId="70">'316'!$P$80</definedName>
    <definedName name="OSRRefP21_10x_0" localSheetId="71">'317'!$P$110:$P$111</definedName>
    <definedName name="OSRRefP21_10x_0" localSheetId="73">'320'!$P$75</definedName>
    <definedName name="OSRRefP21_10x_0" localSheetId="74">'321'!$P$66:$P$67</definedName>
    <definedName name="OSRRefP21_10x_0" localSheetId="75">'322'!$P$62</definedName>
    <definedName name="OSRRefP21_10x_0" localSheetId="78">'325'!$P$64</definedName>
    <definedName name="OSRRefP21_10x_0" localSheetId="79">'326'!$P$135</definedName>
    <definedName name="OSRRefP21_10x_0" localSheetId="26">'330'!$P$171</definedName>
    <definedName name="OSRRefP21_10x_0" localSheetId="32">'331'!$P$146</definedName>
    <definedName name="OSRRefP21_10x_0" localSheetId="35">'332'!$P$98:$P$100</definedName>
    <definedName name="OSRRefP21_10x_0" localSheetId="82">'405'!$P$66:$P$68</definedName>
    <definedName name="OSRRefP21_10x_0" localSheetId="83">'406'!$P$55:$P$57</definedName>
    <definedName name="OSRRefP21_10x_0" localSheetId="84">'411'!$P$60</definedName>
    <definedName name="OSRRefP21_10x_0" localSheetId="85">'412'!$P$66</definedName>
    <definedName name="OSRRefP21_10x_0" localSheetId="86">'413'!$P$69:$P$78</definedName>
    <definedName name="OSRRefP21_10x_0" localSheetId="87">'414'!$P$63:$P$64</definedName>
    <definedName name="OSRRefP21_10x_0" localSheetId="88">'415'!$P$65</definedName>
    <definedName name="OSRRefP21_10x_0" localSheetId="89">'418'!$P$64</definedName>
    <definedName name="OSRRefP21_10x_0" localSheetId="91">'423'!$P$59</definedName>
    <definedName name="OSRRefP21_10x_0" localSheetId="92">'424'!$P$57</definedName>
    <definedName name="OSRRefP21_10x_0" localSheetId="93">'425'!$P$64</definedName>
    <definedName name="OSRRefP21_10x_0" localSheetId="94">'430'!$P$61</definedName>
    <definedName name="OSRRefP21_10x_0" localSheetId="95">'433'!$P$66</definedName>
    <definedName name="OSRRefP21_10x_0" localSheetId="96">'435'!$P$50:$P$56</definedName>
    <definedName name="OSRRefP21_10x_0" localSheetId="97">'444'!$P$64</definedName>
    <definedName name="OSRRefP21_10x_0" localSheetId="98">'445'!$P$49:$P$52</definedName>
    <definedName name="OSRRefP21_10x_0" localSheetId="99">'450'!$P$65</definedName>
    <definedName name="OSRRefP21_10x_0" localSheetId="41">'491'!$P$80</definedName>
    <definedName name="OSRRefP21_10x_0" localSheetId="44">'492'!$P$69</definedName>
    <definedName name="OSRRefP21_10x_0" localSheetId="101">'501'!$P$59</definedName>
    <definedName name="OSRRefP21_10x_0" localSheetId="8">'Div 2'!$P$61:$P$62</definedName>
    <definedName name="OSRRefP21_10x_0" localSheetId="11">'Div 3'!$P$254:$P$255</definedName>
    <definedName name="OSRRefP21_10x_0" localSheetId="14">'Div 4'!$P$81</definedName>
    <definedName name="OSRRefP21_10x_0" localSheetId="47">'Div 5'!$P$59</definedName>
    <definedName name="OSRRefP21_10x_0" localSheetId="50">'Div 6'!$P$110:$P$111</definedName>
    <definedName name="OSRRefP21_10x_0" localSheetId="2">Summary!$P$290:$P$291</definedName>
    <definedName name="OSRRefP21_11x_0" localSheetId="55">'201'!$P$60</definedName>
    <definedName name="OSRRefP21_11x_0" localSheetId="56">'202'!$P$63</definedName>
    <definedName name="OSRRefP21_11x_0" localSheetId="57">'203'!$P$64:$P$65</definedName>
    <definedName name="OSRRefP21_11x_0" localSheetId="58">'204'!$P$68:$P$69</definedName>
    <definedName name="OSRRefP21_11x_0" localSheetId="60">'206'!$P$62</definedName>
    <definedName name="OSRRefP21_11x_0" localSheetId="17">'300'!$P$252:$P$254</definedName>
    <definedName name="OSRRefP21_11x_0" localSheetId="20">'300 &amp; 317'!$P$277:$P$279</definedName>
    <definedName name="OSRRefP21_11x_0" localSheetId="61">'301'!$P$65</definedName>
    <definedName name="OSRRefP21_11x_0" localSheetId="62">'306'!$P$65</definedName>
    <definedName name="OSRRefP21_11x_0" localSheetId="63">'307'!$P$164</definedName>
    <definedName name="OSRRefP21_11x_0" localSheetId="29">'308'!$P$146</definedName>
    <definedName name="OSRRefP21_11x_0" localSheetId="64">'309'!$P$65:$P$67</definedName>
    <definedName name="OSRRefP21_11x_0" localSheetId="23">'310'!$P$81</definedName>
    <definedName name="OSRRefP21_11x_0" localSheetId="38">'310 &amp; 491'!$P$95:$P$97</definedName>
    <definedName name="OSRRefP21_11x_0" localSheetId="65">'311'!$P$124</definedName>
    <definedName name="OSRRefP21_11x_0" localSheetId="67">'313'!$P$77:$P$78</definedName>
    <definedName name="OSRRefP21_11x_0" localSheetId="68">'314'!$P$110</definedName>
    <definedName name="OSRRefP21_11x_0" localSheetId="69">'315'!$P$104:$P$106</definedName>
    <definedName name="OSRRefP21_11x_0" localSheetId="70">'316'!$P$82:$P$87</definedName>
    <definedName name="OSRRefP21_11x_0" localSheetId="71">'317'!$P$113</definedName>
    <definedName name="OSRRefP21_11x_0" localSheetId="73">'320'!$P$77</definedName>
    <definedName name="OSRRefP21_11x_0" localSheetId="74">'321'!$P$69:$P$71</definedName>
    <definedName name="OSRRefP21_11x_0" localSheetId="75">'322'!$P$64</definedName>
    <definedName name="OSRRefP21_11x_0" localSheetId="78">'325'!$P$66</definedName>
    <definedName name="OSRRefP21_11x_0" localSheetId="79">'326'!$P$137:$P$157</definedName>
    <definedName name="OSRRefP21_11x_0" localSheetId="26">'330'!$P$173</definedName>
    <definedName name="OSRRefP21_11x_0" localSheetId="32">'331'!$P$148:$P$168</definedName>
    <definedName name="OSRRefP21_11x_0" localSheetId="35">'332'!$P$102:$P$103</definedName>
    <definedName name="OSRRefP21_11x_0" localSheetId="82">'405'!$P$70</definedName>
    <definedName name="OSRRefP21_11x_0" localSheetId="83">'406'!$P$59</definedName>
    <definedName name="OSRRefP21_11x_0" localSheetId="84">'411'!$P$62</definedName>
    <definedName name="OSRRefP21_11x_0" localSheetId="85">'412'!$P$68:$P$70</definedName>
    <definedName name="OSRRefP21_11x_0" localSheetId="86">'413'!$P$80:$P$81</definedName>
    <definedName name="OSRRefP21_11x_0" localSheetId="87">'414'!$P$66</definedName>
    <definedName name="OSRRefP21_11x_0" localSheetId="88">'415'!$P$67:$P$70</definedName>
    <definedName name="OSRRefP21_11x_0" localSheetId="89">'418'!$P$66:$P$67</definedName>
    <definedName name="OSRRefP21_11x_0" localSheetId="91">'423'!$P$61</definedName>
    <definedName name="OSRRefP21_11x_0" localSheetId="92">'424'!$P$59:$P$61</definedName>
    <definedName name="OSRRefP21_11x_0" localSheetId="93">'425'!$P$66:$P$69</definedName>
    <definedName name="OSRRefP21_11x_0" localSheetId="94">'430'!$P$63:$P$64</definedName>
    <definedName name="OSRRefP21_11x_0" localSheetId="95">'433'!$P$68</definedName>
    <definedName name="OSRRefP21_11x_0" localSheetId="96">'435'!$P$58</definedName>
    <definedName name="OSRRefP21_11x_0" localSheetId="97">'444'!$P$66</definedName>
    <definedName name="OSRRefP21_11x_0" localSheetId="98">'445'!$P$54</definedName>
    <definedName name="OSRRefP21_11x_0" localSheetId="99">'450'!$P$67</definedName>
    <definedName name="OSRRefP21_11x_0" localSheetId="41">'491'!$P$82:$P$83</definedName>
    <definedName name="OSRRefP21_11x_0" localSheetId="44">'492'!$P$71</definedName>
    <definedName name="OSRRefP21_11x_0" localSheetId="101">'501'!$P$61:$P$64</definedName>
    <definedName name="OSRRefP21_11x_0" localSheetId="8">'Div 2'!$P$64:$P$65</definedName>
    <definedName name="OSRRefP21_11x_0" localSheetId="11">'Div 3'!$P$257:$P$259</definedName>
    <definedName name="OSRRefP21_11x_0" localSheetId="14">'Div 4'!$P$83:$P$84</definedName>
    <definedName name="OSRRefP21_11x_0" localSheetId="47">'Div 5'!$P$61:$P$64</definedName>
    <definedName name="OSRRefP21_11x_0" localSheetId="50">'Div 6'!$P$113</definedName>
    <definedName name="OSRRefP21_11x_0" localSheetId="2">Summary!$P$293:$P$295</definedName>
    <definedName name="OSRRefP21_12x_0" localSheetId="55">'201'!$P$62</definedName>
    <definedName name="OSRRefP21_12x_0" localSheetId="56">'202'!$P$65</definedName>
    <definedName name="OSRRefP21_12x_0" localSheetId="57">'203'!$P$67:$P$71</definedName>
    <definedName name="OSRRefP21_12x_0" localSheetId="58">'204'!$P$71</definedName>
    <definedName name="OSRRefP21_12x_0" localSheetId="60">'206'!$P$64:$P$65</definedName>
    <definedName name="OSRRefP21_12x_0" localSheetId="17">'300'!$P$256</definedName>
    <definedName name="OSRRefP21_12x_0" localSheetId="20">'300 &amp; 317'!$P$281</definedName>
    <definedName name="OSRRefP21_12x_0" localSheetId="61">'301'!$P$67</definedName>
    <definedName name="OSRRefP21_12x_0" localSheetId="62">'306'!$P$67</definedName>
    <definedName name="OSRRefP21_12x_0" localSheetId="63">'307'!$P$166:$P$167</definedName>
    <definedName name="OSRRefP21_12x_0" localSheetId="29">'308'!$P$148:$P$149</definedName>
    <definedName name="OSRRefP21_12x_0" localSheetId="64">'309'!$P$69</definedName>
    <definedName name="OSRRefP21_12x_0" localSheetId="23">'310'!$P$83</definedName>
    <definedName name="OSRRefP21_12x_0" localSheetId="38">'310 &amp; 491'!$P$99</definedName>
    <definedName name="OSRRefP21_12x_0" localSheetId="65">'311'!$P$126:$P$127</definedName>
    <definedName name="OSRRefP21_12x_0" localSheetId="67">'313'!$P$80:$P$81</definedName>
    <definedName name="OSRRefP21_12x_0" localSheetId="68">'314'!$P$112</definedName>
    <definedName name="OSRRefP21_12x_0" localSheetId="69">'315'!$P$108:$P$110</definedName>
    <definedName name="OSRRefP21_12x_0" localSheetId="70">'316'!$P$89</definedName>
    <definedName name="OSRRefP21_12x_0" localSheetId="71">'317'!$P$115:$P$118</definedName>
    <definedName name="OSRRefP21_12x_0" localSheetId="73">'320'!$P$79</definedName>
    <definedName name="OSRRefP21_12x_0" localSheetId="74">'321'!$P$73:$P$74</definedName>
    <definedName name="OSRRefP21_12x_0" localSheetId="75">'322'!$P$66:$P$67</definedName>
    <definedName name="OSRRefP21_12x_0" localSheetId="78">'325'!$P$68:$P$71</definedName>
    <definedName name="OSRRefP21_12x_0" localSheetId="79">'326'!$P$159</definedName>
    <definedName name="OSRRefP21_12x_0" localSheetId="26">'330'!$P$175:$P$176</definedName>
    <definedName name="OSRRefP21_12x_0" localSheetId="32">'331'!$P$170</definedName>
    <definedName name="OSRRefP21_12x_0" localSheetId="35">'332'!$P$105:$P$110</definedName>
    <definedName name="OSRRefP21_12x_0" localSheetId="82">'405'!$P$72:$P$75</definedName>
    <definedName name="OSRRefP21_12x_0" localSheetId="83">'406'!$P$61:$P$63</definedName>
    <definedName name="OSRRefP21_12x_0" localSheetId="84">'411'!$P$64</definedName>
    <definedName name="OSRRefP21_12x_0" localSheetId="85">'412'!$P$72</definedName>
    <definedName name="OSRRefP21_12x_0" localSheetId="86">'413'!$P$83</definedName>
    <definedName name="OSRRefP21_12x_0" localSheetId="87">'414'!$P$68:$P$70</definedName>
    <definedName name="OSRRefP21_12x_0" localSheetId="88">'415'!$P$72</definedName>
    <definedName name="OSRRefP21_12x_0" localSheetId="89">'418'!$P$69:$P$72</definedName>
    <definedName name="OSRRefP21_12x_0" localSheetId="91">'423'!$P$63</definedName>
    <definedName name="OSRRefP21_12x_0" localSheetId="92">'424'!$P$63:$P$69</definedName>
    <definedName name="OSRRefP21_12x_0" localSheetId="93">'425'!$P$71:$P$72</definedName>
    <definedName name="OSRRefP21_12x_0" localSheetId="95">'433'!$P$70</definedName>
    <definedName name="OSRRefP21_12x_0" localSheetId="96">'435'!$P$60</definedName>
    <definedName name="OSRRefP21_12x_0" localSheetId="97">'444'!$P$68</definedName>
    <definedName name="OSRRefP21_12x_0" localSheetId="98">'445'!$P$56</definedName>
    <definedName name="OSRRefP21_12x_0" localSheetId="99">'450'!$P$69:$P$71</definedName>
    <definedName name="OSRRefP21_12x_0" localSheetId="41">'491'!$P$85</definedName>
    <definedName name="OSRRefP21_12x_0" localSheetId="44">'492'!$P$73</definedName>
    <definedName name="OSRRefP21_12x_0" localSheetId="101">'501'!$P$66</definedName>
    <definedName name="OSRRefP21_12x_0" localSheetId="8">'Div 2'!$P$67:$P$68</definedName>
    <definedName name="OSRRefP21_12x_0" localSheetId="11">'Div 3'!$P$261</definedName>
    <definedName name="OSRRefP21_12x_0" localSheetId="14">'Div 4'!$P$86</definedName>
    <definedName name="OSRRefP21_12x_0" localSheetId="47">'Div 5'!$P$66</definedName>
    <definedName name="OSRRefP21_12x_0" localSheetId="50">'Div 6'!$P$115:$P$118</definedName>
    <definedName name="OSRRefP21_12x_0" localSheetId="2">Summary!$P$297</definedName>
    <definedName name="OSRRefP21_13x_0" localSheetId="55">'201'!$P$64:$P$67</definedName>
    <definedName name="OSRRefP21_13x_0" localSheetId="56">'202'!$P$67:$P$69</definedName>
    <definedName name="OSRRefP21_13x_0" localSheetId="57">'203'!$P$73</definedName>
    <definedName name="OSRRefP21_13x_0" localSheetId="58">'204'!$P$73:$P$74</definedName>
    <definedName name="OSRRefP21_13x_0" localSheetId="17">'300'!$P$258:$P$294</definedName>
    <definedName name="OSRRefP21_13x_0" localSheetId="20">'300 &amp; 317'!$P$283:$P$322</definedName>
    <definedName name="OSRRefP21_13x_0" localSheetId="61">'301'!$P$69:$P$70</definedName>
    <definedName name="OSRRefP21_13x_0" localSheetId="63">'307'!$P$169:$P$170</definedName>
    <definedName name="OSRRefP21_13x_0" localSheetId="29">'308'!$P$151:$P$154</definedName>
    <definedName name="OSRRefP21_13x_0" localSheetId="64">'309'!$P$71:$P$79</definedName>
    <definedName name="OSRRefP21_13x_0" localSheetId="23">'310'!$P$85</definedName>
    <definedName name="OSRRefP21_13x_0" localSheetId="38">'310 &amp; 491'!$P$101</definedName>
    <definedName name="OSRRefP21_13x_0" localSheetId="65">'311'!$P$129:$P$132</definedName>
    <definedName name="OSRRefP21_13x_0" localSheetId="67">'313'!$P$83:$P$89</definedName>
    <definedName name="OSRRefP21_13x_0" localSheetId="68">'314'!$P$114</definedName>
    <definedName name="OSRRefP21_13x_0" localSheetId="69">'315'!$P$112:$P$113</definedName>
    <definedName name="OSRRefP21_13x_0" localSheetId="70">'316'!$P$91</definedName>
    <definedName name="OSRRefP21_13x_0" localSheetId="71">'317'!$P$120</definedName>
    <definedName name="OSRRefP21_13x_0" localSheetId="74">'321'!$P$76:$P$83</definedName>
    <definedName name="OSRRefP21_13x_0" localSheetId="75">'322'!$P$69:$P$71</definedName>
    <definedName name="OSRRefP21_13x_0" localSheetId="78">'325'!$P$73:$P$76</definedName>
    <definedName name="OSRRefP21_13x_0" localSheetId="79">'326'!$P$161</definedName>
    <definedName name="OSRRefP21_13x_0" localSheetId="26">'330'!$P$178:$P$179</definedName>
    <definedName name="OSRRefP21_13x_0" localSheetId="32">'331'!$P$172</definedName>
    <definedName name="OSRRefP21_13x_0" localSheetId="35">'332'!$P$112</definedName>
    <definedName name="OSRRefP21_13x_0" localSheetId="82">'405'!$P$77:$P$78</definedName>
    <definedName name="OSRRefP21_13x_0" localSheetId="83">'406'!$P$65:$P$70</definedName>
    <definedName name="OSRRefP21_13x_0" localSheetId="84">'411'!$P$66</definedName>
    <definedName name="OSRRefP21_13x_0" localSheetId="85">'412'!$P$74:$P$78</definedName>
    <definedName name="OSRRefP21_13x_0" localSheetId="86">'413'!$P$85:$P$86</definedName>
    <definedName name="OSRRefP21_13x_0" localSheetId="87">'414'!$P$72</definedName>
    <definedName name="OSRRefP21_13x_0" localSheetId="88">'415'!$P$74:$P$78</definedName>
    <definedName name="OSRRefP21_13x_0" localSheetId="89">'418'!$P$74:$P$77</definedName>
    <definedName name="OSRRefP21_13x_0" localSheetId="92">'424'!$P$71</definedName>
    <definedName name="OSRRefP21_13x_0" localSheetId="93">'425'!$P$74:$P$81</definedName>
    <definedName name="OSRRefP21_13x_0" localSheetId="95">'433'!$P$72:$P$74</definedName>
    <definedName name="OSRRefP21_13x_0" localSheetId="96">'435'!$P$62</definedName>
    <definedName name="OSRRefP21_13x_0" localSheetId="97">'444'!$P$70:$P$73</definedName>
    <definedName name="OSRRefP21_13x_0" localSheetId="98">'445'!$P$58</definedName>
    <definedName name="OSRRefP21_13x_0" localSheetId="99">'450'!$P$73:$P$76</definedName>
    <definedName name="OSRRefP21_13x_0" localSheetId="41">'491'!$P$87</definedName>
    <definedName name="OSRRefP21_13x_0" localSheetId="44">'492'!$P$75:$P$76</definedName>
    <definedName name="OSRRefP21_13x_0" localSheetId="101">'501'!$P$68:$P$71</definedName>
    <definedName name="OSRRefP21_13x_0" localSheetId="8">'Div 2'!$P$70</definedName>
    <definedName name="OSRRefP21_13x_0" localSheetId="11">'Div 3'!$P$263</definedName>
    <definedName name="OSRRefP21_13x_0" localSheetId="14">'Div 4'!$P$88</definedName>
    <definedName name="OSRRefP21_13x_0" localSheetId="47">'Div 5'!$P$68:$P$71</definedName>
    <definedName name="OSRRefP21_13x_0" localSheetId="50">'Div 6'!$P$120</definedName>
    <definedName name="OSRRefP21_13x_0" localSheetId="2">Summary!$P$299</definedName>
    <definedName name="OSRRefP21_14x_0" localSheetId="55">'201'!$P$69:$P$71</definedName>
    <definedName name="OSRRefP21_14x_0" localSheetId="56">'202'!$P$71</definedName>
    <definedName name="OSRRefP21_14x_0" localSheetId="57">'203'!$P$75</definedName>
    <definedName name="OSRRefP21_14x_0" localSheetId="17">'300'!$P$296:$P$297</definedName>
    <definedName name="OSRRefP21_14x_0" localSheetId="20">'300 &amp; 317'!$P$324:$P$325</definedName>
    <definedName name="OSRRefP21_14x_0" localSheetId="61">'301'!$P$72:$P$73</definedName>
    <definedName name="OSRRefP21_14x_0" localSheetId="63">'307'!$P$172</definedName>
    <definedName name="OSRRefP21_14x_0" localSheetId="29">'308'!$P$156:$P$157</definedName>
    <definedName name="OSRRefP21_14x_0" localSheetId="64">'309'!$P$81</definedName>
    <definedName name="OSRRefP21_14x_0" localSheetId="23">'310'!$P$87</definedName>
    <definedName name="OSRRefP21_14x_0" localSheetId="38">'310 &amp; 491'!$P$103</definedName>
    <definedName name="OSRRefP21_14x_0" localSheetId="65">'311'!$P$134:$P$135</definedName>
    <definedName name="OSRRefP21_14x_0" localSheetId="67">'313'!$P$91:$P$92</definedName>
    <definedName name="OSRRefP21_14x_0" localSheetId="69">'315'!$P$115:$P$122</definedName>
    <definedName name="OSRRefP21_14x_0" localSheetId="70">'316'!$P$93</definedName>
    <definedName name="OSRRefP21_14x_0" localSheetId="71">'317'!$P$122</definedName>
    <definedName name="OSRRefP21_14x_0" localSheetId="74">'321'!$P$85:$P$86</definedName>
    <definedName name="OSRRefP21_14x_0" localSheetId="75">'322'!$P$73:$P$74</definedName>
    <definedName name="OSRRefP21_14x_0" localSheetId="78">'325'!$P$78:$P$79</definedName>
    <definedName name="OSRRefP21_14x_0" localSheetId="79">'326'!$P$163:$P$165</definedName>
    <definedName name="OSRRefP21_14x_0" localSheetId="26">'330'!$P$181</definedName>
    <definedName name="OSRRefP21_14x_0" localSheetId="32">'331'!$P$174:$P$177</definedName>
    <definedName name="OSRRefP21_14x_0" localSheetId="35">'332'!$P$114</definedName>
    <definedName name="OSRRefP21_14x_0" localSheetId="82">'405'!$P$80:$P$89</definedName>
    <definedName name="OSRRefP21_14x_0" localSheetId="83">'406'!$P$72</definedName>
    <definedName name="OSRRefP21_14x_0" localSheetId="84">'411'!$P$68:$P$71</definedName>
    <definedName name="OSRRefP21_14x_0" localSheetId="85">'412'!$P$80:$P$89</definedName>
    <definedName name="OSRRefP21_14x_0" localSheetId="87">'414'!$P$74:$P$82</definedName>
    <definedName name="OSRRefP21_14x_0" localSheetId="88">'415'!$P$80:$P$81</definedName>
    <definedName name="OSRRefP21_14x_0" localSheetId="89">'418'!$P$79:$P$80</definedName>
    <definedName name="OSRRefP21_14x_0" localSheetId="93">'425'!$P$83</definedName>
    <definedName name="OSRRefP21_14x_0" localSheetId="95">'433'!$P$76:$P$79</definedName>
    <definedName name="OSRRefP21_14x_0" localSheetId="97">'444'!$P$75:$P$78</definedName>
    <definedName name="OSRRefP21_14x_0" localSheetId="99">'450'!$P$78</definedName>
    <definedName name="OSRRefP21_14x_0" localSheetId="41">'491'!$P$89</definedName>
    <definedName name="OSRRefP21_14x_0" localSheetId="44">'492'!$P$78</definedName>
    <definedName name="OSRRefP21_14x_0" localSheetId="101">'501'!$P$73</definedName>
    <definedName name="OSRRefP21_14x_0" localSheetId="8">'Div 2'!$P$72:$P$75</definedName>
    <definedName name="OSRRefP21_14x_0" localSheetId="11">'Div 3'!$P$265:$P$301</definedName>
    <definedName name="OSRRefP21_14x_0" localSheetId="14">'Div 4'!$P$90:$P$91</definedName>
    <definedName name="OSRRefP21_14x_0" localSheetId="47">'Div 5'!$P$73</definedName>
    <definedName name="OSRRefP21_14x_0" localSheetId="50">'Div 6'!$P$122</definedName>
    <definedName name="OSRRefP21_14x_0" localSheetId="2">Summary!$P$301:$P$340</definedName>
    <definedName name="OSRRefP21_15x_0" localSheetId="55">'201'!$P$73</definedName>
    <definedName name="OSRRefP21_15x_0" localSheetId="56">'202'!$P$73</definedName>
    <definedName name="OSRRefP21_15x_0" localSheetId="57">'203'!$P$77:$P$78</definedName>
    <definedName name="OSRRefP21_15x_0" localSheetId="17">'300'!$P$299</definedName>
    <definedName name="OSRRefP21_15x_0" localSheetId="20">'300 &amp; 317'!$P$327</definedName>
    <definedName name="OSRRefP21_15x_0" localSheetId="61">'301'!$P$75</definedName>
    <definedName name="OSRRefP21_15x_0" localSheetId="63">'307'!$P$174:$P$179</definedName>
    <definedName name="OSRRefP21_15x_0" localSheetId="29">'308'!$P$159</definedName>
    <definedName name="OSRRefP21_15x_0" localSheetId="64">'309'!$P$83</definedName>
    <definedName name="OSRRefP21_15x_0" localSheetId="23">'310'!$P$89:$P$92</definedName>
    <definedName name="OSRRefP21_15x_0" localSheetId="38">'310 &amp; 491'!$P$105</definedName>
    <definedName name="OSRRefP21_15x_0" localSheetId="65">'311'!$P$137</definedName>
    <definedName name="OSRRefP21_15x_0" localSheetId="67">'313'!$P$94</definedName>
    <definedName name="OSRRefP21_15x_0" localSheetId="69">'315'!$P$124</definedName>
    <definedName name="OSRRefP21_15x_0" localSheetId="70">'316'!$P$95</definedName>
    <definedName name="OSRRefP21_15x_0" localSheetId="71">'317'!$P$124:$P$125</definedName>
    <definedName name="OSRRefP21_15x_0" localSheetId="74">'321'!$P$88</definedName>
    <definedName name="OSRRefP21_15x_0" localSheetId="75">'322'!$P$76:$P$84</definedName>
    <definedName name="OSRRefP21_15x_0" localSheetId="78">'325'!$P$81:$P$88</definedName>
    <definedName name="OSRRefP21_15x_0" localSheetId="79">'326'!$P$167:$P$169</definedName>
    <definedName name="OSRRefP21_15x_0" localSheetId="26">'330'!$P$183:$P$189</definedName>
    <definedName name="OSRRefP21_15x_0" localSheetId="32">'331'!$P$179:$P$181</definedName>
    <definedName name="OSRRefP21_15x_0" localSheetId="35">'332'!$P$116</definedName>
    <definedName name="OSRRefP21_15x_0" localSheetId="82">'405'!$P$91</definedName>
    <definedName name="OSRRefP21_15x_0" localSheetId="83">'406'!$P$74</definedName>
    <definedName name="OSRRefP21_15x_0" localSheetId="84">'411'!$P$73</definedName>
    <definedName name="OSRRefP21_15x_0" localSheetId="85">'412'!$P$91:$P$92</definedName>
    <definedName name="OSRRefP21_15x_0" localSheetId="87">'414'!$P$84</definedName>
    <definedName name="OSRRefP21_15x_0" localSheetId="88">'415'!$P$83:$P$91</definedName>
    <definedName name="OSRRefP21_15x_0" localSheetId="89">'418'!$P$82:$P$92</definedName>
    <definedName name="OSRRefP21_15x_0" localSheetId="93">'425'!$P$85</definedName>
    <definedName name="OSRRefP21_15x_0" localSheetId="95">'433'!$P$81</definedName>
    <definedName name="OSRRefP21_15x_0" localSheetId="97">'444'!$P$80:$P$81</definedName>
    <definedName name="OSRRefP21_15x_0" localSheetId="99">'450'!$P$80:$P$89</definedName>
    <definedName name="OSRRefP21_15x_0" localSheetId="41">'491'!$P$91</definedName>
    <definedName name="OSRRefP21_15x_0" localSheetId="44">'492'!$P$80:$P$83</definedName>
    <definedName name="OSRRefP21_15x_0" localSheetId="101">'501'!$P$75</definedName>
    <definedName name="OSRRefP21_15x_0" localSheetId="8">'Div 2'!$P$77:$P$80</definedName>
    <definedName name="OSRRefP21_15x_0" localSheetId="11">'Div 3'!$P$303:$P$304</definedName>
    <definedName name="OSRRefP21_15x_0" localSheetId="14">'Div 4'!$P$93</definedName>
    <definedName name="OSRRefP21_15x_0" localSheetId="47">'Div 5'!$P$75</definedName>
    <definedName name="OSRRefP21_15x_0" localSheetId="50">'Div 6'!$P$124:$P$125</definedName>
    <definedName name="OSRRefP21_15x_0" localSheetId="2">Summary!$P$342:$P$343</definedName>
    <definedName name="OSRRefP21_16x_0" localSheetId="55">'201'!$P$75:$P$78</definedName>
    <definedName name="OSRRefP21_16x_0" localSheetId="56">'202'!$P$75:$P$76</definedName>
    <definedName name="OSRRefP21_16x_0" localSheetId="17">'300'!$P$301:$P$304</definedName>
    <definedName name="OSRRefP21_16x_0" localSheetId="20">'300 &amp; 317'!$P$329:$P$332</definedName>
    <definedName name="OSRRefP21_16x_0" localSheetId="61">'301'!$P$77:$P$80</definedName>
    <definedName name="OSRRefP21_16x_0" localSheetId="63">'307'!$P$181:$P$182</definedName>
    <definedName name="OSRRefP21_16x_0" localSheetId="29">'308'!$P$161:$P$162</definedName>
    <definedName name="OSRRefP21_16x_0" localSheetId="64">'309'!$P$85:$P$86</definedName>
    <definedName name="OSRRefP21_16x_0" localSheetId="23">'310'!$P$94:$P$95</definedName>
    <definedName name="OSRRefP21_16x_0" localSheetId="38">'310 &amp; 491'!$P$107</definedName>
    <definedName name="OSRRefP21_16x_0" localSheetId="65">'311'!$P$139:$P$140</definedName>
    <definedName name="OSRRefP21_16x_0" localSheetId="67">'313'!$P$96:$P$97</definedName>
    <definedName name="OSRRefP21_16x_0" localSheetId="69">'315'!$P$126</definedName>
    <definedName name="OSRRefP21_16x_0" localSheetId="74">'321'!$P$90:$P$91</definedName>
    <definedName name="OSRRefP21_16x_0" localSheetId="75">'322'!$P$86</definedName>
    <definedName name="OSRRefP21_16x_0" localSheetId="78">'325'!$P$90:$P$91</definedName>
    <definedName name="OSRRefP21_16x_0" localSheetId="79">'326'!$P$171:$P$172</definedName>
    <definedName name="OSRRefP21_16x_0" localSheetId="26">'330'!$P$191:$P$192</definedName>
    <definedName name="OSRRefP21_16x_0" localSheetId="32">'331'!$P$183:$P$185</definedName>
    <definedName name="OSRRefP21_16x_0" localSheetId="35">'332'!$P$118</definedName>
    <definedName name="OSRRefP21_16x_0" localSheetId="82">'405'!$P$93</definedName>
    <definedName name="OSRRefP21_16x_0" localSheetId="83">'406'!$P$76:$P$77</definedName>
    <definedName name="OSRRefP21_16x_0" localSheetId="84">'411'!$P$75:$P$79</definedName>
    <definedName name="OSRRefP21_16x_0" localSheetId="85">'412'!$P$94</definedName>
    <definedName name="OSRRefP21_16x_0" localSheetId="87">'414'!$P$86</definedName>
    <definedName name="OSRRefP21_16x_0" localSheetId="88">'415'!$P$93:$P$94</definedName>
    <definedName name="OSRRefP21_16x_0" localSheetId="89">'418'!$P$94:$P$95</definedName>
    <definedName name="OSRRefP21_16x_0" localSheetId="93">'425'!$P$87:$P$89</definedName>
    <definedName name="OSRRefP21_16x_0" localSheetId="95">'433'!$P$83:$P$91</definedName>
    <definedName name="OSRRefP21_16x_0" localSheetId="97">'444'!$P$83:$P$92</definedName>
    <definedName name="OSRRefP21_16x_0" localSheetId="99">'450'!$P$91:$P$92</definedName>
    <definedName name="OSRRefP21_16x_0" localSheetId="41">'491'!$P$93</definedName>
    <definedName name="OSRRefP21_16x_0" localSheetId="44">'492'!$P$85:$P$88</definedName>
    <definedName name="OSRRefP21_16x_0" localSheetId="101">'501'!$P$77</definedName>
    <definedName name="OSRRefP21_16x_0" localSheetId="8">'Div 2'!$P$82:$P$83</definedName>
    <definedName name="OSRRefP21_16x_0" localSheetId="11">'Div 3'!$P$306</definedName>
    <definedName name="OSRRefP21_16x_0" localSheetId="14">'Div 4'!$P$95</definedName>
    <definedName name="OSRRefP21_16x_0" localSheetId="47">'Div 5'!$P$77</definedName>
    <definedName name="OSRRefP21_16x_0" localSheetId="2">Summary!$P$345</definedName>
    <definedName name="OSRRefP21_17x_0" localSheetId="55">'201'!$P$80:$P$81</definedName>
    <definedName name="OSRRefP21_17x_0" localSheetId="17">'300'!$P$306:$P$310</definedName>
    <definedName name="OSRRefP21_17x_0" localSheetId="20">'300 &amp; 317'!$P$334:$P$338</definedName>
    <definedName name="OSRRefP21_17x_0" localSheetId="61">'301'!$P$82</definedName>
    <definedName name="OSRRefP21_17x_0" localSheetId="63">'307'!$P$184</definedName>
    <definedName name="OSRRefP21_17x_0" localSheetId="29">'308'!$P$164</definedName>
    <definedName name="OSRRefP21_17x_0" localSheetId="23">'310'!$P$97:$P$100</definedName>
    <definedName name="OSRRefP21_17x_0" localSheetId="38">'310 &amp; 491'!$P$109:$P$112</definedName>
    <definedName name="OSRRefP21_17x_0" localSheetId="65">'311'!$P$142</definedName>
    <definedName name="OSRRefP21_17x_0" localSheetId="69">'315'!$P$128:$P$130</definedName>
    <definedName name="OSRRefP21_17x_0" localSheetId="74">'321'!$P$93</definedName>
    <definedName name="OSRRefP21_17x_0" localSheetId="75">'322'!$P$88</definedName>
    <definedName name="OSRRefP21_17x_0" localSheetId="78">'325'!$P$93</definedName>
    <definedName name="OSRRefP21_17x_0" localSheetId="79">'326'!$P$174:$P$181</definedName>
    <definedName name="OSRRefP21_17x_0" localSheetId="26">'330'!$P$194</definedName>
    <definedName name="OSRRefP21_17x_0" localSheetId="32">'331'!$P$187:$P$188</definedName>
    <definedName name="OSRRefP21_17x_0" localSheetId="82">'405'!$P$95</definedName>
    <definedName name="OSRRefP21_17x_0" localSheetId="84">'411'!$P$81:$P$82</definedName>
    <definedName name="OSRRefP21_17x_0" localSheetId="85">'412'!$P$96:$P$97</definedName>
    <definedName name="OSRRefP21_17x_0" localSheetId="87">'414'!$P$88</definedName>
    <definedName name="OSRRefP21_17x_0" localSheetId="88">'415'!$P$96</definedName>
    <definedName name="OSRRefP21_17x_0" localSheetId="89">'418'!$P$97</definedName>
    <definedName name="OSRRefP21_17x_0" localSheetId="95">'433'!$P$93</definedName>
    <definedName name="OSRRefP21_17x_0" localSheetId="97">'444'!$P$94:$P$95</definedName>
    <definedName name="OSRRefP21_17x_0" localSheetId="99">'450'!$P$94</definedName>
    <definedName name="OSRRefP21_17x_0" localSheetId="41">'491'!$P$95:$P$98</definedName>
    <definedName name="OSRRefP21_17x_0" localSheetId="44">'492'!$P$90:$P$91</definedName>
    <definedName name="OSRRefP21_17x_0" localSheetId="8">'Div 2'!$P$85:$P$86</definedName>
    <definedName name="OSRRefP21_17x_0" localSheetId="11">'Div 3'!$P$308:$P$311</definedName>
    <definedName name="OSRRefP21_17x_0" localSheetId="14">'Div 4'!$P$97:$P$100</definedName>
    <definedName name="OSRRefP21_17x_0" localSheetId="2">Summary!$P$347</definedName>
    <definedName name="OSRRefP21_18x_0" localSheetId="55">'201'!$P$83</definedName>
    <definedName name="OSRRefP21_18x_0" localSheetId="17">'300'!$P$312:$P$316</definedName>
    <definedName name="OSRRefP21_18x_0" localSheetId="20">'300 &amp; 317'!$P$340:$P$344</definedName>
    <definedName name="OSRRefP21_18x_0" localSheetId="61">'301'!$P$84:$P$87</definedName>
    <definedName name="OSRRefP21_18x_0" localSheetId="63">'307'!$P$186</definedName>
    <definedName name="OSRRefP21_18x_0" localSheetId="23">'310'!$P$102:$P$103</definedName>
    <definedName name="OSRRefP21_18x_0" localSheetId="38">'310 &amp; 491'!$P$114:$P$115</definedName>
    <definedName name="OSRRefP21_18x_0" localSheetId="75">'322'!$P$90:$P$92</definedName>
    <definedName name="OSRRefP21_18x_0" localSheetId="78">'325'!$P$95</definedName>
    <definedName name="OSRRefP21_18x_0" localSheetId="79">'326'!$P$183:$P$184</definedName>
    <definedName name="OSRRefP21_18x_0" localSheetId="26">'330'!$P$196</definedName>
    <definedName name="OSRRefP21_18x_0" localSheetId="32">'331'!$P$190:$P$198</definedName>
    <definedName name="OSRRefP21_18x_0" localSheetId="82">'405'!$P$97</definedName>
    <definedName name="OSRRefP21_18x_0" localSheetId="84">'411'!$P$84:$P$93</definedName>
    <definedName name="OSRRefP21_18x_0" localSheetId="85">'412'!$P$99</definedName>
    <definedName name="OSRRefP21_18x_0" localSheetId="88">'415'!$P$98:$P$99</definedName>
    <definedName name="OSRRefP21_18x_0" localSheetId="89">'418'!$P$99:$P$100</definedName>
    <definedName name="OSRRefP21_18x_0" localSheetId="95">'433'!$P$95</definedName>
    <definedName name="OSRRefP21_18x_0" localSheetId="97">'444'!$P$97</definedName>
    <definedName name="OSRRefP21_18x_0" localSheetId="99">'450'!$P$96:$P$98</definedName>
    <definedName name="OSRRefP21_18x_0" localSheetId="41">'491'!$P$100:$P$101</definedName>
    <definedName name="OSRRefP21_18x_0" localSheetId="44">'492'!$P$93:$P$102</definedName>
    <definedName name="OSRRefP21_18x_0" localSheetId="8">'Div 2'!$P$88:$P$94</definedName>
    <definedName name="OSRRefP21_18x_0" localSheetId="11">'Div 3'!$P$313:$P$317</definedName>
    <definedName name="OSRRefP21_18x_0" localSheetId="14">'Div 4'!$P$102:$P$103</definedName>
    <definedName name="OSRRefP21_18x_0" localSheetId="2">Summary!$P$349:$P$352</definedName>
    <definedName name="OSRRefP21_19x_0" localSheetId="55">'201'!$P$85:$P$86</definedName>
    <definedName name="OSRRefP21_19x_0" localSheetId="17">'300'!$P$318:$P$319</definedName>
    <definedName name="OSRRefP21_19x_0" localSheetId="20">'300 &amp; 317'!$P$346:$P$347</definedName>
    <definedName name="OSRRefP21_19x_0" localSheetId="61">'301'!$P$89:$P$90</definedName>
    <definedName name="OSRRefP21_19x_0" localSheetId="23">'310'!$P$105:$P$113</definedName>
    <definedName name="OSRRefP21_19x_0" localSheetId="38">'310 &amp; 491'!$P$117:$P$121</definedName>
    <definedName name="OSRRefP21_19x_0" localSheetId="75">'322'!$P$94</definedName>
    <definedName name="OSRRefP21_19x_0" localSheetId="78">'325'!$P$97</definedName>
    <definedName name="OSRRefP21_19x_0" localSheetId="79">'326'!$P$186</definedName>
    <definedName name="OSRRefP21_19x_0" localSheetId="32">'331'!$P$200:$P$201</definedName>
    <definedName name="OSRRefP21_19x_0" localSheetId="84">'411'!$P$95</definedName>
    <definedName name="OSRRefP21_19x_0" localSheetId="88">'415'!$P$101</definedName>
    <definedName name="OSRRefP21_19x_0" localSheetId="89">'418'!$P$102</definedName>
    <definedName name="OSRRefP21_19x_0" localSheetId="95">'433'!$P$97:$P$98</definedName>
    <definedName name="OSRRefP21_19x_0" localSheetId="97">'444'!$P$99</definedName>
    <definedName name="OSRRefP21_19x_0" localSheetId="41">'491'!$P$103:$P$107</definedName>
    <definedName name="OSRRefP21_19x_0" localSheetId="44">'492'!$P$104:$P$105</definedName>
    <definedName name="OSRRefP21_19x_0" localSheetId="8">'Div 2'!$P$96:$P$97</definedName>
    <definedName name="OSRRefP21_19x_0" localSheetId="11">'Div 3'!$P$319:$P$324</definedName>
    <definedName name="OSRRefP21_19x_0" localSheetId="14">'Div 4'!$P$105:$P$109</definedName>
    <definedName name="OSRRefP21_19x_0" localSheetId="2">Summary!$P$354:$P$358</definedName>
    <definedName name="OSRRefP21_1x_0" localSheetId="54">'200'!$P$22</definedName>
    <definedName name="OSRRefP21_1x_0" localSheetId="55">'201'!$P$30:$P$39</definedName>
    <definedName name="OSRRefP21_1x_0" localSheetId="56">'202'!$P$30:$P$39</definedName>
    <definedName name="OSRRefP21_1x_0" localSheetId="57">'203'!$P$30:$P$39</definedName>
    <definedName name="OSRRefP21_1x_0" localSheetId="58">'204'!$P$30:$P$39</definedName>
    <definedName name="OSRRefP21_1x_0" localSheetId="59">'205'!$P$29:$P$38</definedName>
    <definedName name="OSRRefP21_1x_0" localSheetId="60">'206'!$P$29:$P$38</definedName>
    <definedName name="OSRRefP21_1x_0" localSheetId="17">'300'!$P$215:$P$224</definedName>
    <definedName name="OSRRefP21_1x_0" localSheetId="20">'300 &amp; 317'!$P$240:$P$249</definedName>
    <definedName name="OSRRefP21_1x_0" localSheetId="61">'301'!$P$30:$P$39</definedName>
    <definedName name="OSRRefP21_1x_0" localSheetId="62">'306'!$P$30:$P$39</definedName>
    <definedName name="OSRRefP21_1x_0" localSheetId="63">'307'!$P$110:$P$119</definedName>
    <definedName name="OSRRefP21_1x_0" localSheetId="29">'308'!$P$100:$P$109</definedName>
    <definedName name="OSRRefP21_1x_0" localSheetId="64">'309'!$P$35:$P$44</definedName>
    <definedName name="OSRRefP21_1x_0" localSheetId="23">'310'!$P$49:$P$58</definedName>
    <definedName name="OSRRefP21_1x_0" localSheetId="38">'310 &amp; 491'!$P$60:$P$69</definedName>
    <definedName name="OSRRefP21_1x_0" localSheetId="65">'311'!$P$82:$P$91</definedName>
    <definedName name="OSRRefP21_1x_0" localSheetId="66">'312'!$P$68:$P$72</definedName>
    <definedName name="OSRRefP21_1x_0" localSheetId="67">'313'!$P$45:$P$54</definedName>
    <definedName name="OSRRefP21_1x_0" localSheetId="68">'314'!$P$71:$P$76</definedName>
    <definedName name="OSRRefP21_1x_0" localSheetId="69">'315'!$P$67:$P$76</definedName>
    <definedName name="OSRRefP21_1x_0" localSheetId="70">'316'!$P$50:$P$59</definedName>
    <definedName name="OSRRefP21_1x_0" localSheetId="71">'317'!$P$74:$P$83</definedName>
    <definedName name="OSRRefP21_1x_0" localSheetId="72">'318'!$P$27:$P$30</definedName>
    <definedName name="OSRRefP21_1x_0" localSheetId="73">'320'!$P$44:$P$50</definedName>
    <definedName name="OSRRefP21_1x_0" localSheetId="74">'321'!$P$36:$P$45</definedName>
    <definedName name="OSRRefP21_1x_0" localSheetId="75">'322'!$P$35:$P$44</definedName>
    <definedName name="OSRRefP21_1x_0" localSheetId="76">'323'!$P$29:$P$31</definedName>
    <definedName name="OSRRefP21_1x_0" localSheetId="77">'324'!$P$35:$P$44</definedName>
    <definedName name="OSRRefP21_1x_0" localSheetId="78">'325'!$P$36:$P$45</definedName>
    <definedName name="OSRRefP21_1x_0" localSheetId="79">'326'!$P$104:$P$113</definedName>
    <definedName name="OSRRefP21_1x_0" localSheetId="80">'327'!$P$27</definedName>
    <definedName name="OSRRefP21_1x_0" localSheetId="26">'330'!$P$119:$P$128</definedName>
    <definedName name="OSRRefP21_1x_0" localSheetId="32">'331'!$P$115:$P$124</definedName>
    <definedName name="OSRRefP21_1x_0" localSheetId="35">'332'!$P$67:$P$76</definedName>
    <definedName name="OSRRefP21_1x_0" localSheetId="81">'335'!$P$28:$P$32</definedName>
    <definedName name="OSRRefP21_1x_0" localSheetId="82">'405'!$P$38:$P$47</definedName>
    <definedName name="OSRRefP21_1x_0" localSheetId="83">'406'!$P$32:$P$37</definedName>
    <definedName name="OSRRefP21_1x_0" localSheetId="84">'411'!$P$30:$P$39</definedName>
    <definedName name="OSRRefP21_1x_0" localSheetId="85">'412'!$P$38:$P$47</definedName>
    <definedName name="OSRRefP21_1x_0" localSheetId="86">'413'!$P$37:$P$46</definedName>
    <definedName name="OSRRefP21_1x_0" localSheetId="87">'414'!$P$36:$P$45</definedName>
    <definedName name="OSRRefP21_1x_0" localSheetId="88">'415'!$P$37:$P$46</definedName>
    <definedName name="OSRRefP21_1x_0" localSheetId="89">'418'!$P$36:$P$45</definedName>
    <definedName name="OSRRefP21_1x_0" localSheetId="90">'420'!$P$32:$P$35</definedName>
    <definedName name="OSRRefP21_1x_0" localSheetId="91">'423'!$P$30:$P$39</definedName>
    <definedName name="OSRRefP21_1x_0" localSheetId="92">'424'!$P$33:$P$38</definedName>
    <definedName name="OSRRefP21_1x_0" localSheetId="93">'425'!$P$36:$P$41</definedName>
    <definedName name="OSRRefP21_1x_0" localSheetId="94">'430'!$P$29:$P$38</definedName>
    <definedName name="OSRRefP21_1x_0" localSheetId="95">'433'!$P$39:$P$48</definedName>
    <definedName name="OSRRefP21_1x_0" localSheetId="96">'435'!$P$28:$P$31</definedName>
    <definedName name="OSRRefP21_1x_0" localSheetId="97">'444'!$P$37:$P$46</definedName>
    <definedName name="OSRRefP21_1x_0" localSheetId="98">'445'!$P$28:$P$30</definedName>
    <definedName name="OSRRefP21_1x_0" localSheetId="99">'450'!$P$37:$P$46</definedName>
    <definedName name="OSRRefP21_1x_0" localSheetId="100">'455'!$P$28:$P$29</definedName>
    <definedName name="OSRRefP21_1x_0" localSheetId="41">'491'!$P$48:$P$57</definedName>
    <definedName name="OSRRefP21_1x_0" localSheetId="44">'492'!$P$41:$P$50</definedName>
    <definedName name="OSRRefP21_1x_0" localSheetId="101">'501'!$P$31:$P$40</definedName>
    <definedName name="OSRRefP21_1x_0" localSheetId="8">'Div 2'!$P$32:$P$41</definedName>
    <definedName name="OSRRefP21_1x_0" localSheetId="11">'Div 3'!$P$220:$P$229</definedName>
    <definedName name="OSRRefP21_1x_0" localSheetId="14">'Div 4'!$P$49:$P$58</definedName>
    <definedName name="OSRRefP21_1x_0" localSheetId="47">'Div 5'!$P$31:$P$40</definedName>
    <definedName name="OSRRefP21_1x_0" localSheetId="50">'Div 6'!$P$74:$P$83</definedName>
    <definedName name="OSRRefP21_1x_0" localSheetId="2">Summary!$P$256:$P$265</definedName>
    <definedName name="OSRRefP21_20x_0" localSheetId="17">'300'!$P$321:$P$329</definedName>
    <definedName name="OSRRefP21_20x_0" localSheetId="20">'300 &amp; 317'!$P$349:$P$357</definedName>
    <definedName name="OSRRefP21_20x_0" localSheetId="61">'301'!$P$92:$P$98</definedName>
    <definedName name="OSRRefP21_20x_0" localSheetId="23">'310'!$P$115:$P$116</definedName>
    <definedName name="OSRRefP21_20x_0" localSheetId="38">'310 &amp; 491'!$P$123:$P$124</definedName>
    <definedName name="OSRRefP21_20x_0" localSheetId="79">'326'!$P$188:$P$190</definedName>
    <definedName name="OSRRefP21_20x_0" localSheetId="32">'331'!$P$203</definedName>
    <definedName name="OSRRefP21_20x_0" localSheetId="84">'411'!$P$97</definedName>
    <definedName name="OSRRefP21_20x_0" localSheetId="95">'433'!$P$100</definedName>
    <definedName name="OSRRefP21_20x_0" localSheetId="97">'444'!$P$101</definedName>
    <definedName name="OSRRefP21_20x_0" localSheetId="41">'491'!$P$109:$P$110</definedName>
    <definedName name="OSRRefP21_20x_0" localSheetId="44">'492'!$P$107</definedName>
    <definedName name="OSRRefP21_20x_0" localSheetId="8">'Div 2'!$P$99</definedName>
    <definedName name="OSRRefP21_20x_0" localSheetId="11">'Div 3'!$P$326:$P$327</definedName>
    <definedName name="OSRRefP21_20x_0" localSheetId="14">'Div 4'!$P$111:$P$112</definedName>
    <definedName name="OSRRefP21_20x_0" localSheetId="2">Summary!$P$360:$P$365</definedName>
    <definedName name="OSRRefP21_21x_0" localSheetId="17">'300'!$P$331:$P$332</definedName>
    <definedName name="OSRRefP21_21x_0" localSheetId="20">'300 &amp; 317'!$P$359:$P$360</definedName>
    <definedName name="OSRRefP21_21x_0" localSheetId="61">'301'!$P$100:$P$101</definedName>
    <definedName name="OSRRefP21_21x_0" localSheetId="23">'310'!$P$118</definedName>
    <definedName name="OSRRefP21_21x_0" localSheetId="38">'310 &amp; 491'!$P$126:$P$136</definedName>
    <definedName name="OSRRefP21_21x_0" localSheetId="79">'326'!$P$192</definedName>
    <definedName name="OSRRefP21_21x_0" localSheetId="32">'331'!$P$205:$P$207</definedName>
    <definedName name="OSRRefP21_21x_0" localSheetId="84">'411'!$P$99:$P$101</definedName>
    <definedName name="OSRRefP21_21x_0" localSheetId="41">'491'!$P$112:$P$122</definedName>
    <definedName name="OSRRefP21_21x_0" localSheetId="44">'492'!$P$109:$P$111</definedName>
    <definedName name="OSRRefP21_21x_0" localSheetId="8">'Div 2'!$P$101:$P$102</definedName>
    <definedName name="OSRRefP21_21x_0" localSheetId="11">'Div 3'!$P$329:$P$338</definedName>
    <definedName name="OSRRefP21_21x_0" localSheetId="14">'Div 4'!$P$114:$P$124</definedName>
    <definedName name="OSRRefP21_21x_0" localSheetId="2">Summary!$P$367:$P$368</definedName>
    <definedName name="OSRRefP21_22x_0" localSheetId="17">'300'!$P$334</definedName>
    <definedName name="OSRRefP21_22x_0" localSheetId="20">'300 &amp; 317'!$P$362</definedName>
    <definedName name="OSRRefP21_22x_0" localSheetId="61">'301'!$P$103</definedName>
    <definedName name="OSRRefP21_22x_0" localSheetId="23">'310'!$P$120:$P$122</definedName>
    <definedName name="OSRRefP21_22x_0" localSheetId="38">'310 &amp; 491'!$P$138:$P$139</definedName>
    <definedName name="OSRRefP21_22x_0" localSheetId="32">'331'!$P$209</definedName>
    <definedName name="OSRRefP21_22x_0" localSheetId="84">'411'!$P$103</definedName>
    <definedName name="OSRRefP21_22x_0" localSheetId="41">'491'!$P$124:$P$125</definedName>
    <definedName name="OSRRefP21_22x_0" localSheetId="44">'492'!$P$113</definedName>
    <definedName name="OSRRefP21_22x_0" localSheetId="11">'Div 3'!$P$340:$P$341</definedName>
    <definedName name="OSRRefP21_22x_0" localSheetId="14">'Div 4'!$P$126:$P$127</definedName>
    <definedName name="OSRRefP21_22x_0" localSheetId="2">Summary!$P$370:$P$380</definedName>
    <definedName name="OSRRefP21_23x_0" localSheetId="17">'300'!$P$336:$P$338</definedName>
    <definedName name="OSRRefP21_23x_0" localSheetId="20">'300 &amp; 317'!$P$364:$P$366</definedName>
    <definedName name="OSRRefP21_23x_0" localSheetId="61">'301'!$P$105:$P$107</definedName>
    <definedName name="OSRRefP21_23x_0" localSheetId="23">'310'!$P$124</definedName>
    <definedName name="OSRRefP21_23x_0" localSheetId="38">'310 &amp; 491'!$P$141</definedName>
    <definedName name="OSRRefP21_23x_0" localSheetId="41">'491'!$P$127</definedName>
    <definedName name="OSRRefP21_23x_0" localSheetId="11">'Div 3'!$P$343</definedName>
    <definedName name="OSRRefP21_23x_0" localSheetId="14">'Div 4'!$P$129</definedName>
    <definedName name="OSRRefP21_23x_0" localSheetId="2">Summary!$P$382:$P$383</definedName>
    <definedName name="OSRRefP21_24x_0" localSheetId="17">'300'!$P$340</definedName>
    <definedName name="OSRRefP21_24x_0" localSheetId="20">'300 &amp; 317'!$P$368</definedName>
    <definedName name="OSRRefP21_24x_0" localSheetId="61">'301'!$P$109</definedName>
    <definedName name="OSRRefP21_24x_0" localSheetId="38">'310 &amp; 491'!$P$143:$P$145</definedName>
    <definedName name="OSRRefP21_24x_0" localSheetId="41">'491'!$P$129:$P$131</definedName>
    <definedName name="OSRRefP21_24x_0" localSheetId="11">'Div 3'!$P$345:$P$347</definedName>
    <definedName name="OSRRefP21_24x_0" localSheetId="14">'Div 4'!$P$131:$P$133</definedName>
    <definedName name="OSRRefP21_24x_0" localSheetId="2">Summary!$P$385</definedName>
    <definedName name="OSRRefP21_25x_0" localSheetId="38">'310 &amp; 491'!$P$147</definedName>
    <definedName name="OSRRefP21_25x_0" localSheetId="41">'491'!$P$133</definedName>
    <definedName name="OSRRefP21_25x_0" localSheetId="11">'Div 3'!$P$349</definedName>
    <definedName name="OSRRefP21_25x_0" localSheetId="14">'Div 4'!$P$135</definedName>
    <definedName name="OSRRefP21_25x_0" localSheetId="2">Summary!$P$387:$P$389</definedName>
    <definedName name="OSRRefP21_26x_0" localSheetId="2">Summary!$P$391</definedName>
    <definedName name="OSRRefP21_2x_0" localSheetId="54">'200'!$P$24</definedName>
    <definedName name="OSRRefP21_2x_0" localSheetId="55">'201'!$P$41</definedName>
    <definedName name="OSRRefP21_2x_0" localSheetId="56">'202'!$P$41</definedName>
    <definedName name="OSRRefP21_2x_0" localSheetId="57">'203'!$P$41</definedName>
    <definedName name="OSRRefP21_2x_0" localSheetId="58">'204'!$P$41</definedName>
    <definedName name="OSRRefP21_2x_0" localSheetId="59">'205'!$P$40</definedName>
    <definedName name="OSRRefP21_2x_0" localSheetId="60">'206'!$P$40</definedName>
    <definedName name="OSRRefP21_2x_0" localSheetId="17">'300'!$P$226</definedName>
    <definedName name="OSRRefP21_2x_0" localSheetId="20">'300 &amp; 317'!$P$251</definedName>
    <definedName name="OSRRefP21_2x_0" localSheetId="61">'301'!$P$41</definedName>
    <definedName name="OSRRefP21_2x_0" localSheetId="62">'306'!$P$41</definedName>
    <definedName name="OSRRefP21_2x_0" localSheetId="63">'307'!$P$121</definedName>
    <definedName name="OSRRefP21_2x_0" localSheetId="29">'308'!$P$111</definedName>
    <definedName name="OSRRefP21_2x_0" localSheetId="64">'309'!$P$46</definedName>
    <definedName name="OSRRefP21_2x_0" localSheetId="23">'310'!$P$60</definedName>
    <definedName name="OSRRefP21_2x_0" localSheetId="38">'310 &amp; 491'!$P$71</definedName>
    <definedName name="OSRRefP21_2x_0" localSheetId="65">'311'!$P$93</definedName>
    <definedName name="OSRRefP21_2x_0" localSheetId="66">'312'!$P$74</definedName>
    <definedName name="OSRRefP21_2x_0" localSheetId="67">'313'!$P$56</definedName>
    <definedName name="OSRRefP21_2x_0" localSheetId="68">'314'!$P$78</definedName>
    <definedName name="OSRRefP21_2x_0" localSheetId="69">'315'!$P$78</definedName>
    <definedName name="OSRRefP21_2x_0" localSheetId="70">'316'!$P$61</definedName>
    <definedName name="OSRRefP21_2x_0" localSheetId="71">'317'!$P$85</definedName>
    <definedName name="OSRRefP21_2x_0" localSheetId="72">'318'!$P$32</definedName>
    <definedName name="OSRRefP21_2x_0" localSheetId="73">'320'!$P$52</definedName>
    <definedName name="OSRRefP21_2x_0" localSheetId="74">'321'!$P$47</definedName>
    <definedName name="OSRRefP21_2x_0" localSheetId="75">'322'!$P$46</definedName>
    <definedName name="OSRRefP21_2x_0" localSheetId="76">'323'!$P$33</definedName>
    <definedName name="OSRRefP21_2x_0" localSheetId="77">'324'!$P$46</definedName>
    <definedName name="OSRRefP21_2x_0" localSheetId="78">'325'!$P$47</definedName>
    <definedName name="OSRRefP21_2x_0" localSheetId="79">'326'!$P$115</definedName>
    <definedName name="OSRRefP21_2x_0" localSheetId="80">'327'!$P$29</definedName>
    <definedName name="OSRRefP21_2x_0" localSheetId="26">'330'!$P$130</definedName>
    <definedName name="OSRRefP21_2x_0" localSheetId="32">'331'!$P$126</definedName>
    <definedName name="OSRRefP21_2x_0" localSheetId="35">'332'!$P$78</definedName>
    <definedName name="OSRRefP21_2x_0" localSheetId="81">'335'!$P$34</definedName>
    <definedName name="OSRRefP21_2x_0" localSheetId="82">'405'!$P$49</definedName>
    <definedName name="OSRRefP21_2x_0" localSheetId="83">'406'!$P$39</definedName>
    <definedName name="OSRRefP21_2x_0" localSheetId="84">'411'!$P$41</definedName>
    <definedName name="OSRRefP21_2x_0" localSheetId="85">'412'!$P$49</definedName>
    <definedName name="OSRRefP21_2x_0" localSheetId="86">'413'!$P$48</definedName>
    <definedName name="OSRRefP21_2x_0" localSheetId="87">'414'!$P$47</definedName>
    <definedName name="OSRRefP21_2x_0" localSheetId="88">'415'!$P$48</definedName>
    <definedName name="OSRRefP21_2x_0" localSheetId="89">'418'!$P$47</definedName>
    <definedName name="OSRRefP21_2x_0" localSheetId="90">'420'!$P$37</definedName>
    <definedName name="OSRRefP21_2x_0" localSheetId="91">'423'!$P$41</definedName>
    <definedName name="OSRRefP21_2x_0" localSheetId="92">'424'!$P$40</definedName>
    <definedName name="OSRRefP21_2x_0" localSheetId="93">'425'!$P$43</definedName>
    <definedName name="OSRRefP21_2x_0" localSheetId="94">'430'!$P$40</definedName>
    <definedName name="OSRRefP21_2x_0" localSheetId="95">'433'!$P$50</definedName>
    <definedName name="OSRRefP21_2x_0" localSheetId="96">'435'!$P$33</definedName>
    <definedName name="OSRRefP21_2x_0" localSheetId="97">'444'!$P$48</definedName>
    <definedName name="OSRRefP21_2x_0" localSheetId="98">'445'!$P$32</definedName>
    <definedName name="OSRRefP21_2x_0" localSheetId="99">'450'!$P$48</definedName>
    <definedName name="OSRRefP21_2x_0" localSheetId="100">'455'!$P$31</definedName>
    <definedName name="OSRRefP21_2x_0" localSheetId="41">'491'!$P$59</definedName>
    <definedName name="OSRRefP21_2x_0" localSheetId="44">'492'!$P$52</definedName>
    <definedName name="OSRRefP21_2x_0" localSheetId="101">'501'!$P$42</definedName>
    <definedName name="OSRRefP21_2x_0" localSheetId="8">'Div 2'!$P$43</definedName>
    <definedName name="OSRRefP21_2x_0" localSheetId="11">'Div 3'!$P$231</definedName>
    <definedName name="OSRRefP21_2x_0" localSheetId="14">'Div 4'!$P$60</definedName>
    <definedName name="OSRRefP21_2x_0" localSheetId="47">'Div 5'!$P$42</definedName>
    <definedName name="OSRRefP21_2x_0" localSheetId="50">'Div 6'!$P$85</definedName>
    <definedName name="OSRRefP21_2x_0" localSheetId="2">Summary!$P$267</definedName>
    <definedName name="OSRRefP21_3x_0" localSheetId="54">'200'!$P$26</definedName>
    <definedName name="OSRRefP21_3x_0" localSheetId="55">'201'!$P$43</definedName>
    <definedName name="OSRRefP21_3x_0" localSheetId="56">'202'!$P$43</definedName>
    <definedName name="OSRRefP21_3x_0" localSheetId="57">'203'!$P$43</definedName>
    <definedName name="OSRRefP21_3x_0" localSheetId="58">'204'!$P$43:$P$44</definedName>
    <definedName name="OSRRefP21_3x_0" localSheetId="59">'205'!$P$42</definedName>
    <definedName name="OSRRefP21_3x_0" localSheetId="60">'206'!$P$42</definedName>
    <definedName name="OSRRefP21_3x_0" localSheetId="17">'300'!$P$228:$P$230</definedName>
    <definedName name="OSRRefP21_3x_0" localSheetId="20">'300 &amp; 317'!$P$253:$P$255</definedName>
    <definedName name="OSRRefP21_3x_0" localSheetId="61">'301'!$P$43:$P$45</definedName>
    <definedName name="OSRRefP21_3x_0" localSheetId="62">'306'!$P$43</definedName>
    <definedName name="OSRRefP21_3x_0" localSheetId="63">'307'!$P$123</definedName>
    <definedName name="OSRRefP21_3x_0" localSheetId="29">'308'!$P$113:$P$114</definedName>
    <definedName name="OSRRefP21_3x_0" localSheetId="64">'309'!$P$48</definedName>
    <definedName name="OSRRefP21_3x_0" localSheetId="23">'310'!$P$62</definedName>
    <definedName name="OSRRefP21_3x_0" localSheetId="38">'310 &amp; 491'!$P$73:$P$74</definedName>
    <definedName name="OSRRefP21_3x_0" localSheetId="65">'311'!$P$95:$P$96</definedName>
    <definedName name="OSRRefP21_3x_0" localSheetId="66">'312'!$P$76</definedName>
    <definedName name="OSRRefP21_3x_0" localSheetId="67">'313'!$P$58</definedName>
    <definedName name="OSRRefP21_3x_0" localSheetId="68">'314'!$P$80:$P$81</definedName>
    <definedName name="OSRRefP21_3x_0" localSheetId="69">'315'!$P$80</definedName>
    <definedName name="OSRRefP21_3x_0" localSheetId="70">'316'!$P$63</definedName>
    <definedName name="OSRRefP21_3x_0" localSheetId="71">'317'!$P$87</definedName>
    <definedName name="OSRRefP21_3x_0" localSheetId="72">'318'!$P$34</definedName>
    <definedName name="OSRRefP21_3x_0" localSheetId="73">'320'!$P$54</definedName>
    <definedName name="OSRRefP21_3x_0" localSheetId="74">'321'!$P$49</definedName>
    <definedName name="OSRRefP21_3x_0" localSheetId="75">'322'!$P$48</definedName>
    <definedName name="OSRRefP21_3x_0" localSheetId="76">'323'!$P$35</definedName>
    <definedName name="OSRRefP21_3x_0" localSheetId="77">'324'!$P$48</definedName>
    <definedName name="OSRRefP21_3x_0" localSheetId="78">'325'!$P$49</definedName>
    <definedName name="OSRRefP21_3x_0" localSheetId="79">'326'!$P$117</definedName>
    <definedName name="OSRRefP21_3x_0" localSheetId="26">'330'!$P$132</definedName>
    <definedName name="OSRRefP21_3x_0" localSheetId="32">'331'!$P$128</definedName>
    <definedName name="OSRRefP21_3x_0" localSheetId="35">'332'!$P$80</definedName>
    <definedName name="OSRRefP21_3x_0" localSheetId="81">'335'!$P$36</definedName>
    <definedName name="OSRRefP21_3x_0" localSheetId="82">'405'!$P$51</definedName>
    <definedName name="OSRRefP21_3x_0" localSheetId="83">'406'!$P$41</definedName>
    <definedName name="OSRRefP21_3x_0" localSheetId="84">'411'!$P$43</definedName>
    <definedName name="OSRRefP21_3x_0" localSheetId="85">'412'!$P$51</definedName>
    <definedName name="OSRRefP21_3x_0" localSheetId="86">'413'!$P$50</definedName>
    <definedName name="OSRRefP21_3x_0" localSheetId="87">'414'!$P$49</definedName>
    <definedName name="OSRRefP21_3x_0" localSheetId="88">'415'!$P$50</definedName>
    <definedName name="OSRRefP21_3x_0" localSheetId="89">'418'!$P$49</definedName>
    <definedName name="OSRRefP21_3x_0" localSheetId="90">'420'!$P$39</definedName>
    <definedName name="OSRRefP21_3x_0" localSheetId="91">'423'!$P$43</definedName>
    <definedName name="OSRRefP21_3x_0" localSheetId="92">'424'!$P$42</definedName>
    <definedName name="OSRRefP21_3x_0" localSheetId="93">'425'!$P$45:$P$46</definedName>
    <definedName name="OSRRefP21_3x_0" localSheetId="94">'430'!$P$42</definedName>
    <definedName name="OSRRefP21_3x_0" localSheetId="95">'433'!$P$52</definedName>
    <definedName name="OSRRefP21_3x_0" localSheetId="96">'435'!$P$35</definedName>
    <definedName name="OSRRefP21_3x_0" localSheetId="97">'444'!$P$50</definedName>
    <definedName name="OSRRefP21_3x_0" localSheetId="98">'445'!$P$34</definedName>
    <definedName name="OSRRefP21_3x_0" localSheetId="99">'450'!$P$50</definedName>
    <definedName name="OSRRefP21_3x_0" localSheetId="100">'455'!$P$33</definedName>
    <definedName name="OSRRefP21_3x_0" localSheetId="41">'491'!$P$61:$P$62</definedName>
    <definedName name="OSRRefP21_3x_0" localSheetId="44">'492'!$P$54</definedName>
    <definedName name="OSRRefP21_3x_0" localSheetId="101">'501'!$P$44</definedName>
    <definedName name="OSRRefP21_3x_0" localSheetId="8">'Div 2'!$P$45</definedName>
    <definedName name="OSRRefP21_3x_0" localSheetId="11">'Div 3'!$P$233:$P$235</definedName>
    <definedName name="OSRRefP21_3x_0" localSheetId="14">'Div 4'!$P$62:$P$63</definedName>
    <definedName name="OSRRefP21_3x_0" localSheetId="47">'Div 5'!$P$44</definedName>
    <definedName name="OSRRefP21_3x_0" localSheetId="50">'Div 6'!$P$87</definedName>
    <definedName name="OSRRefP21_3x_0" localSheetId="2">Summary!$P$269:$P$271</definedName>
    <definedName name="OSRRefP21_4x_0" localSheetId="54">'200'!$P$28</definedName>
    <definedName name="OSRRefP21_4x_0" localSheetId="55">'201'!$P$45</definedName>
    <definedName name="OSRRefP21_4x_0" localSheetId="56">'202'!$P$45</definedName>
    <definedName name="OSRRefP21_4x_0" localSheetId="57">'203'!$P$45</definedName>
    <definedName name="OSRRefP21_4x_0" localSheetId="58">'204'!$P$46</definedName>
    <definedName name="OSRRefP21_4x_0" localSheetId="59">'205'!$P$44:$P$46</definedName>
    <definedName name="OSRRefP21_4x_0" localSheetId="60">'206'!$P$44</definedName>
    <definedName name="OSRRefP21_4x_0" localSheetId="17">'300'!$P$232</definedName>
    <definedName name="OSRRefP21_4x_0" localSheetId="20">'300 &amp; 317'!$P$257</definedName>
    <definedName name="OSRRefP21_4x_0" localSheetId="61">'301'!$P$47</definedName>
    <definedName name="OSRRefP21_4x_0" localSheetId="62">'306'!$P$45</definedName>
    <definedName name="OSRRefP21_4x_0" localSheetId="63">'307'!$P$125</definedName>
    <definedName name="OSRRefP21_4x_0" localSheetId="29">'308'!$P$116</definedName>
    <definedName name="OSRRefP21_4x_0" localSheetId="64">'309'!$P$50</definedName>
    <definedName name="OSRRefP21_4x_0" localSheetId="23">'310'!$P$64</definedName>
    <definedName name="OSRRefP21_4x_0" localSheetId="38">'310 &amp; 491'!$P$76</definedName>
    <definedName name="OSRRefP21_4x_0" localSheetId="65">'311'!$P$98</definedName>
    <definedName name="OSRRefP21_4x_0" localSheetId="66">'312'!$P$78:$P$79</definedName>
    <definedName name="OSRRefP21_4x_0" localSheetId="67">'313'!$P$60</definedName>
    <definedName name="OSRRefP21_4x_0" localSheetId="68">'314'!$P$83</definedName>
    <definedName name="OSRRefP21_4x_0" localSheetId="69">'315'!$P$82</definedName>
    <definedName name="OSRRefP21_4x_0" localSheetId="70">'316'!$P$65</definedName>
    <definedName name="OSRRefP21_4x_0" localSheetId="71">'317'!$P$89:$P$90</definedName>
    <definedName name="OSRRefP21_4x_0" localSheetId="72">'318'!$P$36</definedName>
    <definedName name="OSRRefP21_4x_0" localSheetId="73">'320'!$P$56</definedName>
    <definedName name="OSRRefP21_4x_0" localSheetId="74">'321'!$P$51</definedName>
    <definedName name="OSRRefP21_4x_0" localSheetId="75">'322'!$P$50</definedName>
    <definedName name="OSRRefP21_4x_0" localSheetId="76">'323'!$P$37</definedName>
    <definedName name="OSRRefP21_4x_0" localSheetId="78">'325'!$P$51</definedName>
    <definedName name="OSRRefP21_4x_0" localSheetId="79">'326'!$P$119</definedName>
    <definedName name="OSRRefP21_4x_0" localSheetId="26">'330'!$P$134</definedName>
    <definedName name="OSRRefP21_4x_0" localSheetId="32">'331'!$P$130</definedName>
    <definedName name="OSRRefP21_4x_0" localSheetId="35">'332'!$P$82</definedName>
    <definedName name="OSRRefP21_4x_0" localSheetId="81">'335'!$P$38</definedName>
    <definedName name="OSRRefP21_4x_0" localSheetId="82">'405'!$P$53</definedName>
    <definedName name="OSRRefP21_4x_0" localSheetId="83">'406'!$P$43</definedName>
    <definedName name="OSRRefP21_4x_0" localSheetId="84">'411'!$P$45</definedName>
    <definedName name="OSRRefP21_4x_0" localSheetId="85">'412'!$P$53</definedName>
    <definedName name="OSRRefP21_4x_0" localSheetId="86">'413'!$P$52</definedName>
    <definedName name="OSRRefP21_4x_0" localSheetId="87">'414'!$P$51</definedName>
    <definedName name="OSRRefP21_4x_0" localSheetId="88">'415'!$P$52</definedName>
    <definedName name="OSRRefP21_4x_0" localSheetId="89">'418'!$P$51</definedName>
    <definedName name="OSRRefP21_4x_0" localSheetId="90">'420'!$P$41</definedName>
    <definedName name="OSRRefP21_4x_0" localSheetId="91">'423'!$P$45</definedName>
    <definedName name="OSRRefP21_4x_0" localSheetId="92">'424'!$P$44</definedName>
    <definedName name="OSRRefP21_4x_0" localSheetId="93">'425'!$P$48</definedName>
    <definedName name="OSRRefP21_4x_0" localSheetId="94">'430'!$P$44</definedName>
    <definedName name="OSRRefP21_4x_0" localSheetId="95">'433'!$P$54</definedName>
    <definedName name="OSRRefP21_4x_0" localSheetId="96">'435'!$P$37</definedName>
    <definedName name="OSRRefP21_4x_0" localSheetId="97">'444'!$P$52</definedName>
    <definedName name="OSRRefP21_4x_0" localSheetId="98">'445'!$P$36</definedName>
    <definedName name="OSRRefP21_4x_0" localSheetId="99">'450'!$P$52</definedName>
    <definedName name="OSRRefP21_4x_0" localSheetId="41">'491'!$P$64</definedName>
    <definedName name="OSRRefP21_4x_0" localSheetId="44">'492'!$P$56</definedName>
    <definedName name="OSRRefP21_4x_0" localSheetId="101">'501'!$P$46</definedName>
    <definedName name="OSRRefP21_4x_0" localSheetId="8">'Div 2'!$P$47</definedName>
    <definedName name="OSRRefP21_4x_0" localSheetId="11">'Div 3'!$P$237</definedName>
    <definedName name="OSRRefP21_4x_0" localSheetId="14">'Div 4'!$P$65</definedName>
    <definedName name="OSRRefP21_4x_0" localSheetId="47">'Div 5'!$P$46</definedName>
    <definedName name="OSRRefP21_4x_0" localSheetId="50">'Div 6'!$P$89:$P$90</definedName>
    <definedName name="OSRRefP21_4x_0" localSheetId="2">Summary!$P$273</definedName>
    <definedName name="OSRRefP21_5x_0" localSheetId="54">'200'!$P$30:$P$31</definedName>
    <definedName name="OSRRefP21_5x_0" localSheetId="55">'201'!$P$47</definedName>
    <definedName name="OSRRefP21_5x_0" localSheetId="56">'202'!$P$47</definedName>
    <definedName name="OSRRefP21_5x_0" localSheetId="57">'203'!$P$47</definedName>
    <definedName name="OSRRefP21_5x_0" localSheetId="58">'204'!$P$48:$P$49</definedName>
    <definedName name="OSRRefP21_5x_0" localSheetId="59">'205'!$P$48</definedName>
    <definedName name="OSRRefP21_5x_0" localSheetId="60">'206'!$P$46</definedName>
    <definedName name="OSRRefP21_5x_0" localSheetId="17">'300'!$P$234:$P$237</definedName>
    <definedName name="OSRRefP21_5x_0" localSheetId="20">'300 &amp; 317'!$P$259:$P$262</definedName>
    <definedName name="OSRRefP21_5x_0" localSheetId="61">'301'!$P$49:$P$52</definedName>
    <definedName name="OSRRefP21_5x_0" localSheetId="62">'306'!$P$47:$P$48</definedName>
    <definedName name="OSRRefP21_5x_0" localSheetId="63">'307'!$P$127:$P$128</definedName>
    <definedName name="OSRRefP21_5x_0" localSheetId="29">'308'!$P$118</definedName>
    <definedName name="OSRRefP21_5x_0" localSheetId="64">'309'!$P$52</definedName>
    <definedName name="OSRRefP21_5x_0" localSheetId="23">'310'!$P$66:$P$67</definedName>
    <definedName name="OSRRefP21_5x_0" localSheetId="38">'310 &amp; 491'!$P$78:$P$81</definedName>
    <definedName name="OSRRefP21_5x_0" localSheetId="65">'311'!$P$100</definedName>
    <definedName name="OSRRefP21_5x_0" localSheetId="66">'312'!$P$81:$P$89</definedName>
    <definedName name="OSRRefP21_5x_0" localSheetId="67">'313'!$P$62</definedName>
    <definedName name="OSRRefP21_5x_0" localSheetId="68">'314'!$P$85:$P$86</definedName>
    <definedName name="OSRRefP21_5x_0" localSheetId="69">'315'!$P$84:$P$85</definedName>
    <definedName name="OSRRefP21_5x_0" localSheetId="70">'316'!$P$67</definedName>
    <definedName name="OSRRefP21_5x_0" localSheetId="71">'317'!$P$92</definedName>
    <definedName name="OSRRefP21_5x_0" localSheetId="72">'318'!$P$38</definedName>
    <definedName name="OSRRefP21_5x_0" localSheetId="73">'320'!$P$58:$P$59</definedName>
    <definedName name="OSRRefP21_5x_0" localSheetId="74">'321'!$P$53</definedName>
    <definedName name="OSRRefP21_5x_0" localSheetId="75">'322'!$P$52</definedName>
    <definedName name="OSRRefP21_5x_0" localSheetId="76">'323'!$P$39</definedName>
    <definedName name="OSRRefP21_5x_0" localSheetId="78">'325'!$P$53:$P$54</definedName>
    <definedName name="OSRRefP21_5x_0" localSheetId="79">'326'!$P$121:$P$122</definedName>
    <definedName name="OSRRefP21_5x_0" localSheetId="26">'330'!$P$136:$P$137</definedName>
    <definedName name="OSRRefP21_5x_0" localSheetId="32">'331'!$P$132:$P$133</definedName>
    <definedName name="OSRRefP21_5x_0" localSheetId="35">'332'!$P$84</definedName>
    <definedName name="OSRRefP21_5x_0" localSheetId="81">'335'!$P$40:$P$41</definedName>
    <definedName name="OSRRefP21_5x_0" localSheetId="82">'405'!$P$55:$P$56</definedName>
    <definedName name="OSRRefP21_5x_0" localSheetId="83">'406'!$P$45</definedName>
    <definedName name="OSRRefP21_5x_0" localSheetId="84">'411'!$P$47:$P$50</definedName>
    <definedName name="OSRRefP21_5x_0" localSheetId="85">'412'!$P$55:$P$56</definedName>
    <definedName name="OSRRefP21_5x_0" localSheetId="86">'413'!$P$54</definedName>
    <definedName name="OSRRefP21_5x_0" localSheetId="87">'414'!$P$53</definedName>
    <definedName name="OSRRefP21_5x_0" localSheetId="88">'415'!$P$54:$P$55</definedName>
    <definedName name="OSRRefP21_5x_0" localSheetId="89">'418'!$P$53:$P$54</definedName>
    <definedName name="OSRRefP21_5x_0" localSheetId="90">'420'!$P$43</definedName>
    <definedName name="OSRRefP21_5x_0" localSheetId="91">'423'!$P$47</definedName>
    <definedName name="OSRRefP21_5x_0" localSheetId="92">'424'!$P$46</definedName>
    <definedName name="OSRRefP21_5x_0" localSheetId="93">'425'!$P$50:$P$51</definedName>
    <definedName name="OSRRefP21_5x_0" localSheetId="94">'430'!$P$46</definedName>
    <definedName name="OSRRefP21_5x_0" localSheetId="95">'433'!$P$56</definedName>
    <definedName name="OSRRefP21_5x_0" localSheetId="96">'435'!$P$39</definedName>
    <definedName name="OSRRefP21_5x_0" localSheetId="97">'444'!$P$54</definedName>
    <definedName name="OSRRefP21_5x_0" localSheetId="98">'445'!$P$38</definedName>
    <definedName name="OSRRefP21_5x_0" localSheetId="99">'450'!$P$54:$P$55</definedName>
    <definedName name="OSRRefP21_5x_0" localSheetId="41">'491'!$P$66:$P$69</definedName>
    <definedName name="OSRRefP21_5x_0" localSheetId="44">'492'!$P$58:$P$59</definedName>
    <definedName name="OSRRefP21_5x_0" localSheetId="101">'501'!$P$48</definedName>
    <definedName name="OSRRefP21_5x_0" localSheetId="8">'Div 2'!$P$49</definedName>
    <definedName name="OSRRefP21_5x_0" localSheetId="11">'Div 3'!$P$239:$P$242</definedName>
    <definedName name="OSRRefP21_5x_0" localSheetId="14">'Div 4'!$P$67:$P$70</definedName>
    <definedName name="OSRRefP21_5x_0" localSheetId="47">'Div 5'!$P$48</definedName>
    <definedName name="OSRRefP21_5x_0" localSheetId="50">'Div 6'!$P$92</definedName>
    <definedName name="OSRRefP21_5x_0" localSheetId="2">Summary!$P$275:$P$278</definedName>
    <definedName name="OSRRefP21_6x_0" localSheetId="55">'201'!$P$49:$P$50</definedName>
    <definedName name="OSRRefP21_6x_0" localSheetId="56">'202'!$P$49:$P$50</definedName>
    <definedName name="OSRRefP21_6x_0" localSheetId="57">'203'!$P$49</definedName>
    <definedName name="OSRRefP21_6x_0" localSheetId="58">'204'!$P$51</definedName>
    <definedName name="OSRRefP21_6x_0" localSheetId="59">'205'!$P$50:$P$53</definedName>
    <definedName name="OSRRefP21_6x_0" localSheetId="60">'206'!$P$48</definedName>
    <definedName name="OSRRefP21_6x_0" localSheetId="17">'300'!$P$239:$P$240</definedName>
    <definedName name="OSRRefP21_6x_0" localSheetId="20">'300 &amp; 317'!$P$264:$P$265</definedName>
    <definedName name="OSRRefP21_6x_0" localSheetId="61">'301'!$P$54:$P$55</definedName>
    <definedName name="OSRRefP21_6x_0" localSheetId="62">'306'!$P$50</definedName>
    <definedName name="OSRRefP21_6x_0" localSheetId="63">'307'!$P$130</definedName>
    <definedName name="OSRRefP21_6x_0" localSheetId="29">'308'!$P$120:$P$121</definedName>
    <definedName name="OSRRefP21_6x_0" localSheetId="64">'309'!$P$54</definedName>
    <definedName name="OSRRefP21_6x_0" localSheetId="23">'310'!$P$69</definedName>
    <definedName name="OSRRefP21_6x_0" localSheetId="38">'310 &amp; 491'!$P$83:$P$84</definedName>
    <definedName name="OSRRefP21_6x_0" localSheetId="65">'311'!$P$102:$P$103</definedName>
    <definedName name="OSRRefP21_6x_0" localSheetId="66">'312'!$P$91:$P$92</definedName>
    <definedName name="OSRRefP21_6x_0" localSheetId="67">'313'!$P$64</definedName>
    <definedName name="OSRRefP21_6x_0" localSheetId="68">'314'!$P$88:$P$97</definedName>
    <definedName name="OSRRefP21_6x_0" localSheetId="69">'315'!$P$87</definedName>
    <definedName name="OSRRefP21_6x_0" localSheetId="70">'316'!$P$69</definedName>
    <definedName name="OSRRefP21_6x_0" localSheetId="71">'317'!$P$94</definedName>
    <definedName name="OSRRefP21_6x_0" localSheetId="72">'318'!$P$40</definedName>
    <definedName name="OSRRefP21_6x_0" localSheetId="73">'320'!$P$61</definedName>
    <definedName name="OSRRefP21_6x_0" localSheetId="74">'321'!$P$55</definedName>
    <definedName name="OSRRefP21_6x_0" localSheetId="75">'322'!$P$54</definedName>
    <definedName name="OSRRefP21_6x_0" localSheetId="76">'323'!$P$41</definedName>
    <definedName name="OSRRefP21_6x_0" localSheetId="78">'325'!$P$56</definedName>
    <definedName name="OSRRefP21_6x_0" localSheetId="79">'326'!$P$124:$P$125</definedName>
    <definedName name="OSRRefP21_6x_0" localSheetId="26">'330'!$P$139</definedName>
    <definedName name="OSRRefP21_6x_0" localSheetId="32">'331'!$P$135:$P$136</definedName>
    <definedName name="OSRRefP21_6x_0" localSheetId="35">'332'!$P$86</definedName>
    <definedName name="OSRRefP21_6x_0" localSheetId="81">'335'!$P$43:$P$45</definedName>
    <definedName name="OSRRefP21_6x_0" localSheetId="82">'405'!$P$58</definedName>
    <definedName name="OSRRefP21_6x_0" localSheetId="83">'406'!$P$47</definedName>
    <definedName name="OSRRefP21_6x_0" localSheetId="84">'411'!$P$52</definedName>
    <definedName name="OSRRefP21_6x_0" localSheetId="85">'412'!$P$58</definedName>
    <definedName name="OSRRefP21_6x_0" localSheetId="86">'413'!$P$56</definedName>
    <definedName name="OSRRefP21_6x_0" localSheetId="87">'414'!$P$55</definedName>
    <definedName name="OSRRefP21_6x_0" localSheetId="88">'415'!$P$57</definedName>
    <definedName name="OSRRefP21_6x_0" localSheetId="89">'418'!$P$56</definedName>
    <definedName name="OSRRefP21_6x_0" localSheetId="90">'420'!$P$45</definedName>
    <definedName name="OSRRefP21_6x_0" localSheetId="91">'423'!$P$49</definedName>
    <definedName name="OSRRefP21_6x_0" localSheetId="92">'424'!$P$48</definedName>
    <definedName name="OSRRefP21_6x_0" localSheetId="93">'425'!$P$53</definedName>
    <definedName name="OSRRefP21_6x_0" localSheetId="94">'430'!$P$48</definedName>
    <definedName name="OSRRefP21_6x_0" localSheetId="95">'433'!$P$58</definedName>
    <definedName name="OSRRefP21_6x_0" localSheetId="96">'435'!$P$41</definedName>
    <definedName name="OSRRefP21_6x_0" localSheetId="97">'444'!$P$56</definedName>
    <definedName name="OSRRefP21_6x_0" localSheetId="98">'445'!$P$40</definedName>
    <definedName name="OSRRefP21_6x_0" localSheetId="99">'450'!$P$57</definedName>
    <definedName name="OSRRefP21_6x_0" localSheetId="41">'491'!$P$71:$P$72</definedName>
    <definedName name="OSRRefP21_6x_0" localSheetId="44">'492'!$P$61</definedName>
    <definedName name="OSRRefP21_6x_0" localSheetId="101">'501'!$P$50:$P$51</definedName>
    <definedName name="OSRRefP21_6x_0" localSheetId="8">'Div 2'!$P$51:$P$52</definedName>
    <definedName name="OSRRefP21_6x_0" localSheetId="11">'Div 3'!$P$244:$P$245</definedName>
    <definedName name="OSRRefP21_6x_0" localSheetId="14">'Div 4'!$P$72:$P$73</definedName>
    <definedName name="OSRRefP21_6x_0" localSheetId="47">'Div 5'!$P$50:$P$51</definedName>
    <definedName name="OSRRefP21_6x_0" localSheetId="50">'Div 6'!$P$94</definedName>
    <definedName name="OSRRefP21_6x_0" localSheetId="2">Summary!$P$280:$P$281</definedName>
    <definedName name="OSRRefP21_7x_0" localSheetId="55">'201'!$P$52</definedName>
    <definedName name="OSRRefP21_7x_0" localSheetId="56">'202'!$P$52</definedName>
    <definedName name="OSRRefP21_7x_0" localSheetId="57">'203'!$P$51</definedName>
    <definedName name="OSRRefP21_7x_0" localSheetId="58">'204'!$P$53</definedName>
    <definedName name="OSRRefP21_7x_0" localSheetId="59">'205'!$P$55</definedName>
    <definedName name="OSRRefP21_7x_0" localSheetId="60">'206'!$P$50:$P$52</definedName>
    <definedName name="OSRRefP21_7x_0" localSheetId="17">'300'!$P$242:$P$243</definedName>
    <definedName name="OSRRefP21_7x_0" localSheetId="20">'300 &amp; 317'!$P$267:$P$268</definedName>
    <definedName name="OSRRefP21_7x_0" localSheetId="61">'301'!$P$57</definedName>
    <definedName name="OSRRefP21_7x_0" localSheetId="62">'306'!$P$52:$P$53</definedName>
    <definedName name="OSRRefP21_7x_0" localSheetId="63">'307'!$P$132:$P$133</definedName>
    <definedName name="OSRRefP21_7x_0" localSheetId="29">'308'!$P$123:$P$124</definedName>
    <definedName name="OSRRefP21_7x_0" localSheetId="64">'309'!$P$56</definedName>
    <definedName name="OSRRefP21_7x_0" localSheetId="23">'310'!$P$71</definedName>
    <definedName name="OSRRefP21_7x_0" localSheetId="38">'310 &amp; 491'!$P$86</definedName>
    <definedName name="OSRRefP21_7x_0" localSheetId="65">'311'!$P$105:$P$106</definedName>
    <definedName name="OSRRefP21_7x_0" localSheetId="66">'312'!$P$94</definedName>
    <definedName name="OSRRefP21_7x_0" localSheetId="67">'313'!$P$66:$P$67</definedName>
    <definedName name="OSRRefP21_7x_0" localSheetId="68">'314'!$P$99</definedName>
    <definedName name="OSRRefP21_7x_0" localSheetId="69">'315'!$P$89:$P$90</definedName>
    <definedName name="OSRRefP21_7x_0" localSheetId="70">'316'!$P$71:$P$72</definedName>
    <definedName name="OSRRefP21_7x_0" localSheetId="71">'317'!$P$96:$P$97</definedName>
    <definedName name="OSRRefP21_7x_0" localSheetId="72">'318'!$P$42</definedName>
    <definedName name="OSRRefP21_7x_0" localSheetId="73">'320'!$P$63:$P$66</definedName>
    <definedName name="OSRRefP21_7x_0" localSheetId="74">'321'!$P$57:$P$58</definedName>
    <definedName name="OSRRefP21_7x_0" localSheetId="75">'322'!$P$56</definedName>
    <definedName name="OSRRefP21_7x_0" localSheetId="76">'323'!$P$43:$P$45</definedName>
    <definedName name="OSRRefP21_7x_0" localSheetId="78">'325'!$P$58</definedName>
    <definedName name="OSRRefP21_7x_0" localSheetId="79">'326'!$P$127</definedName>
    <definedName name="OSRRefP21_7x_0" localSheetId="26">'330'!$P$141:$P$142</definedName>
    <definedName name="OSRRefP21_7x_0" localSheetId="32">'331'!$P$138</definedName>
    <definedName name="OSRRefP21_7x_0" localSheetId="35">'332'!$P$88:$P$89</definedName>
    <definedName name="OSRRefP21_7x_0" localSheetId="81">'335'!$P$47</definedName>
    <definedName name="OSRRefP21_7x_0" localSheetId="82">'405'!$P$60</definedName>
    <definedName name="OSRRefP21_7x_0" localSheetId="83">'406'!$P$49</definedName>
    <definedName name="OSRRefP21_7x_0" localSheetId="84">'411'!$P$54</definedName>
    <definedName name="OSRRefP21_7x_0" localSheetId="85">'412'!$P$60</definedName>
    <definedName name="OSRRefP21_7x_0" localSheetId="86">'413'!$P$58</definedName>
    <definedName name="OSRRefP21_7x_0" localSheetId="87">'414'!$P$57</definedName>
    <definedName name="OSRRefP21_7x_0" localSheetId="88">'415'!$P$59</definedName>
    <definedName name="OSRRefP21_7x_0" localSheetId="89">'418'!$P$58</definedName>
    <definedName name="OSRRefP21_7x_0" localSheetId="90">'420'!$P$47:$P$48</definedName>
    <definedName name="OSRRefP21_7x_0" localSheetId="91">'423'!$P$51:$P$53</definedName>
    <definedName name="OSRRefP21_7x_0" localSheetId="92">'424'!$P$50</definedName>
    <definedName name="OSRRefP21_7x_0" localSheetId="93">'425'!$P$55</definedName>
    <definedName name="OSRRefP21_7x_0" localSheetId="94">'430'!$P$50</definedName>
    <definedName name="OSRRefP21_7x_0" localSheetId="95">'433'!$P$60</definedName>
    <definedName name="OSRRefP21_7x_0" localSheetId="96">'435'!$P$43</definedName>
    <definedName name="OSRRefP21_7x_0" localSheetId="97">'444'!$P$58</definedName>
    <definedName name="OSRRefP21_7x_0" localSheetId="98">'445'!$P$42</definedName>
    <definedName name="OSRRefP21_7x_0" localSheetId="99">'450'!$P$59</definedName>
    <definedName name="OSRRefP21_7x_0" localSheetId="41">'491'!$P$74</definedName>
    <definedName name="OSRRefP21_7x_0" localSheetId="44">'492'!$P$63</definedName>
    <definedName name="OSRRefP21_7x_0" localSheetId="101">'501'!$P$53</definedName>
    <definedName name="OSRRefP21_7x_0" localSheetId="8">'Div 2'!$P$54:$P$55</definedName>
    <definedName name="OSRRefP21_7x_0" localSheetId="11">'Div 3'!$P$247:$P$248</definedName>
    <definedName name="OSRRefP21_7x_0" localSheetId="14">'Div 4'!$P$75</definedName>
    <definedName name="OSRRefP21_7x_0" localSheetId="47">'Div 5'!$P$53</definedName>
    <definedName name="OSRRefP21_7x_0" localSheetId="50">'Div 6'!$P$96:$P$97</definedName>
    <definedName name="OSRRefP21_7x_0" localSheetId="2">Summary!$P$283:$P$284</definedName>
    <definedName name="OSRRefP21_8x_0" localSheetId="55">'201'!$P$54</definedName>
    <definedName name="OSRRefP21_8x_0" localSheetId="56">'202'!$P$54</definedName>
    <definedName name="OSRRefP21_8x_0" localSheetId="57">'203'!$P$53:$P$54</definedName>
    <definedName name="OSRRefP21_8x_0" localSheetId="58">'204'!$P$55:$P$58</definedName>
    <definedName name="OSRRefP21_8x_0" localSheetId="59">'205'!$P$57</definedName>
    <definedName name="OSRRefP21_8x_0" localSheetId="60">'206'!$P$54</definedName>
    <definedName name="OSRRefP21_8x_0" localSheetId="17">'300'!$P$245</definedName>
    <definedName name="OSRRefP21_8x_0" localSheetId="20">'300 &amp; 317'!$P$270</definedName>
    <definedName name="OSRRefP21_8x_0" localSheetId="61">'301'!$P$59</definedName>
    <definedName name="OSRRefP21_8x_0" localSheetId="62">'306'!$P$55:$P$59</definedName>
    <definedName name="OSRRefP21_8x_0" localSheetId="63">'307'!$P$135</definedName>
    <definedName name="OSRRefP21_8x_0" localSheetId="29">'308'!$P$126:$P$138</definedName>
    <definedName name="OSRRefP21_8x_0" localSheetId="64">'309'!$P$58</definedName>
    <definedName name="OSRRefP21_8x_0" localSheetId="23">'310'!$P$73</definedName>
    <definedName name="OSRRefP21_8x_0" localSheetId="38">'310 &amp; 491'!$P$88</definedName>
    <definedName name="OSRRefP21_8x_0" localSheetId="65">'311'!$P$108:$P$116</definedName>
    <definedName name="OSRRefP21_8x_0" localSheetId="66">'312'!$P$96</definedName>
    <definedName name="OSRRefP21_8x_0" localSheetId="67">'313'!$P$69</definedName>
    <definedName name="OSRRefP21_8x_0" localSheetId="68">'314'!$P$101</definedName>
    <definedName name="OSRRefP21_8x_0" localSheetId="69">'315'!$P$92</definedName>
    <definedName name="OSRRefP21_8x_0" localSheetId="70">'316'!$P$74</definedName>
    <definedName name="OSRRefP21_8x_0" localSheetId="71">'317'!$P$99</definedName>
    <definedName name="OSRRefP21_8x_0" localSheetId="72">'318'!$P$44</definedName>
    <definedName name="OSRRefP21_8x_0" localSheetId="73">'320'!$P$68:$P$69</definedName>
    <definedName name="OSRRefP21_8x_0" localSheetId="74">'321'!$P$60</definedName>
    <definedName name="OSRRefP21_8x_0" localSheetId="75">'322'!$P$58</definedName>
    <definedName name="OSRRefP21_8x_0" localSheetId="78">'325'!$P$60</definedName>
    <definedName name="OSRRefP21_8x_0" localSheetId="79">'326'!$P$129:$P$130</definedName>
    <definedName name="OSRRefP21_8x_0" localSheetId="26">'330'!$P$144</definedName>
    <definedName name="OSRRefP21_8x_0" localSheetId="32">'331'!$P$140:$P$141</definedName>
    <definedName name="OSRRefP21_8x_0" localSheetId="35">'332'!$P$91</definedName>
    <definedName name="OSRRefP21_8x_0" localSheetId="81">'335'!$P$49</definedName>
    <definedName name="OSRRefP21_8x_0" localSheetId="82">'405'!$P$62</definedName>
    <definedName name="OSRRefP21_8x_0" localSheetId="83">'406'!$P$51</definedName>
    <definedName name="OSRRefP21_8x_0" localSheetId="84">'411'!$P$56</definedName>
    <definedName name="OSRRefP21_8x_0" localSheetId="85">'412'!$P$62</definedName>
    <definedName name="OSRRefP21_8x_0" localSheetId="86">'413'!$P$60:$P$63</definedName>
    <definedName name="OSRRefP21_8x_0" localSheetId="87">'414'!$P$59</definedName>
    <definedName name="OSRRefP21_8x_0" localSheetId="88">'415'!$P$61</definedName>
    <definedName name="OSRRefP21_8x_0" localSheetId="89">'418'!$P$60</definedName>
    <definedName name="OSRRefP21_8x_0" localSheetId="90">'420'!$P$50</definedName>
    <definedName name="OSRRefP21_8x_0" localSheetId="91">'423'!$P$55</definedName>
    <definedName name="OSRRefP21_8x_0" localSheetId="92">'424'!$P$52</definedName>
    <definedName name="OSRRefP21_8x_0" localSheetId="93">'425'!$P$57</definedName>
    <definedName name="OSRRefP21_8x_0" localSheetId="94">'430'!$P$52:$P$56</definedName>
    <definedName name="OSRRefP21_8x_0" localSheetId="95">'433'!$P$62</definedName>
    <definedName name="OSRRefP21_8x_0" localSheetId="96">'435'!$P$45</definedName>
    <definedName name="OSRRefP21_8x_0" localSheetId="97">'444'!$P$60</definedName>
    <definedName name="OSRRefP21_8x_0" localSheetId="98">'445'!$P$44:$P$45</definedName>
    <definedName name="OSRRefP21_8x_0" localSheetId="99">'450'!$P$61</definedName>
    <definedName name="OSRRefP21_8x_0" localSheetId="41">'491'!$P$76</definedName>
    <definedName name="OSRRefP21_8x_0" localSheetId="44">'492'!$P$65</definedName>
    <definedName name="OSRRefP21_8x_0" localSheetId="101">'501'!$P$55</definedName>
    <definedName name="OSRRefP21_8x_0" localSheetId="8">'Div 2'!$P$57</definedName>
    <definedName name="OSRRefP21_8x_0" localSheetId="11">'Div 3'!$P$250</definedName>
    <definedName name="OSRRefP21_8x_0" localSheetId="14">'Div 4'!$P$77</definedName>
    <definedName name="OSRRefP21_8x_0" localSheetId="47">'Div 5'!$P$55</definedName>
    <definedName name="OSRRefP21_8x_0" localSheetId="50">'Div 6'!$P$99</definedName>
    <definedName name="OSRRefP21_8x_0" localSheetId="2">Summary!$P$286</definedName>
    <definedName name="OSRRefP21_9x_0" localSheetId="55">'201'!$P$56</definedName>
    <definedName name="OSRRefP21_9x_0" localSheetId="56">'202'!$P$56:$P$57</definedName>
    <definedName name="OSRRefP21_9x_0" localSheetId="57">'203'!$P$56:$P$58</definedName>
    <definedName name="OSRRefP21_9x_0" localSheetId="58">'204'!$P$60:$P$61</definedName>
    <definedName name="OSRRefP21_9x_0" localSheetId="60">'206'!$P$56:$P$57</definedName>
    <definedName name="OSRRefP21_9x_0" localSheetId="17">'300'!$P$247</definedName>
    <definedName name="OSRRefP21_9x_0" localSheetId="20">'300 &amp; 317'!$P$272</definedName>
    <definedName name="OSRRefP21_9x_0" localSheetId="61">'301'!$P$61</definedName>
    <definedName name="OSRRefP21_9x_0" localSheetId="62">'306'!$P$61</definedName>
    <definedName name="OSRRefP21_9x_0" localSheetId="63">'307'!$P$137:$P$160</definedName>
    <definedName name="OSRRefP21_9x_0" localSheetId="29">'308'!$P$140</definedName>
    <definedName name="OSRRefP21_9x_0" localSheetId="64">'309'!$P$60</definedName>
    <definedName name="OSRRefP21_9x_0" localSheetId="23">'310'!$P$75:$P$76</definedName>
    <definedName name="OSRRefP21_9x_0" localSheetId="38">'310 &amp; 491'!$P$90</definedName>
    <definedName name="OSRRefP21_9x_0" localSheetId="65">'311'!$P$118</definedName>
    <definedName name="OSRRefP21_9x_0" localSheetId="66">'312'!$P$98</definedName>
    <definedName name="OSRRefP21_9x_0" localSheetId="67">'313'!$P$71</definedName>
    <definedName name="OSRRefP21_9x_0" localSheetId="68">'314'!$P$103</definedName>
    <definedName name="OSRRefP21_9x_0" localSheetId="69">'315'!$P$94:$P$100</definedName>
    <definedName name="OSRRefP21_9x_0" localSheetId="70">'316'!$P$76:$P$78</definedName>
    <definedName name="OSRRefP21_9x_0" localSheetId="71">'317'!$P$101:$P$108</definedName>
    <definedName name="OSRRefP21_9x_0" localSheetId="73">'320'!$P$71:$P$73</definedName>
    <definedName name="OSRRefP21_9x_0" localSheetId="74">'321'!$P$62:$P$64</definedName>
    <definedName name="OSRRefP21_9x_0" localSheetId="75">'322'!$P$60</definedName>
    <definedName name="OSRRefP21_9x_0" localSheetId="78">'325'!$P$62</definedName>
    <definedName name="OSRRefP21_9x_0" localSheetId="79">'326'!$P$132:$P$133</definedName>
    <definedName name="OSRRefP21_9x_0" localSheetId="26">'330'!$P$146:$P$169</definedName>
    <definedName name="OSRRefP21_9x_0" localSheetId="32">'331'!$P$143:$P$144</definedName>
    <definedName name="OSRRefP21_9x_0" localSheetId="35">'332'!$P$93:$P$96</definedName>
    <definedName name="OSRRefP21_9x_0" localSheetId="81">'335'!$P$51:$P$52</definedName>
    <definedName name="OSRRefP21_9x_0" localSheetId="82">'405'!$P$64</definedName>
    <definedName name="OSRRefP21_9x_0" localSheetId="83">'406'!$P$53</definedName>
    <definedName name="OSRRefP21_9x_0" localSheetId="84">'411'!$P$58</definedName>
    <definedName name="OSRRefP21_9x_0" localSheetId="85">'412'!$P$64</definedName>
    <definedName name="OSRRefP21_9x_0" localSheetId="86">'413'!$P$65:$P$67</definedName>
    <definedName name="OSRRefP21_9x_0" localSheetId="87">'414'!$P$61</definedName>
    <definedName name="OSRRefP21_9x_0" localSheetId="88">'415'!$P$63</definedName>
    <definedName name="OSRRefP21_9x_0" localSheetId="89">'418'!$P$62</definedName>
    <definedName name="OSRRefP21_9x_0" localSheetId="91">'423'!$P$57</definedName>
    <definedName name="OSRRefP21_9x_0" localSheetId="92">'424'!$P$54:$P$55</definedName>
    <definedName name="OSRRefP21_9x_0" localSheetId="93">'425'!$P$59:$P$62</definedName>
    <definedName name="OSRRefP21_9x_0" localSheetId="94">'430'!$P$58:$P$59</definedName>
    <definedName name="OSRRefP21_9x_0" localSheetId="95">'433'!$P$64</definedName>
    <definedName name="OSRRefP21_9x_0" localSheetId="96">'435'!$P$47:$P$48</definedName>
    <definedName name="OSRRefP21_9x_0" localSheetId="97">'444'!$P$62</definedName>
    <definedName name="OSRRefP21_9x_0" localSheetId="98">'445'!$P$47</definedName>
    <definedName name="OSRRefP21_9x_0" localSheetId="99">'450'!$P$63</definedName>
    <definedName name="OSRRefP21_9x_0" localSheetId="41">'491'!$P$78</definedName>
    <definedName name="OSRRefP21_9x_0" localSheetId="44">'492'!$P$67</definedName>
    <definedName name="OSRRefP21_9x_0" localSheetId="101">'501'!$P$57</definedName>
    <definedName name="OSRRefP21_9x_0" localSheetId="8">'Div 2'!$P$59</definedName>
    <definedName name="OSRRefP21_9x_0" localSheetId="11">'Div 3'!$P$252</definedName>
    <definedName name="OSRRefP21_9x_0" localSheetId="14">'Div 4'!$P$79</definedName>
    <definedName name="OSRRefP21_9x_0" localSheetId="47">'Div 5'!$P$57</definedName>
    <definedName name="OSRRefP21_9x_0" localSheetId="50">'Div 6'!$P$101:$P$108</definedName>
    <definedName name="OSRRefP21_9x_0" localSheetId="2">Summary!$P$288</definedName>
    <definedName name="OSRRefP21x_0" localSheetId="54">'200'!$P$19:$P$20,'200'!$P$22,'200'!$P$24,'200'!$P$26,'200'!$P$28,'200'!$P$30:$P$31</definedName>
    <definedName name="OSRRefP21x_0" localSheetId="55">'201'!$P$20:$P$28,'201'!$P$30:$P$39,'201'!$P$41,'201'!$P$43,'201'!$P$45,'201'!$P$47,'201'!$P$49:$P$50,'201'!$P$52,'201'!$P$54,'201'!$P$56,'201'!$P$58,'201'!$P$60,'201'!$P$62,'201'!$P$64:$P$67,'201'!$P$69:$P$71,'201'!$P$73,'201'!$P$75:$P$78,'201'!$P$80:$P$81,'201'!$P$83,'201'!$P$85:$P$86</definedName>
    <definedName name="OSRRefP21x_0" localSheetId="56">'202'!$P$20:$P$28,'202'!$P$30:$P$39,'202'!$P$41,'202'!$P$43,'202'!$P$45,'202'!$P$47,'202'!$P$49:$P$50,'202'!$P$52,'202'!$P$54,'202'!$P$56:$P$57,'202'!$P$59:$P$61,'202'!$P$63,'202'!$P$65,'202'!$P$67:$P$69,'202'!$P$71,'202'!$P$73,'202'!$P$75:$P$76</definedName>
    <definedName name="OSRRefP21x_0" localSheetId="57">'203'!$P$19:$P$28,'203'!$P$30:$P$39,'203'!$P$41,'203'!$P$43,'203'!$P$45,'203'!$P$47,'203'!$P$49,'203'!$P$51,'203'!$P$53:$P$54,'203'!$P$56:$P$58,'203'!$P$60:$P$62,'203'!$P$64:$P$65,'203'!$P$67:$P$71,'203'!$P$73,'203'!$P$75,'203'!$P$77:$P$78</definedName>
    <definedName name="OSRRefP21x_0" localSheetId="58">'204'!$P$19:$P$28,'204'!$P$30:$P$39,'204'!$P$41,'204'!$P$43:$P$44,'204'!$P$46,'204'!$P$48:$P$49,'204'!$P$51,'204'!$P$53,'204'!$P$55:$P$58,'204'!$P$60:$P$61,'204'!$P$63:$P$66,'204'!$P$68:$P$69,'204'!$P$71,'204'!$P$73:$P$74</definedName>
    <definedName name="OSRRefP21x_0" localSheetId="59">'205'!$P$19:$P$27,'205'!$P$29:$P$38,'205'!$P$40,'205'!$P$42,'205'!$P$44:$P$46,'205'!$P$48,'205'!$P$50:$P$53,'205'!$P$55,'205'!$P$57</definedName>
    <definedName name="OSRRefP21x_0" localSheetId="60">'206'!$P$19:$P$27,'206'!$P$29:$P$38,'206'!$P$40,'206'!$P$42,'206'!$P$44,'206'!$P$46,'206'!$P$48,'206'!$P$50:$P$52,'206'!$P$54,'206'!$P$56:$P$57,'206'!$P$59:$P$60,'206'!$P$62,'206'!$P$64:$P$65</definedName>
    <definedName name="OSRRefP21x_0" localSheetId="17">'300'!$P$204:$P$213,'300'!$P$215:$P$224,'300'!$P$226,'300'!$P$228:$P$230,'300'!$P$232,'300'!$P$234:$P$237,'300'!$P$239:$P$240,'300'!$P$242:$P$243,'300'!$P$245,'300'!$P$247,'300'!$P$249:$P$250,'300'!$P$252:$P$254,'300'!$P$256,'300'!$P$258:$P$294,'300'!$P$296:$P$297,'300'!$P$299,'300'!$P$301:$P$304,'300'!$P$306:$P$310,'300'!$P$312:$P$316,'300'!$P$318:$P$319,'300'!$P$321:$P$329,'300'!$P$331:$P$332,'300'!$P$334,'300'!$P$336:$P$338,'300'!$P$340</definedName>
    <definedName name="OSRRefP21x_0" localSheetId="20">'300 &amp; 317'!$P$229:$P$238,'300 &amp; 317'!$P$240:$P$249,'300 &amp; 317'!$P$251,'300 &amp; 317'!$P$253:$P$255,'300 &amp; 317'!$P$257,'300 &amp; 317'!$P$259:$P$262,'300 &amp; 317'!$P$264:$P$265,'300 &amp; 317'!$P$267:$P$268,'300 &amp; 317'!$P$270,'300 &amp; 317'!$P$272,'300 &amp; 317'!$P$274:$P$275,'300 &amp; 317'!$P$277:$P$279,'300 &amp; 317'!$P$281,'300 &amp; 317'!$P$283:$P$322,'300 &amp; 317'!$P$324:$P$325,'300 &amp; 317'!$P$327,'300 &amp; 317'!$P$329:$P$332,'300 &amp; 317'!$P$334:$P$338,'300 &amp; 317'!$P$340:$P$344,'300 &amp; 317'!$P$346:$P$347,'300 &amp; 317'!$P$349:$P$357,'300 &amp; 317'!$P$359:$P$360,'300 &amp; 317'!$P$362,'300 &amp; 317'!$P$364:$P$366,'300 &amp; 317'!$P$368</definedName>
    <definedName name="OSRRefP21x_0" localSheetId="61">'301'!$P$20:$P$28,'301'!$P$30:$P$39,'301'!$P$41,'301'!$P$43:$P$45,'301'!$P$47,'301'!$P$49:$P$52,'301'!$P$54:$P$55,'301'!$P$57,'301'!$P$59,'301'!$P$61,'301'!$P$63,'301'!$P$65,'301'!$P$67,'301'!$P$69:$P$70,'301'!$P$72:$P$73,'301'!$P$75,'301'!$P$77:$P$80,'301'!$P$82,'301'!$P$84:$P$87,'301'!$P$89:$P$90,'301'!$P$92:$P$98,'301'!$P$100:$P$101,'301'!$P$103,'301'!$P$105:$P$107,'301'!$P$109</definedName>
    <definedName name="OSRRefP21x_0" localSheetId="62">'306'!$P$19:$P$28,'306'!$P$30:$P$39,'306'!$P$41,'306'!$P$43,'306'!$P$45,'306'!$P$47:$P$48,'306'!$P$50,'306'!$P$52:$P$53,'306'!$P$55:$P$59,'306'!$P$61,'306'!$P$63,'306'!$P$65,'306'!$P$67</definedName>
    <definedName name="OSRRefP21x_0" localSheetId="63">'307'!$P$100:$P$108,'307'!$P$110:$P$119,'307'!$P$121,'307'!$P$123,'307'!$P$125,'307'!$P$127:$P$128,'307'!$P$130,'307'!$P$132:$P$133,'307'!$P$135,'307'!$P$137:$P$160,'307'!$P$162,'307'!$P$164,'307'!$P$166:$P$167,'307'!$P$169:$P$170,'307'!$P$172,'307'!$P$174:$P$179,'307'!$P$181:$P$182,'307'!$P$184,'307'!$P$186</definedName>
    <definedName name="OSRRefP21x_0" localSheetId="29">'308'!$P$89:$P$98,'308'!$P$100:$P$109,'308'!$P$111,'308'!$P$113:$P$114,'308'!$P$116,'308'!$P$118,'308'!$P$120:$P$121,'308'!$P$123:$P$124,'308'!$P$126:$P$138,'308'!$P$140,'308'!$P$142:$P$144,'308'!$P$146,'308'!$P$148:$P$149,'308'!$P$151:$P$154,'308'!$P$156:$P$157,'308'!$P$159,'308'!$P$161:$P$162,'308'!$P$164</definedName>
    <definedName name="OSRRefP21x_0" localSheetId="64">'309'!$P$25:$P$33,'309'!$P$35:$P$44,'309'!$P$46,'309'!$P$48,'309'!$P$50,'309'!$P$52,'309'!$P$54,'309'!$P$56,'309'!$P$58,'309'!$P$60,'309'!$P$62:$P$63,'309'!$P$65:$P$67,'309'!$P$69,'309'!$P$71:$P$79,'309'!$P$81,'309'!$P$83,'309'!$P$85:$P$86</definedName>
    <definedName name="OSRRefP21x_0" localSheetId="23">'310'!$P$39:$P$47,'310'!$P$49:$P$58,'310'!$P$60,'310'!$P$62,'310'!$P$64,'310'!$P$66:$P$67,'310'!$P$69,'310'!$P$71,'310'!$P$73,'310'!$P$75:$P$76,'310'!$P$78:$P$79,'310'!$P$81,'310'!$P$83,'310'!$P$85,'310'!$P$87,'310'!$P$89:$P$92,'310'!$P$94:$P$95,'310'!$P$97:$P$100,'310'!$P$102:$P$103,'310'!$P$105:$P$113,'310'!$P$115:$P$116,'310'!$P$118,'310'!$P$120:$P$122,'310'!$P$124</definedName>
    <definedName name="OSRRefP21x_0" localSheetId="38">'310 &amp; 491'!$P$49:$P$58,'310 &amp; 491'!$P$60:$P$69,'310 &amp; 491'!$P$71,'310 &amp; 491'!$P$73:$P$74,'310 &amp; 491'!$P$76,'310 &amp; 491'!$P$78:$P$81,'310 &amp; 491'!$P$83:$P$84,'310 &amp; 491'!$P$86,'310 &amp; 491'!$P$88,'310 &amp; 491'!$P$90,'310 &amp; 491'!$P$92:$P$93,'310 &amp; 491'!$P$95:$P$97,'310 &amp; 491'!$P$99,'310 &amp; 491'!$P$101,'310 &amp; 491'!$P$103,'310 &amp; 491'!$P$105,'310 &amp; 491'!$P$107,'310 &amp; 491'!$P$109:$P$112,'310 &amp; 491'!$P$114:$P$115,'310 &amp; 491'!$P$117:$P$121,'310 &amp; 491'!$P$123:$P$124,'310 &amp; 491'!$P$126:$P$136,'310 &amp; 491'!$P$138:$P$139,'310 &amp; 491'!$P$141,'310 &amp; 491'!$P$143:$P$145,'310 &amp; 491'!$P$147</definedName>
    <definedName name="OSRRefP21x_0" localSheetId="65">'311'!$P$71:$P$80,'311'!$P$82:$P$91,'311'!$P$93,'311'!$P$95:$P$96,'311'!$P$98,'311'!$P$100,'311'!$P$102:$P$103,'311'!$P$105:$P$106,'311'!$P$108:$P$116,'311'!$P$118,'311'!$P$120:$P$122,'311'!$P$124,'311'!$P$126:$P$127,'311'!$P$129:$P$132,'311'!$P$134:$P$135,'311'!$P$137,'311'!$P$139:$P$140,'311'!$P$142</definedName>
    <definedName name="OSRRefP21x_0" localSheetId="66">'312'!$P$58:$P$66,'312'!$P$68:$P$72,'312'!$P$74,'312'!$P$76,'312'!$P$78:$P$79,'312'!$P$81:$P$89,'312'!$P$91:$P$92,'312'!$P$94,'312'!$P$96,'312'!$P$98</definedName>
    <definedName name="OSRRefP21x_0" localSheetId="67">'313'!$P$35:$P$43,'313'!$P$45:$P$54,'313'!$P$56,'313'!$P$58,'313'!$P$60,'313'!$P$62,'313'!$P$64,'313'!$P$66:$P$67,'313'!$P$69,'313'!$P$71,'313'!$P$73:$P$75,'313'!$P$77:$P$78,'313'!$P$80:$P$81,'313'!$P$83:$P$89,'313'!$P$91:$P$92,'313'!$P$94,'313'!$P$96:$P$97</definedName>
    <definedName name="OSRRefP21x_0" localSheetId="68">'314'!$P$61:$P$69,'314'!$P$71:$P$76,'314'!$P$78,'314'!$P$80:$P$81,'314'!$P$83,'314'!$P$85:$P$86,'314'!$P$88:$P$97,'314'!$P$99,'314'!$P$101,'314'!$P$103,'314'!$P$105:$P$108,'314'!$P$110,'314'!$P$112,'314'!$P$114</definedName>
    <definedName name="OSRRefP21x_0" localSheetId="69">'315'!$P$57:$P$65,'315'!$P$67:$P$76,'315'!$P$78,'315'!$P$80,'315'!$P$82,'315'!$P$84:$P$85,'315'!$P$87,'315'!$P$89:$P$90,'315'!$P$92,'315'!$P$94:$P$100,'315'!$P$102,'315'!$P$104:$P$106,'315'!$P$108:$P$110,'315'!$P$112:$P$113,'315'!$P$115:$P$122,'315'!$P$124,'315'!$P$126,'315'!$P$128:$P$130</definedName>
    <definedName name="OSRRefP21x_0" localSheetId="70">'316'!$P$40:$P$48,'316'!$P$50:$P$59,'316'!$P$61,'316'!$P$63,'316'!$P$65,'316'!$P$67,'316'!$P$69,'316'!$P$71:$P$72,'316'!$P$74,'316'!$P$76:$P$78,'316'!$P$80,'316'!$P$82:$P$87,'316'!$P$89,'316'!$P$91,'316'!$P$93,'316'!$P$95</definedName>
    <definedName name="OSRRefP21x_0" localSheetId="71">'317'!$P$63:$P$72,'317'!$P$74:$P$83,'317'!$P$85,'317'!$P$87,'317'!$P$89:$P$90,'317'!$P$92,'317'!$P$94,'317'!$P$96:$P$97,'317'!$P$99,'317'!$P$101:$P$108,'317'!$P$110:$P$111,'317'!$P$113,'317'!$P$115:$P$118,'317'!$P$120,'317'!$P$122,'317'!$P$124:$P$125</definedName>
    <definedName name="OSRRefP21x_0" localSheetId="72">'318'!$P$19:$P$25,'318'!$P$27:$P$30,'318'!$P$32,'318'!$P$34,'318'!$P$36,'318'!$P$38,'318'!$P$40,'318'!$P$42,'318'!$P$44</definedName>
    <definedName name="OSRRefP21x_0" localSheetId="73">'320'!$P$35:$P$42,'320'!$P$44:$P$50,'320'!$P$52,'320'!$P$54,'320'!$P$56,'320'!$P$58:$P$59,'320'!$P$61,'320'!$P$63:$P$66,'320'!$P$68:$P$69,'320'!$P$71:$P$73,'320'!$P$75,'320'!$P$77,'320'!$P$79</definedName>
    <definedName name="OSRRefP21x_0" localSheetId="74">'321'!$P$26:$P$34,'321'!$P$36:$P$45,'321'!$P$47,'321'!$P$49,'321'!$P$51,'321'!$P$53,'321'!$P$55,'321'!$P$57:$P$58,'321'!$P$60,'321'!$P$62:$P$64,'321'!$P$66:$P$67,'321'!$P$69:$P$71,'321'!$P$73:$P$74,'321'!$P$76:$P$83,'321'!$P$85:$P$86,'321'!$P$88,'321'!$P$90:$P$91,'321'!$P$93</definedName>
    <definedName name="OSRRefP21x_0" localSheetId="75">'322'!$P$25:$P$33,'322'!$P$35:$P$44,'322'!$P$46,'322'!$P$48,'322'!$P$50,'322'!$P$52,'322'!$P$54,'322'!$P$56,'322'!$P$58,'322'!$P$60,'322'!$P$62,'322'!$P$64,'322'!$P$66:$P$67,'322'!$P$69:$P$71,'322'!$P$73:$P$74,'322'!$P$76:$P$84,'322'!$P$86,'322'!$P$88,'322'!$P$90:$P$92,'322'!$P$94</definedName>
    <definedName name="OSRRefP21x_0" localSheetId="76">'323'!$P$21:$P$27,'323'!$P$29:$P$31,'323'!$P$33,'323'!$P$35,'323'!$P$37,'323'!$P$39,'323'!$P$41,'323'!$P$43:$P$45</definedName>
    <definedName name="OSRRefP21x_0" localSheetId="77">'324'!$P$26:$P$33,'324'!$P$35:$P$44,'324'!$P$46,'324'!$P$48</definedName>
    <definedName name="OSRRefP21x_0" localSheetId="78">'325'!$P$26:$P$34,'325'!$P$36:$P$45,'325'!$P$47,'325'!$P$49,'325'!$P$51,'325'!$P$53:$P$54,'325'!$P$56,'325'!$P$58,'325'!$P$60,'325'!$P$62,'325'!$P$64,'325'!$P$66,'325'!$P$68:$P$71,'325'!$P$73:$P$76,'325'!$P$78:$P$79,'325'!$P$81:$P$88,'325'!$P$90:$P$91,'325'!$P$93,'325'!$P$95,'325'!$P$97</definedName>
    <definedName name="OSRRefP21x_0" localSheetId="79">'326'!$P$94:$P$102,'326'!$P$104:$P$113,'326'!$P$115,'326'!$P$117,'326'!$P$119,'326'!$P$121:$P$122,'326'!$P$124:$P$125,'326'!$P$127,'326'!$P$129:$P$130,'326'!$P$132:$P$133,'326'!$P$135,'326'!$P$137:$P$157,'326'!$P$159,'326'!$P$161,'326'!$P$163:$P$165,'326'!$P$167:$P$169,'326'!$P$171:$P$172,'326'!$P$174:$P$181,'326'!$P$183:$P$184,'326'!$P$186,'326'!$P$188:$P$190,'326'!$P$192</definedName>
    <definedName name="OSRRefP21x_0" localSheetId="80">'327'!$P$25,'327'!$P$27,'327'!$P$29</definedName>
    <definedName name="OSRRefP21x_0" localSheetId="26">'330'!$P$108:$P$117,'330'!$P$119:$P$128,'330'!$P$130,'330'!$P$132,'330'!$P$134,'330'!$P$136:$P$137,'330'!$P$139,'330'!$P$141:$P$142,'330'!$P$144,'330'!$P$146:$P$169,'330'!$P$171,'330'!$P$173,'330'!$P$175:$P$176,'330'!$P$178:$P$179,'330'!$P$181,'330'!$P$183:$P$189,'330'!$P$191:$P$192,'330'!$P$194,'330'!$P$196</definedName>
    <definedName name="OSRRefP21x_0" localSheetId="32">'331'!$P$105:$P$113,'331'!$P$115:$P$124,'331'!$P$126,'331'!$P$128,'331'!$P$130,'331'!$P$132:$P$133,'331'!$P$135:$P$136,'331'!$P$138,'331'!$P$140:$P$141,'331'!$P$143:$P$144,'331'!$P$146,'331'!$P$148:$P$168,'331'!$P$170,'331'!$P$172,'331'!$P$174:$P$177,'331'!$P$179:$P$181,'331'!$P$183:$P$185,'331'!$P$187:$P$188,'331'!$P$190:$P$198,'331'!$P$200:$P$201,'331'!$P$203,'331'!$P$205:$P$207,'331'!$P$209</definedName>
    <definedName name="OSRRefP21x_0" localSheetId="35">'332'!$P$57:$P$65,'332'!$P$67:$P$76,'332'!$P$78,'332'!$P$80,'332'!$P$82,'332'!$P$84,'332'!$P$86,'332'!$P$88:$P$89,'332'!$P$91,'332'!$P$93:$P$96,'332'!$P$98:$P$100,'332'!$P$102:$P$103,'332'!$P$105:$P$110,'332'!$P$112,'332'!$P$114,'332'!$P$116,'332'!$P$118</definedName>
    <definedName name="OSRRefP21x_0" localSheetId="81">'335'!$P$19:$P$26,'335'!$P$28:$P$32,'335'!$P$34,'335'!$P$36,'335'!$P$38,'335'!$P$40:$P$41,'335'!$P$43:$P$45,'335'!$P$47,'335'!$P$49,'335'!$P$51:$P$52</definedName>
    <definedName name="OSRRefP21x_0" localSheetId="82">'405'!$P$27:$P$36,'405'!$P$38:$P$47,'405'!$P$49,'405'!$P$51,'405'!$P$53,'405'!$P$55:$P$56,'405'!$P$58,'405'!$P$60,'405'!$P$62,'405'!$P$64,'405'!$P$66:$P$68,'405'!$P$70,'405'!$P$72:$P$75,'405'!$P$77:$P$78,'405'!$P$80:$P$89,'405'!$P$91,'405'!$P$93,'405'!$P$95,'405'!$P$97</definedName>
    <definedName name="OSRRefP21x_0" localSheetId="83">'406'!$P$23:$P$30,'406'!$P$32:$P$37,'406'!$P$39,'406'!$P$41,'406'!$P$43,'406'!$P$45,'406'!$P$47,'406'!$P$49,'406'!$P$51,'406'!$P$53,'406'!$P$55:$P$57,'406'!$P$59,'406'!$P$61:$P$63,'406'!$P$65:$P$70,'406'!$P$72,'406'!$P$74,'406'!$P$76:$P$77</definedName>
    <definedName name="OSRRefP21x_0" localSheetId="84">'411'!$P$19:$P$28,'411'!$P$30:$P$39,'411'!$P$41,'411'!$P$43,'411'!$P$45,'411'!$P$47:$P$50,'411'!$P$52,'411'!$P$54,'411'!$P$56,'411'!$P$58,'411'!$P$60,'411'!$P$62,'411'!$P$64,'411'!$P$66,'411'!$P$68:$P$71,'411'!$P$73,'411'!$P$75:$P$79,'411'!$P$81:$P$82,'411'!$P$84:$P$93,'411'!$P$95,'411'!$P$97,'411'!$P$99:$P$101,'411'!$P$103</definedName>
    <definedName name="OSRRefP21x_0" localSheetId="85">'412'!$P$27:$P$36,'412'!$P$38:$P$47,'412'!$P$49,'412'!$P$51,'412'!$P$53,'412'!$P$55:$P$56,'412'!$P$58,'412'!$P$60,'412'!$P$62,'412'!$P$64,'412'!$P$66,'412'!$P$68:$P$70,'412'!$P$72,'412'!$P$74:$P$78,'412'!$P$80:$P$89,'412'!$P$91:$P$92,'412'!$P$94,'412'!$P$96:$P$97,'412'!$P$99</definedName>
    <definedName name="OSRRefP21x_0" localSheetId="86">'413'!$P$26:$P$35,'413'!$P$37:$P$46,'413'!$P$48,'413'!$P$50,'413'!$P$52,'413'!$P$54,'413'!$P$56,'413'!$P$58,'413'!$P$60:$P$63,'413'!$P$65:$P$67,'413'!$P$69:$P$78,'413'!$P$80:$P$81,'413'!$P$83,'413'!$P$85:$P$86</definedName>
    <definedName name="OSRRefP21x_0" localSheetId="87">'414'!$P$26:$P$34,'414'!$P$36:$P$45,'414'!$P$47,'414'!$P$49,'414'!$P$51,'414'!$P$53,'414'!$P$55,'414'!$P$57,'414'!$P$59,'414'!$P$61,'414'!$P$63:$P$64,'414'!$P$66,'414'!$P$68:$P$70,'414'!$P$72,'414'!$P$74:$P$82,'414'!$P$84,'414'!$P$86,'414'!$P$88</definedName>
    <definedName name="OSRRefP21x_0" localSheetId="88">'415'!$P$26:$P$35,'415'!$P$37:$P$46,'415'!$P$48,'415'!$P$50,'415'!$P$52,'415'!$P$54:$P$55,'415'!$P$57,'415'!$P$59,'415'!$P$61,'415'!$P$63,'415'!$P$65,'415'!$P$67:$P$70,'415'!$P$72,'415'!$P$74:$P$78,'415'!$P$80:$P$81,'415'!$P$83:$P$91,'415'!$P$93:$P$94,'415'!$P$96,'415'!$P$98:$P$99,'415'!$P$101</definedName>
    <definedName name="OSRRefP21x_0" localSheetId="89">'418'!$P$26:$P$34,'418'!$P$36:$P$45,'418'!$P$47,'418'!$P$49,'418'!$P$51,'418'!$P$53:$P$54,'418'!$P$56,'418'!$P$58,'418'!$P$60,'418'!$P$62,'418'!$P$64,'418'!$P$66:$P$67,'418'!$P$69:$P$72,'418'!$P$74:$P$77,'418'!$P$79:$P$80,'418'!$P$82:$P$92,'418'!$P$94:$P$95,'418'!$P$97,'418'!$P$99:$P$100,'418'!$P$102</definedName>
    <definedName name="OSRRefP21x_0" localSheetId="90">'420'!$P$23:$P$30,'420'!$P$32:$P$35,'420'!$P$37,'420'!$P$39,'420'!$P$41,'420'!$P$43,'420'!$P$45,'420'!$P$47:$P$48,'420'!$P$50</definedName>
    <definedName name="OSRRefP21x_0" localSheetId="91">'423'!$P$20:$P$28,'423'!$P$30:$P$39,'423'!$P$41,'423'!$P$43,'423'!$P$45,'423'!$P$47,'423'!$P$49,'423'!$P$51:$P$53,'423'!$P$55,'423'!$P$57,'423'!$P$59,'423'!$P$61,'423'!$P$63</definedName>
    <definedName name="OSRRefP21x_0" localSheetId="92">'424'!$P$25:$P$31,'424'!$P$33:$P$38,'424'!$P$40,'424'!$P$42,'424'!$P$44,'424'!$P$46,'424'!$P$48,'424'!$P$50,'424'!$P$52,'424'!$P$54:$P$55,'424'!$P$57,'424'!$P$59:$P$61,'424'!$P$63:$P$69,'424'!$P$71</definedName>
    <definedName name="OSRRefP21x_0" localSheetId="93">'425'!$P$26:$P$34,'425'!$P$36:$P$41,'425'!$P$43,'425'!$P$45:$P$46,'425'!$P$48,'425'!$P$50:$P$51,'425'!$P$53,'425'!$P$55,'425'!$P$57,'425'!$P$59:$P$62,'425'!$P$64,'425'!$P$66:$P$69,'425'!$P$71:$P$72,'425'!$P$74:$P$81,'425'!$P$83,'425'!$P$85,'425'!$P$87:$P$89</definedName>
    <definedName name="OSRRefP21x_0" localSheetId="94">'430'!$P$19:$P$27,'430'!$P$29:$P$38,'430'!$P$40,'430'!$P$42,'430'!$P$44,'430'!$P$46,'430'!$P$48,'430'!$P$50,'430'!$P$52:$P$56,'430'!$P$58:$P$59,'430'!$P$61,'430'!$P$63:$P$64</definedName>
    <definedName name="OSRRefP21x_0" localSheetId="95">'433'!$P$28:$P$37,'433'!$P$39:$P$48,'433'!$P$50,'433'!$P$52,'433'!$P$54,'433'!$P$56,'433'!$P$58,'433'!$P$60,'433'!$P$62,'433'!$P$64,'433'!$P$66,'433'!$P$68,'433'!$P$70,'433'!$P$72:$P$74,'433'!$P$76:$P$79,'433'!$P$81,'433'!$P$83:$P$91,'433'!$P$93,'433'!$P$95,'433'!$P$97:$P$98,'433'!$P$100</definedName>
    <definedName name="OSRRefP21x_0" localSheetId="96">'435'!$P$24:$P$26,'435'!$P$28:$P$31,'435'!$P$33,'435'!$P$35,'435'!$P$37,'435'!$P$39,'435'!$P$41,'435'!$P$43,'435'!$P$45,'435'!$P$47:$P$48,'435'!$P$50:$P$56,'435'!$P$58,'435'!$P$60,'435'!$P$62</definedName>
    <definedName name="OSRRefP21x_0" localSheetId="97">'444'!$P$26:$P$35,'444'!$P$37:$P$46,'444'!$P$48,'444'!$P$50,'444'!$P$52,'444'!$P$54,'444'!$P$56,'444'!$P$58,'444'!$P$60,'444'!$P$62,'444'!$P$64,'444'!$P$66,'444'!$P$68,'444'!$P$70:$P$73,'444'!$P$75:$P$78,'444'!$P$80:$P$81,'444'!$P$83:$P$92,'444'!$P$94:$P$95,'444'!$P$97,'444'!$P$99,'444'!$P$101</definedName>
    <definedName name="OSRRefP21x_0" localSheetId="98">'445'!$P$24:$P$26,'445'!$P$28:$P$30,'445'!$P$32,'445'!$P$34,'445'!$P$36,'445'!$P$38,'445'!$P$40,'445'!$P$42,'445'!$P$44:$P$45,'445'!$P$47,'445'!$P$49:$P$52,'445'!$P$54,'445'!$P$56,'445'!$P$58</definedName>
    <definedName name="OSRRefP21x_0" localSheetId="99">'450'!$P$26:$P$35,'450'!$P$37:$P$46,'450'!$P$48,'450'!$P$50,'450'!$P$52,'450'!$P$54:$P$55,'450'!$P$57,'450'!$P$59,'450'!$P$61,'450'!$P$63,'450'!$P$65,'450'!$P$67,'450'!$P$69:$P$71,'450'!$P$73:$P$76,'450'!$P$78,'450'!$P$80:$P$89,'450'!$P$91:$P$92,'450'!$P$94,'450'!$P$96:$P$98</definedName>
    <definedName name="OSRRefP21x_0" localSheetId="100">'455'!$P$19:$P$26,'455'!$P$28:$P$29,'455'!$P$31,'455'!$P$33</definedName>
    <definedName name="OSRRefP21x_0" localSheetId="41">'491'!$P$37:$P$46,'491'!$P$48:$P$57,'491'!$P$59,'491'!$P$61:$P$62,'491'!$P$64,'491'!$P$66:$P$69,'491'!$P$71:$P$72,'491'!$P$74,'491'!$P$76,'491'!$P$78,'491'!$P$80,'491'!$P$82:$P$83,'491'!$P$85,'491'!$P$87,'491'!$P$89,'491'!$P$91,'491'!$P$93,'491'!$P$95:$P$98,'491'!$P$100:$P$101,'491'!$P$103:$P$107,'491'!$P$109:$P$110,'491'!$P$112:$P$122,'491'!$P$124:$P$125,'491'!$P$127,'491'!$P$129:$P$131,'491'!$P$133</definedName>
    <definedName name="OSRRefP21x_0" localSheetId="44">'492'!$P$30:$P$39,'492'!$P$41:$P$50,'492'!$P$52,'492'!$P$54,'492'!$P$56,'492'!$P$58:$P$59,'492'!$P$61,'492'!$P$63,'492'!$P$65,'492'!$P$67,'492'!$P$69,'492'!$P$71,'492'!$P$73,'492'!$P$75:$P$76,'492'!$P$78,'492'!$P$80:$P$83,'492'!$P$85:$P$88,'492'!$P$90:$P$91,'492'!$P$93:$P$102,'492'!$P$104:$P$105,'492'!$P$107,'492'!$P$109:$P$111,'492'!$P$113</definedName>
    <definedName name="OSRRefP21x_0" localSheetId="101">'501'!$P$21:$P$29,'501'!$P$31:$P$40,'501'!$P$42,'501'!$P$44,'501'!$P$46,'501'!$P$48,'501'!$P$50:$P$51,'501'!$P$53,'501'!$P$55,'501'!$P$57,'501'!$P$59,'501'!$P$61:$P$64,'501'!$P$66,'501'!$P$68:$P$71,'501'!$P$73,'501'!$P$75,'501'!$P$77</definedName>
    <definedName name="OSRRefP21x_0" localSheetId="8">'Div 2'!$P$20:$P$30,'Div 2'!$P$32:$P$41,'Div 2'!$P$43,'Div 2'!$P$45,'Div 2'!$P$47,'Div 2'!$P$49,'Div 2'!$P$51:$P$52,'Div 2'!$P$54:$P$55,'Div 2'!$P$57,'Div 2'!$P$59,'Div 2'!$P$61:$P$62,'Div 2'!$P$64:$P$65,'Div 2'!$P$67:$P$68,'Div 2'!$P$70,'Div 2'!$P$72:$P$75,'Div 2'!$P$77:$P$80,'Div 2'!$P$82:$P$83,'Div 2'!$P$85:$P$86,'Div 2'!$P$88:$P$94,'Div 2'!$P$96:$P$97,'Div 2'!$P$99,'Div 2'!$P$101:$P$102</definedName>
    <definedName name="OSRRefP21x_0" localSheetId="11">'Div 3'!$P$209:$P$218,'Div 3'!$P$220:$P$229,'Div 3'!$P$231,'Div 3'!$P$233:$P$235,'Div 3'!$P$237,'Div 3'!$P$239:$P$242,'Div 3'!$P$244:$P$245,'Div 3'!$P$247:$P$248,'Div 3'!$P$250,'Div 3'!$P$252,'Div 3'!$P$254:$P$255,'Div 3'!$P$257:$P$259,'Div 3'!$P$261,'Div 3'!$P$263,'Div 3'!$P$265:$P$301,'Div 3'!$P$303:$P$304,'Div 3'!$P$306,'Div 3'!$P$308:$P$311,'Div 3'!$P$313:$P$317,'Div 3'!$P$319:$P$324,'Div 3'!$P$326:$P$327,'Div 3'!$P$329:$P$338,'Div 3'!$P$340:$P$341,'Div 3'!$P$343,'Div 3'!$P$345:$P$347,'Div 3'!$P$349</definedName>
    <definedName name="OSRRefP21x_0" localSheetId="14">'Div 4'!$P$38:$P$47,'Div 4'!$P$49:$P$58,'Div 4'!$P$60,'Div 4'!$P$62:$P$63,'Div 4'!$P$65,'Div 4'!$P$67:$P$70,'Div 4'!$P$72:$P$73,'Div 4'!$P$75,'Div 4'!$P$77,'Div 4'!$P$79,'Div 4'!$P$81,'Div 4'!$P$83:$P$84,'Div 4'!$P$86,'Div 4'!$P$88,'Div 4'!$P$90:$P$91,'Div 4'!$P$93,'Div 4'!$P$95,'Div 4'!$P$97:$P$100,'Div 4'!$P$102:$P$103,'Div 4'!$P$105:$P$109,'Div 4'!$P$111:$P$112,'Div 4'!$P$114:$P$124,'Div 4'!$P$126:$P$127,'Div 4'!$P$129,'Div 4'!$P$131:$P$133,'Div 4'!$P$135</definedName>
    <definedName name="OSRRefP21x_0" localSheetId="47">'Div 5'!$P$21:$P$29,'Div 5'!$P$31:$P$40,'Div 5'!$P$42,'Div 5'!$P$44,'Div 5'!$P$46,'Div 5'!$P$48,'Div 5'!$P$50:$P$51,'Div 5'!$P$53,'Div 5'!$P$55,'Div 5'!$P$57,'Div 5'!$P$59,'Div 5'!$P$61:$P$64,'Div 5'!$P$66,'Div 5'!$P$68:$P$71,'Div 5'!$P$73,'Div 5'!$P$75,'Div 5'!$P$77</definedName>
    <definedName name="OSRRefP21x_0" localSheetId="50">'Div 6'!$P$63:$P$72,'Div 6'!$P$74:$P$83,'Div 6'!$P$85,'Div 6'!$P$87,'Div 6'!$P$89:$P$90,'Div 6'!$P$92,'Div 6'!$P$94,'Div 6'!$P$96:$P$97,'Div 6'!$P$99,'Div 6'!$P$101:$P$108,'Div 6'!$P$110:$P$111,'Div 6'!$P$113,'Div 6'!$P$115:$P$118,'Div 6'!$P$120,'Div 6'!$P$122,'Div 6'!$P$124:$P$125</definedName>
    <definedName name="OSRRefP21x_0" localSheetId="2">Summary!$P$245:$P$254,Summary!$P$256:$P$265,Summary!$P$267,Summary!$P$269:$P$271,Summary!$P$273,Summary!$P$275:$P$278,Summary!$P$280:$P$281,Summary!$P$283:$P$284,Summary!$P$286,Summary!$P$288,Summary!$P$290:$P$291,Summary!$P$293:$P$295,Summary!$P$297,Summary!$P$299,Summary!$P$301:$P$340,Summary!$P$342:$P$343,Summary!$P$345,Summary!$P$347,Summary!$P$349:$P$352,Summary!$P$354:$P$358,Summary!$P$360:$P$365,Summary!$P$367:$P$368,Summary!$P$370:$P$380,Summary!$P$382:$P$383,Summary!$P$385,Summary!$P$387:$P$389,Summary!$P$391</definedName>
    <definedName name="OSRRefP24x_0" localSheetId="56">'202'!$P$79:$P$81</definedName>
    <definedName name="OSRRefP24x_0" localSheetId="17">'300'!$P$343:$P$358</definedName>
    <definedName name="OSRRefP24x_0" localSheetId="20">'300 &amp; 317'!$P$371:$P$390</definedName>
    <definedName name="OSRRefP24x_0" localSheetId="61">'301'!$P$112:$P$114</definedName>
    <definedName name="OSRRefP24x_0" localSheetId="63">'307'!$P$189</definedName>
    <definedName name="OSRRefP24x_0" localSheetId="29">'308'!$P$167:$P$170</definedName>
    <definedName name="OSRRefP24x_0" localSheetId="64">'309'!$P$89</definedName>
    <definedName name="OSRRefP24x_0" localSheetId="23">'310'!$P$127</definedName>
    <definedName name="OSRRefP24x_0" localSheetId="38">'310 &amp; 491'!$P$150:$P$153</definedName>
    <definedName name="OSRRefP24x_0" localSheetId="65">'311'!$P$145:$P$148</definedName>
    <definedName name="OSRRefP24x_0" localSheetId="66">'312'!$P$101</definedName>
    <definedName name="OSRRefP24x_0" localSheetId="68">'314'!$P$117</definedName>
    <definedName name="OSRRefP24x_0" localSheetId="69">'315'!$P$133:$P$135</definedName>
    <definedName name="OSRRefP24x_0" localSheetId="70">'316'!$P$98</definedName>
    <definedName name="OSRRefP24x_0" localSheetId="71">'317'!$P$128:$P$133</definedName>
    <definedName name="OSRRefP24x_0" localSheetId="73">'320'!$P$82:$P$93</definedName>
    <definedName name="OSRRefP24x_0" localSheetId="26">'330'!$P$199</definedName>
    <definedName name="OSRRefP24x_0" localSheetId="32">'331'!$P$212:$P$214</definedName>
    <definedName name="OSRRefP24x_0" localSheetId="35">'332'!$P$121:$P$133</definedName>
    <definedName name="OSRRefP24x_0" localSheetId="84">'411'!$P$106:$P$107</definedName>
    <definedName name="OSRRefP24x_0" localSheetId="86">'413'!$P$89</definedName>
    <definedName name="OSRRefP24x_0" localSheetId="88">'415'!$P$104</definedName>
    <definedName name="OSRRefP24x_0" localSheetId="89">'418'!$P$105</definedName>
    <definedName name="OSRRefP24x_0" localSheetId="91">'423'!$P$66:$P$68</definedName>
    <definedName name="OSRRefP24x_0" localSheetId="92">'424'!$P$74</definedName>
    <definedName name="OSRRefP24x_0" localSheetId="93">'425'!$P$92</definedName>
    <definedName name="OSRRefP24x_0" localSheetId="100">'455'!$P$36:$P$38</definedName>
    <definedName name="OSRRefP24x_0" localSheetId="41">'491'!$P$136:$P$139</definedName>
    <definedName name="OSRRefP24x_0" localSheetId="101">'501'!$P$80:$P$82</definedName>
    <definedName name="OSRRefP24x_0" localSheetId="8">'Div 2'!$P$105:$P$107</definedName>
    <definedName name="OSRRefP24x_0" localSheetId="11">'Div 3'!$P$352:$P$367</definedName>
    <definedName name="OSRRefP24x_0" localSheetId="14">'Div 4'!$P$138:$P$141</definedName>
    <definedName name="OSRRefP24x_0" localSheetId="47">'Div 5'!$P$80:$P$82</definedName>
    <definedName name="OSRRefP24x_0" localSheetId="50">'Div 6'!$P$128:$P$133</definedName>
    <definedName name="OSRRefP24x_0" localSheetId="2">Summary!$P$394:$P$414</definedName>
    <definedName name="OSRRefR11x_0" localSheetId="55">'201'!$R$11</definedName>
    <definedName name="OSRRefR11x_0" localSheetId="56">'202'!$R$11</definedName>
    <definedName name="OSRRefR11x_0" localSheetId="17">'300'!$R$11:$R$133</definedName>
    <definedName name="OSRRefR11x_0" localSheetId="20">'300 &amp; 317'!$R$11:$R$151</definedName>
    <definedName name="OSRRefR11x_0" localSheetId="63">'307'!$R$11:$R$60</definedName>
    <definedName name="OSRRefR11x_0" localSheetId="29">'308'!$R$11:$R$54</definedName>
    <definedName name="OSRRefR11x_0" localSheetId="64">'309'!$R$11:$R$13</definedName>
    <definedName name="OSRRefR11x_0" localSheetId="23">'310'!$R$11:$R$27</definedName>
    <definedName name="OSRRefR11x_0" localSheetId="38">'310 &amp; 491'!$R$11:$R$36</definedName>
    <definedName name="OSRRefR11x_0" localSheetId="65">'311'!$R$11:$R$43</definedName>
    <definedName name="OSRRefR11x_0" localSheetId="66">'312'!$R$11:$R$34</definedName>
    <definedName name="OSRRefR11x_0" localSheetId="67">'313'!$R$11:$R$23</definedName>
    <definedName name="OSRRefR11x_0" localSheetId="68">'314'!$R$11:$R$35</definedName>
    <definedName name="OSRRefR11x_0" localSheetId="69">'315'!$R$11:$R$32</definedName>
    <definedName name="OSRRefR11x_0" localSheetId="70">'316'!$R$11:$R$30</definedName>
    <definedName name="OSRRefR11x_0" localSheetId="71">'317'!$R$11:$R$38</definedName>
    <definedName name="OSRRefR11x_0" localSheetId="73">'320'!$R$11:$R$20</definedName>
    <definedName name="OSRRefR11x_0" localSheetId="74">'321'!$R$11:$R$14</definedName>
    <definedName name="OSRRefR11x_0" localSheetId="75">'322'!$R$11:$R$13</definedName>
    <definedName name="OSRRefR11x_0" localSheetId="76">'323'!$R$11:$R$12</definedName>
    <definedName name="OSRRefR11x_0" localSheetId="77">'324'!$R$11:$R$14</definedName>
    <definedName name="OSRRefR11x_0" localSheetId="78">'325'!$R$11:$R$14</definedName>
    <definedName name="OSRRefR11x_0" localSheetId="79">'326'!$R$11:$R$55</definedName>
    <definedName name="OSRRefR11x_0" localSheetId="80">'327'!$R$11:$R$13</definedName>
    <definedName name="OSRRefR11x_0" localSheetId="26">'330'!$R$11:$R$66</definedName>
    <definedName name="OSRRefR11x_0" localSheetId="32">'331'!$R$11:$R$61</definedName>
    <definedName name="OSRRefR11x_0" localSheetId="35">'332'!$R$11:$R$41</definedName>
    <definedName name="OSRRefR11x_0" localSheetId="82">'405'!$R$11:$R$15</definedName>
    <definedName name="OSRRefR11x_0" localSheetId="83">'406'!$R$11:$R$12</definedName>
    <definedName name="OSRRefR11x_0" localSheetId="85">'412'!$R$11:$R$14</definedName>
    <definedName name="OSRRefR11x_0" localSheetId="86">'413'!$R$11:$R$14</definedName>
    <definedName name="OSRRefR11x_0" localSheetId="87">'414'!$R$11:$R$14</definedName>
    <definedName name="OSRRefR11x_0" localSheetId="88">'415'!$R$11:$R$14</definedName>
    <definedName name="OSRRefR11x_0" localSheetId="89">'418'!$R$11:$R$14</definedName>
    <definedName name="OSRRefR11x_0" localSheetId="90">'420'!$R$11:$R$12</definedName>
    <definedName name="OSRRefR11x_0" localSheetId="92">'424'!$R$11:$R$14</definedName>
    <definedName name="OSRRefR11x_0" localSheetId="93">'425'!$R$11:$R$15</definedName>
    <definedName name="OSRRefR11x_0" localSheetId="95">'433'!$R$11:$R$16</definedName>
    <definedName name="OSRRefR11x_0" localSheetId="96">'435'!$R$11:$R$13</definedName>
    <definedName name="OSRRefR11x_0" localSheetId="97">'444'!$R$11:$R$14</definedName>
    <definedName name="OSRRefR11x_0" localSheetId="98">'445'!$R$11:$R$13</definedName>
    <definedName name="OSRRefR11x_0" localSheetId="99">'450'!$R$11:$R$14</definedName>
    <definedName name="OSRRefR11x_0" localSheetId="41">'491'!$R$11:$R$24</definedName>
    <definedName name="OSRRefR11x_0" localSheetId="44">'492'!$R$11:$R$18</definedName>
    <definedName name="OSRRefR11x_0" localSheetId="101">'501'!$R$11:$R$12</definedName>
    <definedName name="OSRRefR11x_0" localSheetId="8">'Div 2'!$R$11</definedName>
    <definedName name="OSRRefR11x_0" localSheetId="11">'Div 3'!$R$11:$R$136</definedName>
    <definedName name="OSRRefR11x_0" localSheetId="14">'Div 4'!$R$11:$R$25</definedName>
    <definedName name="OSRRefR11x_0" localSheetId="47">'Div 5'!$R$11:$R$12</definedName>
    <definedName name="OSRRefR11x_0" localSheetId="50">'Div 6'!$R$11:$R$38</definedName>
    <definedName name="OSRRefR11x_0" localSheetId="2">Summary!$R$11:$R$164</definedName>
    <definedName name="OSRRefR14x_0" localSheetId="17">'300'!$R$136:$R$197</definedName>
    <definedName name="OSRRefR14x_0" localSheetId="20">'300 &amp; 317'!$R$154:$R$222</definedName>
    <definedName name="OSRRefR14x_0" localSheetId="61">'301'!$R$13</definedName>
    <definedName name="OSRRefR14x_0" localSheetId="63">'307'!$R$63:$R$93</definedName>
    <definedName name="OSRRefR14x_0" localSheetId="29">'308'!$R$57:$R$82</definedName>
    <definedName name="OSRRefR14x_0" localSheetId="64">'309'!$R$16:$R$18</definedName>
    <definedName name="OSRRefR14x_0" localSheetId="23">'310'!$R$30:$R$32</definedName>
    <definedName name="OSRRefR14x_0" localSheetId="38">'310 &amp; 491'!$R$39:$R$42</definedName>
    <definedName name="OSRRefR14x_0" localSheetId="65">'311'!$R$46:$R$64</definedName>
    <definedName name="OSRRefR14x_0" localSheetId="66">'312'!$R$37:$R$51</definedName>
    <definedName name="OSRRefR14x_0" localSheetId="67">'313'!$R$26:$R$28</definedName>
    <definedName name="OSRRefR14x_0" localSheetId="68">'314'!$R$38:$R$54</definedName>
    <definedName name="OSRRefR14x_0" localSheetId="69">'315'!$R$35:$R$50</definedName>
    <definedName name="OSRRefR14x_0" localSheetId="70">'316'!$R$33</definedName>
    <definedName name="OSRRefR14x_0" localSheetId="71">'317'!$R$41:$R$56</definedName>
    <definedName name="OSRRefR14x_0" localSheetId="73">'320'!$R$23:$R$28</definedName>
    <definedName name="OSRRefR14x_0" localSheetId="74">'321'!$R$17:$R$19</definedName>
    <definedName name="OSRRefR14x_0" localSheetId="75">'322'!$R$16:$R$18</definedName>
    <definedName name="OSRRefR14x_0" localSheetId="77">'324'!$R$17:$R$19</definedName>
    <definedName name="OSRRefR14x_0" localSheetId="78">'325'!$R$17:$R$19</definedName>
    <definedName name="OSRRefR14x_0" localSheetId="79">'326'!$R$58:$R$87</definedName>
    <definedName name="OSRRefR14x_0" localSheetId="80">'327'!$R$16:$R$18</definedName>
    <definedName name="OSRRefR14x_0" localSheetId="26">'330'!$R$69:$R$101</definedName>
    <definedName name="OSRRefR14x_0" localSheetId="32">'331'!$R$64:$R$98</definedName>
    <definedName name="OSRRefR14x_0" localSheetId="35">'332'!$R$44:$R$50</definedName>
    <definedName name="OSRRefR14x_0" localSheetId="82">'405'!$R$18:$R$20</definedName>
    <definedName name="OSRRefR14x_0" localSheetId="83">'406'!$R$15:$R$16</definedName>
    <definedName name="OSRRefR14x_0" localSheetId="85">'412'!$R$17:$R$20</definedName>
    <definedName name="OSRRefR14x_0" localSheetId="86">'413'!$R$17:$R$19</definedName>
    <definedName name="OSRRefR14x_0" localSheetId="87">'414'!$R$17:$R$19</definedName>
    <definedName name="OSRRefR14x_0" localSheetId="88">'415'!$R$17:$R$19</definedName>
    <definedName name="OSRRefR14x_0" localSheetId="89">'418'!$R$17:$R$19</definedName>
    <definedName name="OSRRefR14x_0" localSheetId="90">'420'!$R$15:$R$16</definedName>
    <definedName name="OSRRefR14x_0" localSheetId="91">'423'!$R$13</definedName>
    <definedName name="OSRRefR14x_0" localSheetId="92">'424'!$R$17:$R$18</definedName>
    <definedName name="OSRRefR14x_0" localSheetId="93">'425'!$R$18:$R$19</definedName>
    <definedName name="OSRRefR14x_0" localSheetId="95">'433'!$R$19:$R$21</definedName>
    <definedName name="OSRRefR14x_0" localSheetId="96">'435'!$R$16:$R$17</definedName>
    <definedName name="OSRRefR14x_0" localSheetId="97">'444'!$R$17:$R$19</definedName>
    <definedName name="OSRRefR14x_0" localSheetId="98">'445'!$R$16:$R$17</definedName>
    <definedName name="OSRRefR14x_0" localSheetId="99">'450'!$R$17:$R$19</definedName>
    <definedName name="OSRRefR14x_0" localSheetId="41">'491'!$R$27:$R$30</definedName>
    <definedName name="OSRRefR14x_0" localSheetId="44">'492'!$R$21:$R$23</definedName>
    <definedName name="OSRRefR14x_0" localSheetId="11">'Div 3'!$R$139:$R$202</definedName>
    <definedName name="OSRRefR14x_0" localSheetId="14">'Div 4'!$R$28:$R$31</definedName>
    <definedName name="OSRRefR14x_0" localSheetId="50">'Div 6'!$R$41:$R$56</definedName>
    <definedName name="OSRRefR14x_0" localSheetId="2">Summary!$R$167:$R$238</definedName>
    <definedName name="OSRRefR21_0x_0" localSheetId="54">'200'!$R$19:$R$20</definedName>
    <definedName name="OSRRefR21_0x_0" localSheetId="55">'201'!$R$20:$R$28</definedName>
    <definedName name="OSRRefR21_0x_0" localSheetId="56">'202'!$R$20:$R$28</definedName>
    <definedName name="OSRRefR21_0x_0" localSheetId="57">'203'!$R$19:$R$28</definedName>
    <definedName name="OSRRefR21_0x_0" localSheetId="58">'204'!$R$19:$R$28</definedName>
    <definedName name="OSRRefR21_0x_0" localSheetId="59">'205'!$R$19:$R$27</definedName>
    <definedName name="OSRRefR21_0x_0" localSheetId="60">'206'!$R$19:$R$27</definedName>
    <definedName name="OSRRefR21_0x_0" localSheetId="17">'300'!$R$204:$R$213</definedName>
    <definedName name="OSRRefR21_0x_0" localSheetId="20">'300 &amp; 317'!$R$229:$R$238</definedName>
    <definedName name="OSRRefR21_0x_0" localSheetId="61">'301'!$R$20:$R$28</definedName>
    <definedName name="OSRRefR21_0x_0" localSheetId="62">'306'!$R$19:$R$28</definedName>
    <definedName name="OSRRefR21_0x_0" localSheetId="63">'307'!$R$100:$R$108</definedName>
    <definedName name="OSRRefR21_0x_0" localSheetId="29">'308'!$R$89:$R$98</definedName>
    <definedName name="OSRRefR21_0x_0" localSheetId="64">'309'!$R$25:$R$33</definedName>
    <definedName name="OSRRefR21_0x_0" localSheetId="23">'310'!$R$39:$R$47</definedName>
    <definedName name="OSRRefR21_0x_0" localSheetId="38">'310 &amp; 491'!$R$49:$R$58</definedName>
    <definedName name="OSRRefR21_0x_0" localSheetId="65">'311'!$R$71:$R$80</definedName>
    <definedName name="OSRRefR21_0x_0" localSheetId="66">'312'!$R$58:$R$66</definedName>
    <definedName name="OSRRefR21_0x_0" localSheetId="67">'313'!$R$35:$R$43</definedName>
    <definedName name="OSRRefR21_0x_0" localSheetId="68">'314'!$R$61:$R$69</definedName>
    <definedName name="OSRRefR21_0x_0" localSheetId="69">'315'!$R$57:$R$65</definedName>
    <definedName name="OSRRefR21_0x_0" localSheetId="70">'316'!$R$40:$R$48</definedName>
    <definedName name="OSRRefR21_0x_0" localSheetId="71">'317'!$R$63:$R$72</definedName>
    <definedName name="OSRRefR21_0x_0" localSheetId="72">'318'!$R$19:$R$25</definedName>
    <definedName name="OSRRefR21_0x_0" localSheetId="73">'320'!$R$35:$R$42</definedName>
    <definedName name="OSRRefR21_0x_0" localSheetId="74">'321'!$R$26:$R$34</definedName>
    <definedName name="OSRRefR21_0x_0" localSheetId="75">'322'!$R$25:$R$33</definedName>
    <definedName name="OSRRefR21_0x_0" localSheetId="76">'323'!$R$21:$R$27</definedName>
    <definedName name="OSRRefR21_0x_0" localSheetId="77">'324'!$R$26:$R$33</definedName>
    <definedName name="OSRRefR21_0x_0" localSheetId="78">'325'!$R$26:$R$34</definedName>
    <definedName name="OSRRefR21_0x_0" localSheetId="79">'326'!$R$94:$R$102</definedName>
    <definedName name="OSRRefR21_0x_0" localSheetId="80">'327'!$R$25</definedName>
    <definedName name="OSRRefR21_0x_0" localSheetId="26">'330'!$R$108:$R$117</definedName>
    <definedName name="OSRRefR21_0x_0" localSheetId="32">'331'!$R$105:$R$113</definedName>
    <definedName name="OSRRefR21_0x_0" localSheetId="35">'332'!$R$57:$R$65</definedName>
    <definedName name="OSRRefR21_0x_0" localSheetId="81">'335'!$R$19:$R$26</definedName>
    <definedName name="OSRRefR21_0x_0" localSheetId="82">'405'!$R$27:$R$36</definedName>
    <definedName name="OSRRefR21_0x_0" localSheetId="83">'406'!$R$23:$R$30</definedName>
    <definedName name="OSRRefR21_0x_0" localSheetId="84">'411'!$R$19:$R$28</definedName>
    <definedName name="OSRRefR21_0x_0" localSheetId="85">'412'!$R$27:$R$36</definedName>
    <definedName name="OSRRefR21_0x_0" localSheetId="86">'413'!$R$26:$R$35</definedName>
    <definedName name="OSRRefR21_0x_0" localSheetId="87">'414'!$R$26:$R$34</definedName>
    <definedName name="OSRRefR21_0x_0" localSheetId="88">'415'!$R$26:$R$35</definedName>
    <definedName name="OSRRefR21_0x_0" localSheetId="89">'418'!$R$26:$R$34</definedName>
    <definedName name="OSRRefR21_0x_0" localSheetId="90">'420'!$R$23:$R$30</definedName>
    <definedName name="OSRRefR21_0x_0" localSheetId="91">'423'!$R$20:$R$28</definedName>
    <definedName name="OSRRefR21_0x_0" localSheetId="92">'424'!$R$25:$R$31</definedName>
    <definedName name="OSRRefR21_0x_0" localSheetId="93">'425'!$R$26:$R$34</definedName>
    <definedName name="OSRRefR21_0x_0" localSheetId="94">'430'!$R$19:$R$27</definedName>
    <definedName name="OSRRefR21_0x_0" localSheetId="95">'433'!$R$28:$R$37</definedName>
    <definedName name="OSRRefR21_0x_0" localSheetId="96">'435'!$R$24:$R$26</definedName>
    <definedName name="OSRRefR21_0x_0" localSheetId="97">'444'!$R$26:$R$35</definedName>
    <definedName name="OSRRefR21_0x_0" localSheetId="98">'445'!$R$24:$R$26</definedName>
    <definedName name="OSRRefR21_0x_0" localSheetId="99">'450'!$R$26:$R$35</definedName>
    <definedName name="OSRRefR21_0x_0" localSheetId="100">'455'!$R$19:$R$26</definedName>
    <definedName name="OSRRefR21_0x_0" localSheetId="41">'491'!$R$37:$R$46</definedName>
    <definedName name="OSRRefR21_0x_0" localSheetId="44">'492'!$R$30:$R$39</definedName>
    <definedName name="OSRRefR21_0x_0" localSheetId="101">'501'!$R$21:$R$29</definedName>
    <definedName name="OSRRefR21_0x_0" localSheetId="8">'Div 2'!$R$20:$R$30</definedName>
    <definedName name="OSRRefR21_0x_0" localSheetId="11">'Div 3'!$R$209:$R$218</definedName>
    <definedName name="OSRRefR21_0x_0" localSheetId="14">'Div 4'!$R$38:$R$47</definedName>
    <definedName name="OSRRefR21_0x_0" localSheetId="47">'Div 5'!$R$21:$R$29</definedName>
    <definedName name="OSRRefR21_0x_0" localSheetId="50">'Div 6'!$R$63:$R$72</definedName>
    <definedName name="OSRRefR21_0x_0" localSheetId="2">Summary!$R$245:$R$254</definedName>
    <definedName name="OSRRefR21_10x_0" localSheetId="55">'201'!$R$58</definedName>
    <definedName name="OSRRefR21_10x_0" localSheetId="56">'202'!$R$59:$R$61</definedName>
    <definedName name="OSRRefR21_10x_0" localSheetId="57">'203'!$R$60:$R$62</definedName>
    <definedName name="OSRRefR21_10x_0" localSheetId="58">'204'!$R$63:$R$66</definedName>
    <definedName name="OSRRefR21_10x_0" localSheetId="60">'206'!$R$59:$R$60</definedName>
    <definedName name="OSRRefR21_10x_0" localSheetId="17">'300'!$R$249:$R$250</definedName>
    <definedName name="OSRRefR21_10x_0" localSheetId="20">'300 &amp; 317'!$R$274:$R$275</definedName>
    <definedName name="OSRRefR21_10x_0" localSheetId="61">'301'!$R$63</definedName>
    <definedName name="OSRRefR21_10x_0" localSheetId="62">'306'!$R$63</definedName>
    <definedName name="OSRRefR21_10x_0" localSheetId="63">'307'!$R$162</definedName>
    <definedName name="OSRRefR21_10x_0" localSheetId="29">'308'!$R$142:$R$144</definedName>
    <definedName name="OSRRefR21_10x_0" localSheetId="64">'309'!$R$62:$R$63</definedName>
    <definedName name="OSRRefR21_10x_0" localSheetId="23">'310'!$R$78:$R$79</definedName>
    <definedName name="OSRRefR21_10x_0" localSheetId="38">'310 &amp; 491'!$R$92:$R$93</definedName>
    <definedName name="OSRRefR21_10x_0" localSheetId="65">'311'!$R$120:$R$122</definedName>
    <definedName name="OSRRefR21_10x_0" localSheetId="67">'313'!$R$73:$R$75</definedName>
    <definedName name="OSRRefR21_10x_0" localSheetId="68">'314'!$R$105:$R$108</definedName>
    <definedName name="OSRRefR21_10x_0" localSheetId="69">'315'!$R$102</definedName>
    <definedName name="OSRRefR21_10x_0" localSheetId="70">'316'!$R$80</definedName>
    <definedName name="OSRRefR21_10x_0" localSheetId="71">'317'!$R$110:$R$111</definedName>
    <definedName name="OSRRefR21_10x_0" localSheetId="73">'320'!$R$75</definedName>
    <definedName name="OSRRefR21_10x_0" localSheetId="74">'321'!$R$66:$R$67</definedName>
    <definedName name="OSRRefR21_10x_0" localSheetId="75">'322'!$R$62</definedName>
    <definedName name="OSRRefR21_10x_0" localSheetId="78">'325'!$R$64</definedName>
    <definedName name="OSRRefR21_10x_0" localSheetId="79">'326'!$R$135</definedName>
    <definedName name="OSRRefR21_10x_0" localSheetId="26">'330'!$R$171</definedName>
    <definedName name="OSRRefR21_10x_0" localSheetId="32">'331'!$R$146</definedName>
    <definedName name="OSRRefR21_10x_0" localSheetId="35">'332'!$R$98:$R$100</definedName>
    <definedName name="OSRRefR21_10x_0" localSheetId="82">'405'!$R$66:$R$68</definedName>
    <definedName name="OSRRefR21_10x_0" localSheetId="83">'406'!$R$55:$R$57</definedName>
    <definedName name="OSRRefR21_10x_0" localSheetId="84">'411'!$R$60</definedName>
    <definedName name="OSRRefR21_10x_0" localSheetId="85">'412'!$R$66</definedName>
    <definedName name="OSRRefR21_10x_0" localSheetId="86">'413'!$R$69:$R$78</definedName>
    <definedName name="OSRRefR21_10x_0" localSheetId="87">'414'!$R$63:$R$64</definedName>
    <definedName name="OSRRefR21_10x_0" localSheetId="88">'415'!$R$65</definedName>
    <definedName name="OSRRefR21_10x_0" localSheetId="89">'418'!$R$64</definedName>
    <definedName name="OSRRefR21_10x_0" localSheetId="91">'423'!$R$59</definedName>
    <definedName name="OSRRefR21_10x_0" localSheetId="92">'424'!$R$57</definedName>
    <definedName name="OSRRefR21_10x_0" localSheetId="93">'425'!$R$64</definedName>
    <definedName name="OSRRefR21_10x_0" localSheetId="94">'430'!$R$61</definedName>
    <definedName name="OSRRefR21_10x_0" localSheetId="95">'433'!$R$66</definedName>
    <definedName name="OSRRefR21_10x_0" localSheetId="96">'435'!$R$50:$R$56</definedName>
    <definedName name="OSRRefR21_10x_0" localSheetId="97">'444'!$R$64</definedName>
    <definedName name="OSRRefR21_10x_0" localSheetId="98">'445'!$R$49:$R$52</definedName>
    <definedName name="OSRRefR21_10x_0" localSheetId="99">'450'!$R$65</definedName>
    <definedName name="OSRRefR21_10x_0" localSheetId="41">'491'!$R$80</definedName>
    <definedName name="OSRRefR21_10x_0" localSheetId="44">'492'!$R$69</definedName>
    <definedName name="OSRRefR21_10x_0" localSheetId="101">'501'!$R$59</definedName>
    <definedName name="OSRRefR21_10x_0" localSheetId="8">'Div 2'!$R$61:$R$62</definedName>
    <definedName name="OSRRefR21_10x_0" localSheetId="11">'Div 3'!$R$254:$R$255</definedName>
    <definedName name="OSRRefR21_10x_0" localSheetId="14">'Div 4'!$R$81</definedName>
    <definedName name="OSRRefR21_10x_0" localSheetId="47">'Div 5'!$R$59</definedName>
    <definedName name="OSRRefR21_10x_0" localSheetId="50">'Div 6'!$R$110:$R$111</definedName>
    <definedName name="OSRRefR21_10x_0" localSheetId="2">Summary!$R$290:$R$291</definedName>
    <definedName name="OSRRefR21_11x_0" localSheetId="55">'201'!$R$60</definedName>
    <definedName name="OSRRefR21_11x_0" localSheetId="56">'202'!$R$63</definedName>
    <definedName name="OSRRefR21_11x_0" localSheetId="57">'203'!$R$64:$R$65</definedName>
    <definedName name="OSRRefR21_11x_0" localSheetId="58">'204'!$R$68:$R$69</definedName>
    <definedName name="OSRRefR21_11x_0" localSheetId="60">'206'!$R$62</definedName>
    <definedName name="OSRRefR21_11x_0" localSheetId="17">'300'!$R$252:$R$254</definedName>
    <definedName name="OSRRefR21_11x_0" localSheetId="20">'300 &amp; 317'!$R$277:$R$279</definedName>
    <definedName name="OSRRefR21_11x_0" localSheetId="61">'301'!$R$65</definedName>
    <definedName name="OSRRefR21_11x_0" localSheetId="62">'306'!$R$65</definedName>
    <definedName name="OSRRefR21_11x_0" localSheetId="63">'307'!$R$164</definedName>
    <definedName name="OSRRefR21_11x_0" localSheetId="29">'308'!$R$146</definedName>
    <definedName name="OSRRefR21_11x_0" localSheetId="64">'309'!$R$65:$R$67</definedName>
    <definedName name="OSRRefR21_11x_0" localSheetId="23">'310'!$R$81</definedName>
    <definedName name="OSRRefR21_11x_0" localSheetId="38">'310 &amp; 491'!$R$95:$R$97</definedName>
    <definedName name="OSRRefR21_11x_0" localSheetId="65">'311'!$R$124</definedName>
    <definedName name="OSRRefR21_11x_0" localSheetId="67">'313'!$R$77:$R$78</definedName>
    <definedName name="OSRRefR21_11x_0" localSheetId="68">'314'!$R$110</definedName>
    <definedName name="OSRRefR21_11x_0" localSheetId="69">'315'!$R$104:$R$106</definedName>
    <definedName name="OSRRefR21_11x_0" localSheetId="70">'316'!$R$82:$R$87</definedName>
    <definedName name="OSRRefR21_11x_0" localSheetId="71">'317'!$R$113</definedName>
    <definedName name="OSRRefR21_11x_0" localSheetId="73">'320'!$R$77</definedName>
    <definedName name="OSRRefR21_11x_0" localSheetId="74">'321'!$R$69:$R$71</definedName>
    <definedName name="OSRRefR21_11x_0" localSheetId="75">'322'!$R$64</definedName>
    <definedName name="OSRRefR21_11x_0" localSheetId="78">'325'!$R$66</definedName>
    <definedName name="OSRRefR21_11x_0" localSheetId="79">'326'!$R$137:$R$157</definedName>
    <definedName name="OSRRefR21_11x_0" localSheetId="26">'330'!$R$173</definedName>
    <definedName name="OSRRefR21_11x_0" localSheetId="32">'331'!$R$148:$R$168</definedName>
    <definedName name="OSRRefR21_11x_0" localSheetId="35">'332'!$R$102:$R$103</definedName>
    <definedName name="OSRRefR21_11x_0" localSheetId="82">'405'!$R$70</definedName>
    <definedName name="OSRRefR21_11x_0" localSheetId="83">'406'!$R$59</definedName>
    <definedName name="OSRRefR21_11x_0" localSheetId="84">'411'!$R$62</definedName>
    <definedName name="OSRRefR21_11x_0" localSheetId="85">'412'!$R$68:$R$70</definedName>
    <definedName name="OSRRefR21_11x_0" localSheetId="86">'413'!$R$80:$R$81</definedName>
    <definedName name="OSRRefR21_11x_0" localSheetId="87">'414'!$R$66</definedName>
    <definedName name="OSRRefR21_11x_0" localSheetId="88">'415'!$R$67:$R$70</definedName>
    <definedName name="OSRRefR21_11x_0" localSheetId="89">'418'!$R$66:$R$67</definedName>
    <definedName name="OSRRefR21_11x_0" localSheetId="91">'423'!$R$61</definedName>
    <definedName name="OSRRefR21_11x_0" localSheetId="92">'424'!$R$59:$R$61</definedName>
    <definedName name="OSRRefR21_11x_0" localSheetId="93">'425'!$R$66:$R$69</definedName>
    <definedName name="OSRRefR21_11x_0" localSheetId="94">'430'!$R$63:$R$64</definedName>
    <definedName name="OSRRefR21_11x_0" localSheetId="95">'433'!$R$68</definedName>
    <definedName name="OSRRefR21_11x_0" localSheetId="96">'435'!$R$58</definedName>
    <definedName name="OSRRefR21_11x_0" localSheetId="97">'444'!$R$66</definedName>
    <definedName name="OSRRefR21_11x_0" localSheetId="98">'445'!$R$54</definedName>
    <definedName name="OSRRefR21_11x_0" localSheetId="99">'450'!$R$67</definedName>
    <definedName name="OSRRefR21_11x_0" localSheetId="41">'491'!$R$82:$R$83</definedName>
    <definedName name="OSRRefR21_11x_0" localSheetId="44">'492'!$R$71</definedName>
    <definedName name="OSRRefR21_11x_0" localSheetId="101">'501'!$R$61:$R$64</definedName>
    <definedName name="OSRRefR21_11x_0" localSheetId="8">'Div 2'!$R$64:$R$65</definedName>
    <definedName name="OSRRefR21_11x_0" localSheetId="11">'Div 3'!$R$257:$R$259</definedName>
    <definedName name="OSRRefR21_11x_0" localSheetId="14">'Div 4'!$R$83:$R$84</definedName>
    <definedName name="OSRRefR21_11x_0" localSheetId="47">'Div 5'!$R$61:$R$64</definedName>
    <definedName name="OSRRefR21_11x_0" localSheetId="50">'Div 6'!$R$113</definedName>
    <definedName name="OSRRefR21_11x_0" localSheetId="2">Summary!$R$293:$R$295</definedName>
    <definedName name="OSRRefR21_12x_0" localSheetId="55">'201'!$R$62</definedName>
    <definedName name="OSRRefR21_12x_0" localSheetId="56">'202'!$R$65</definedName>
    <definedName name="OSRRefR21_12x_0" localSheetId="57">'203'!$R$67:$R$71</definedName>
    <definedName name="OSRRefR21_12x_0" localSheetId="58">'204'!$R$71</definedName>
    <definedName name="OSRRefR21_12x_0" localSheetId="60">'206'!$R$64:$R$65</definedName>
    <definedName name="OSRRefR21_12x_0" localSheetId="17">'300'!$R$256</definedName>
    <definedName name="OSRRefR21_12x_0" localSheetId="20">'300 &amp; 317'!$R$281</definedName>
    <definedName name="OSRRefR21_12x_0" localSheetId="61">'301'!$R$67</definedName>
    <definedName name="OSRRefR21_12x_0" localSheetId="62">'306'!$R$67</definedName>
    <definedName name="OSRRefR21_12x_0" localSheetId="63">'307'!$R$166:$R$167</definedName>
    <definedName name="OSRRefR21_12x_0" localSheetId="29">'308'!$R$148:$R$149</definedName>
    <definedName name="OSRRefR21_12x_0" localSheetId="64">'309'!$R$69</definedName>
    <definedName name="OSRRefR21_12x_0" localSheetId="23">'310'!$R$83</definedName>
    <definedName name="OSRRefR21_12x_0" localSheetId="38">'310 &amp; 491'!$R$99</definedName>
    <definedName name="OSRRefR21_12x_0" localSheetId="65">'311'!$R$126:$R$127</definedName>
    <definedName name="OSRRefR21_12x_0" localSheetId="67">'313'!$R$80:$R$81</definedName>
    <definedName name="OSRRefR21_12x_0" localSheetId="68">'314'!$R$112</definedName>
    <definedName name="OSRRefR21_12x_0" localSheetId="69">'315'!$R$108:$R$110</definedName>
    <definedName name="OSRRefR21_12x_0" localSheetId="70">'316'!$R$89</definedName>
    <definedName name="OSRRefR21_12x_0" localSheetId="71">'317'!$R$115:$R$118</definedName>
    <definedName name="OSRRefR21_12x_0" localSheetId="73">'320'!$R$79</definedName>
    <definedName name="OSRRefR21_12x_0" localSheetId="74">'321'!$R$73:$R$74</definedName>
    <definedName name="OSRRefR21_12x_0" localSheetId="75">'322'!$R$66:$R$67</definedName>
    <definedName name="OSRRefR21_12x_0" localSheetId="78">'325'!$R$68:$R$71</definedName>
    <definedName name="OSRRefR21_12x_0" localSheetId="79">'326'!$R$159</definedName>
    <definedName name="OSRRefR21_12x_0" localSheetId="26">'330'!$R$175:$R$176</definedName>
    <definedName name="OSRRefR21_12x_0" localSheetId="32">'331'!$R$170</definedName>
    <definedName name="OSRRefR21_12x_0" localSheetId="35">'332'!$R$105:$R$110</definedName>
    <definedName name="OSRRefR21_12x_0" localSheetId="82">'405'!$R$72:$R$75</definedName>
    <definedName name="OSRRefR21_12x_0" localSheetId="83">'406'!$R$61:$R$63</definedName>
    <definedName name="OSRRefR21_12x_0" localSheetId="84">'411'!$R$64</definedName>
    <definedName name="OSRRefR21_12x_0" localSheetId="85">'412'!$R$72</definedName>
    <definedName name="OSRRefR21_12x_0" localSheetId="86">'413'!$R$83</definedName>
    <definedName name="OSRRefR21_12x_0" localSheetId="87">'414'!$R$68:$R$70</definedName>
    <definedName name="OSRRefR21_12x_0" localSheetId="88">'415'!$R$72</definedName>
    <definedName name="OSRRefR21_12x_0" localSheetId="89">'418'!$R$69:$R$72</definedName>
    <definedName name="OSRRefR21_12x_0" localSheetId="91">'423'!$R$63</definedName>
    <definedName name="OSRRefR21_12x_0" localSheetId="92">'424'!$R$63:$R$69</definedName>
    <definedName name="OSRRefR21_12x_0" localSheetId="93">'425'!$R$71:$R$72</definedName>
    <definedName name="OSRRefR21_12x_0" localSheetId="95">'433'!$R$70</definedName>
    <definedName name="OSRRefR21_12x_0" localSheetId="96">'435'!$R$60</definedName>
    <definedName name="OSRRefR21_12x_0" localSheetId="97">'444'!$R$68</definedName>
    <definedName name="OSRRefR21_12x_0" localSheetId="98">'445'!$R$56</definedName>
    <definedName name="OSRRefR21_12x_0" localSheetId="99">'450'!$R$69:$R$71</definedName>
    <definedName name="OSRRefR21_12x_0" localSheetId="41">'491'!$R$85</definedName>
    <definedName name="OSRRefR21_12x_0" localSheetId="44">'492'!$R$73</definedName>
    <definedName name="OSRRefR21_12x_0" localSheetId="101">'501'!$R$66</definedName>
    <definedName name="OSRRefR21_12x_0" localSheetId="8">'Div 2'!$R$67:$R$68</definedName>
    <definedName name="OSRRefR21_12x_0" localSheetId="11">'Div 3'!$R$261</definedName>
    <definedName name="OSRRefR21_12x_0" localSheetId="14">'Div 4'!$R$86</definedName>
    <definedName name="OSRRefR21_12x_0" localSheetId="47">'Div 5'!$R$66</definedName>
    <definedName name="OSRRefR21_12x_0" localSheetId="50">'Div 6'!$R$115:$R$118</definedName>
    <definedName name="OSRRefR21_12x_0" localSheetId="2">Summary!$R$297</definedName>
    <definedName name="OSRRefR21_13x_0" localSheetId="55">'201'!$R$64:$R$67</definedName>
    <definedName name="OSRRefR21_13x_0" localSheetId="56">'202'!$R$67:$R$69</definedName>
    <definedName name="OSRRefR21_13x_0" localSheetId="57">'203'!$R$73</definedName>
    <definedName name="OSRRefR21_13x_0" localSheetId="58">'204'!$R$73:$R$74</definedName>
    <definedName name="OSRRefR21_13x_0" localSheetId="17">'300'!$R$258:$R$294</definedName>
    <definedName name="OSRRefR21_13x_0" localSheetId="20">'300 &amp; 317'!$R$283:$R$322</definedName>
    <definedName name="OSRRefR21_13x_0" localSheetId="61">'301'!$R$69:$R$70</definedName>
    <definedName name="OSRRefR21_13x_0" localSheetId="63">'307'!$R$169:$R$170</definedName>
    <definedName name="OSRRefR21_13x_0" localSheetId="29">'308'!$R$151:$R$154</definedName>
    <definedName name="OSRRefR21_13x_0" localSheetId="64">'309'!$R$71:$R$79</definedName>
    <definedName name="OSRRefR21_13x_0" localSheetId="23">'310'!$R$85</definedName>
    <definedName name="OSRRefR21_13x_0" localSheetId="38">'310 &amp; 491'!$R$101</definedName>
    <definedName name="OSRRefR21_13x_0" localSheetId="65">'311'!$R$129:$R$132</definedName>
    <definedName name="OSRRefR21_13x_0" localSheetId="67">'313'!$R$83:$R$89</definedName>
    <definedName name="OSRRefR21_13x_0" localSheetId="68">'314'!$R$114</definedName>
    <definedName name="OSRRefR21_13x_0" localSheetId="69">'315'!$R$112:$R$113</definedName>
    <definedName name="OSRRefR21_13x_0" localSheetId="70">'316'!$R$91</definedName>
    <definedName name="OSRRefR21_13x_0" localSheetId="71">'317'!$R$120</definedName>
    <definedName name="OSRRefR21_13x_0" localSheetId="74">'321'!$R$76:$R$83</definedName>
    <definedName name="OSRRefR21_13x_0" localSheetId="75">'322'!$R$69:$R$71</definedName>
    <definedName name="OSRRefR21_13x_0" localSheetId="78">'325'!$R$73:$R$76</definedName>
    <definedName name="OSRRefR21_13x_0" localSheetId="79">'326'!$R$161</definedName>
    <definedName name="OSRRefR21_13x_0" localSheetId="26">'330'!$R$178:$R$179</definedName>
    <definedName name="OSRRefR21_13x_0" localSheetId="32">'331'!$R$172</definedName>
    <definedName name="OSRRefR21_13x_0" localSheetId="35">'332'!$R$112</definedName>
    <definedName name="OSRRefR21_13x_0" localSheetId="82">'405'!$R$77:$R$78</definedName>
    <definedName name="OSRRefR21_13x_0" localSheetId="83">'406'!$R$65:$R$70</definedName>
    <definedName name="OSRRefR21_13x_0" localSheetId="84">'411'!$R$66</definedName>
    <definedName name="OSRRefR21_13x_0" localSheetId="85">'412'!$R$74:$R$78</definedName>
    <definedName name="OSRRefR21_13x_0" localSheetId="86">'413'!$R$85:$R$86</definedName>
    <definedName name="OSRRefR21_13x_0" localSheetId="87">'414'!$R$72</definedName>
    <definedName name="OSRRefR21_13x_0" localSheetId="88">'415'!$R$74:$R$78</definedName>
    <definedName name="OSRRefR21_13x_0" localSheetId="89">'418'!$R$74:$R$77</definedName>
    <definedName name="OSRRefR21_13x_0" localSheetId="92">'424'!$R$71</definedName>
    <definedName name="OSRRefR21_13x_0" localSheetId="93">'425'!$R$74:$R$81</definedName>
    <definedName name="OSRRefR21_13x_0" localSheetId="95">'433'!$R$72:$R$74</definedName>
    <definedName name="OSRRefR21_13x_0" localSheetId="96">'435'!$R$62</definedName>
    <definedName name="OSRRefR21_13x_0" localSheetId="97">'444'!$R$70:$R$73</definedName>
    <definedName name="OSRRefR21_13x_0" localSheetId="98">'445'!$R$58</definedName>
    <definedName name="OSRRefR21_13x_0" localSheetId="99">'450'!$R$73:$R$76</definedName>
    <definedName name="OSRRefR21_13x_0" localSheetId="41">'491'!$R$87</definedName>
    <definedName name="OSRRefR21_13x_0" localSheetId="44">'492'!$R$75:$R$76</definedName>
    <definedName name="OSRRefR21_13x_0" localSheetId="101">'501'!$R$68:$R$71</definedName>
    <definedName name="OSRRefR21_13x_0" localSheetId="8">'Div 2'!$R$70</definedName>
    <definedName name="OSRRefR21_13x_0" localSheetId="11">'Div 3'!$R$263</definedName>
    <definedName name="OSRRefR21_13x_0" localSheetId="14">'Div 4'!$R$88</definedName>
    <definedName name="OSRRefR21_13x_0" localSheetId="47">'Div 5'!$R$68:$R$71</definedName>
    <definedName name="OSRRefR21_13x_0" localSheetId="50">'Div 6'!$R$120</definedName>
    <definedName name="OSRRefR21_13x_0" localSheetId="2">Summary!$R$299</definedName>
    <definedName name="OSRRefR21_14x_0" localSheetId="55">'201'!$R$69:$R$71</definedName>
    <definedName name="OSRRefR21_14x_0" localSheetId="56">'202'!$R$71</definedName>
    <definedName name="OSRRefR21_14x_0" localSheetId="57">'203'!$R$75</definedName>
    <definedName name="OSRRefR21_14x_0" localSheetId="17">'300'!$R$296:$R$297</definedName>
    <definedName name="OSRRefR21_14x_0" localSheetId="20">'300 &amp; 317'!$R$324:$R$325</definedName>
    <definedName name="OSRRefR21_14x_0" localSheetId="61">'301'!$R$72:$R$73</definedName>
    <definedName name="OSRRefR21_14x_0" localSheetId="63">'307'!$R$172</definedName>
    <definedName name="OSRRefR21_14x_0" localSheetId="29">'308'!$R$156:$R$157</definedName>
    <definedName name="OSRRefR21_14x_0" localSheetId="64">'309'!$R$81</definedName>
    <definedName name="OSRRefR21_14x_0" localSheetId="23">'310'!$R$87</definedName>
    <definedName name="OSRRefR21_14x_0" localSheetId="38">'310 &amp; 491'!$R$103</definedName>
    <definedName name="OSRRefR21_14x_0" localSheetId="65">'311'!$R$134:$R$135</definedName>
    <definedName name="OSRRefR21_14x_0" localSheetId="67">'313'!$R$91:$R$92</definedName>
    <definedName name="OSRRefR21_14x_0" localSheetId="69">'315'!$R$115:$R$122</definedName>
    <definedName name="OSRRefR21_14x_0" localSheetId="70">'316'!$R$93</definedName>
    <definedName name="OSRRefR21_14x_0" localSheetId="71">'317'!$R$122</definedName>
    <definedName name="OSRRefR21_14x_0" localSheetId="74">'321'!$R$85:$R$86</definedName>
    <definedName name="OSRRefR21_14x_0" localSheetId="75">'322'!$R$73:$R$74</definedName>
    <definedName name="OSRRefR21_14x_0" localSheetId="78">'325'!$R$78:$R$79</definedName>
    <definedName name="OSRRefR21_14x_0" localSheetId="79">'326'!$R$163:$R$165</definedName>
    <definedName name="OSRRefR21_14x_0" localSheetId="26">'330'!$R$181</definedName>
    <definedName name="OSRRefR21_14x_0" localSheetId="32">'331'!$R$174:$R$177</definedName>
    <definedName name="OSRRefR21_14x_0" localSheetId="35">'332'!$R$114</definedName>
    <definedName name="OSRRefR21_14x_0" localSheetId="82">'405'!$R$80:$R$89</definedName>
    <definedName name="OSRRefR21_14x_0" localSheetId="83">'406'!$R$72</definedName>
    <definedName name="OSRRefR21_14x_0" localSheetId="84">'411'!$R$68:$R$71</definedName>
    <definedName name="OSRRefR21_14x_0" localSheetId="85">'412'!$R$80:$R$89</definedName>
    <definedName name="OSRRefR21_14x_0" localSheetId="87">'414'!$R$74:$R$82</definedName>
    <definedName name="OSRRefR21_14x_0" localSheetId="88">'415'!$R$80:$R$81</definedName>
    <definedName name="OSRRefR21_14x_0" localSheetId="89">'418'!$R$79:$R$80</definedName>
    <definedName name="OSRRefR21_14x_0" localSheetId="93">'425'!$R$83</definedName>
    <definedName name="OSRRefR21_14x_0" localSheetId="95">'433'!$R$76:$R$79</definedName>
    <definedName name="OSRRefR21_14x_0" localSheetId="97">'444'!$R$75:$R$78</definedName>
    <definedName name="OSRRefR21_14x_0" localSheetId="99">'450'!$R$78</definedName>
    <definedName name="OSRRefR21_14x_0" localSheetId="41">'491'!$R$89</definedName>
    <definedName name="OSRRefR21_14x_0" localSheetId="44">'492'!$R$78</definedName>
    <definedName name="OSRRefR21_14x_0" localSheetId="101">'501'!$R$73</definedName>
    <definedName name="OSRRefR21_14x_0" localSheetId="8">'Div 2'!$R$72:$R$75</definedName>
    <definedName name="OSRRefR21_14x_0" localSheetId="11">'Div 3'!$R$265:$R$301</definedName>
    <definedName name="OSRRefR21_14x_0" localSheetId="14">'Div 4'!$R$90:$R$91</definedName>
    <definedName name="OSRRefR21_14x_0" localSheetId="47">'Div 5'!$R$73</definedName>
    <definedName name="OSRRefR21_14x_0" localSheetId="50">'Div 6'!$R$122</definedName>
    <definedName name="OSRRefR21_14x_0" localSheetId="2">Summary!$R$301:$R$340</definedName>
    <definedName name="OSRRefR21_15x_0" localSheetId="55">'201'!$R$73</definedName>
    <definedName name="OSRRefR21_15x_0" localSheetId="56">'202'!$R$73</definedName>
    <definedName name="OSRRefR21_15x_0" localSheetId="57">'203'!$R$77:$R$78</definedName>
    <definedName name="OSRRefR21_15x_0" localSheetId="17">'300'!$R$299</definedName>
    <definedName name="OSRRefR21_15x_0" localSheetId="20">'300 &amp; 317'!$R$327</definedName>
    <definedName name="OSRRefR21_15x_0" localSheetId="61">'301'!$R$75</definedName>
    <definedName name="OSRRefR21_15x_0" localSheetId="63">'307'!$R$174:$R$179</definedName>
    <definedName name="OSRRefR21_15x_0" localSheetId="29">'308'!$R$159</definedName>
    <definedName name="OSRRefR21_15x_0" localSheetId="64">'309'!$R$83</definedName>
    <definedName name="OSRRefR21_15x_0" localSheetId="23">'310'!$R$89:$R$92</definedName>
    <definedName name="OSRRefR21_15x_0" localSheetId="38">'310 &amp; 491'!$R$105</definedName>
    <definedName name="OSRRefR21_15x_0" localSheetId="65">'311'!$R$137</definedName>
    <definedName name="OSRRefR21_15x_0" localSheetId="67">'313'!$R$94</definedName>
    <definedName name="OSRRefR21_15x_0" localSheetId="69">'315'!$R$124</definedName>
    <definedName name="OSRRefR21_15x_0" localSheetId="70">'316'!$R$95</definedName>
    <definedName name="OSRRefR21_15x_0" localSheetId="71">'317'!$R$124:$R$125</definedName>
    <definedName name="OSRRefR21_15x_0" localSheetId="74">'321'!$R$88</definedName>
    <definedName name="OSRRefR21_15x_0" localSheetId="75">'322'!$R$76:$R$84</definedName>
    <definedName name="OSRRefR21_15x_0" localSheetId="78">'325'!$R$81:$R$88</definedName>
    <definedName name="OSRRefR21_15x_0" localSheetId="79">'326'!$R$167:$R$169</definedName>
    <definedName name="OSRRefR21_15x_0" localSheetId="26">'330'!$R$183:$R$189</definedName>
    <definedName name="OSRRefR21_15x_0" localSheetId="32">'331'!$R$179:$R$181</definedName>
    <definedName name="OSRRefR21_15x_0" localSheetId="35">'332'!$R$116</definedName>
    <definedName name="OSRRefR21_15x_0" localSheetId="82">'405'!$R$91</definedName>
    <definedName name="OSRRefR21_15x_0" localSheetId="83">'406'!$R$74</definedName>
    <definedName name="OSRRefR21_15x_0" localSheetId="84">'411'!$R$73</definedName>
    <definedName name="OSRRefR21_15x_0" localSheetId="85">'412'!$R$91:$R$92</definedName>
    <definedName name="OSRRefR21_15x_0" localSheetId="87">'414'!$R$84</definedName>
    <definedName name="OSRRefR21_15x_0" localSheetId="88">'415'!$R$83:$R$91</definedName>
    <definedName name="OSRRefR21_15x_0" localSheetId="89">'418'!$R$82:$R$92</definedName>
    <definedName name="OSRRefR21_15x_0" localSheetId="93">'425'!$R$85</definedName>
    <definedName name="OSRRefR21_15x_0" localSheetId="95">'433'!$R$81</definedName>
    <definedName name="OSRRefR21_15x_0" localSheetId="97">'444'!$R$80:$R$81</definedName>
    <definedName name="OSRRefR21_15x_0" localSheetId="99">'450'!$R$80:$R$89</definedName>
    <definedName name="OSRRefR21_15x_0" localSheetId="41">'491'!$R$91</definedName>
    <definedName name="OSRRefR21_15x_0" localSheetId="44">'492'!$R$80:$R$83</definedName>
    <definedName name="OSRRefR21_15x_0" localSheetId="101">'501'!$R$75</definedName>
    <definedName name="OSRRefR21_15x_0" localSheetId="8">'Div 2'!$R$77:$R$80</definedName>
    <definedName name="OSRRefR21_15x_0" localSheetId="11">'Div 3'!$R$303:$R$304</definedName>
    <definedName name="OSRRefR21_15x_0" localSheetId="14">'Div 4'!$R$93</definedName>
    <definedName name="OSRRefR21_15x_0" localSheetId="47">'Div 5'!$R$75</definedName>
    <definedName name="OSRRefR21_15x_0" localSheetId="50">'Div 6'!$R$124:$R$125</definedName>
    <definedName name="OSRRefR21_15x_0" localSheetId="2">Summary!$R$342:$R$343</definedName>
    <definedName name="OSRRefR21_16x_0" localSheetId="55">'201'!$R$75:$R$78</definedName>
    <definedName name="OSRRefR21_16x_0" localSheetId="56">'202'!$R$75:$R$76</definedName>
    <definedName name="OSRRefR21_16x_0" localSheetId="17">'300'!$R$301:$R$304</definedName>
    <definedName name="OSRRefR21_16x_0" localSheetId="20">'300 &amp; 317'!$R$329:$R$332</definedName>
    <definedName name="OSRRefR21_16x_0" localSheetId="61">'301'!$R$77:$R$80</definedName>
    <definedName name="OSRRefR21_16x_0" localSheetId="63">'307'!$R$181:$R$182</definedName>
    <definedName name="OSRRefR21_16x_0" localSheetId="29">'308'!$R$161:$R$162</definedName>
    <definedName name="OSRRefR21_16x_0" localSheetId="64">'309'!$R$85:$R$86</definedName>
    <definedName name="OSRRefR21_16x_0" localSheetId="23">'310'!$R$94:$R$95</definedName>
    <definedName name="OSRRefR21_16x_0" localSheetId="38">'310 &amp; 491'!$R$107</definedName>
    <definedName name="OSRRefR21_16x_0" localSheetId="65">'311'!$R$139:$R$140</definedName>
    <definedName name="OSRRefR21_16x_0" localSheetId="67">'313'!$R$96:$R$97</definedName>
    <definedName name="OSRRefR21_16x_0" localSheetId="69">'315'!$R$126</definedName>
    <definedName name="OSRRefR21_16x_0" localSheetId="74">'321'!$R$90:$R$91</definedName>
    <definedName name="OSRRefR21_16x_0" localSheetId="75">'322'!$R$86</definedName>
    <definedName name="OSRRefR21_16x_0" localSheetId="78">'325'!$R$90:$R$91</definedName>
    <definedName name="OSRRefR21_16x_0" localSheetId="79">'326'!$R$171:$R$172</definedName>
    <definedName name="OSRRefR21_16x_0" localSheetId="26">'330'!$R$191:$R$192</definedName>
    <definedName name="OSRRefR21_16x_0" localSheetId="32">'331'!$R$183:$R$185</definedName>
    <definedName name="OSRRefR21_16x_0" localSheetId="35">'332'!$R$118</definedName>
    <definedName name="OSRRefR21_16x_0" localSheetId="82">'405'!$R$93</definedName>
    <definedName name="OSRRefR21_16x_0" localSheetId="83">'406'!$R$76:$R$77</definedName>
    <definedName name="OSRRefR21_16x_0" localSheetId="84">'411'!$R$75:$R$79</definedName>
    <definedName name="OSRRefR21_16x_0" localSheetId="85">'412'!$R$94</definedName>
    <definedName name="OSRRefR21_16x_0" localSheetId="87">'414'!$R$86</definedName>
    <definedName name="OSRRefR21_16x_0" localSheetId="88">'415'!$R$93:$R$94</definedName>
    <definedName name="OSRRefR21_16x_0" localSheetId="89">'418'!$R$94:$R$95</definedName>
    <definedName name="OSRRefR21_16x_0" localSheetId="93">'425'!$R$87:$R$89</definedName>
    <definedName name="OSRRefR21_16x_0" localSheetId="95">'433'!$R$83:$R$91</definedName>
    <definedName name="OSRRefR21_16x_0" localSheetId="97">'444'!$R$83:$R$92</definedName>
    <definedName name="OSRRefR21_16x_0" localSheetId="99">'450'!$R$91:$R$92</definedName>
    <definedName name="OSRRefR21_16x_0" localSheetId="41">'491'!$R$93</definedName>
    <definedName name="OSRRefR21_16x_0" localSheetId="44">'492'!$R$85:$R$88</definedName>
    <definedName name="OSRRefR21_16x_0" localSheetId="101">'501'!$R$77</definedName>
    <definedName name="OSRRefR21_16x_0" localSheetId="8">'Div 2'!$R$82:$R$83</definedName>
    <definedName name="OSRRefR21_16x_0" localSheetId="11">'Div 3'!$R$306</definedName>
    <definedName name="OSRRefR21_16x_0" localSheetId="14">'Div 4'!$R$95</definedName>
    <definedName name="OSRRefR21_16x_0" localSheetId="47">'Div 5'!$R$77</definedName>
    <definedName name="OSRRefR21_16x_0" localSheetId="2">Summary!$R$345</definedName>
    <definedName name="OSRRefR21_17x_0" localSheetId="55">'201'!$R$80:$R$81</definedName>
    <definedName name="OSRRefR21_17x_0" localSheetId="17">'300'!$R$306:$R$310</definedName>
    <definedName name="OSRRefR21_17x_0" localSheetId="20">'300 &amp; 317'!$R$334:$R$338</definedName>
    <definedName name="OSRRefR21_17x_0" localSheetId="61">'301'!$R$82</definedName>
    <definedName name="OSRRefR21_17x_0" localSheetId="63">'307'!$R$184</definedName>
    <definedName name="OSRRefR21_17x_0" localSheetId="29">'308'!$R$164</definedName>
    <definedName name="OSRRefR21_17x_0" localSheetId="23">'310'!$R$97:$R$100</definedName>
    <definedName name="OSRRefR21_17x_0" localSheetId="38">'310 &amp; 491'!$R$109:$R$112</definedName>
    <definedName name="OSRRefR21_17x_0" localSheetId="65">'311'!$R$142</definedName>
    <definedName name="OSRRefR21_17x_0" localSheetId="69">'315'!$R$128:$R$130</definedName>
    <definedName name="OSRRefR21_17x_0" localSheetId="74">'321'!$R$93</definedName>
    <definedName name="OSRRefR21_17x_0" localSheetId="75">'322'!$R$88</definedName>
    <definedName name="OSRRefR21_17x_0" localSheetId="78">'325'!$R$93</definedName>
    <definedName name="OSRRefR21_17x_0" localSheetId="79">'326'!$R$174:$R$181</definedName>
    <definedName name="OSRRefR21_17x_0" localSheetId="26">'330'!$R$194</definedName>
    <definedName name="OSRRefR21_17x_0" localSheetId="32">'331'!$R$187:$R$188</definedName>
    <definedName name="OSRRefR21_17x_0" localSheetId="82">'405'!$R$95</definedName>
    <definedName name="OSRRefR21_17x_0" localSheetId="84">'411'!$R$81:$R$82</definedName>
    <definedName name="OSRRefR21_17x_0" localSheetId="85">'412'!$R$96:$R$97</definedName>
    <definedName name="OSRRefR21_17x_0" localSheetId="87">'414'!$R$88</definedName>
    <definedName name="OSRRefR21_17x_0" localSheetId="88">'415'!$R$96</definedName>
    <definedName name="OSRRefR21_17x_0" localSheetId="89">'418'!$R$97</definedName>
    <definedName name="OSRRefR21_17x_0" localSheetId="95">'433'!$R$93</definedName>
    <definedName name="OSRRefR21_17x_0" localSheetId="97">'444'!$R$94:$R$95</definedName>
    <definedName name="OSRRefR21_17x_0" localSheetId="99">'450'!$R$94</definedName>
    <definedName name="OSRRefR21_17x_0" localSheetId="41">'491'!$R$95:$R$98</definedName>
    <definedName name="OSRRefR21_17x_0" localSheetId="44">'492'!$R$90:$R$91</definedName>
    <definedName name="OSRRefR21_17x_0" localSheetId="8">'Div 2'!$R$85:$R$86</definedName>
    <definedName name="OSRRefR21_17x_0" localSheetId="11">'Div 3'!$R$308:$R$311</definedName>
    <definedName name="OSRRefR21_17x_0" localSheetId="14">'Div 4'!$R$97:$R$100</definedName>
    <definedName name="OSRRefR21_17x_0" localSheetId="2">Summary!$R$347</definedName>
    <definedName name="OSRRefR21_18x_0" localSheetId="55">'201'!$R$83</definedName>
    <definedName name="OSRRefR21_18x_0" localSheetId="17">'300'!$R$312:$R$316</definedName>
    <definedName name="OSRRefR21_18x_0" localSheetId="20">'300 &amp; 317'!$R$340:$R$344</definedName>
    <definedName name="OSRRefR21_18x_0" localSheetId="61">'301'!$R$84:$R$87</definedName>
    <definedName name="OSRRefR21_18x_0" localSheetId="63">'307'!$R$186</definedName>
    <definedName name="OSRRefR21_18x_0" localSheetId="23">'310'!$R$102:$R$103</definedName>
    <definedName name="OSRRefR21_18x_0" localSheetId="38">'310 &amp; 491'!$R$114:$R$115</definedName>
    <definedName name="OSRRefR21_18x_0" localSheetId="75">'322'!$R$90:$R$92</definedName>
    <definedName name="OSRRefR21_18x_0" localSheetId="78">'325'!$R$95</definedName>
    <definedName name="OSRRefR21_18x_0" localSheetId="79">'326'!$R$183:$R$184</definedName>
    <definedName name="OSRRefR21_18x_0" localSheetId="26">'330'!$R$196</definedName>
    <definedName name="OSRRefR21_18x_0" localSheetId="32">'331'!$R$190:$R$198</definedName>
    <definedName name="OSRRefR21_18x_0" localSheetId="82">'405'!$R$97</definedName>
    <definedName name="OSRRefR21_18x_0" localSheetId="84">'411'!$R$84:$R$93</definedName>
    <definedName name="OSRRefR21_18x_0" localSheetId="85">'412'!$R$99</definedName>
    <definedName name="OSRRefR21_18x_0" localSheetId="88">'415'!$R$98:$R$99</definedName>
    <definedName name="OSRRefR21_18x_0" localSheetId="89">'418'!$R$99:$R$100</definedName>
    <definedName name="OSRRefR21_18x_0" localSheetId="95">'433'!$R$95</definedName>
    <definedName name="OSRRefR21_18x_0" localSheetId="97">'444'!$R$97</definedName>
    <definedName name="OSRRefR21_18x_0" localSheetId="99">'450'!$R$96:$R$98</definedName>
    <definedName name="OSRRefR21_18x_0" localSheetId="41">'491'!$R$100:$R$101</definedName>
    <definedName name="OSRRefR21_18x_0" localSheetId="44">'492'!$R$93:$R$102</definedName>
    <definedName name="OSRRefR21_18x_0" localSheetId="8">'Div 2'!$R$88:$R$94</definedName>
    <definedName name="OSRRefR21_18x_0" localSheetId="11">'Div 3'!$R$313:$R$317</definedName>
    <definedName name="OSRRefR21_18x_0" localSheetId="14">'Div 4'!$R$102:$R$103</definedName>
    <definedName name="OSRRefR21_18x_0" localSheetId="2">Summary!$R$349:$R$352</definedName>
    <definedName name="OSRRefR21_19x_0" localSheetId="55">'201'!$R$85:$R$86</definedName>
    <definedName name="OSRRefR21_19x_0" localSheetId="17">'300'!$R$318:$R$319</definedName>
    <definedName name="OSRRefR21_19x_0" localSheetId="20">'300 &amp; 317'!$R$346:$R$347</definedName>
    <definedName name="OSRRefR21_19x_0" localSheetId="61">'301'!$R$89:$R$90</definedName>
    <definedName name="OSRRefR21_19x_0" localSheetId="23">'310'!$R$105:$R$113</definedName>
    <definedName name="OSRRefR21_19x_0" localSheetId="38">'310 &amp; 491'!$R$117:$R$121</definedName>
    <definedName name="OSRRefR21_19x_0" localSheetId="75">'322'!$R$94</definedName>
    <definedName name="OSRRefR21_19x_0" localSheetId="78">'325'!$R$97</definedName>
    <definedName name="OSRRefR21_19x_0" localSheetId="79">'326'!$R$186</definedName>
    <definedName name="OSRRefR21_19x_0" localSheetId="32">'331'!$R$200:$R$201</definedName>
    <definedName name="OSRRefR21_19x_0" localSheetId="84">'411'!$R$95</definedName>
    <definedName name="OSRRefR21_19x_0" localSheetId="88">'415'!$R$101</definedName>
    <definedName name="OSRRefR21_19x_0" localSheetId="89">'418'!$R$102</definedName>
    <definedName name="OSRRefR21_19x_0" localSheetId="95">'433'!$R$97:$R$98</definedName>
    <definedName name="OSRRefR21_19x_0" localSheetId="97">'444'!$R$99</definedName>
    <definedName name="OSRRefR21_19x_0" localSheetId="41">'491'!$R$103:$R$107</definedName>
    <definedName name="OSRRefR21_19x_0" localSheetId="44">'492'!$R$104:$R$105</definedName>
    <definedName name="OSRRefR21_19x_0" localSheetId="8">'Div 2'!$R$96:$R$97</definedName>
    <definedName name="OSRRefR21_19x_0" localSheetId="11">'Div 3'!$R$319:$R$324</definedName>
    <definedName name="OSRRefR21_19x_0" localSheetId="14">'Div 4'!$R$105:$R$109</definedName>
    <definedName name="OSRRefR21_19x_0" localSheetId="2">Summary!$R$354:$R$358</definedName>
    <definedName name="OSRRefR21_1x_0" localSheetId="54">'200'!$R$22</definedName>
    <definedName name="OSRRefR21_1x_0" localSheetId="55">'201'!$R$30:$R$39</definedName>
    <definedName name="OSRRefR21_1x_0" localSheetId="56">'202'!$R$30:$R$39</definedName>
    <definedName name="OSRRefR21_1x_0" localSheetId="57">'203'!$R$30:$R$39</definedName>
    <definedName name="OSRRefR21_1x_0" localSheetId="58">'204'!$R$30:$R$39</definedName>
    <definedName name="OSRRefR21_1x_0" localSheetId="59">'205'!$R$29:$R$38</definedName>
    <definedName name="OSRRefR21_1x_0" localSheetId="60">'206'!$R$29:$R$38</definedName>
    <definedName name="OSRRefR21_1x_0" localSheetId="17">'300'!$R$215:$R$224</definedName>
    <definedName name="OSRRefR21_1x_0" localSheetId="20">'300 &amp; 317'!$R$240:$R$249</definedName>
    <definedName name="OSRRefR21_1x_0" localSheetId="61">'301'!$R$30:$R$39</definedName>
    <definedName name="OSRRefR21_1x_0" localSheetId="62">'306'!$R$30:$R$39</definedName>
    <definedName name="OSRRefR21_1x_0" localSheetId="63">'307'!$R$110:$R$119</definedName>
    <definedName name="OSRRefR21_1x_0" localSheetId="29">'308'!$R$100:$R$109</definedName>
    <definedName name="OSRRefR21_1x_0" localSheetId="64">'309'!$R$35:$R$44</definedName>
    <definedName name="OSRRefR21_1x_0" localSheetId="23">'310'!$R$49:$R$58</definedName>
    <definedName name="OSRRefR21_1x_0" localSheetId="38">'310 &amp; 491'!$R$60:$R$69</definedName>
    <definedName name="OSRRefR21_1x_0" localSheetId="65">'311'!$R$82:$R$91</definedName>
    <definedName name="OSRRefR21_1x_0" localSheetId="66">'312'!$R$68:$R$72</definedName>
    <definedName name="OSRRefR21_1x_0" localSheetId="67">'313'!$R$45:$R$54</definedName>
    <definedName name="OSRRefR21_1x_0" localSheetId="68">'314'!$R$71:$R$76</definedName>
    <definedName name="OSRRefR21_1x_0" localSheetId="69">'315'!$R$67:$R$76</definedName>
    <definedName name="OSRRefR21_1x_0" localSheetId="70">'316'!$R$50:$R$59</definedName>
    <definedName name="OSRRefR21_1x_0" localSheetId="71">'317'!$R$74:$R$83</definedName>
    <definedName name="OSRRefR21_1x_0" localSheetId="72">'318'!$R$27:$R$30</definedName>
    <definedName name="OSRRefR21_1x_0" localSheetId="73">'320'!$R$44:$R$50</definedName>
    <definedName name="OSRRefR21_1x_0" localSheetId="74">'321'!$R$36:$R$45</definedName>
    <definedName name="OSRRefR21_1x_0" localSheetId="75">'322'!$R$35:$R$44</definedName>
    <definedName name="OSRRefR21_1x_0" localSheetId="76">'323'!$R$29:$R$31</definedName>
    <definedName name="OSRRefR21_1x_0" localSheetId="77">'324'!$R$35:$R$44</definedName>
    <definedName name="OSRRefR21_1x_0" localSheetId="78">'325'!$R$36:$R$45</definedName>
    <definedName name="OSRRefR21_1x_0" localSheetId="79">'326'!$R$104:$R$113</definedName>
    <definedName name="OSRRefR21_1x_0" localSheetId="80">'327'!$R$27</definedName>
    <definedName name="OSRRefR21_1x_0" localSheetId="26">'330'!$R$119:$R$128</definedName>
    <definedName name="OSRRefR21_1x_0" localSheetId="32">'331'!$R$115:$R$124</definedName>
    <definedName name="OSRRefR21_1x_0" localSheetId="35">'332'!$R$67:$R$76</definedName>
    <definedName name="OSRRefR21_1x_0" localSheetId="81">'335'!$R$28:$R$32</definedName>
    <definedName name="OSRRefR21_1x_0" localSheetId="82">'405'!$R$38:$R$47</definedName>
    <definedName name="OSRRefR21_1x_0" localSheetId="83">'406'!$R$32:$R$37</definedName>
    <definedName name="OSRRefR21_1x_0" localSheetId="84">'411'!$R$30:$R$39</definedName>
    <definedName name="OSRRefR21_1x_0" localSheetId="85">'412'!$R$38:$R$47</definedName>
    <definedName name="OSRRefR21_1x_0" localSheetId="86">'413'!$R$37:$R$46</definedName>
    <definedName name="OSRRefR21_1x_0" localSheetId="87">'414'!$R$36:$R$45</definedName>
    <definedName name="OSRRefR21_1x_0" localSheetId="88">'415'!$R$37:$R$46</definedName>
    <definedName name="OSRRefR21_1x_0" localSheetId="89">'418'!$R$36:$R$45</definedName>
    <definedName name="OSRRefR21_1x_0" localSheetId="90">'420'!$R$32:$R$35</definedName>
    <definedName name="OSRRefR21_1x_0" localSheetId="91">'423'!$R$30:$R$39</definedName>
    <definedName name="OSRRefR21_1x_0" localSheetId="92">'424'!$R$33:$R$38</definedName>
    <definedName name="OSRRefR21_1x_0" localSheetId="93">'425'!$R$36:$R$41</definedName>
    <definedName name="OSRRefR21_1x_0" localSheetId="94">'430'!$R$29:$R$38</definedName>
    <definedName name="OSRRefR21_1x_0" localSheetId="95">'433'!$R$39:$R$48</definedName>
    <definedName name="OSRRefR21_1x_0" localSheetId="96">'435'!$R$28:$R$31</definedName>
    <definedName name="OSRRefR21_1x_0" localSheetId="97">'444'!$R$37:$R$46</definedName>
    <definedName name="OSRRefR21_1x_0" localSheetId="98">'445'!$R$28:$R$30</definedName>
    <definedName name="OSRRefR21_1x_0" localSheetId="99">'450'!$R$37:$R$46</definedName>
    <definedName name="OSRRefR21_1x_0" localSheetId="100">'455'!$R$28:$R$29</definedName>
    <definedName name="OSRRefR21_1x_0" localSheetId="41">'491'!$R$48:$R$57</definedName>
    <definedName name="OSRRefR21_1x_0" localSheetId="44">'492'!$R$41:$R$50</definedName>
    <definedName name="OSRRefR21_1x_0" localSheetId="101">'501'!$R$31:$R$40</definedName>
    <definedName name="OSRRefR21_1x_0" localSheetId="8">'Div 2'!$R$32:$R$41</definedName>
    <definedName name="OSRRefR21_1x_0" localSheetId="11">'Div 3'!$R$220:$R$229</definedName>
    <definedName name="OSRRefR21_1x_0" localSheetId="14">'Div 4'!$R$49:$R$58</definedName>
    <definedName name="OSRRefR21_1x_0" localSheetId="47">'Div 5'!$R$31:$R$40</definedName>
    <definedName name="OSRRefR21_1x_0" localSheetId="50">'Div 6'!$R$74:$R$83</definedName>
    <definedName name="OSRRefR21_1x_0" localSheetId="2">Summary!$R$256:$R$265</definedName>
    <definedName name="OSRRefR21_20x_0" localSheetId="17">'300'!$R$321:$R$329</definedName>
    <definedName name="OSRRefR21_20x_0" localSheetId="20">'300 &amp; 317'!$R$349:$R$357</definedName>
    <definedName name="OSRRefR21_20x_0" localSheetId="61">'301'!$R$92:$R$98</definedName>
    <definedName name="OSRRefR21_20x_0" localSheetId="23">'310'!$R$115:$R$116</definedName>
    <definedName name="OSRRefR21_20x_0" localSheetId="38">'310 &amp; 491'!$R$123:$R$124</definedName>
    <definedName name="OSRRefR21_20x_0" localSheetId="79">'326'!$R$188:$R$190</definedName>
    <definedName name="OSRRefR21_20x_0" localSheetId="32">'331'!$R$203</definedName>
    <definedName name="OSRRefR21_20x_0" localSheetId="84">'411'!$R$97</definedName>
    <definedName name="OSRRefR21_20x_0" localSheetId="95">'433'!$R$100</definedName>
    <definedName name="OSRRefR21_20x_0" localSheetId="97">'444'!$R$101</definedName>
    <definedName name="OSRRefR21_20x_0" localSheetId="41">'491'!$R$109:$R$110</definedName>
    <definedName name="OSRRefR21_20x_0" localSheetId="44">'492'!$R$107</definedName>
    <definedName name="OSRRefR21_20x_0" localSheetId="8">'Div 2'!$R$99</definedName>
    <definedName name="OSRRefR21_20x_0" localSheetId="11">'Div 3'!$R$326:$R$327</definedName>
    <definedName name="OSRRefR21_20x_0" localSheetId="14">'Div 4'!$R$111:$R$112</definedName>
    <definedName name="OSRRefR21_20x_0" localSheetId="2">Summary!$R$360:$R$365</definedName>
    <definedName name="OSRRefR21_21x_0" localSheetId="17">'300'!$R$331:$R$332</definedName>
    <definedName name="OSRRefR21_21x_0" localSheetId="20">'300 &amp; 317'!$R$359:$R$360</definedName>
    <definedName name="OSRRefR21_21x_0" localSheetId="61">'301'!$R$100:$R$101</definedName>
    <definedName name="OSRRefR21_21x_0" localSheetId="23">'310'!$R$118</definedName>
    <definedName name="OSRRefR21_21x_0" localSheetId="38">'310 &amp; 491'!$R$126:$R$136</definedName>
    <definedName name="OSRRefR21_21x_0" localSheetId="79">'326'!$R$192</definedName>
    <definedName name="OSRRefR21_21x_0" localSheetId="32">'331'!$R$205:$R$207</definedName>
    <definedName name="OSRRefR21_21x_0" localSheetId="84">'411'!$R$99:$R$101</definedName>
    <definedName name="OSRRefR21_21x_0" localSheetId="41">'491'!$R$112:$R$122</definedName>
    <definedName name="OSRRefR21_21x_0" localSheetId="44">'492'!$R$109:$R$111</definedName>
    <definedName name="OSRRefR21_21x_0" localSheetId="8">'Div 2'!$R$101:$R$102</definedName>
    <definedName name="OSRRefR21_21x_0" localSheetId="11">'Div 3'!$R$329:$R$338</definedName>
    <definedName name="OSRRefR21_21x_0" localSheetId="14">'Div 4'!$R$114:$R$124</definedName>
    <definedName name="OSRRefR21_21x_0" localSheetId="2">Summary!$R$367:$R$368</definedName>
    <definedName name="OSRRefR21_22x_0" localSheetId="17">'300'!$R$334</definedName>
    <definedName name="OSRRefR21_22x_0" localSheetId="20">'300 &amp; 317'!$R$362</definedName>
    <definedName name="OSRRefR21_22x_0" localSheetId="61">'301'!$R$103</definedName>
    <definedName name="OSRRefR21_22x_0" localSheetId="23">'310'!$R$120:$R$122</definedName>
    <definedName name="OSRRefR21_22x_0" localSheetId="38">'310 &amp; 491'!$R$138:$R$139</definedName>
    <definedName name="OSRRefR21_22x_0" localSheetId="32">'331'!$R$209</definedName>
    <definedName name="OSRRefR21_22x_0" localSheetId="84">'411'!$R$103</definedName>
    <definedName name="OSRRefR21_22x_0" localSheetId="41">'491'!$R$124:$R$125</definedName>
    <definedName name="OSRRefR21_22x_0" localSheetId="44">'492'!$R$113</definedName>
    <definedName name="OSRRefR21_22x_0" localSheetId="11">'Div 3'!$R$340:$R$341</definedName>
    <definedName name="OSRRefR21_22x_0" localSheetId="14">'Div 4'!$R$126:$R$127</definedName>
    <definedName name="OSRRefR21_22x_0" localSheetId="2">Summary!$R$370:$R$380</definedName>
    <definedName name="OSRRefR21_23x_0" localSheetId="17">'300'!$R$336:$R$338</definedName>
    <definedName name="OSRRefR21_23x_0" localSheetId="20">'300 &amp; 317'!$R$364:$R$366</definedName>
    <definedName name="OSRRefR21_23x_0" localSheetId="61">'301'!$R$105:$R$107</definedName>
    <definedName name="OSRRefR21_23x_0" localSheetId="23">'310'!$R$124</definedName>
    <definedName name="OSRRefR21_23x_0" localSheetId="38">'310 &amp; 491'!$R$141</definedName>
    <definedName name="OSRRefR21_23x_0" localSheetId="41">'491'!$R$127</definedName>
    <definedName name="OSRRefR21_23x_0" localSheetId="11">'Div 3'!$R$343</definedName>
    <definedName name="OSRRefR21_23x_0" localSheetId="14">'Div 4'!$R$129</definedName>
    <definedName name="OSRRefR21_23x_0" localSheetId="2">Summary!$R$382:$R$383</definedName>
    <definedName name="OSRRefR21_24x_0" localSheetId="17">'300'!$R$340</definedName>
    <definedName name="OSRRefR21_24x_0" localSheetId="20">'300 &amp; 317'!$R$368</definedName>
    <definedName name="OSRRefR21_24x_0" localSheetId="61">'301'!$R$109</definedName>
    <definedName name="OSRRefR21_24x_0" localSheetId="38">'310 &amp; 491'!$R$143:$R$145</definedName>
    <definedName name="OSRRefR21_24x_0" localSheetId="41">'491'!$R$129:$R$131</definedName>
    <definedName name="OSRRefR21_24x_0" localSheetId="11">'Div 3'!$R$345:$R$347</definedName>
    <definedName name="OSRRefR21_24x_0" localSheetId="14">'Div 4'!$R$131:$R$133</definedName>
    <definedName name="OSRRefR21_24x_0" localSheetId="2">Summary!$R$385</definedName>
    <definedName name="OSRRefR21_25x_0" localSheetId="38">'310 &amp; 491'!$R$147</definedName>
    <definedName name="OSRRefR21_25x_0" localSheetId="41">'491'!$R$133</definedName>
    <definedName name="OSRRefR21_25x_0" localSheetId="11">'Div 3'!$R$349</definedName>
    <definedName name="OSRRefR21_25x_0" localSheetId="14">'Div 4'!$R$135</definedName>
    <definedName name="OSRRefR21_25x_0" localSheetId="2">Summary!$R$387:$R$389</definedName>
    <definedName name="OSRRefR21_26x_0" localSheetId="2">Summary!$R$391</definedName>
    <definedName name="OSRRefR21_2x_0" localSheetId="54">'200'!$R$24</definedName>
    <definedName name="OSRRefR21_2x_0" localSheetId="55">'201'!$R$41</definedName>
    <definedName name="OSRRefR21_2x_0" localSheetId="56">'202'!$R$41</definedName>
    <definedName name="OSRRefR21_2x_0" localSheetId="57">'203'!$R$41</definedName>
    <definedName name="OSRRefR21_2x_0" localSheetId="58">'204'!$R$41</definedName>
    <definedName name="OSRRefR21_2x_0" localSheetId="59">'205'!$R$40</definedName>
    <definedName name="OSRRefR21_2x_0" localSheetId="60">'206'!$R$40</definedName>
    <definedName name="OSRRefR21_2x_0" localSheetId="17">'300'!$R$226</definedName>
    <definedName name="OSRRefR21_2x_0" localSheetId="20">'300 &amp; 317'!$R$251</definedName>
    <definedName name="OSRRefR21_2x_0" localSheetId="61">'301'!$R$41</definedName>
    <definedName name="OSRRefR21_2x_0" localSheetId="62">'306'!$R$41</definedName>
    <definedName name="OSRRefR21_2x_0" localSheetId="63">'307'!$R$121</definedName>
    <definedName name="OSRRefR21_2x_0" localSheetId="29">'308'!$R$111</definedName>
    <definedName name="OSRRefR21_2x_0" localSheetId="64">'309'!$R$46</definedName>
    <definedName name="OSRRefR21_2x_0" localSheetId="23">'310'!$R$60</definedName>
    <definedName name="OSRRefR21_2x_0" localSheetId="38">'310 &amp; 491'!$R$71</definedName>
    <definedName name="OSRRefR21_2x_0" localSheetId="65">'311'!$R$93</definedName>
    <definedName name="OSRRefR21_2x_0" localSheetId="66">'312'!$R$74</definedName>
    <definedName name="OSRRefR21_2x_0" localSheetId="67">'313'!$R$56</definedName>
    <definedName name="OSRRefR21_2x_0" localSheetId="68">'314'!$R$78</definedName>
    <definedName name="OSRRefR21_2x_0" localSheetId="69">'315'!$R$78</definedName>
    <definedName name="OSRRefR21_2x_0" localSheetId="70">'316'!$R$61</definedName>
    <definedName name="OSRRefR21_2x_0" localSheetId="71">'317'!$R$85</definedName>
    <definedName name="OSRRefR21_2x_0" localSheetId="72">'318'!$R$32</definedName>
    <definedName name="OSRRefR21_2x_0" localSheetId="73">'320'!$R$52</definedName>
    <definedName name="OSRRefR21_2x_0" localSheetId="74">'321'!$R$47</definedName>
    <definedName name="OSRRefR21_2x_0" localSheetId="75">'322'!$R$46</definedName>
    <definedName name="OSRRefR21_2x_0" localSheetId="76">'323'!$R$33</definedName>
    <definedName name="OSRRefR21_2x_0" localSheetId="77">'324'!$R$46</definedName>
    <definedName name="OSRRefR21_2x_0" localSheetId="78">'325'!$R$47</definedName>
    <definedName name="OSRRefR21_2x_0" localSheetId="79">'326'!$R$115</definedName>
    <definedName name="OSRRefR21_2x_0" localSheetId="80">'327'!$R$29</definedName>
    <definedName name="OSRRefR21_2x_0" localSheetId="26">'330'!$R$130</definedName>
    <definedName name="OSRRefR21_2x_0" localSheetId="32">'331'!$R$126</definedName>
    <definedName name="OSRRefR21_2x_0" localSheetId="35">'332'!$R$78</definedName>
    <definedName name="OSRRefR21_2x_0" localSheetId="81">'335'!$R$34</definedName>
    <definedName name="OSRRefR21_2x_0" localSheetId="82">'405'!$R$49</definedName>
    <definedName name="OSRRefR21_2x_0" localSheetId="83">'406'!$R$39</definedName>
    <definedName name="OSRRefR21_2x_0" localSheetId="84">'411'!$R$41</definedName>
    <definedName name="OSRRefR21_2x_0" localSheetId="85">'412'!$R$49</definedName>
    <definedName name="OSRRefR21_2x_0" localSheetId="86">'413'!$R$48</definedName>
    <definedName name="OSRRefR21_2x_0" localSheetId="87">'414'!$R$47</definedName>
    <definedName name="OSRRefR21_2x_0" localSheetId="88">'415'!$R$48</definedName>
    <definedName name="OSRRefR21_2x_0" localSheetId="89">'418'!$R$47</definedName>
    <definedName name="OSRRefR21_2x_0" localSheetId="90">'420'!$R$37</definedName>
    <definedName name="OSRRefR21_2x_0" localSheetId="91">'423'!$R$41</definedName>
    <definedName name="OSRRefR21_2x_0" localSheetId="92">'424'!$R$40</definedName>
    <definedName name="OSRRefR21_2x_0" localSheetId="93">'425'!$R$43</definedName>
    <definedName name="OSRRefR21_2x_0" localSheetId="94">'430'!$R$40</definedName>
    <definedName name="OSRRefR21_2x_0" localSheetId="95">'433'!$R$50</definedName>
    <definedName name="OSRRefR21_2x_0" localSheetId="96">'435'!$R$33</definedName>
    <definedName name="OSRRefR21_2x_0" localSheetId="97">'444'!$R$48</definedName>
    <definedName name="OSRRefR21_2x_0" localSheetId="98">'445'!$R$32</definedName>
    <definedName name="OSRRefR21_2x_0" localSheetId="99">'450'!$R$48</definedName>
    <definedName name="OSRRefR21_2x_0" localSheetId="100">'455'!$R$31</definedName>
    <definedName name="OSRRefR21_2x_0" localSheetId="41">'491'!$R$59</definedName>
    <definedName name="OSRRefR21_2x_0" localSheetId="44">'492'!$R$52</definedName>
    <definedName name="OSRRefR21_2x_0" localSheetId="101">'501'!$R$42</definedName>
    <definedName name="OSRRefR21_2x_0" localSheetId="8">'Div 2'!$R$43</definedName>
    <definedName name="OSRRefR21_2x_0" localSheetId="11">'Div 3'!$R$231</definedName>
    <definedName name="OSRRefR21_2x_0" localSheetId="14">'Div 4'!$R$60</definedName>
    <definedName name="OSRRefR21_2x_0" localSheetId="47">'Div 5'!$R$42</definedName>
    <definedName name="OSRRefR21_2x_0" localSheetId="50">'Div 6'!$R$85</definedName>
    <definedName name="OSRRefR21_2x_0" localSheetId="2">Summary!$R$267</definedName>
    <definedName name="OSRRefR21_3x_0" localSheetId="54">'200'!$R$26</definedName>
    <definedName name="OSRRefR21_3x_0" localSheetId="55">'201'!$R$43</definedName>
    <definedName name="OSRRefR21_3x_0" localSheetId="56">'202'!$R$43</definedName>
    <definedName name="OSRRefR21_3x_0" localSheetId="57">'203'!$R$43</definedName>
    <definedName name="OSRRefR21_3x_0" localSheetId="58">'204'!$R$43:$R$44</definedName>
    <definedName name="OSRRefR21_3x_0" localSheetId="59">'205'!$R$42</definedName>
    <definedName name="OSRRefR21_3x_0" localSheetId="60">'206'!$R$42</definedName>
    <definedName name="OSRRefR21_3x_0" localSheetId="17">'300'!$R$228:$R$230</definedName>
    <definedName name="OSRRefR21_3x_0" localSheetId="20">'300 &amp; 317'!$R$253:$R$255</definedName>
    <definedName name="OSRRefR21_3x_0" localSheetId="61">'301'!$R$43:$R$45</definedName>
    <definedName name="OSRRefR21_3x_0" localSheetId="62">'306'!$R$43</definedName>
    <definedName name="OSRRefR21_3x_0" localSheetId="63">'307'!$R$123</definedName>
    <definedName name="OSRRefR21_3x_0" localSheetId="29">'308'!$R$113:$R$114</definedName>
    <definedName name="OSRRefR21_3x_0" localSheetId="64">'309'!$R$48</definedName>
    <definedName name="OSRRefR21_3x_0" localSheetId="23">'310'!$R$62</definedName>
    <definedName name="OSRRefR21_3x_0" localSheetId="38">'310 &amp; 491'!$R$73:$R$74</definedName>
    <definedName name="OSRRefR21_3x_0" localSheetId="65">'311'!$R$95:$R$96</definedName>
    <definedName name="OSRRefR21_3x_0" localSheetId="66">'312'!$R$76</definedName>
    <definedName name="OSRRefR21_3x_0" localSheetId="67">'313'!$R$58</definedName>
    <definedName name="OSRRefR21_3x_0" localSheetId="68">'314'!$R$80:$R$81</definedName>
    <definedName name="OSRRefR21_3x_0" localSheetId="69">'315'!$R$80</definedName>
    <definedName name="OSRRefR21_3x_0" localSheetId="70">'316'!$R$63</definedName>
    <definedName name="OSRRefR21_3x_0" localSheetId="71">'317'!$R$87</definedName>
    <definedName name="OSRRefR21_3x_0" localSheetId="72">'318'!$R$34</definedName>
    <definedName name="OSRRefR21_3x_0" localSheetId="73">'320'!$R$54</definedName>
    <definedName name="OSRRefR21_3x_0" localSheetId="74">'321'!$R$49</definedName>
    <definedName name="OSRRefR21_3x_0" localSheetId="75">'322'!$R$48</definedName>
    <definedName name="OSRRefR21_3x_0" localSheetId="76">'323'!$R$35</definedName>
    <definedName name="OSRRefR21_3x_0" localSheetId="77">'324'!$R$48</definedName>
    <definedName name="OSRRefR21_3x_0" localSheetId="78">'325'!$R$49</definedName>
    <definedName name="OSRRefR21_3x_0" localSheetId="79">'326'!$R$117</definedName>
    <definedName name="OSRRefR21_3x_0" localSheetId="26">'330'!$R$132</definedName>
    <definedName name="OSRRefR21_3x_0" localSheetId="32">'331'!$R$128</definedName>
    <definedName name="OSRRefR21_3x_0" localSheetId="35">'332'!$R$80</definedName>
    <definedName name="OSRRefR21_3x_0" localSheetId="81">'335'!$R$36</definedName>
    <definedName name="OSRRefR21_3x_0" localSheetId="82">'405'!$R$51</definedName>
    <definedName name="OSRRefR21_3x_0" localSheetId="83">'406'!$R$41</definedName>
    <definedName name="OSRRefR21_3x_0" localSheetId="84">'411'!$R$43</definedName>
    <definedName name="OSRRefR21_3x_0" localSheetId="85">'412'!$R$51</definedName>
    <definedName name="OSRRefR21_3x_0" localSheetId="86">'413'!$R$50</definedName>
    <definedName name="OSRRefR21_3x_0" localSheetId="87">'414'!$R$49</definedName>
    <definedName name="OSRRefR21_3x_0" localSheetId="88">'415'!$R$50</definedName>
    <definedName name="OSRRefR21_3x_0" localSheetId="89">'418'!$R$49</definedName>
    <definedName name="OSRRefR21_3x_0" localSheetId="90">'420'!$R$39</definedName>
    <definedName name="OSRRefR21_3x_0" localSheetId="91">'423'!$R$43</definedName>
    <definedName name="OSRRefR21_3x_0" localSheetId="92">'424'!$R$42</definedName>
    <definedName name="OSRRefR21_3x_0" localSheetId="93">'425'!$R$45:$R$46</definedName>
    <definedName name="OSRRefR21_3x_0" localSheetId="94">'430'!$R$42</definedName>
    <definedName name="OSRRefR21_3x_0" localSheetId="95">'433'!$R$52</definedName>
    <definedName name="OSRRefR21_3x_0" localSheetId="96">'435'!$R$35</definedName>
    <definedName name="OSRRefR21_3x_0" localSheetId="97">'444'!$R$50</definedName>
    <definedName name="OSRRefR21_3x_0" localSheetId="98">'445'!$R$34</definedName>
    <definedName name="OSRRefR21_3x_0" localSheetId="99">'450'!$R$50</definedName>
    <definedName name="OSRRefR21_3x_0" localSheetId="100">'455'!$R$33</definedName>
    <definedName name="OSRRefR21_3x_0" localSheetId="41">'491'!$R$61:$R$62</definedName>
    <definedName name="OSRRefR21_3x_0" localSheetId="44">'492'!$R$54</definedName>
    <definedName name="OSRRefR21_3x_0" localSheetId="101">'501'!$R$44</definedName>
    <definedName name="OSRRefR21_3x_0" localSheetId="8">'Div 2'!$R$45</definedName>
    <definedName name="OSRRefR21_3x_0" localSheetId="11">'Div 3'!$R$233:$R$235</definedName>
    <definedName name="OSRRefR21_3x_0" localSheetId="14">'Div 4'!$R$62:$R$63</definedName>
    <definedName name="OSRRefR21_3x_0" localSheetId="47">'Div 5'!$R$44</definedName>
    <definedName name="OSRRefR21_3x_0" localSheetId="50">'Div 6'!$R$87</definedName>
    <definedName name="OSRRefR21_3x_0" localSheetId="2">Summary!$R$269:$R$271</definedName>
    <definedName name="OSRRefR21_4x_0" localSheetId="54">'200'!$R$28</definedName>
    <definedName name="OSRRefR21_4x_0" localSheetId="55">'201'!$R$45</definedName>
    <definedName name="OSRRefR21_4x_0" localSheetId="56">'202'!$R$45</definedName>
    <definedName name="OSRRefR21_4x_0" localSheetId="57">'203'!$R$45</definedName>
    <definedName name="OSRRefR21_4x_0" localSheetId="58">'204'!$R$46</definedName>
    <definedName name="OSRRefR21_4x_0" localSheetId="59">'205'!$R$44:$R$46</definedName>
    <definedName name="OSRRefR21_4x_0" localSheetId="60">'206'!$R$44</definedName>
    <definedName name="OSRRefR21_4x_0" localSheetId="17">'300'!$R$232</definedName>
    <definedName name="OSRRefR21_4x_0" localSheetId="20">'300 &amp; 317'!$R$257</definedName>
    <definedName name="OSRRefR21_4x_0" localSheetId="61">'301'!$R$47</definedName>
    <definedName name="OSRRefR21_4x_0" localSheetId="62">'306'!$R$45</definedName>
    <definedName name="OSRRefR21_4x_0" localSheetId="63">'307'!$R$125</definedName>
    <definedName name="OSRRefR21_4x_0" localSheetId="29">'308'!$R$116</definedName>
    <definedName name="OSRRefR21_4x_0" localSheetId="64">'309'!$R$50</definedName>
    <definedName name="OSRRefR21_4x_0" localSheetId="23">'310'!$R$64</definedName>
    <definedName name="OSRRefR21_4x_0" localSheetId="38">'310 &amp; 491'!$R$76</definedName>
    <definedName name="OSRRefR21_4x_0" localSheetId="65">'311'!$R$98</definedName>
    <definedName name="OSRRefR21_4x_0" localSheetId="66">'312'!$R$78:$R$79</definedName>
    <definedName name="OSRRefR21_4x_0" localSheetId="67">'313'!$R$60</definedName>
    <definedName name="OSRRefR21_4x_0" localSheetId="68">'314'!$R$83</definedName>
    <definedName name="OSRRefR21_4x_0" localSheetId="69">'315'!$R$82</definedName>
    <definedName name="OSRRefR21_4x_0" localSheetId="70">'316'!$R$65</definedName>
    <definedName name="OSRRefR21_4x_0" localSheetId="71">'317'!$R$89:$R$90</definedName>
    <definedName name="OSRRefR21_4x_0" localSheetId="72">'318'!$R$36</definedName>
    <definedName name="OSRRefR21_4x_0" localSheetId="73">'320'!$R$56</definedName>
    <definedName name="OSRRefR21_4x_0" localSheetId="74">'321'!$R$51</definedName>
    <definedName name="OSRRefR21_4x_0" localSheetId="75">'322'!$R$50</definedName>
    <definedName name="OSRRefR21_4x_0" localSheetId="76">'323'!$R$37</definedName>
    <definedName name="OSRRefR21_4x_0" localSheetId="78">'325'!$R$51</definedName>
    <definedName name="OSRRefR21_4x_0" localSheetId="79">'326'!$R$119</definedName>
    <definedName name="OSRRefR21_4x_0" localSheetId="26">'330'!$R$134</definedName>
    <definedName name="OSRRefR21_4x_0" localSheetId="32">'331'!$R$130</definedName>
    <definedName name="OSRRefR21_4x_0" localSheetId="35">'332'!$R$82</definedName>
    <definedName name="OSRRefR21_4x_0" localSheetId="81">'335'!$R$38</definedName>
    <definedName name="OSRRefR21_4x_0" localSheetId="82">'405'!$R$53</definedName>
    <definedName name="OSRRefR21_4x_0" localSheetId="83">'406'!$R$43</definedName>
    <definedName name="OSRRefR21_4x_0" localSheetId="84">'411'!$R$45</definedName>
    <definedName name="OSRRefR21_4x_0" localSheetId="85">'412'!$R$53</definedName>
    <definedName name="OSRRefR21_4x_0" localSheetId="86">'413'!$R$52</definedName>
    <definedName name="OSRRefR21_4x_0" localSheetId="87">'414'!$R$51</definedName>
    <definedName name="OSRRefR21_4x_0" localSheetId="88">'415'!$R$52</definedName>
    <definedName name="OSRRefR21_4x_0" localSheetId="89">'418'!$R$51</definedName>
    <definedName name="OSRRefR21_4x_0" localSheetId="90">'420'!$R$41</definedName>
    <definedName name="OSRRefR21_4x_0" localSheetId="91">'423'!$R$45</definedName>
    <definedName name="OSRRefR21_4x_0" localSheetId="92">'424'!$R$44</definedName>
    <definedName name="OSRRefR21_4x_0" localSheetId="93">'425'!$R$48</definedName>
    <definedName name="OSRRefR21_4x_0" localSheetId="94">'430'!$R$44</definedName>
    <definedName name="OSRRefR21_4x_0" localSheetId="95">'433'!$R$54</definedName>
    <definedName name="OSRRefR21_4x_0" localSheetId="96">'435'!$R$37</definedName>
    <definedName name="OSRRefR21_4x_0" localSheetId="97">'444'!$R$52</definedName>
    <definedName name="OSRRefR21_4x_0" localSheetId="98">'445'!$R$36</definedName>
    <definedName name="OSRRefR21_4x_0" localSheetId="99">'450'!$R$52</definedName>
    <definedName name="OSRRefR21_4x_0" localSheetId="41">'491'!$R$64</definedName>
    <definedName name="OSRRefR21_4x_0" localSheetId="44">'492'!$R$56</definedName>
    <definedName name="OSRRefR21_4x_0" localSheetId="101">'501'!$R$46</definedName>
    <definedName name="OSRRefR21_4x_0" localSheetId="8">'Div 2'!$R$47</definedName>
    <definedName name="OSRRefR21_4x_0" localSheetId="11">'Div 3'!$R$237</definedName>
    <definedName name="OSRRefR21_4x_0" localSheetId="14">'Div 4'!$R$65</definedName>
    <definedName name="OSRRefR21_4x_0" localSheetId="47">'Div 5'!$R$46</definedName>
    <definedName name="OSRRefR21_4x_0" localSheetId="50">'Div 6'!$R$89:$R$90</definedName>
    <definedName name="OSRRefR21_4x_0" localSheetId="2">Summary!$R$273</definedName>
    <definedName name="OSRRefR21_5x_0" localSheetId="54">'200'!$R$30:$R$31</definedName>
    <definedName name="OSRRefR21_5x_0" localSheetId="55">'201'!$R$47</definedName>
    <definedName name="OSRRefR21_5x_0" localSheetId="56">'202'!$R$47</definedName>
    <definedName name="OSRRefR21_5x_0" localSheetId="57">'203'!$R$47</definedName>
    <definedName name="OSRRefR21_5x_0" localSheetId="58">'204'!$R$48:$R$49</definedName>
    <definedName name="OSRRefR21_5x_0" localSheetId="59">'205'!$R$48</definedName>
    <definedName name="OSRRefR21_5x_0" localSheetId="60">'206'!$R$46</definedName>
    <definedName name="OSRRefR21_5x_0" localSheetId="17">'300'!$R$234:$R$237</definedName>
    <definedName name="OSRRefR21_5x_0" localSheetId="20">'300 &amp; 317'!$R$259:$R$262</definedName>
    <definedName name="OSRRefR21_5x_0" localSheetId="61">'301'!$R$49:$R$52</definedName>
    <definedName name="OSRRefR21_5x_0" localSheetId="62">'306'!$R$47:$R$48</definedName>
    <definedName name="OSRRefR21_5x_0" localSheetId="63">'307'!$R$127:$R$128</definedName>
    <definedName name="OSRRefR21_5x_0" localSheetId="29">'308'!$R$118</definedName>
    <definedName name="OSRRefR21_5x_0" localSheetId="64">'309'!$R$52</definedName>
    <definedName name="OSRRefR21_5x_0" localSheetId="23">'310'!$R$66:$R$67</definedName>
    <definedName name="OSRRefR21_5x_0" localSheetId="38">'310 &amp; 491'!$R$78:$R$81</definedName>
    <definedName name="OSRRefR21_5x_0" localSheetId="65">'311'!$R$100</definedName>
    <definedName name="OSRRefR21_5x_0" localSheetId="66">'312'!$R$81:$R$89</definedName>
    <definedName name="OSRRefR21_5x_0" localSheetId="67">'313'!$R$62</definedName>
    <definedName name="OSRRefR21_5x_0" localSheetId="68">'314'!$R$85:$R$86</definedName>
    <definedName name="OSRRefR21_5x_0" localSheetId="69">'315'!$R$84:$R$85</definedName>
    <definedName name="OSRRefR21_5x_0" localSheetId="70">'316'!$R$67</definedName>
    <definedName name="OSRRefR21_5x_0" localSheetId="71">'317'!$R$92</definedName>
    <definedName name="OSRRefR21_5x_0" localSheetId="72">'318'!$R$38</definedName>
    <definedName name="OSRRefR21_5x_0" localSheetId="73">'320'!$R$58:$R$59</definedName>
    <definedName name="OSRRefR21_5x_0" localSheetId="74">'321'!$R$53</definedName>
    <definedName name="OSRRefR21_5x_0" localSheetId="75">'322'!$R$52</definedName>
    <definedName name="OSRRefR21_5x_0" localSheetId="76">'323'!$R$39</definedName>
    <definedName name="OSRRefR21_5x_0" localSheetId="78">'325'!$R$53:$R$54</definedName>
    <definedName name="OSRRefR21_5x_0" localSheetId="79">'326'!$R$121:$R$122</definedName>
    <definedName name="OSRRefR21_5x_0" localSheetId="26">'330'!$R$136:$R$137</definedName>
    <definedName name="OSRRefR21_5x_0" localSheetId="32">'331'!$R$132:$R$133</definedName>
    <definedName name="OSRRefR21_5x_0" localSheetId="35">'332'!$R$84</definedName>
    <definedName name="OSRRefR21_5x_0" localSheetId="81">'335'!$R$40:$R$41</definedName>
    <definedName name="OSRRefR21_5x_0" localSheetId="82">'405'!$R$55:$R$56</definedName>
    <definedName name="OSRRefR21_5x_0" localSheetId="83">'406'!$R$45</definedName>
    <definedName name="OSRRefR21_5x_0" localSheetId="84">'411'!$R$47:$R$50</definedName>
    <definedName name="OSRRefR21_5x_0" localSheetId="85">'412'!$R$55:$R$56</definedName>
    <definedName name="OSRRefR21_5x_0" localSheetId="86">'413'!$R$54</definedName>
    <definedName name="OSRRefR21_5x_0" localSheetId="87">'414'!$R$53</definedName>
    <definedName name="OSRRefR21_5x_0" localSheetId="88">'415'!$R$54:$R$55</definedName>
    <definedName name="OSRRefR21_5x_0" localSheetId="89">'418'!$R$53:$R$54</definedName>
    <definedName name="OSRRefR21_5x_0" localSheetId="90">'420'!$R$43</definedName>
    <definedName name="OSRRefR21_5x_0" localSheetId="91">'423'!$R$47</definedName>
    <definedName name="OSRRefR21_5x_0" localSheetId="92">'424'!$R$46</definedName>
    <definedName name="OSRRefR21_5x_0" localSheetId="93">'425'!$R$50:$R$51</definedName>
    <definedName name="OSRRefR21_5x_0" localSheetId="94">'430'!$R$46</definedName>
    <definedName name="OSRRefR21_5x_0" localSheetId="95">'433'!$R$56</definedName>
    <definedName name="OSRRefR21_5x_0" localSheetId="96">'435'!$R$39</definedName>
    <definedName name="OSRRefR21_5x_0" localSheetId="97">'444'!$R$54</definedName>
    <definedName name="OSRRefR21_5x_0" localSheetId="98">'445'!$R$38</definedName>
    <definedName name="OSRRefR21_5x_0" localSheetId="99">'450'!$R$54:$R$55</definedName>
    <definedName name="OSRRefR21_5x_0" localSheetId="41">'491'!$R$66:$R$69</definedName>
    <definedName name="OSRRefR21_5x_0" localSheetId="44">'492'!$R$58:$R$59</definedName>
    <definedName name="OSRRefR21_5x_0" localSheetId="101">'501'!$R$48</definedName>
    <definedName name="OSRRefR21_5x_0" localSheetId="8">'Div 2'!$R$49</definedName>
    <definedName name="OSRRefR21_5x_0" localSheetId="11">'Div 3'!$R$239:$R$242</definedName>
    <definedName name="OSRRefR21_5x_0" localSheetId="14">'Div 4'!$R$67:$R$70</definedName>
    <definedName name="OSRRefR21_5x_0" localSheetId="47">'Div 5'!$R$48</definedName>
    <definedName name="OSRRefR21_5x_0" localSheetId="50">'Div 6'!$R$92</definedName>
    <definedName name="OSRRefR21_5x_0" localSheetId="2">Summary!$R$275:$R$278</definedName>
    <definedName name="OSRRefR21_6x_0" localSheetId="55">'201'!$R$49:$R$50</definedName>
    <definedName name="OSRRefR21_6x_0" localSheetId="56">'202'!$R$49:$R$50</definedName>
    <definedName name="OSRRefR21_6x_0" localSheetId="57">'203'!$R$49</definedName>
    <definedName name="OSRRefR21_6x_0" localSheetId="58">'204'!$R$51</definedName>
    <definedName name="OSRRefR21_6x_0" localSheetId="59">'205'!$R$50:$R$53</definedName>
    <definedName name="OSRRefR21_6x_0" localSheetId="60">'206'!$R$48</definedName>
    <definedName name="OSRRefR21_6x_0" localSheetId="17">'300'!$R$239:$R$240</definedName>
    <definedName name="OSRRefR21_6x_0" localSheetId="20">'300 &amp; 317'!$R$264:$R$265</definedName>
    <definedName name="OSRRefR21_6x_0" localSheetId="61">'301'!$R$54:$R$55</definedName>
    <definedName name="OSRRefR21_6x_0" localSheetId="62">'306'!$R$50</definedName>
    <definedName name="OSRRefR21_6x_0" localSheetId="63">'307'!$R$130</definedName>
    <definedName name="OSRRefR21_6x_0" localSheetId="29">'308'!$R$120:$R$121</definedName>
    <definedName name="OSRRefR21_6x_0" localSheetId="64">'309'!$R$54</definedName>
    <definedName name="OSRRefR21_6x_0" localSheetId="23">'310'!$R$69</definedName>
    <definedName name="OSRRefR21_6x_0" localSheetId="38">'310 &amp; 491'!$R$83:$R$84</definedName>
    <definedName name="OSRRefR21_6x_0" localSheetId="65">'311'!$R$102:$R$103</definedName>
    <definedName name="OSRRefR21_6x_0" localSheetId="66">'312'!$R$91:$R$92</definedName>
    <definedName name="OSRRefR21_6x_0" localSheetId="67">'313'!$R$64</definedName>
    <definedName name="OSRRefR21_6x_0" localSheetId="68">'314'!$R$88:$R$97</definedName>
    <definedName name="OSRRefR21_6x_0" localSheetId="69">'315'!$R$87</definedName>
    <definedName name="OSRRefR21_6x_0" localSheetId="70">'316'!$R$69</definedName>
    <definedName name="OSRRefR21_6x_0" localSheetId="71">'317'!$R$94</definedName>
    <definedName name="OSRRefR21_6x_0" localSheetId="72">'318'!$R$40</definedName>
    <definedName name="OSRRefR21_6x_0" localSheetId="73">'320'!$R$61</definedName>
    <definedName name="OSRRefR21_6x_0" localSheetId="74">'321'!$R$55</definedName>
    <definedName name="OSRRefR21_6x_0" localSheetId="75">'322'!$R$54</definedName>
    <definedName name="OSRRefR21_6x_0" localSheetId="76">'323'!$R$41</definedName>
    <definedName name="OSRRefR21_6x_0" localSheetId="78">'325'!$R$56</definedName>
    <definedName name="OSRRefR21_6x_0" localSheetId="79">'326'!$R$124:$R$125</definedName>
    <definedName name="OSRRefR21_6x_0" localSheetId="26">'330'!$R$139</definedName>
    <definedName name="OSRRefR21_6x_0" localSheetId="32">'331'!$R$135:$R$136</definedName>
    <definedName name="OSRRefR21_6x_0" localSheetId="35">'332'!$R$86</definedName>
    <definedName name="OSRRefR21_6x_0" localSheetId="81">'335'!$R$43:$R$45</definedName>
    <definedName name="OSRRefR21_6x_0" localSheetId="82">'405'!$R$58</definedName>
    <definedName name="OSRRefR21_6x_0" localSheetId="83">'406'!$R$47</definedName>
    <definedName name="OSRRefR21_6x_0" localSheetId="84">'411'!$R$52</definedName>
    <definedName name="OSRRefR21_6x_0" localSheetId="85">'412'!$R$58</definedName>
    <definedName name="OSRRefR21_6x_0" localSheetId="86">'413'!$R$56</definedName>
    <definedName name="OSRRefR21_6x_0" localSheetId="87">'414'!$R$55</definedName>
    <definedName name="OSRRefR21_6x_0" localSheetId="88">'415'!$R$57</definedName>
    <definedName name="OSRRefR21_6x_0" localSheetId="89">'418'!$R$56</definedName>
    <definedName name="OSRRefR21_6x_0" localSheetId="90">'420'!$R$45</definedName>
    <definedName name="OSRRefR21_6x_0" localSheetId="91">'423'!$R$49</definedName>
    <definedName name="OSRRefR21_6x_0" localSheetId="92">'424'!$R$48</definedName>
    <definedName name="OSRRefR21_6x_0" localSheetId="93">'425'!$R$53</definedName>
    <definedName name="OSRRefR21_6x_0" localSheetId="94">'430'!$R$48</definedName>
    <definedName name="OSRRefR21_6x_0" localSheetId="95">'433'!$R$58</definedName>
    <definedName name="OSRRefR21_6x_0" localSheetId="96">'435'!$R$41</definedName>
    <definedName name="OSRRefR21_6x_0" localSheetId="97">'444'!$R$56</definedName>
    <definedName name="OSRRefR21_6x_0" localSheetId="98">'445'!$R$40</definedName>
    <definedName name="OSRRefR21_6x_0" localSheetId="99">'450'!$R$57</definedName>
    <definedName name="OSRRefR21_6x_0" localSheetId="41">'491'!$R$71:$R$72</definedName>
    <definedName name="OSRRefR21_6x_0" localSheetId="44">'492'!$R$61</definedName>
    <definedName name="OSRRefR21_6x_0" localSheetId="101">'501'!$R$50:$R$51</definedName>
    <definedName name="OSRRefR21_6x_0" localSheetId="8">'Div 2'!$R$51:$R$52</definedName>
    <definedName name="OSRRefR21_6x_0" localSheetId="11">'Div 3'!$R$244:$R$245</definedName>
    <definedName name="OSRRefR21_6x_0" localSheetId="14">'Div 4'!$R$72:$R$73</definedName>
    <definedName name="OSRRefR21_6x_0" localSheetId="47">'Div 5'!$R$50:$R$51</definedName>
    <definedName name="OSRRefR21_6x_0" localSheetId="50">'Div 6'!$R$94</definedName>
    <definedName name="OSRRefR21_6x_0" localSheetId="2">Summary!$R$280:$R$281</definedName>
    <definedName name="OSRRefR21_7x_0" localSheetId="55">'201'!$R$52</definedName>
    <definedName name="OSRRefR21_7x_0" localSheetId="56">'202'!$R$52</definedName>
    <definedName name="OSRRefR21_7x_0" localSheetId="57">'203'!$R$51</definedName>
    <definedName name="OSRRefR21_7x_0" localSheetId="58">'204'!$R$53</definedName>
    <definedName name="OSRRefR21_7x_0" localSheetId="59">'205'!$R$55</definedName>
    <definedName name="OSRRefR21_7x_0" localSheetId="60">'206'!$R$50:$R$52</definedName>
    <definedName name="OSRRefR21_7x_0" localSheetId="17">'300'!$R$242:$R$243</definedName>
    <definedName name="OSRRefR21_7x_0" localSheetId="20">'300 &amp; 317'!$R$267:$R$268</definedName>
    <definedName name="OSRRefR21_7x_0" localSheetId="61">'301'!$R$57</definedName>
    <definedName name="OSRRefR21_7x_0" localSheetId="62">'306'!$R$52:$R$53</definedName>
    <definedName name="OSRRefR21_7x_0" localSheetId="63">'307'!$R$132:$R$133</definedName>
    <definedName name="OSRRefR21_7x_0" localSheetId="29">'308'!$R$123:$R$124</definedName>
    <definedName name="OSRRefR21_7x_0" localSheetId="64">'309'!$R$56</definedName>
    <definedName name="OSRRefR21_7x_0" localSheetId="23">'310'!$R$71</definedName>
    <definedName name="OSRRefR21_7x_0" localSheetId="38">'310 &amp; 491'!$R$86</definedName>
    <definedName name="OSRRefR21_7x_0" localSheetId="65">'311'!$R$105:$R$106</definedName>
    <definedName name="OSRRefR21_7x_0" localSheetId="66">'312'!$R$94</definedName>
    <definedName name="OSRRefR21_7x_0" localSheetId="67">'313'!$R$66:$R$67</definedName>
    <definedName name="OSRRefR21_7x_0" localSheetId="68">'314'!$R$99</definedName>
    <definedName name="OSRRefR21_7x_0" localSheetId="69">'315'!$R$89:$R$90</definedName>
    <definedName name="OSRRefR21_7x_0" localSheetId="70">'316'!$R$71:$R$72</definedName>
    <definedName name="OSRRefR21_7x_0" localSheetId="71">'317'!$R$96:$R$97</definedName>
    <definedName name="OSRRefR21_7x_0" localSheetId="72">'318'!$R$42</definedName>
    <definedName name="OSRRefR21_7x_0" localSheetId="73">'320'!$R$63:$R$66</definedName>
    <definedName name="OSRRefR21_7x_0" localSheetId="74">'321'!$R$57:$R$58</definedName>
    <definedName name="OSRRefR21_7x_0" localSheetId="75">'322'!$R$56</definedName>
    <definedName name="OSRRefR21_7x_0" localSheetId="76">'323'!$R$43:$R$45</definedName>
    <definedName name="OSRRefR21_7x_0" localSheetId="78">'325'!$R$58</definedName>
    <definedName name="OSRRefR21_7x_0" localSheetId="79">'326'!$R$127</definedName>
    <definedName name="OSRRefR21_7x_0" localSheetId="26">'330'!$R$141:$R$142</definedName>
    <definedName name="OSRRefR21_7x_0" localSheetId="32">'331'!$R$138</definedName>
    <definedName name="OSRRefR21_7x_0" localSheetId="35">'332'!$R$88:$R$89</definedName>
    <definedName name="OSRRefR21_7x_0" localSheetId="81">'335'!$R$47</definedName>
    <definedName name="OSRRefR21_7x_0" localSheetId="82">'405'!$R$60</definedName>
    <definedName name="OSRRefR21_7x_0" localSheetId="83">'406'!$R$49</definedName>
    <definedName name="OSRRefR21_7x_0" localSheetId="84">'411'!$R$54</definedName>
    <definedName name="OSRRefR21_7x_0" localSheetId="85">'412'!$R$60</definedName>
    <definedName name="OSRRefR21_7x_0" localSheetId="86">'413'!$R$58</definedName>
    <definedName name="OSRRefR21_7x_0" localSheetId="87">'414'!$R$57</definedName>
    <definedName name="OSRRefR21_7x_0" localSheetId="88">'415'!$R$59</definedName>
    <definedName name="OSRRefR21_7x_0" localSheetId="89">'418'!$R$58</definedName>
    <definedName name="OSRRefR21_7x_0" localSheetId="90">'420'!$R$47:$R$48</definedName>
    <definedName name="OSRRefR21_7x_0" localSheetId="91">'423'!$R$51:$R$53</definedName>
    <definedName name="OSRRefR21_7x_0" localSheetId="92">'424'!$R$50</definedName>
    <definedName name="OSRRefR21_7x_0" localSheetId="93">'425'!$R$55</definedName>
    <definedName name="OSRRefR21_7x_0" localSheetId="94">'430'!$R$50</definedName>
    <definedName name="OSRRefR21_7x_0" localSheetId="95">'433'!$R$60</definedName>
    <definedName name="OSRRefR21_7x_0" localSheetId="96">'435'!$R$43</definedName>
    <definedName name="OSRRefR21_7x_0" localSheetId="97">'444'!$R$58</definedName>
    <definedName name="OSRRefR21_7x_0" localSheetId="98">'445'!$R$42</definedName>
    <definedName name="OSRRefR21_7x_0" localSheetId="99">'450'!$R$59</definedName>
    <definedName name="OSRRefR21_7x_0" localSheetId="41">'491'!$R$74</definedName>
    <definedName name="OSRRefR21_7x_0" localSheetId="44">'492'!$R$63</definedName>
    <definedName name="OSRRefR21_7x_0" localSheetId="101">'501'!$R$53</definedName>
    <definedName name="OSRRefR21_7x_0" localSheetId="8">'Div 2'!$R$54:$R$55</definedName>
    <definedName name="OSRRefR21_7x_0" localSheetId="11">'Div 3'!$R$247:$R$248</definedName>
    <definedName name="OSRRefR21_7x_0" localSheetId="14">'Div 4'!$R$75</definedName>
    <definedName name="OSRRefR21_7x_0" localSheetId="47">'Div 5'!$R$53</definedName>
    <definedName name="OSRRefR21_7x_0" localSheetId="50">'Div 6'!$R$96:$R$97</definedName>
    <definedName name="OSRRefR21_7x_0" localSheetId="2">Summary!$R$283:$R$284</definedName>
    <definedName name="OSRRefR21_8x_0" localSheetId="55">'201'!$R$54</definedName>
    <definedName name="OSRRefR21_8x_0" localSheetId="56">'202'!$R$54</definedName>
    <definedName name="OSRRefR21_8x_0" localSheetId="57">'203'!$R$53:$R$54</definedName>
    <definedName name="OSRRefR21_8x_0" localSheetId="58">'204'!$R$55:$R$58</definedName>
    <definedName name="OSRRefR21_8x_0" localSheetId="59">'205'!$R$57</definedName>
    <definedName name="OSRRefR21_8x_0" localSheetId="60">'206'!$R$54</definedName>
    <definedName name="OSRRefR21_8x_0" localSheetId="17">'300'!$R$245</definedName>
    <definedName name="OSRRefR21_8x_0" localSheetId="20">'300 &amp; 317'!$R$270</definedName>
    <definedName name="OSRRefR21_8x_0" localSheetId="61">'301'!$R$59</definedName>
    <definedName name="OSRRefR21_8x_0" localSheetId="62">'306'!$R$55:$R$59</definedName>
    <definedName name="OSRRefR21_8x_0" localSheetId="63">'307'!$R$135</definedName>
    <definedName name="OSRRefR21_8x_0" localSheetId="29">'308'!$R$126:$R$138</definedName>
    <definedName name="OSRRefR21_8x_0" localSheetId="64">'309'!$R$58</definedName>
    <definedName name="OSRRefR21_8x_0" localSheetId="23">'310'!$R$73</definedName>
    <definedName name="OSRRefR21_8x_0" localSheetId="38">'310 &amp; 491'!$R$88</definedName>
    <definedName name="OSRRefR21_8x_0" localSheetId="65">'311'!$R$108:$R$116</definedName>
    <definedName name="OSRRefR21_8x_0" localSheetId="66">'312'!$R$96</definedName>
    <definedName name="OSRRefR21_8x_0" localSheetId="67">'313'!$R$69</definedName>
    <definedName name="OSRRefR21_8x_0" localSheetId="68">'314'!$R$101</definedName>
    <definedName name="OSRRefR21_8x_0" localSheetId="69">'315'!$R$92</definedName>
    <definedName name="OSRRefR21_8x_0" localSheetId="70">'316'!$R$74</definedName>
    <definedName name="OSRRefR21_8x_0" localSheetId="71">'317'!$R$99</definedName>
    <definedName name="OSRRefR21_8x_0" localSheetId="72">'318'!$R$44</definedName>
    <definedName name="OSRRefR21_8x_0" localSheetId="73">'320'!$R$68:$R$69</definedName>
    <definedName name="OSRRefR21_8x_0" localSheetId="74">'321'!$R$60</definedName>
    <definedName name="OSRRefR21_8x_0" localSheetId="75">'322'!$R$58</definedName>
    <definedName name="OSRRefR21_8x_0" localSheetId="78">'325'!$R$60</definedName>
    <definedName name="OSRRefR21_8x_0" localSheetId="79">'326'!$R$129:$R$130</definedName>
    <definedName name="OSRRefR21_8x_0" localSheetId="26">'330'!$R$144</definedName>
    <definedName name="OSRRefR21_8x_0" localSheetId="32">'331'!$R$140:$R$141</definedName>
    <definedName name="OSRRefR21_8x_0" localSheetId="35">'332'!$R$91</definedName>
    <definedName name="OSRRefR21_8x_0" localSheetId="81">'335'!$R$49</definedName>
    <definedName name="OSRRefR21_8x_0" localSheetId="82">'405'!$R$62</definedName>
    <definedName name="OSRRefR21_8x_0" localSheetId="83">'406'!$R$51</definedName>
    <definedName name="OSRRefR21_8x_0" localSheetId="84">'411'!$R$56</definedName>
    <definedName name="OSRRefR21_8x_0" localSheetId="85">'412'!$R$62</definedName>
    <definedName name="OSRRefR21_8x_0" localSheetId="86">'413'!$R$60:$R$63</definedName>
    <definedName name="OSRRefR21_8x_0" localSheetId="87">'414'!$R$59</definedName>
    <definedName name="OSRRefR21_8x_0" localSheetId="88">'415'!$R$61</definedName>
    <definedName name="OSRRefR21_8x_0" localSheetId="89">'418'!$R$60</definedName>
    <definedName name="OSRRefR21_8x_0" localSheetId="90">'420'!$R$50</definedName>
    <definedName name="OSRRefR21_8x_0" localSheetId="91">'423'!$R$55</definedName>
    <definedName name="OSRRefR21_8x_0" localSheetId="92">'424'!$R$52</definedName>
    <definedName name="OSRRefR21_8x_0" localSheetId="93">'425'!$R$57</definedName>
    <definedName name="OSRRefR21_8x_0" localSheetId="94">'430'!$R$52:$R$56</definedName>
    <definedName name="OSRRefR21_8x_0" localSheetId="95">'433'!$R$62</definedName>
    <definedName name="OSRRefR21_8x_0" localSheetId="96">'435'!$R$45</definedName>
    <definedName name="OSRRefR21_8x_0" localSheetId="97">'444'!$R$60</definedName>
    <definedName name="OSRRefR21_8x_0" localSheetId="98">'445'!$R$44:$R$45</definedName>
    <definedName name="OSRRefR21_8x_0" localSheetId="99">'450'!$R$61</definedName>
    <definedName name="OSRRefR21_8x_0" localSheetId="41">'491'!$R$76</definedName>
    <definedName name="OSRRefR21_8x_0" localSheetId="44">'492'!$R$65</definedName>
    <definedName name="OSRRefR21_8x_0" localSheetId="101">'501'!$R$55</definedName>
    <definedName name="OSRRefR21_8x_0" localSheetId="8">'Div 2'!$R$57</definedName>
    <definedName name="OSRRefR21_8x_0" localSheetId="11">'Div 3'!$R$250</definedName>
    <definedName name="OSRRefR21_8x_0" localSheetId="14">'Div 4'!$R$77</definedName>
    <definedName name="OSRRefR21_8x_0" localSheetId="47">'Div 5'!$R$55</definedName>
    <definedName name="OSRRefR21_8x_0" localSheetId="50">'Div 6'!$R$99</definedName>
    <definedName name="OSRRefR21_8x_0" localSheetId="2">Summary!$R$286</definedName>
    <definedName name="OSRRefR21_9x_0" localSheetId="55">'201'!$R$56</definedName>
    <definedName name="OSRRefR21_9x_0" localSheetId="56">'202'!$R$56:$R$57</definedName>
    <definedName name="OSRRefR21_9x_0" localSheetId="57">'203'!$R$56:$R$58</definedName>
    <definedName name="OSRRefR21_9x_0" localSheetId="58">'204'!$R$60:$R$61</definedName>
    <definedName name="OSRRefR21_9x_0" localSheetId="60">'206'!$R$56:$R$57</definedName>
    <definedName name="OSRRefR21_9x_0" localSheetId="17">'300'!$R$247</definedName>
    <definedName name="OSRRefR21_9x_0" localSheetId="20">'300 &amp; 317'!$R$272</definedName>
    <definedName name="OSRRefR21_9x_0" localSheetId="61">'301'!$R$61</definedName>
    <definedName name="OSRRefR21_9x_0" localSheetId="62">'306'!$R$61</definedName>
    <definedName name="OSRRefR21_9x_0" localSheetId="63">'307'!$R$137:$R$160</definedName>
    <definedName name="OSRRefR21_9x_0" localSheetId="29">'308'!$R$140</definedName>
    <definedName name="OSRRefR21_9x_0" localSheetId="64">'309'!$R$60</definedName>
    <definedName name="OSRRefR21_9x_0" localSheetId="23">'310'!$R$75:$R$76</definedName>
    <definedName name="OSRRefR21_9x_0" localSheetId="38">'310 &amp; 491'!$R$90</definedName>
    <definedName name="OSRRefR21_9x_0" localSheetId="65">'311'!$R$118</definedName>
    <definedName name="OSRRefR21_9x_0" localSheetId="66">'312'!$R$98</definedName>
    <definedName name="OSRRefR21_9x_0" localSheetId="67">'313'!$R$71</definedName>
    <definedName name="OSRRefR21_9x_0" localSheetId="68">'314'!$R$103</definedName>
    <definedName name="OSRRefR21_9x_0" localSheetId="69">'315'!$R$94:$R$100</definedName>
    <definedName name="OSRRefR21_9x_0" localSheetId="70">'316'!$R$76:$R$78</definedName>
    <definedName name="OSRRefR21_9x_0" localSheetId="71">'317'!$R$101:$R$108</definedName>
    <definedName name="OSRRefR21_9x_0" localSheetId="73">'320'!$R$71:$R$73</definedName>
    <definedName name="OSRRefR21_9x_0" localSheetId="74">'321'!$R$62:$R$64</definedName>
    <definedName name="OSRRefR21_9x_0" localSheetId="75">'322'!$R$60</definedName>
    <definedName name="OSRRefR21_9x_0" localSheetId="78">'325'!$R$62</definedName>
    <definedName name="OSRRefR21_9x_0" localSheetId="79">'326'!$R$132:$R$133</definedName>
    <definedName name="OSRRefR21_9x_0" localSheetId="26">'330'!$R$146:$R$169</definedName>
    <definedName name="OSRRefR21_9x_0" localSheetId="32">'331'!$R$143:$R$144</definedName>
    <definedName name="OSRRefR21_9x_0" localSheetId="35">'332'!$R$93:$R$96</definedName>
    <definedName name="OSRRefR21_9x_0" localSheetId="81">'335'!$R$51:$R$52</definedName>
    <definedName name="OSRRefR21_9x_0" localSheetId="82">'405'!$R$64</definedName>
    <definedName name="OSRRefR21_9x_0" localSheetId="83">'406'!$R$53</definedName>
    <definedName name="OSRRefR21_9x_0" localSheetId="84">'411'!$R$58</definedName>
    <definedName name="OSRRefR21_9x_0" localSheetId="85">'412'!$R$64</definedName>
    <definedName name="OSRRefR21_9x_0" localSheetId="86">'413'!$R$65:$R$67</definedName>
    <definedName name="OSRRefR21_9x_0" localSheetId="87">'414'!$R$61</definedName>
    <definedName name="OSRRefR21_9x_0" localSheetId="88">'415'!$R$63</definedName>
    <definedName name="OSRRefR21_9x_0" localSheetId="89">'418'!$R$62</definedName>
    <definedName name="OSRRefR21_9x_0" localSheetId="91">'423'!$R$57</definedName>
    <definedName name="OSRRefR21_9x_0" localSheetId="92">'424'!$R$54:$R$55</definedName>
    <definedName name="OSRRefR21_9x_0" localSheetId="93">'425'!$R$59:$R$62</definedName>
    <definedName name="OSRRefR21_9x_0" localSheetId="94">'430'!$R$58:$R$59</definedName>
    <definedName name="OSRRefR21_9x_0" localSheetId="95">'433'!$R$64</definedName>
    <definedName name="OSRRefR21_9x_0" localSheetId="96">'435'!$R$47:$R$48</definedName>
    <definedName name="OSRRefR21_9x_0" localSheetId="97">'444'!$R$62</definedName>
    <definedName name="OSRRefR21_9x_0" localSheetId="98">'445'!$R$47</definedName>
    <definedName name="OSRRefR21_9x_0" localSheetId="99">'450'!$R$63</definedName>
    <definedName name="OSRRefR21_9x_0" localSheetId="41">'491'!$R$78</definedName>
    <definedName name="OSRRefR21_9x_0" localSheetId="44">'492'!$R$67</definedName>
    <definedName name="OSRRefR21_9x_0" localSheetId="101">'501'!$R$57</definedName>
    <definedName name="OSRRefR21_9x_0" localSheetId="8">'Div 2'!$R$59</definedName>
    <definedName name="OSRRefR21_9x_0" localSheetId="11">'Div 3'!$R$252</definedName>
    <definedName name="OSRRefR21_9x_0" localSheetId="14">'Div 4'!$R$79</definedName>
    <definedName name="OSRRefR21_9x_0" localSheetId="47">'Div 5'!$R$57</definedName>
    <definedName name="OSRRefR21_9x_0" localSheetId="50">'Div 6'!$R$101:$R$108</definedName>
    <definedName name="OSRRefR21_9x_0" localSheetId="2">Summary!$R$288</definedName>
    <definedName name="OSRRefR21x_0" localSheetId="54">'200'!$R$19:$R$20,'200'!$R$22,'200'!$R$24,'200'!$R$26,'200'!$R$28,'200'!$R$30:$R$31</definedName>
    <definedName name="OSRRefR21x_0" localSheetId="55">'201'!$R$20:$R$28,'201'!$R$30:$R$39,'201'!$R$41,'201'!$R$43,'201'!$R$45,'201'!$R$47,'201'!$R$49:$R$50,'201'!$R$52,'201'!$R$54,'201'!$R$56,'201'!$R$58,'201'!$R$60,'201'!$R$62,'201'!$R$64:$R$67,'201'!$R$69:$R$71,'201'!$R$73,'201'!$R$75:$R$78,'201'!$R$80:$R$81,'201'!$R$83,'201'!$R$85:$R$86</definedName>
    <definedName name="OSRRefR21x_0" localSheetId="56">'202'!$R$20:$R$28,'202'!$R$30:$R$39,'202'!$R$41,'202'!$R$43,'202'!$R$45,'202'!$R$47,'202'!$R$49:$R$50,'202'!$R$52,'202'!$R$54,'202'!$R$56:$R$57,'202'!$R$59:$R$61,'202'!$R$63,'202'!$R$65,'202'!$R$67:$R$69,'202'!$R$71,'202'!$R$73,'202'!$R$75:$R$76</definedName>
    <definedName name="OSRRefR21x_0" localSheetId="57">'203'!$R$19:$R$28,'203'!$R$30:$R$39,'203'!$R$41,'203'!$R$43,'203'!$R$45,'203'!$R$47,'203'!$R$49,'203'!$R$51,'203'!$R$53:$R$54,'203'!$R$56:$R$58,'203'!$R$60:$R$62,'203'!$R$64:$R$65,'203'!$R$67:$R$71,'203'!$R$73,'203'!$R$75,'203'!$R$77:$R$78</definedName>
    <definedName name="OSRRefR21x_0" localSheetId="58">'204'!$R$19:$R$28,'204'!$R$30:$R$39,'204'!$R$41,'204'!$R$43:$R$44,'204'!$R$46,'204'!$R$48:$R$49,'204'!$R$51,'204'!$R$53,'204'!$R$55:$R$58,'204'!$R$60:$R$61,'204'!$R$63:$R$66,'204'!$R$68:$R$69,'204'!$R$71,'204'!$R$73:$R$74</definedName>
    <definedName name="OSRRefR21x_0" localSheetId="59">'205'!$R$19:$R$27,'205'!$R$29:$R$38,'205'!$R$40,'205'!$R$42,'205'!$R$44:$R$46,'205'!$R$48,'205'!$R$50:$R$53,'205'!$R$55,'205'!$R$57</definedName>
    <definedName name="OSRRefR21x_0" localSheetId="60">'206'!$R$19:$R$27,'206'!$R$29:$R$38,'206'!$R$40,'206'!$R$42,'206'!$R$44,'206'!$R$46,'206'!$R$48,'206'!$R$50:$R$52,'206'!$R$54,'206'!$R$56:$R$57,'206'!$R$59:$R$60,'206'!$R$62,'206'!$R$64:$R$65</definedName>
    <definedName name="OSRRefR21x_0" localSheetId="17">'300'!$R$204:$R$213,'300'!$R$215:$R$224,'300'!$R$226,'300'!$R$228:$R$230,'300'!$R$232,'300'!$R$234:$R$237,'300'!$R$239:$R$240,'300'!$R$242:$R$243,'300'!$R$245,'300'!$R$247,'300'!$R$249:$R$250,'300'!$R$252:$R$254,'300'!$R$256,'300'!$R$258:$R$294,'300'!$R$296:$R$297,'300'!$R$299,'300'!$R$301:$R$304,'300'!$R$306:$R$310,'300'!$R$312:$R$316,'300'!$R$318:$R$319,'300'!$R$321:$R$329,'300'!$R$331:$R$332,'300'!$R$334,'300'!$R$336:$R$338,'300'!$R$340</definedName>
    <definedName name="OSRRefR21x_0" localSheetId="20">'300 &amp; 317'!$R$229:$R$238,'300 &amp; 317'!$R$240:$R$249,'300 &amp; 317'!$R$251,'300 &amp; 317'!$R$253:$R$255,'300 &amp; 317'!$R$257,'300 &amp; 317'!$R$259:$R$262,'300 &amp; 317'!$R$264:$R$265,'300 &amp; 317'!$R$267:$R$268,'300 &amp; 317'!$R$270,'300 &amp; 317'!$R$272,'300 &amp; 317'!$R$274:$R$275,'300 &amp; 317'!$R$277:$R$279,'300 &amp; 317'!$R$281,'300 &amp; 317'!$R$283:$R$322,'300 &amp; 317'!$R$324:$R$325,'300 &amp; 317'!$R$327,'300 &amp; 317'!$R$329:$R$332,'300 &amp; 317'!$R$334:$R$338,'300 &amp; 317'!$R$340:$R$344,'300 &amp; 317'!$R$346:$R$347,'300 &amp; 317'!$R$349:$R$357,'300 &amp; 317'!$R$359:$R$360,'300 &amp; 317'!$R$362,'300 &amp; 317'!$R$364:$R$366,'300 &amp; 317'!$R$368</definedName>
    <definedName name="OSRRefR21x_0" localSheetId="61">'301'!$R$20:$R$28,'301'!$R$30:$R$39,'301'!$R$41,'301'!$R$43:$R$45,'301'!$R$47,'301'!$R$49:$R$52,'301'!$R$54:$R$55,'301'!$R$57,'301'!$R$59,'301'!$R$61,'301'!$R$63,'301'!$R$65,'301'!$R$67,'301'!$R$69:$R$70,'301'!$R$72:$R$73,'301'!$R$75,'301'!$R$77:$R$80,'301'!$R$82,'301'!$R$84:$R$87,'301'!$R$89:$R$90,'301'!$R$92:$R$98,'301'!$R$100:$R$101,'301'!$R$103,'301'!$R$105:$R$107,'301'!$R$109</definedName>
    <definedName name="OSRRefR21x_0" localSheetId="62">'306'!$R$19:$R$28,'306'!$R$30:$R$39,'306'!$R$41,'306'!$R$43,'306'!$R$45,'306'!$R$47:$R$48,'306'!$R$50,'306'!$R$52:$R$53,'306'!$R$55:$R$59,'306'!$R$61,'306'!$R$63,'306'!$R$65,'306'!$R$67</definedName>
    <definedName name="OSRRefR21x_0" localSheetId="63">'307'!$R$100:$R$108,'307'!$R$110:$R$119,'307'!$R$121,'307'!$R$123,'307'!$R$125,'307'!$R$127:$R$128,'307'!$R$130,'307'!$R$132:$R$133,'307'!$R$135,'307'!$R$137:$R$160,'307'!$R$162,'307'!$R$164,'307'!$R$166:$R$167,'307'!$R$169:$R$170,'307'!$R$172,'307'!$R$174:$R$179,'307'!$R$181:$R$182,'307'!$R$184,'307'!$R$186</definedName>
    <definedName name="OSRRefR21x_0" localSheetId="29">'308'!$R$89:$R$98,'308'!$R$100:$R$109,'308'!$R$111,'308'!$R$113:$R$114,'308'!$R$116,'308'!$R$118,'308'!$R$120:$R$121,'308'!$R$123:$R$124,'308'!$R$126:$R$138,'308'!$R$140,'308'!$R$142:$R$144,'308'!$R$146,'308'!$R$148:$R$149,'308'!$R$151:$R$154,'308'!$R$156:$R$157,'308'!$R$159,'308'!$R$161:$R$162,'308'!$R$164</definedName>
    <definedName name="OSRRefR21x_0" localSheetId="64">'309'!$R$25:$R$33,'309'!$R$35:$R$44,'309'!$R$46,'309'!$R$48,'309'!$R$50,'309'!$R$52,'309'!$R$54,'309'!$R$56,'309'!$R$58,'309'!$R$60,'309'!$R$62:$R$63,'309'!$R$65:$R$67,'309'!$R$69,'309'!$R$71:$R$79,'309'!$R$81,'309'!$R$83,'309'!$R$85:$R$86</definedName>
    <definedName name="OSRRefR21x_0" localSheetId="23">'310'!$R$39:$R$47,'310'!$R$49:$R$58,'310'!$R$60,'310'!$R$62,'310'!$R$64,'310'!$R$66:$R$67,'310'!$R$69,'310'!$R$71,'310'!$R$73,'310'!$R$75:$R$76,'310'!$R$78:$R$79,'310'!$R$81,'310'!$R$83,'310'!$R$85,'310'!$R$87,'310'!$R$89:$R$92,'310'!$R$94:$R$95,'310'!$R$97:$R$100,'310'!$R$102:$R$103,'310'!$R$105:$R$113,'310'!$R$115:$R$116,'310'!$R$118,'310'!$R$120:$R$122,'310'!$R$124</definedName>
    <definedName name="OSRRefR21x_0" localSheetId="38">'310 &amp; 491'!$R$49:$R$58,'310 &amp; 491'!$R$60:$R$69,'310 &amp; 491'!$R$71,'310 &amp; 491'!$R$73:$R$74,'310 &amp; 491'!$R$76,'310 &amp; 491'!$R$78:$R$81,'310 &amp; 491'!$R$83:$R$84,'310 &amp; 491'!$R$86,'310 &amp; 491'!$R$88,'310 &amp; 491'!$R$90,'310 &amp; 491'!$R$92:$R$93,'310 &amp; 491'!$R$95:$R$97,'310 &amp; 491'!$R$99,'310 &amp; 491'!$R$101,'310 &amp; 491'!$R$103,'310 &amp; 491'!$R$105,'310 &amp; 491'!$R$107,'310 &amp; 491'!$R$109:$R$112,'310 &amp; 491'!$R$114:$R$115,'310 &amp; 491'!$R$117:$R$121,'310 &amp; 491'!$R$123:$R$124,'310 &amp; 491'!$R$126:$R$136,'310 &amp; 491'!$R$138:$R$139,'310 &amp; 491'!$R$141,'310 &amp; 491'!$R$143:$R$145,'310 &amp; 491'!$R$147</definedName>
    <definedName name="OSRRefR21x_0" localSheetId="65">'311'!$R$71:$R$80,'311'!$R$82:$R$91,'311'!$R$93,'311'!$R$95:$R$96,'311'!$R$98,'311'!$R$100,'311'!$R$102:$R$103,'311'!$R$105:$R$106,'311'!$R$108:$R$116,'311'!$R$118,'311'!$R$120:$R$122,'311'!$R$124,'311'!$R$126:$R$127,'311'!$R$129:$R$132,'311'!$R$134:$R$135,'311'!$R$137,'311'!$R$139:$R$140,'311'!$R$142</definedName>
    <definedName name="OSRRefR21x_0" localSheetId="66">'312'!$R$58:$R$66,'312'!$R$68:$R$72,'312'!$R$74,'312'!$R$76,'312'!$R$78:$R$79,'312'!$R$81:$R$89,'312'!$R$91:$R$92,'312'!$R$94,'312'!$R$96,'312'!$R$98</definedName>
    <definedName name="OSRRefR21x_0" localSheetId="67">'313'!$R$35:$R$43,'313'!$R$45:$R$54,'313'!$R$56,'313'!$R$58,'313'!$R$60,'313'!$R$62,'313'!$R$64,'313'!$R$66:$R$67,'313'!$R$69,'313'!$R$71,'313'!$R$73:$R$75,'313'!$R$77:$R$78,'313'!$R$80:$R$81,'313'!$R$83:$R$89,'313'!$R$91:$R$92,'313'!$R$94,'313'!$R$96:$R$97</definedName>
    <definedName name="OSRRefR21x_0" localSheetId="68">'314'!$R$61:$R$69,'314'!$R$71:$R$76,'314'!$R$78,'314'!$R$80:$R$81,'314'!$R$83,'314'!$R$85:$R$86,'314'!$R$88:$R$97,'314'!$R$99,'314'!$R$101,'314'!$R$103,'314'!$R$105:$R$108,'314'!$R$110,'314'!$R$112,'314'!$R$114</definedName>
    <definedName name="OSRRefR21x_0" localSheetId="69">'315'!$R$57:$R$65,'315'!$R$67:$R$76,'315'!$R$78,'315'!$R$80,'315'!$R$82,'315'!$R$84:$R$85,'315'!$R$87,'315'!$R$89:$R$90,'315'!$R$92,'315'!$R$94:$R$100,'315'!$R$102,'315'!$R$104:$R$106,'315'!$R$108:$R$110,'315'!$R$112:$R$113,'315'!$R$115:$R$122,'315'!$R$124,'315'!$R$126,'315'!$R$128:$R$130</definedName>
    <definedName name="OSRRefR21x_0" localSheetId="70">'316'!$R$40:$R$48,'316'!$R$50:$R$59,'316'!$R$61,'316'!$R$63,'316'!$R$65,'316'!$R$67,'316'!$R$69,'316'!$R$71:$R$72,'316'!$R$74,'316'!$R$76:$R$78,'316'!$R$80,'316'!$R$82:$R$87,'316'!$R$89,'316'!$R$91,'316'!$R$93,'316'!$R$95</definedName>
    <definedName name="OSRRefR21x_0" localSheetId="71">'317'!$R$63:$R$72,'317'!$R$74:$R$83,'317'!$R$85,'317'!$R$87,'317'!$R$89:$R$90,'317'!$R$92,'317'!$R$94,'317'!$R$96:$R$97,'317'!$R$99,'317'!$R$101:$R$108,'317'!$R$110:$R$111,'317'!$R$113,'317'!$R$115:$R$118,'317'!$R$120,'317'!$R$122,'317'!$R$124:$R$125</definedName>
    <definedName name="OSRRefR21x_0" localSheetId="72">'318'!$R$19:$R$25,'318'!$R$27:$R$30,'318'!$R$32,'318'!$R$34,'318'!$R$36,'318'!$R$38,'318'!$R$40,'318'!$R$42,'318'!$R$44</definedName>
    <definedName name="OSRRefR21x_0" localSheetId="73">'320'!$R$35:$R$42,'320'!$R$44:$R$50,'320'!$R$52,'320'!$R$54,'320'!$R$56,'320'!$R$58:$R$59,'320'!$R$61,'320'!$R$63:$R$66,'320'!$R$68:$R$69,'320'!$R$71:$R$73,'320'!$R$75,'320'!$R$77,'320'!$R$79</definedName>
    <definedName name="OSRRefR21x_0" localSheetId="74">'321'!$R$26:$R$34,'321'!$R$36:$R$45,'321'!$R$47,'321'!$R$49,'321'!$R$51,'321'!$R$53,'321'!$R$55,'321'!$R$57:$R$58,'321'!$R$60,'321'!$R$62:$R$64,'321'!$R$66:$R$67,'321'!$R$69:$R$71,'321'!$R$73:$R$74,'321'!$R$76:$R$83,'321'!$R$85:$R$86,'321'!$R$88,'321'!$R$90:$R$91,'321'!$R$93</definedName>
    <definedName name="OSRRefR21x_0" localSheetId="75">'322'!$R$25:$R$33,'322'!$R$35:$R$44,'322'!$R$46,'322'!$R$48,'322'!$R$50,'322'!$R$52,'322'!$R$54,'322'!$R$56,'322'!$R$58,'322'!$R$60,'322'!$R$62,'322'!$R$64,'322'!$R$66:$R$67,'322'!$R$69:$R$71,'322'!$R$73:$R$74,'322'!$R$76:$R$84,'322'!$R$86,'322'!$R$88,'322'!$R$90:$R$92,'322'!$R$94</definedName>
    <definedName name="OSRRefR21x_0" localSheetId="76">'323'!$R$21:$R$27,'323'!$R$29:$R$31,'323'!$R$33,'323'!$R$35,'323'!$R$37,'323'!$R$39,'323'!$R$41,'323'!$R$43:$R$45</definedName>
    <definedName name="OSRRefR21x_0" localSheetId="77">'324'!$R$26:$R$33,'324'!$R$35:$R$44,'324'!$R$46,'324'!$R$48</definedName>
    <definedName name="OSRRefR21x_0" localSheetId="78">'325'!$R$26:$R$34,'325'!$R$36:$R$45,'325'!$R$47,'325'!$R$49,'325'!$R$51,'325'!$R$53:$R$54,'325'!$R$56,'325'!$R$58,'325'!$R$60,'325'!$R$62,'325'!$R$64,'325'!$R$66,'325'!$R$68:$R$71,'325'!$R$73:$R$76,'325'!$R$78:$R$79,'325'!$R$81:$R$88,'325'!$R$90:$R$91,'325'!$R$93,'325'!$R$95,'325'!$R$97</definedName>
    <definedName name="OSRRefR21x_0" localSheetId="79">'326'!$R$94:$R$102,'326'!$R$104:$R$113,'326'!$R$115,'326'!$R$117,'326'!$R$119,'326'!$R$121:$R$122,'326'!$R$124:$R$125,'326'!$R$127,'326'!$R$129:$R$130,'326'!$R$132:$R$133,'326'!$R$135,'326'!$R$137:$R$157,'326'!$R$159,'326'!$R$161,'326'!$R$163:$R$165,'326'!$R$167:$R$169,'326'!$R$171:$R$172,'326'!$R$174:$R$181,'326'!$R$183:$R$184,'326'!$R$186,'326'!$R$188:$R$190,'326'!$R$192</definedName>
    <definedName name="OSRRefR21x_0" localSheetId="80">'327'!$R$25,'327'!$R$27,'327'!$R$29</definedName>
    <definedName name="OSRRefR21x_0" localSheetId="26">'330'!$R$108:$R$117,'330'!$R$119:$R$128,'330'!$R$130,'330'!$R$132,'330'!$R$134,'330'!$R$136:$R$137,'330'!$R$139,'330'!$R$141:$R$142,'330'!$R$144,'330'!$R$146:$R$169,'330'!$R$171,'330'!$R$173,'330'!$R$175:$R$176,'330'!$R$178:$R$179,'330'!$R$181,'330'!$R$183:$R$189,'330'!$R$191:$R$192,'330'!$R$194,'330'!$R$196</definedName>
    <definedName name="OSRRefR21x_0" localSheetId="32">'331'!$R$105:$R$113,'331'!$R$115:$R$124,'331'!$R$126,'331'!$R$128,'331'!$R$130,'331'!$R$132:$R$133,'331'!$R$135:$R$136,'331'!$R$138,'331'!$R$140:$R$141,'331'!$R$143:$R$144,'331'!$R$146,'331'!$R$148:$R$168,'331'!$R$170,'331'!$R$172,'331'!$R$174:$R$177,'331'!$R$179:$R$181,'331'!$R$183:$R$185,'331'!$R$187:$R$188,'331'!$R$190:$R$198,'331'!$R$200:$R$201,'331'!$R$203,'331'!$R$205:$R$207,'331'!$R$209</definedName>
    <definedName name="OSRRefR21x_0" localSheetId="35">'332'!$R$57:$R$65,'332'!$R$67:$R$76,'332'!$R$78,'332'!$R$80,'332'!$R$82,'332'!$R$84,'332'!$R$86,'332'!$R$88:$R$89,'332'!$R$91,'332'!$R$93:$R$96,'332'!$R$98:$R$100,'332'!$R$102:$R$103,'332'!$R$105:$R$110,'332'!$R$112,'332'!$R$114,'332'!$R$116,'332'!$R$118</definedName>
    <definedName name="OSRRefR21x_0" localSheetId="81">'335'!$R$19:$R$26,'335'!$R$28:$R$32,'335'!$R$34,'335'!$R$36,'335'!$R$38,'335'!$R$40:$R$41,'335'!$R$43:$R$45,'335'!$R$47,'335'!$R$49,'335'!$R$51:$R$52</definedName>
    <definedName name="OSRRefR21x_0" localSheetId="82">'405'!$R$27:$R$36,'405'!$R$38:$R$47,'405'!$R$49,'405'!$R$51,'405'!$R$53,'405'!$R$55:$R$56,'405'!$R$58,'405'!$R$60,'405'!$R$62,'405'!$R$64,'405'!$R$66:$R$68,'405'!$R$70,'405'!$R$72:$R$75,'405'!$R$77:$R$78,'405'!$R$80:$R$89,'405'!$R$91,'405'!$R$93,'405'!$R$95,'405'!$R$97</definedName>
    <definedName name="OSRRefR21x_0" localSheetId="83">'406'!$R$23:$R$30,'406'!$R$32:$R$37,'406'!$R$39,'406'!$R$41,'406'!$R$43,'406'!$R$45,'406'!$R$47,'406'!$R$49,'406'!$R$51,'406'!$R$53,'406'!$R$55:$R$57,'406'!$R$59,'406'!$R$61:$R$63,'406'!$R$65:$R$70,'406'!$R$72,'406'!$R$74,'406'!$R$76:$R$77</definedName>
    <definedName name="OSRRefR21x_0" localSheetId="84">'411'!$R$19:$R$28,'411'!$R$30:$R$39,'411'!$R$41,'411'!$R$43,'411'!$R$45,'411'!$R$47:$R$50,'411'!$R$52,'411'!$R$54,'411'!$R$56,'411'!$R$58,'411'!$R$60,'411'!$R$62,'411'!$R$64,'411'!$R$66,'411'!$R$68:$R$71,'411'!$R$73,'411'!$R$75:$R$79,'411'!$R$81:$R$82,'411'!$R$84:$R$93,'411'!$R$95,'411'!$R$97,'411'!$R$99:$R$101,'411'!$R$103</definedName>
    <definedName name="OSRRefR21x_0" localSheetId="85">'412'!$R$27:$R$36,'412'!$R$38:$R$47,'412'!$R$49,'412'!$R$51,'412'!$R$53,'412'!$R$55:$R$56,'412'!$R$58,'412'!$R$60,'412'!$R$62,'412'!$R$64,'412'!$R$66,'412'!$R$68:$R$70,'412'!$R$72,'412'!$R$74:$R$78,'412'!$R$80:$R$89,'412'!$R$91:$R$92,'412'!$R$94,'412'!$R$96:$R$97,'412'!$R$99</definedName>
    <definedName name="OSRRefR21x_0" localSheetId="86">'413'!$R$26:$R$35,'413'!$R$37:$R$46,'413'!$R$48,'413'!$R$50,'413'!$R$52,'413'!$R$54,'413'!$R$56,'413'!$R$58,'413'!$R$60:$R$63,'413'!$R$65:$R$67,'413'!$R$69:$R$78,'413'!$R$80:$R$81,'413'!$R$83,'413'!$R$85:$R$86</definedName>
    <definedName name="OSRRefR21x_0" localSheetId="87">'414'!$R$26:$R$34,'414'!$R$36:$R$45,'414'!$R$47,'414'!$R$49,'414'!$R$51,'414'!$R$53,'414'!$R$55,'414'!$R$57,'414'!$R$59,'414'!$R$61,'414'!$R$63:$R$64,'414'!$R$66,'414'!$R$68:$R$70,'414'!$R$72,'414'!$R$74:$R$82,'414'!$R$84,'414'!$R$86,'414'!$R$88</definedName>
    <definedName name="OSRRefR21x_0" localSheetId="88">'415'!$R$26:$R$35,'415'!$R$37:$R$46,'415'!$R$48,'415'!$R$50,'415'!$R$52,'415'!$R$54:$R$55,'415'!$R$57,'415'!$R$59,'415'!$R$61,'415'!$R$63,'415'!$R$65,'415'!$R$67:$R$70,'415'!$R$72,'415'!$R$74:$R$78,'415'!$R$80:$R$81,'415'!$R$83:$R$91,'415'!$R$93:$R$94,'415'!$R$96,'415'!$R$98:$R$99,'415'!$R$101</definedName>
    <definedName name="OSRRefR21x_0" localSheetId="89">'418'!$R$26:$R$34,'418'!$R$36:$R$45,'418'!$R$47,'418'!$R$49,'418'!$R$51,'418'!$R$53:$R$54,'418'!$R$56,'418'!$R$58,'418'!$R$60,'418'!$R$62,'418'!$R$64,'418'!$R$66:$R$67,'418'!$R$69:$R$72,'418'!$R$74:$R$77,'418'!$R$79:$R$80,'418'!$R$82:$R$92,'418'!$R$94:$R$95,'418'!$R$97,'418'!$R$99:$R$100,'418'!$R$102</definedName>
    <definedName name="OSRRefR21x_0" localSheetId="90">'420'!$R$23:$R$30,'420'!$R$32:$R$35,'420'!$R$37,'420'!$R$39,'420'!$R$41,'420'!$R$43,'420'!$R$45,'420'!$R$47:$R$48,'420'!$R$50</definedName>
    <definedName name="OSRRefR21x_0" localSheetId="91">'423'!$R$20:$R$28,'423'!$R$30:$R$39,'423'!$R$41,'423'!$R$43,'423'!$R$45,'423'!$R$47,'423'!$R$49,'423'!$R$51:$R$53,'423'!$R$55,'423'!$R$57,'423'!$R$59,'423'!$R$61,'423'!$R$63</definedName>
    <definedName name="OSRRefR21x_0" localSheetId="92">'424'!$R$25:$R$31,'424'!$R$33:$R$38,'424'!$R$40,'424'!$R$42,'424'!$R$44,'424'!$R$46,'424'!$R$48,'424'!$R$50,'424'!$R$52,'424'!$R$54:$R$55,'424'!$R$57,'424'!$R$59:$R$61,'424'!$R$63:$R$69,'424'!$R$71</definedName>
    <definedName name="OSRRefR21x_0" localSheetId="93">'425'!$R$26:$R$34,'425'!$R$36:$R$41,'425'!$R$43,'425'!$R$45:$R$46,'425'!$R$48,'425'!$R$50:$R$51,'425'!$R$53,'425'!$R$55,'425'!$R$57,'425'!$R$59:$R$62,'425'!$R$64,'425'!$R$66:$R$69,'425'!$R$71:$R$72,'425'!$R$74:$R$81,'425'!$R$83,'425'!$R$85,'425'!$R$87:$R$89</definedName>
    <definedName name="OSRRefR21x_0" localSheetId="94">'430'!$R$19:$R$27,'430'!$R$29:$R$38,'430'!$R$40,'430'!$R$42,'430'!$R$44,'430'!$R$46,'430'!$R$48,'430'!$R$50,'430'!$R$52:$R$56,'430'!$R$58:$R$59,'430'!$R$61,'430'!$R$63:$R$64</definedName>
    <definedName name="OSRRefR21x_0" localSheetId="95">'433'!$R$28:$R$37,'433'!$R$39:$R$48,'433'!$R$50,'433'!$R$52,'433'!$R$54,'433'!$R$56,'433'!$R$58,'433'!$R$60,'433'!$R$62,'433'!$R$64,'433'!$R$66,'433'!$R$68,'433'!$R$70,'433'!$R$72:$R$74,'433'!$R$76:$R$79,'433'!$R$81,'433'!$R$83:$R$91,'433'!$R$93,'433'!$R$95,'433'!$R$97:$R$98,'433'!$R$100</definedName>
    <definedName name="OSRRefR21x_0" localSheetId="96">'435'!$R$24:$R$26,'435'!$R$28:$R$31,'435'!$R$33,'435'!$R$35,'435'!$R$37,'435'!$R$39,'435'!$R$41,'435'!$R$43,'435'!$R$45,'435'!$R$47:$R$48,'435'!$R$50:$R$56,'435'!$R$58,'435'!$R$60,'435'!$R$62</definedName>
    <definedName name="OSRRefR21x_0" localSheetId="97">'444'!$R$26:$R$35,'444'!$R$37:$R$46,'444'!$R$48,'444'!$R$50,'444'!$R$52,'444'!$R$54,'444'!$R$56,'444'!$R$58,'444'!$R$60,'444'!$R$62,'444'!$R$64,'444'!$R$66,'444'!$R$68,'444'!$R$70:$R$73,'444'!$R$75:$R$78,'444'!$R$80:$R$81,'444'!$R$83:$R$92,'444'!$R$94:$R$95,'444'!$R$97,'444'!$R$99,'444'!$R$101</definedName>
    <definedName name="OSRRefR21x_0" localSheetId="98">'445'!$R$24:$R$26,'445'!$R$28:$R$30,'445'!$R$32,'445'!$R$34,'445'!$R$36,'445'!$R$38,'445'!$R$40,'445'!$R$42,'445'!$R$44:$R$45,'445'!$R$47,'445'!$R$49:$R$52,'445'!$R$54,'445'!$R$56,'445'!$R$58</definedName>
    <definedName name="OSRRefR21x_0" localSheetId="99">'450'!$R$26:$R$35,'450'!$R$37:$R$46,'450'!$R$48,'450'!$R$50,'450'!$R$52,'450'!$R$54:$R$55,'450'!$R$57,'450'!$R$59,'450'!$R$61,'450'!$R$63,'450'!$R$65,'450'!$R$67,'450'!$R$69:$R$71,'450'!$R$73:$R$76,'450'!$R$78,'450'!$R$80:$R$89,'450'!$R$91:$R$92,'450'!$R$94,'450'!$R$96:$R$98</definedName>
    <definedName name="OSRRefR21x_0" localSheetId="100">'455'!$R$19:$R$26,'455'!$R$28:$R$29,'455'!$R$31,'455'!$R$33</definedName>
    <definedName name="OSRRefR21x_0" localSheetId="41">'491'!$R$37:$R$46,'491'!$R$48:$R$57,'491'!$R$59,'491'!$R$61:$R$62,'491'!$R$64,'491'!$R$66:$R$69,'491'!$R$71:$R$72,'491'!$R$74,'491'!$R$76,'491'!$R$78,'491'!$R$80,'491'!$R$82:$R$83,'491'!$R$85,'491'!$R$87,'491'!$R$89,'491'!$R$91,'491'!$R$93,'491'!$R$95:$R$98,'491'!$R$100:$R$101,'491'!$R$103:$R$107,'491'!$R$109:$R$110,'491'!$R$112:$R$122,'491'!$R$124:$R$125,'491'!$R$127,'491'!$R$129:$R$131,'491'!$R$133</definedName>
    <definedName name="OSRRefR21x_0" localSheetId="44">'492'!$R$30:$R$39,'492'!$R$41:$R$50,'492'!$R$52,'492'!$R$54,'492'!$R$56,'492'!$R$58:$R$59,'492'!$R$61,'492'!$R$63,'492'!$R$65,'492'!$R$67,'492'!$R$69,'492'!$R$71,'492'!$R$73,'492'!$R$75:$R$76,'492'!$R$78,'492'!$R$80:$R$83,'492'!$R$85:$R$88,'492'!$R$90:$R$91,'492'!$R$93:$R$102,'492'!$R$104:$R$105,'492'!$R$107,'492'!$R$109:$R$111,'492'!$R$113</definedName>
    <definedName name="OSRRefR21x_0" localSheetId="101">'501'!$R$21:$R$29,'501'!$R$31:$R$40,'501'!$R$42,'501'!$R$44,'501'!$R$46,'501'!$R$48,'501'!$R$50:$R$51,'501'!$R$53,'501'!$R$55,'501'!$R$57,'501'!$R$59,'501'!$R$61:$R$64,'501'!$R$66,'501'!$R$68:$R$71,'501'!$R$73,'501'!$R$75,'501'!$R$77</definedName>
    <definedName name="OSRRefR21x_0" localSheetId="8">'Div 2'!$R$20:$R$30,'Div 2'!$R$32:$R$41,'Div 2'!$R$43,'Div 2'!$R$45,'Div 2'!$R$47,'Div 2'!$R$49,'Div 2'!$R$51:$R$52,'Div 2'!$R$54:$R$55,'Div 2'!$R$57,'Div 2'!$R$59,'Div 2'!$R$61:$R$62,'Div 2'!$R$64:$R$65,'Div 2'!$R$67:$R$68,'Div 2'!$R$70,'Div 2'!$R$72:$R$75,'Div 2'!$R$77:$R$80,'Div 2'!$R$82:$R$83,'Div 2'!$R$85:$R$86,'Div 2'!$R$88:$R$94,'Div 2'!$R$96:$R$97,'Div 2'!$R$99,'Div 2'!$R$101:$R$102</definedName>
    <definedName name="OSRRefR21x_0" localSheetId="11">'Div 3'!$R$209:$R$218,'Div 3'!$R$220:$R$229,'Div 3'!$R$231,'Div 3'!$R$233:$R$235,'Div 3'!$R$237,'Div 3'!$R$239:$R$242,'Div 3'!$R$244:$R$245,'Div 3'!$R$247:$R$248,'Div 3'!$R$250,'Div 3'!$R$252,'Div 3'!$R$254:$R$255,'Div 3'!$R$257:$R$259,'Div 3'!$R$261,'Div 3'!$R$263,'Div 3'!$R$265:$R$301,'Div 3'!$R$303:$R$304,'Div 3'!$R$306,'Div 3'!$R$308:$R$311,'Div 3'!$R$313:$R$317,'Div 3'!$R$319:$R$324,'Div 3'!$R$326:$R$327,'Div 3'!$R$329:$R$338,'Div 3'!$R$340:$R$341,'Div 3'!$R$343,'Div 3'!$R$345:$R$347,'Div 3'!$R$349</definedName>
    <definedName name="OSRRefR21x_0" localSheetId="14">'Div 4'!$R$38:$R$47,'Div 4'!$R$49:$R$58,'Div 4'!$R$60,'Div 4'!$R$62:$R$63,'Div 4'!$R$65,'Div 4'!$R$67:$R$70,'Div 4'!$R$72:$R$73,'Div 4'!$R$75,'Div 4'!$R$77,'Div 4'!$R$79,'Div 4'!$R$81,'Div 4'!$R$83:$R$84,'Div 4'!$R$86,'Div 4'!$R$88,'Div 4'!$R$90:$R$91,'Div 4'!$R$93,'Div 4'!$R$95,'Div 4'!$R$97:$R$100,'Div 4'!$R$102:$R$103,'Div 4'!$R$105:$R$109,'Div 4'!$R$111:$R$112,'Div 4'!$R$114:$R$124,'Div 4'!$R$126:$R$127,'Div 4'!$R$129,'Div 4'!$R$131:$R$133,'Div 4'!$R$135</definedName>
    <definedName name="OSRRefR21x_0" localSheetId="47">'Div 5'!$R$21:$R$29,'Div 5'!$R$31:$R$40,'Div 5'!$R$42,'Div 5'!$R$44,'Div 5'!$R$46,'Div 5'!$R$48,'Div 5'!$R$50:$R$51,'Div 5'!$R$53,'Div 5'!$R$55,'Div 5'!$R$57,'Div 5'!$R$59,'Div 5'!$R$61:$R$64,'Div 5'!$R$66,'Div 5'!$R$68:$R$71,'Div 5'!$R$73,'Div 5'!$R$75,'Div 5'!$R$77</definedName>
    <definedName name="OSRRefR21x_0" localSheetId="50">'Div 6'!$R$63:$R$72,'Div 6'!$R$74:$R$83,'Div 6'!$R$85,'Div 6'!$R$87,'Div 6'!$R$89:$R$90,'Div 6'!$R$92,'Div 6'!$R$94,'Div 6'!$R$96:$R$97,'Div 6'!$R$99,'Div 6'!$R$101:$R$108,'Div 6'!$R$110:$R$111,'Div 6'!$R$113,'Div 6'!$R$115:$R$118,'Div 6'!$R$120,'Div 6'!$R$122,'Div 6'!$R$124:$R$125</definedName>
    <definedName name="OSRRefR21x_0" localSheetId="2">Summary!$R$245:$R$254,Summary!$R$256:$R$265,Summary!$R$267,Summary!$R$269:$R$271,Summary!$R$273,Summary!$R$275:$R$278,Summary!$R$280:$R$281,Summary!$R$283:$R$284,Summary!$R$286,Summary!$R$288,Summary!$R$290:$R$291,Summary!$R$293:$R$295,Summary!$R$297,Summary!$R$299,Summary!$R$301:$R$340,Summary!$R$342:$R$343,Summary!$R$345,Summary!$R$347,Summary!$R$349:$R$352,Summary!$R$354:$R$358,Summary!$R$360:$R$365,Summary!$R$367:$R$368,Summary!$R$370:$R$380,Summary!$R$382:$R$383,Summary!$R$385,Summary!$R$387:$R$389,Summary!$R$391</definedName>
    <definedName name="OSRRefR24x_0" localSheetId="56">'202'!$R$79:$R$81</definedName>
    <definedName name="OSRRefR24x_0" localSheetId="17">'300'!$R$343:$R$358</definedName>
    <definedName name="OSRRefR24x_0" localSheetId="20">'300 &amp; 317'!$R$371:$R$390</definedName>
    <definedName name="OSRRefR24x_0" localSheetId="61">'301'!$R$112:$R$114</definedName>
    <definedName name="OSRRefR24x_0" localSheetId="63">'307'!$R$189</definedName>
    <definedName name="OSRRefR24x_0" localSheetId="29">'308'!$R$167:$R$170</definedName>
    <definedName name="OSRRefR24x_0" localSheetId="64">'309'!$R$89</definedName>
    <definedName name="OSRRefR24x_0" localSheetId="23">'310'!$R$127</definedName>
    <definedName name="OSRRefR24x_0" localSheetId="38">'310 &amp; 491'!$R$150:$R$153</definedName>
    <definedName name="OSRRefR24x_0" localSheetId="65">'311'!$R$145:$R$148</definedName>
    <definedName name="OSRRefR24x_0" localSheetId="66">'312'!$R$101</definedName>
    <definedName name="OSRRefR24x_0" localSheetId="68">'314'!$R$117</definedName>
    <definedName name="OSRRefR24x_0" localSheetId="69">'315'!$R$133:$R$135</definedName>
    <definedName name="OSRRefR24x_0" localSheetId="70">'316'!$R$98</definedName>
    <definedName name="OSRRefR24x_0" localSheetId="71">'317'!$R$128:$R$133</definedName>
    <definedName name="OSRRefR24x_0" localSheetId="73">'320'!$R$82:$R$93</definedName>
    <definedName name="OSRRefR24x_0" localSheetId="26">'330'!$R$199</definedName>
    <definedName name="OSRRefR24x_0" localSheetId="32">'331'!$R$212:$R$214</definedName>
    <definedName name="OSRRefR24x_0" localSheetId="35">'332'!$R$121:$R$133</definedName>
    <definedName name="OSRRefR24x_0" localSheetId="84">'411'!$R$106:$R$107</definedName>
    <definedName name="OSRRefR24x_0" localSheetId="86">'413'!$R$89</definedName>
    <definedName name="OSRRefR24x_0" localSheetId="88">'415'!$R$104</definedName>
    <definedName name="OSRRefR24x_0" localSheetId="89">'418'!$R$105</definedName>
    <definedName name="OSRRefR24x_0" localSheetId="91">'423'!$R$66:$R$68</definedName>
    <definedName name="OSRRefR24x_0" localSheetId="92">'424'!$R$74</definedName>
    <definedName name="OSRRefR24x_0" localSheetId="93">'425'!$R$92</definedName>
    <definedName name="OSRRefR24x_0" localSheetId="100">'455'!$R$36:$R$38</definedName>
    <definedName name="OSRRefR24x_0" localSheetId="41">'491'!$R$136:$R$139</definedName>
    <definedName name="OSRRefR24x_0" localSheetId="101">'501'!$R$80:$R$82</definedName>
    <definedName name="OSRRefR24x_0" localSheetId="8">'Div 2'!$R$105:$R$107</definedName>
    <definedName name="OSRRefR24x_0" localSheetId="11">'Div 3'!$R$352:$R$367</definedName>
    <definedName name="OSRRefR24x_0" localSheetId="14">'Div 4'!$R$138:$R$141</definedName>
    <definedName name="OSRRefR24x_0" localSheetId="47">'Div 5'!$R$80:$R$82</definedName>
    <definedName name="OSRRefR24x_0" localSheetId="50">'Div 6'!$R$128:$R$133</definedName>
    <definedName name="OSRRefR24x_0" localSheetId="2">Summary!$R$394:$R$414</definedName>
  </definedNames>
  <calcPr calcId="162913"/>
</workbook>
</file>

<file path=xl/calcChain.xml><?xml version="1.0" encoding="utf-8"?>
<calcChain xmlns="http://schemas.openxmlformats.org/spreadsheetml/2006/main">
  <c r="N82" i="102" l="1"/>
  <c r="L82" i="102"/>
  <c r="J82" i="102"/>
  <c r="J79" i="102" s="1"/>
  <c r="H82" i="102"/>
  <c r="F82" i="102"/>
  <c r="D82" i="102"/>
  <c r="B82" i="102"/>
  <c r="N81" i="102"/>
  <c r="L81" i="102"/>
  <c r="J81" i="102"/>
  <c r="H81" i="102"/>
  <c r="F81" i="102"/>
  <c r="D81" i="102"/>
  <c r="B81" i="102"/>
  <c r="N80" i="102"/>
  <c r="N79" i="102" s="1"/>
  <c r="L80" i="102"/>
  <c r="J80" i="102"/>
  <c r="H80" i="102"/>
  <c r="F80" i="102"/>
  <c r="F79" i="102" s="1"/>
  <c r="D80" i="102"/>
  <c r="B80" i="102"/>
  <c r="R79" i="102"/>
  <c r="P79" i="102"/>
  <c r="L79" i="102"/>
  <c r="H79" i="102"/>
  <c r="D79" i="102"/>
  <c r="B77" i="102"/>
  <c r="R76" i="102"/>
  <c r="P76" i="102"/>
  <c r="N76" i="102"/>
  <c r="L76" i="102"/>
  <c r="J76" i="102"/>
  <c r="H76" i="102"/>
  <c r="F76" i="102"/>
  <c r="D76" i="102"/>
  <c r="B76" i="102"/>
  <c r="B75" i="102"/>
  <c r="R74" i="102"/>
  <c r="P74" i="102"/>
  <c r="N74" i="102"/>
  <c r="L74" i="102"/>
  <c r="J74" i="102"/>
  <c r="H74" i="102"/>
  <c r="F74" i="102"/>
  <c r="D74" i="102"/>
  <c r="B74" i="102"/>
  <c r="B73" i="102"/>
  <c r="R72" i="102"/>
  <c r="P72" i="102"/>
  <c r="N72" i="102"/>
  <c r="L72" i="102"/>
  <c r="J72" i="102"/>
  <c r="H72" i="102"/>
  <c r="F72" i="102"/>
  <c r="D72" i="102"/>
  <c r="B72" i="102"/>
  <c r="B71" i="102"/>
  <c r="B70" i="102"/>
  <c r="B69" i="102"/>
  <c r="B68" i="102"/>
  <c r="R67" i="102"/>
  <c r="P67" i="102"/>
  <c r="N67" i="102"/>
  <c r="L67" i="102"/>
  <c r="J67" i="102"/>
  <c r="H67" i="102"/>
  <c r="F67" i="102"/>
  <c r="D67" i="102"/>
  <c r="B67" i="102"/>
  <c r="B66" i="102"/>
  <c r="R65" i="102"/>
  <c r="P65" i="102"/>
  <c r="N65" i="102"/>
  <c r="L65" i="102"/>
  <c r="J65" i="102"/>
  <c r="H65" i="102"/>
  <c r="F65" i="102"/>
  <c r="D65" i="102"/>
  <c r="B65" i="102"/>
  <c r="B64" i="102"/>
  <c r="B63" i="102"/>
  <c r="B62" i="102"/>
  <c r="B61" i="102"/>
  <c r="R60" i="102"/>
  <c r="P60" i="102"/>
  <c r="N60" i="102"/>
  <c r="L60" i="102"/>
  <c r="J60" i="102"/>
  <c r="H60" i="102"/>
  <c r="F60" i="102"/>
  <c r="D60" i="102"/>
  <c r="B60" i="102"/>
  <c r="B59" i="102"/>
  <c r="R58" i="102"/>
  <c r="P58" i="102"/>
  <c r="N58" i="102"/>
  <c r="L58" i="102"/>
  <c r="J58" i="102"/>
  <c r="H58" i="102"/>
  <c r="F58" i="102"/>
  <c r="D58" i="102"/>
  <c r="B58" i="102"/>
  <c r="B57" i="102"/>
  <c r="R56" i="102"/>
  <c r="P56" i="102"/>
  <c r="N56" i="102"/>
  <c r="L56" i="102"/>
  <c r="J56" i="102"/>
  <c r="H56" i="102"/>
  <c r="F56" i="102"/>
  <c r="D56" i="102"/>
  <c r="B56" i="102"/>
  <c r="B55" i="102"/>
  <c r="R54" i="102"/>
  <c r="P54" i="102"/>
  <c r="N54" i="102"/>
  <c r="L54" i="102"/>
  <c r="J54" i="102"/>
  <c r="H54" i="102"/>
  <c r="F54" i="102"/>
  <c r="D54" i="102"/>
  <c r="B54" i="102"/>
  <c r="B53" i="102"/>
  <c r="R52" i="102"/>
  <c r="P52" i="102"/>
  <c r="N52" i="102"/>
  <c r="L52" i="102"/>
  <c r="J52" i="102"/>
  <c r="H52" i="102"/>
  <c r="F52" i="102"/>
  <c r="D52" i="102"/>
  <c r="B52" i="102"/>
  <c r="B51" i="102"/>
  <c r="B50" i="102"/>
  <c r="R49" i="102"/>
  <c r="P49" i="102"/>
  <c r="N49" i="102"/>
  <c r="L49" i="102"/>
  <c r="J49" i="102"/>
  <c r="H49" i="102"/>
  <c r="F49" i="102"/>
  <c r="D49" i="102"/>
  <c r="B49" i="102"/>
  <c r="B48" i="102"/>
  <c r="R47" i="102"/>
  <c r="P47" i="102"/>
  <c r="N47" i="102"/>
  <c r="L47" i="102"/>
  <c r="J47" i="102"/>
  <c r="H47" i="102"/>
  <c r="F47" i="102"/>
  <c r="D47" i="102"/>
  <c r="B47" i="102"/>
  <c r="B46" i="102"/>
  <c r="R45" i="102"/>
  <c r="P45" i="102"/>
  <c r="N45" i="102"/>
  <c r="L45" i="102"/>
  <c r="J45" i="102"/>
  <c r="H45" i="102"/>
  <c r="F45" i="102"/>
  <c r="D45" i="102"/>
  <c r="B45" i="102"/>
  <c r="B44" i="102"/>
  <c r="R43" i="102"/>
  <c r="P43" i="102"/>
  <c r="N43" i="102"/>
  <c r="L43" i="102"/>
  <c r="J43" i="102"/>
  <c r="H43" i="102"/>
  <c r="F43" i="102"/>
  <c r="D43" i="102"/>
  <c r="B43" i="102"/>
  <c r="B42" i="102"/>
  <c r="R41" i="102"/>
  <c r="P41" i="102"/>
  <c r="N41" i="102"/>
  <c r="L41" i="102"/>
  <c r="J41" i="102"/>
  <c r="H41" i="102"/>
  <c r="F41" i="102"/>
  <c r="D41" i="102"/>
  <c r="B41" i="102"/>
  <c r="B40" i="102"/>
  <c r="B39" i="102"/>
  <c r="B38" i="102"/>
  <c r="B37" i="102"/>
  <c r="B36" i="102"/>
  <c r="B35" i="102"/>
  <c r="B34" i="102"/>
  <c r="B33" i="102"/>
  <c r="B32" i="102"/>
  <c r="B31" i="102"/>
  <c r="R30" i="102"/>
  <c r="P30" i="102"/>
  <c r="N30" i="102"/>
  <c r="L30" i="102"/>
  <c r="J30" i="102"/>
  <c r="H30" i="102"/>
  <c r="F30" i="102"/>
  <c r="D30" i="102"/>
  <c r="B30" i="102"/>
  <c r="B29" i="102"/>
  <c r="B28" i="102"/>
  <c r="B27" i="102"/>
  <c r="B26" i="102"/>
  <c r="B25" i="102"/>
  <c r="B24" i="102"/>
  <c r="B23" i="102"/>
  <c r="B22" i="102"/>
  <c r="B21" i="102"/>
  <c r="R20" i="102"/>
  <c r="P20" i="102"/>
  <c r="N20" i="102"/>
  <c r="L20" i="102"/>
  <c r="J20" i="102"/>
  <c r="H20" i="102"/>
  <c r="F20" i="102"/>
  <c r="D20" i="102"/>
  <c r="B20" i="102"/>
  <c r="R19" i="102"/>
  <c r="P19" i="102"/>
  <c r="N19" i="102"/>
  <c r="L19" i="102"/>
  <c r="J19" i="102"/>
  <c r="H19" i="102"/>
  <c r="F19" i="102"/>
  <c r="D19" i="102"/>
  <c r="R14" i="102"/>
  <c r="P14" i="102"/>
  <c r="N14" i="102"/>
  <c r="L14" i="102"/>
  <c r="L16" i="102" s="1"/>
  <c r="J14" i="102"/>
  <c r="H14" i="102"/>
  <c r="F14" i="102"/>
  <c r="D14" i="102"/>
  <c r="D16" i="102" s="1"/>
  <c r="N12" i="102"/>
  <c r="L12" i="102"/>
  <c r="J12" i="102"/>
  <c r="H12" i="102"/>
  <c r="H10" i="102" s="1"/>
  <c r="H16" i="102" s="1"/>
  <c r="F12" i="102"/>
  <c r="D12" i="102"/>
  <c r="B12" i="102"/>
  <c r="N11" i="102"/>
  <c r="N10" i="102" s="1"/>
  <c r="N16" i="102" s="1"/>
  <c r="L11" i="102"/>
  <c r="J11" i="102"/>
  <c r="H11" i="102"/>
  <c r="F11" i="102"/>
  <c r="F10" i="102" s="1"/>
  <c r="F16" i="102" s="1"/>
  <c r="D11" i="102"/>
  <c r="B11" i="102"/>
  <c r="R10" i="102"/>
  <c r="R16" i="102" s="1"/>
  <c r="P10" i="102"/>
  <c r="P16" i="102" s="1"/>
  <c r="L10" i="102"/>
  <c r="J10" i="102"/>
  <c r="J16" i="102" s="1"/>
  <c r="D10" i="102"/>
  <c r="D4" i="102"/>
  <c r="J45" i="101"/>
  <c r="R40" i="101"/>
  <c r="J40" i="101"/>
  <c r="J41" i="101" s="1"/>
  <c r="N38" i="101"/>
  <c r="L38" i="101"/>
  <c r="J38" i="101"/>
  <c r="H38" i="101"/>
  <c r="F38" i="101"/>
  <c r="F35" i="101" s="1"/>
  <c r="D38" i="101"/>
  <c r="B38" i="101"/>
  <c r="N37" i="101"/>
  <c r="L37" i="101"/>
  <c r="J37" i="101"/>
  <c r="H37" i="101"/>
  <c r="F37" i="101"/>
  <c r="D37" i="101"/>
  <c r="B37" i="101"/>
  <c r="N36" i="101"/>
  <c r="N35" i="101" s="1"/>
  <c r="L36" i="101"/>
  <c r="J36" i="101"/>
  <c r="J35" i="101" s="1"/>
  <c r="H36" i="101"/>
  <c r="F36" i="101"/>
  <c r="D36" i="101"/>
  <c r="B36" i="101"/>
  <c r="R35" i="101"/>
  <c r="P35" i="101"/>
  <c r="L35" i="101"/>
  <c r="H35" i="101"/>
  <c r="D35" i="101"/>
  <c r="B33" i="101"/>
  <c r="R32" i="101"/>
  <c r="P32" i="101"/>
  <c r="N32" i="101"/>
  <c r="L32" i="101"/>
  <c r="J32" i="101"/>
  <c r="H32" i="101"/>
  <c r="F32" i="101"/>
  <c r="D32" i="101"/>
  <c r="B32" i="101"/>
  <c r="B31" i="101"/>
  <c r="R30" i="101"/>
  <c r="P30" i="101"/>
  <c r="N30" i="101"/>
  <c r="L30" i="101"/>
  <c r="J30" i="101"/>
  <c r="H30" i="101"/>
  <c r="F30" i="101"/>
  <c r="D30" i="101"/>
  <c r="B30" i="101"/>
  <c r="B29" i="101"/>
  <c r="B28" i="101"/>
  <c r="R27" i="101"/>
  <c r="P27" i="101"/>
  <c r="N27" i="101"/>
  <c r="L27" i="101"/>
  <c r="J27" i="101"/>
  <c r="H27" i="101"/>
  <c r="F27" i="101"/>
  <c r="D27" i="101"/>
  <c r="B27" i="101"/>
  <c r="B26" i="101"/>
  <c r="B25" i="101"/>
  <c r="B24" i="101"/>
  <c r="B23" i="101"/>
  <c r="B22" i="101"/>
  <c r="B21" i="101"/>
  <c r="B20" i="101"/>
  <c r="B19" i="101"/>
  <c r="R18" i="101"/>
  <c r="P18" i="101"/>
  <c r="N18" i="101"/>
  <c r="L18" i="101"/>
  <c r="J18" i="101"/>
  <c r="H18" i="101"/>
  <c r="F18" i="101"/>
  <c r="D18" i="101"/>
  <c r="B18" i="101"/>
  <c r="R17" i="101"/>
  <c r="P17" i="101"/>
  <c r="N17" i="101"/>
  <c r="L17" i="101"/>
  <c r="J17" i="101"/>
  <c r="H17" i="101"/>
  <c r="F17" i="101"/>
  <c r="D17" i="101"/>
  <c r="L15" i="101"/>
  <c r="R12" i="101"/>
  <c r="P12" i="101"/>
  <c r="N12" i="101"/>
  <c r="L12" i="101"/>
  <c r="J12" i="101"/>
  <c r="H12" i="101"/>
  <c r="F12" i="101"/>
  <c r="D12" i="101"/>
  <c r="R10" i="101"/>
  <c r="R14" i="101" s="1"/>
  <c r="R15" i="101" s="1"/>
  <c r="P10" i="101"/>
  <c r="P14" i="101" s="1"/>
  <c r="N10" i="101"/>
  <c r="N14" i="101" s="1"/>
  <c r="L10" i="101"/>
  <c r="L14" i="101" s="1"/>
  <c r="L40" i="101" s="1"/>
  <c r="J10" i="101"/>
  <c r="J14" i="101" s="1"/>
  <c r="J15" i="101" s="1"/>
  <c r="H10" i="101"/>
  <c r="H14" i="101" s="1"/>
  <c r="F10" i="101"/>
  <c r="F14" i="101" s="1"/>
  <c r="D10" i="101"/>
  <c r="D14" i="101" s="1"/>
  <c r="D40" i="101" s="1"/>
  <c r="D4" i="101"/>
  <c r="R100" i="100"/>
  <c r="P100" i="100"/>
  <c r="N100" i="100"/>
  <c r="L100" i="100"/>
  <c r="J100" i="100"/>
  <c r="H100" i="100"/>
  <c r="F100" i="100"/>
  <c r="D100" i="100"/>
  <c r="B98" i="100"/>
  <c r="B97" i="100"/>
  <c r="B96" i="100"/>
  <c r="R95" i="100"/>
  <c r="P95" i="100"/>
  <c r="N95" i="100"/>
  <c r="L95" i="100"/>
  <c r="J95" i="100"/>
  <c r="H95" i="100"/>
  <c r="F95" i="100"/>
  <c r="D95" i="100"/>
  <c r="B95" i="100"/>
  <c r="B94" i="100"/>
  <c r="R93" i="100"/>
  <c r="P93" i="100"/>
  <c r="N93" i="100"/>
  <c r="L93" i="100"/>
  <c r="J93" i="100"/>
  <c r="H93" i="100"/>
  <c r="F93" i="100"/>
  <c r="D93" i="100"/>
  <c r="B93" i="100"/>
  <c r="B92" i="100"/>
  <c r="B91" i="100"/>
  <c r="R90" i="100"/>
  <c r="P90" i="100"/>
  <c r="N90" i="100"/>
  <c r="L90" i="100"/>
  <c r="J90" i="100"/>
  <c r="H90" i="100"/>
  <c r="F90" i="100"/>
  <c r="D90" i="100"/>
  <c r="B90" i="100"/>
  <c r="B89" i="100"/>
  <c r="B88" i="100"/>
  <c r="B87" i="100"/>
  <c r="B86" i="100"/>
  <c r="B85" i="100"/>
  <c r="B84" i="100"/>
  <c r="B83" i="100"/>
  <c r="B82" i="100"/>
  <c r="B81" i="100"/>
  <c r="B80" i="100"/>
  <c r="R79" i="100"/>
  <c r="P79" i="100"/>
  <c r="N79" i="100"/>
  <c r="L79" i="100"/>
  <c r="J79" i="100"/>
  <c r="H79" i="100"/>
  <c r="F79" i="100"/>
  <c r="D79" i="100"/>
  <c r="B79" i="100"/>
  <c r="B78" i="100"/>
  <c r="R77" i="100"/>
  <c r="P77" i="100"/>
  <c r="N77" i="100"/>
  <c r="L77" i="100"/>
  <c r="J77" i="100"/>
  <c r="H77" i="100"/>
  <c r="F77" i="100"/>
  <c r="D77" i="100"/>
  <c r="B77" i="100"/>
  <c r="B76" i="100"/>
  <c r="B75" i="100"/>
  <c r="B74" i="100"/>
  <c r="B73" i="100"/>
  <c r="R72" i="100"/>
  <c r="P72" i="100"/>
  <c r="N72" i="100"/>
  <c r="L72" i="100"/>
  <c r="J72" i="100"/>
  <c r="H72" i="100"/>
  <c r="F72" i="100"/>
  <c r="D72" i="100"/>
  <c r="B72" i="100"/>
  <c r="B71" i="100"/>
  <c r="B70" i="100"/>
  <c r="B69" i="100"/>
  <c r="R68" i="100"/>
  <c r="P68" i="100"/>
  <c r="N68" i="100"/>
  <c r="L68" i="100"/>
  <c r="J68" i="100"/>
  <c r="H68" i="100"/>
  <c r="F68" i="100"/>
  <c r="D68" i="100"/>
  <c r="B68" i="100"/>
  <c r="B67" i="100"/>
  <c r="R66" i="100"/>
  <c r="P66" i="100"/>
  <c r="N66" i="100"/>
  <c r="L66" i="100"/>
  <c r="J66" i="100"/>
  <c r="H66" i="100"/>
  <c r="F66" i="100"/>
  <c r="D66" i="100"/>
  <c r="B66" i="100"/>
  <c r="B65" i="100"/>
  <c r="R64" i="100"/>
  <c r="P64" i="100"/>
  <c r="N64" i="100"/>
  <c r="L64" i="100"/>
  <c r="J64" i="100"/>
  <c r="H64" i="100"/>
  <c r="F64" i="100"/>
  <c r="D64" i="100"/>
  <c r="B64" i="100"/>
  <c r="B63" i="100"/>
  <c r="R62" i="100"/>
  <c r="P62" i="100"/>
  <c r="N62" i="100"/>
  <c r="L62" i="100"/>
  <c r="J62" i="100"/>
  <c r="H62" i="100"/>
  <c r="F62" i="100"/>
  <c r="D62" i="100"/>
  <c r="B62" i="100"/>
  <c r="B61" i="100"/>
  <c r="R60" i="100"/>
  <c r="P60" i="100"/>
  <c r="N60" i="100"/>
  <c r="L60" i="100"/>
  <c r="J60" i="100"/>
  <c r="H60" i="100"/>
  <c r="F60" i="100"/>
  <c r="D60" i="100"/>
  <c r="B60" i="100"/>
  <c r="B59" i="100"/>
  <c r="R58" i="100"/>
  <c r="P58" i="100"/>
  <c r="N58" i="100"/>
  <c r="L58" i="100"/>
  <c r="J58" i="100"/>
  <c r="H58" i="100"/>
  <c r="F58" i="100"/>
  <c r="D58" i="100"/>
  <c r="B58" i="100"/>
  <c r="B57" i="100"/>
  <c r="R56" i="100"/>
  <c r="P56" i="100"/>
  <c r="N56" i="100"/>
  <c r="L56" i="100"/>
  <c r="J56" i="100"/>
  <c r="H56" i="100"/>
  <c r="F56" i="100"/>
  <c r="D56" i="100"/>
  <c r="B56" i="100"/>
  <c r="B55" i="100"/>
  <c r="B54" i="100"/>
  <c r="R53" i="100"/>
  <c r="P53" i="100"/>
  <c r="N53" i="100"/>
  <c r="L53" i="100"/>
  <c r="J53" i="100"/>
  <c r="H53" i="100"/>
  <c r="F53" i="100"/>
  <c r="D53" i="100"/>
  <c r="B53" i="100"/>
  <c r="B52" i="100"/>
  <c r="R51" i="100"/>
  <c r="P51" i="100"/>
  <c r="N51" i="100"/>
  <c r="L51" i="100"/>
  <c r="J51" i="100"/>
  <c r="H51" i="100"/>
  <c r="F51" i="100"/>
  <c r="D51" i="100"/>
  <c r="B51" i="100"/>
  <c r="B50" i="100"/>
  <c r="R49" i="100"/>
  <c r="P49" i="100"/>
  <c r="N49" i="100"/>
  <c r="L49" i="100"/>
  <c r="J49" i="100"/>
  <c r="H49" i="100"/>
  <c r="F49" i="100"/>
  <c r="D49" i="100"/>
  <c r="B49" i="100"/>
  <c r="B48" i="100"/>
  <c r="R47" i="100"/>
  <c r="P47" i="100"/>
  <c r="N47" i="100"/>
  <c r="L47" i="100"/>
  <c r="J47" i="100"/>
  <c r="H47" i="100"/>
  <c r="F47" i="100"/>
  <c r="D47" i="100"/>
  <c r="B47" i="100"/>
  <c r="B46" i="100"/>
  <c r="B45" i="100"/>
  <c r="B44" i="100"/>
  <c r="B43" i="100"/>
  <c r="B42" i="100"/>
  <c r="B41" i="100"/>
  <c r="B40" i="100"/>
  <c r="B39" i="100"/>
  <c r="B38" i="100"/>
  <c r="B37" i="100"/>
  <c r="R36" i="100"/>
  <c r="P36" i="100"/>
  <c r="N36" i="100"/>
  <c r="L36" i="100"/>
  <c r="J36" i="100"/>
  <c r="H36" i="100"/>
  <c r="F36" i="100"/>
  <c r="D36" i="100"/>
  <c r="B36" i="100"/>
  <c r="B35" i="100"/>
  <c r="B34" i="100"/>
  <c r="B33" i="100"/>
  <c r="B32" i="100"/>
  <c r="B31" i="100"/>
  <c r="B30" i="100"/>
  <c r="B29" i="100"/>
  <c r="B28" i="100"/>
  <c r="B27" i="100"/>
  <c r="B26" i="100"/>
  <c r="R25" i="100"/>
  <c r="P25" i="100"/>
  <c r="N25" i="100"/>
  <c r="L25" i="100"/>
  <c r="J25" i="100"/>
  <c r="H25" i="100"/>
  <c r="F25" i="100"/>
  <c r="D25" i="100"/>
  <c r="B25" i="100"/>
  <c r="R24" i="100"/>
  <c r="P24" i="100"/>
  <c r="N24" i="100"/>
  <c r="L24" i="100"/>
  <c r="J24" i="100"/>
  <c r="H24" i="100"/>
  <c r="F24" i="100"/>
  <c r="D24" i="100"/>
  <c r="B19" i="100"/>
  <c r="B18" i="100"/>
  <c r="B17" i="100"/>
  <c r="R16" i="100"/>
  <c r="P16" i="100"/>
  <c r="N16" i="100"/>
  <c r="L16" i="100"/>
  <c r="J16" i="100"/>
  <c r="H16" i="100"/>
  <c r="F16" i="100"/>
  <c r="D16" i="100"/>
  <c r="N14" i="100"/>
  <c r="L14" i="100"/>
  <c r="J14" i="100"/>
  <c r="H14" i="100"/>
  <c r="F14" i="100"/>
  <c r="D14" i="100"/>
  <c r="B14" i="100"/>
  <c r="N13" i="100"/>
  <c r="L13" i="100"/>
  <c r="J13" i="100"/>
  <c r="H13" i="100"/>
  <c r="F13" i="100"/>
  <c r="D13" i="100"/>
  <c r="B13" i="100"/>
  <c r="N12" i="100"/>
  <c r="L12" i="100"/>
  <c r="J12" i="100"/>
  <c r="J10" i="100" s="1"/>
  <c r="J21" i="100" s="1"/>
  <c r="H12" i="100"/>
  <c r="F12" i="100"/>
  <c r="D12" i="100"/>
  <c r="B12" i="100"/>
  <c r="N11" i="100"/>
  <c r="L11" i="100"/>
  <c r="J11" i="100"/>
  <c r="H11" i="100"/>
  <c r="H10" i="100" s="1"/>
  <c r="H21" i="100" s="1"/>
  <c r="F11" i="100"/>
  <c r="D11" i="100"/>
  <c r="B11" i="100"/>
  <c r="R10" i="100"/>
  <c r="R21" i="100" s="1"/>
  <c r="P10" i="100"/>
  <c r="P21" i="100" s="1"/>
  <c r="P22" i="100" s="1"/>
  <c r="D4" i="100"/>
  <c r="R60" i="99"/>
  <c r="P60" i="99"/>
  <c r="N60" i="99"/>
  <c r="L60" i="99"/>
  <c r="J60" i="99"/>
  <c r="H60" i="99"/>
  <c r="F60" i="99"/>
  <c r="D60" i="99"/>
  <c r="B58" i="99"/>
  <c r="R57" i="99"/>
  <c r="P57" i="99"/>
  <c r="N57" i="99"/>
  <c r="L57" i="99"/>
  <c r="J57" i="99"/>
  <c r="H57" i="99"/>
  <c r="F57" i="99"/>
  <c r="D57" i="99"/>
  <c r="B57" i="99"/>
  <c r="B56" i="99"/>
  <c r="R55" i="99"/>
  <c r="P55" i="99"/>
  <c r="N55" i="99"/>
  <c r="L55" i="99"/>
  <c r="J55" i="99"/>
  <c r="H55" i="99"/>
  <c r="F55" i="99"/>
  <c r="D55" i="99"/>
  <c r="B55" i="99"/>
  <c r="B54" i="99"/>
  <c r="R53" i="99"/>
  <c r="P53" i="99"/>
  <c r="N53" i="99"/>
  <c r="L53" i="99"/>
  <c r="J53" i="99"/>
  <c r="H53" i="99"/>
  <c r="F53" i="99"/>
  <c r="D53" i="99"/>
  <c r="B53" i="99"/>
  <c r="B52" i="99"/>
  <c r="B51" i="99"/>
  <c r="B50" i="99"/>
  <c r="B49" i="99"/>
  <c r="R48" i="99"/>
  <c r="P48" i="99"/>
  <c r="N48" i="99"/>
  <c r="L48" i="99"/>
  <c r="J48" i="99"/>
  <c r="H48" i="99"/>
  <c r="F48" i="99"/>
  <c r="D48" i="99"/>
  <c r="B48" i="99"/>
  <c r="B47" i="99"/>
  <c r="R46" i="99"/>
  <c r="P46" i="99"/>
  <c r="N46" i="99"/>
  <c r="L46" i="99"/>
  <c r="J46" i="99"/>
  <c r="H46" i="99"/>
  <c r="F46" i="99"/>
  <c r="D46" i="99"/>
  <c r="B46" i="99"/>
  <c r="B45" i="99"/>
  <c r="B44" i="99"/>
  <c r="R43" i="99"/>
  <c r="P43" i="99"/>
  <c r="N43" i="99"/>
  <c r="L43" i="99"/>
  <c r="J43" i="99"/>
  <c r="H43" i="99"/>
  <c r="F43" i="99"/>
  <c r="D43" i="99"/>
  <c r="B43" i="99"/>
  <c r="B42" i="99"/>
  <c r="R41" i="99"/>
  <c r="P41" i="99"/>
  <c r="N41" i="99"/>
  <c r="L41" i="99"/>
  <c r="J41" i="99"/>
  <c r="H41" i="99"/>
  <c r="F41" i="99"/>
  <c r="D41" i="99"/>
  <c r="B41" i="99"/>
  <c r="B40" i="99"/>
  <c r="R39" i="99"/>
  <c r="P39" i="99"/>
  <c r="N39" i="99"/>
  <c r="L39" i="99"/>
  <c r="J39" i="99"/>
  <c r="H39" i="99"/>
  <c r="F39" i="99"/>
  <c r="D39" i="99"/>
  <c r="B39" i="99"/>
  <c r="B38" i="99"/>
  <c r="R37" i="99"/>
  <c r="P37" i="99"/>
  <c r="N37" i="99"/>
  <c r="L37" i="99"/>
  <c r="J37" i="99"/>
  <c r="H37" i="99"/>
  <c r="F37" i="99"/>
  <c r="D37" i="99"/>
  <c r="B37" i="99"/>
  <c r="B36" i="99"/>
  <c r="R35" i="99"/>
  <c r="P35" i="99"/>
  <c r="N35" i="99"/>
  <c r="L35" i="99"/>
  <c r="J35" i="99"/>
  <c r="H35" i="99"/>
  <c r="F35" i="99"/>
  <c r="D35" i="99"/>
  <c r="B35" i="99"/>
  <c r="B34" i="99"/>
  <c r="R33" i="99"/>
  <c r="P33" i="99"/>
  <c r="N33" i="99"/>
  <c r="L33" i="99"/>
  <c r="J33" i="99"/>
  <c r="H33" i="99"/>
  <c r="F33" i="99"/>
  <c r="D33" i="99"/>
  <c r="B33" i="99"/>
  <c r="B32" i="99"/>
  <c r="R31" i="99"/>
  <c r="P31" i="99"/>
  <c r="N31" i="99"/>
  <c r="L31" i="99"/>
  <c r="J31" i="99"/>
  <c r="H31" i="99"/>
  <c r="F31" i="99"/>
  <c r="D31" i="99"/>
  <c r="B31" i="99"/>
  <c r="B30" i="99"/>
  <c r="B29" i="99"/>
  <c r="B28" i="99"/>
  <c r="R27" i="99"/>
  <c r="P27" i="99"/>
  <c r="N27" i="99"/>
  <c r="L27" i="99"/>
  <c r="J27" i="99"/>
  <c r="H27" i="99"/>
  <c r="F27" i="99"/>
  <c r="D27" i="99"/>
  <c r="B27" i="99"/>
  <c r="B26" i="99"/>
  <c r="B25" i="99"/>
  <c r="B24" i="99"/>
  <c r="R23" i="99"/>
  <c r="P23" i="99"/>
  <c r="N23" i="99"/>
  <c r="L23" i="99"/>
  <c r="J23" i="99"/>
  <c r="H23" i="99"/>
  <c r="F23" i="99"/>
  <c r="D23" i="99"/>
  <c r="B23" i="99"/>
  <c r="R22" i="99"/>
  <c r="P22" i="99"/>
  <c r="N22" i="99"/>
  <c r="L22" i="99"/>
  <c r="J22" i="99"/>
  <c r="H22" i="99"/>
  <c r="F22" i="99"/>
  <c r="D22" i="99"/>
  <c r="N20" i="99"/>
  <c r="P19" i="99"/>
  <c r="H19" i="99"/>
  <c r="B17" i="99"/>
  <c r="B16" i="99"/>
  <c r="R15" i="99"/>
  <c r="R19" i="99" s="1"/>
  <c r="R20" i="99" s="1"/>
  <c r="P15" i="99"/>
  <c r="N15" i="99"/>
  <c r="L15" i="99"/>
  <c r="J15" i="99"/>
  <c r="H15" i="99"/>
  <c r="F15" i="99"/>
  <c r="D15" i="99"/>
  <c r="N13" i="99"/>
  <c r="N10" i="99" s="1"/>
  <c r="N19" i="99" s="1"/>
  <c r="N62" i="99" s="1"/>
  <c r="L13" i="99"/>
  <c r="J13" i="99"/>
  <c r="H13" i="99"/>
  <c r="H10" i="99" s="1"/>
  <c r="F13" i="99"/>
  <c r="D13" i="99"/>
  <c r="B13" i="99"/>
  <c r="N12" i="99"/>
  <c r="L12" i="99"/>
  <c r="J12" i="99"/>
  <c r="H12" i="99"/>
  <c r="F12" i="99"/>
  <c r="D12" i="99"/>
  <c r="B12" i="99"/>
  <c r="N11" i="99"/>
  <c r="L11" i="99"/>
  <c r="J11" i="99"/>
  <c r="J10" i="99" s="1"/>
  <c r="J19" i="99" s="1"/>
  <c r="J20" i="99" s="1"/>
  <c r="H11" i="99"/>
  <c r="F11" i="99"/>
  <c r="D11" i="99"/>
  <c r="B11" i="99"/>
  <c r="R10" i="99"/>
  <c r="P10" i="99"/>
  <c r="L10" i="99"/>
  <c r="L19" i="99" s="1"/>
  <c r="D4" i="99"/>
  <c r="F105" i="98"/>
  <c r="R103" i="98"/>
  <c r="P103" i="98"/>
  <c r="N103" i="98"/>
  <c r="L103" i="98"/>
  <c r="J103" i="98"/>
  <c r="H103" i="98"/>
  <c r="F103" i="98"/>
  <c r="D103" i="98"/>
  <c r="B101" i="98"/>
  <c r="R100" i="98"/>
  <c r="P100" i="98"/>
  <c r="N100" i="98"/>
  <c r="L100" i="98"/>
  <c r="J100" i="98"/>
  <c r="H100" i="98"/>
  <c r="F100" i="98"/>
  <c r="D100" i="98"/>
  <c r="B100" i="98"/>
  <c r="B99" i="98"/>
  <c r="R98" i="98"/>
  <c r="P98" i="98"/>
  <c r="N98" i="98"/>
  <c r="L98" i="98"/>
  <c r="J98" i="98"/>
  <c r="H98" i="98"/>
  <c r="F98" i="98"/>
  <c r="D98" i="98"/>
  <c r="B98" i="98"/>
  <c r="B97" i="98"/>
  <c r="R96" i="98"/>
  <c r="P96" i="98"/>
  <c r="N96" i="98"/>
  <c r="L96" i="98"/>
  <c r="J96" i="98"/>
  <c r="H96" i="98"/>
  <c r="F96" i="98"/>
  <c r="D96" i="98"/>
  <c r="B96" i="98"/>
  <c r="B95" i="98"/>
  <c r="B94" i="98"/>
  <c r="R93" i="98"/>
  <c r="P93" i="98"/>
  <c r="N93" i="98"/>
  <c r="L93" i="98"/>
  <c r="J93" i="98"/>
  <c r="H93" i="98"/>
  <c r="F93" i="98"/>
  <c r="D93" i="98"/>
  <c r="B93" i="98"/>
  <c r="B92" i="98"/>
  <c r="B91" i="98"/>
  <c r="B90" i="98"/>
  <c r="B89" i="98"/>
  <c r="B88" i="98"/>
  <c r="B87" i="98"/>
  <c r="B86" i="98"/>
  <c r="B85" i="98"/>
  <c r="B84" i="98"/>
  <c r="B83" i="98"/>
  <c r="R82" i="98"/>
  <c r="P82" i="98"/>
  <c r="N82" i="98"/>
  <c r="L82" i="98"/>
  <c r="J82" i="98"/>
  <c r="H82" i="98"/>
  <c r="F82" i="98"/>
  <c r="D82" i="98"/>
  <c r="B82" i="98"/>
  <c r="B81" i="98"/>
  <c r="B80" i="98"/>
  <c r="R79" i="98"/>
  <c r="P79" i="98"/>
  <c r="N79" i="98"/>
  <c r="L79" i="98"/>
  <c r="J79" i="98"/>
  <c r="H79" i="98"/>
  <c r="F79" i="98"/>
  <c r="D79" i="98"/>
  <c r="B79" i="98"/>
  <c r="B78" i="98"/>
  <c r="B77" i="98"/>
  <c r="B76" i="98"/>
  <c r="B75" i="98"/>
  <c r="R74" i="98"/>
  <c r="P74" i="98"/>
  <c r="N74" i="98"/>
  <c r="L74" i="98"/>
  <c r="J74" i="98"/>
  <c r="H74" i="98"/>
  <c r="F74" i="98"/>
  <c r="D74" i="98"/>
  <c r="B74" i="98"/>
  <c r="B73" i="98"/>
  <c r="B72" i="98"/>
  <c r="B71" i="98"/>
  <c r="B70" i="98"/>
  <c r="R69" i="98"/>
  <c r="P69" i="98"/>
  <c r="N69" i="98"/>
  <c r="L69" i="98"/>
  <c r="J69" i="98"/>
  <c r="H69" i="98"/>
  <c r="F69" i="98"/>
  <c r="D69" i="98"/>
  <c r="B69" i="98"/>
  <c r="B68" i="98"/>
  <c r="R67" i="98"/>
  <c r="P67" i="98"/>
  <c r="N67" i="98"/>
  <c r="L67" i="98"/>
  <c r="J67" i="98"/>
  <c r="H67" i="98"/>
  <c r="F67" i="98"/>
  <c r="D67" i="98"/>
  <c r="B67" i="98"/>
  <c r="B66" i="98"/>
  <c r="R65" i="98"/>
  <c r="P65" i="98"/>
  <c r="N65" i="98"/>
  <c r="L65" i="98"/>
  <c r="J65" i="98"/>
  <c r="H65" i="98"/>
  <c r="F65" i="98"/>
  <c r="D65" i="98"/>
  <c r="B65" i="98"/>
  <c r="B64" i="98"/>
  <c r="R63" i="98"/>
  <c r="P63" i="98"/>
  <c r="N63" i="98"/>
  <c r="L63" i="98"/>
  <c r="J63" i="98"/>
  <c r="H63" i="98"/>
  <c r="F63" i="98"/>
  <c r="D63" i="98"/>
  <c r="B63" i="98"/>
  <c r="B62" i="98"/>
  <c r="R61" i="98"/>
  <c r="P61" i="98"/>
  <c r="N61" i="98"/>
  <c r="L61" i="98"/>
  <c r="J61" i="98"/>
  <c r="H61" i="98"/>
  <c r="F61" i="98"/>
  <c r="D61" i="98"/>
  <c r="B61" i="98"/>
  <c r="B60" i="98"/>
  <c r="R59" i="98"/>
  <c r="P59" i="98"/>
  <c r="N59" i="98"/>
  <c r="L59" i="98"/>
  <c r="J59" i="98"/>
  <c r="H59" i="98"/>
  <c r="F59" i="98"/>
  <c r="D59" i="98"/>
  <c r="B59" i="98"/>
  <c r="B58" i="98"/>
  <c r="R57" i="98"/>
  <c r="P57" i="98"/>
  <c r="N57" i="98"/>
  <c r="L57" i="98"/>
  <c r="J57" i="98"/>
  <c r="H57" i="98"/>
  <c r="F57" i="98"/>
  <c r="D57" i="98"/>
  <c r="B57" i="98"/>
  <c r="B56" i="98"/>
  <c r="R55" i="98"/>
  <c r="P55" i="98"/>
  <c r="N55" i="98"/>
  <c r="L55" i="98"/>
  <c r="J55" i="98"/>
  <c r="H55" i="98"/>
  <c r="F55" i="98"/>
  <c r="D55" i="98"/>
  <c r="B55" i="98"/>
  <c r="B54" i="98"/>
  <c r="R53" i="98"/>
  <c r="P53" i="98"/>
  <c r="N53" i="98"/>
  <c r="L53" i="98"/>
  <c r="J53" i="98"/>
  <c r="H53" i="98"/>
  <c r="F53" i="98"/>
  <c r="D53" i="98"/>
  <c r="B53" i="98"/>
  <c r="B52" i="98"/>
  <c r="R51" i="98"/>
  <c r="P51" i="98"/>
  <c r="N51" i="98"/>
  <c r="L51" i="98"/>
  <c r="J51" i="98"/>
  <c r="H51" i="98"/>
  <c r="F51" i="98"/>
  <c r="D51" i="98"/>
  <c r="B51" i="98"/>
  <c r="B50" i="98"/>
  <c r="R49" i="98"/>
  <c r="P49" i="98"/>
  <c r="N49" i="98"/>
  <c r="L49" i="98"/>
  <c r="J49" i="98"/>
  <c r="H49" i="98"/>
  <c r="F49" i="98"/>
  <c r="D49" i="98"/>
  <c r="B49" i="98"/>
  <c r="B48" i="98"/>
  <c r="R47" i="98"/>
  <c r="P47" i="98"/>
  <c r="N47" i="98"/>
  <c r="L47" i="98"/>
  <c r="J47" i="98"/>
  <c r="H47" i="98"/>
  <c r="F47" i="98"/>
  <c r="D47" i="98"/>
  <c r="B47" i="98"/>
  <c r="B46" i="98"/>
  <c r="B45" i="98"/>
  <c r="B44" i="98"/>
  <c r="B43" i="98"/>
  <c r="B42" i="98"/>
  <c r="B41" i="98"/>
  <c r="B40" i="98"/>
  <c r="B39" i="98"/>
  <c r="B38" i="98"/>
  <c r="B37" i="98"/>
  <c r="R36" i="98"/>
  <c r="P36" i="98"/>
  <c r="N36" i="98"/>
  <c r="L36" i="98"/>
  <c r="J36" i="98"/>
  <c r="H36" i="98"/>
  <c r="F36" i="98"/>
  <c r="D36" i="98"/>
  <c r="B36" i="98"/>
  <c r="B35" i="98"/>
  <c r="B34" i="98"/>
  <c r="B33" i="98"/>
  <c r="B32" i="98"/>
  <c r="B31" i="98"/>
  <c r="B30" i="98"/>
  <c r="B29" i="98"/>
  <c r="B28" i="98"/>
  <c r="B27" i="98"/>
  <c r="B26" i="98"/>
  <c r="R25" i="98"/>
  <c r="P25" i="98"/>
  <c r="N25" i="98"/>
  <c r="L25" i="98"/>
  <c r="J25" i="98"/>
  <c r="H25" i="98"/>
  <c r="F25" i="98"/>
  <c r="D25" i="98"/>
  <c r="B25" i="98"/>
  <c r="R24" i="98"/>
  <c r="P24" i="98"/>
  <c r="N24" i="98"/>
  <c r="L24" i="98"/>
  <c r="J24" i="98"/>
  <c r="H24" i="98"/>
  <c r="F24" i="98"/>
  <c r="D24" i="98"/>
  <c r="R21" i="98"/>
  <c r="R105" i="98" s="1"/>
  <c r="J21" i="98"/>
  <c r="J105" i="98" s="1"/>
  <c r="B19" i="98"/>
  <c r="B18" i="98"/>
  <c r="B17" i="98"/>
  <c r="R16" i="98"/>
  <c r="P16" i="98"/>
  <c r="N16" i="98"/>
  <c r="L16" i="98"/>
  <c r="J16" i="98"/>
  <c r="H16" i="98"/>
  <c r="F16" i="98"/>
  <c r="D16" i="98"/>
  <c r="N14" i="98"/>
  <c r="L14" i="98"/>
  <c r="J14" i="98"/>
  <c r="H14" i="98"/>
  <c r="F14" i="98"/>
  <c r="D14" i="98"/>
  <c r="B14" i="98"/>
  <c r="N13" i="98"/>
  <c r="L13" i="98"/>
  <c r="J13" i="98"/>
  <c r="J10" i="98" s="1"/>
  <c r="H13" i="98"/>
  <c r="F13" i="98"/>
  <c r="D13" i="98"/>
  <c r="B13" i="98"/>
  <c r="N12" i="98"/>
  <c r="L12" i="98"/>
  <c r="J12" i="98"/>
  <c r="H12" i="98"/>
  <c r="F12" i="98"/>
  <c r="D12" i="98"/>
  <c r="B12" i="98"/>
  <c r="N11" i="98"/>
  <c r="N10" i="98" s="1"/>
  <c r="N21" i="98" s="1"/>
  <c r="L11" i="98"/>
  <c r="J11" i="98"/>
  <c r="H11" i="98"/>
  <c r="F11" i="98"/>
  <c r="D11" i="98"/>
  <c r="B11" i="98"/>
  <c r="R10" i="98"/>
  <c r="P10" i="98"/>
  <c r="P21" i="98" s="1"/>
  <c r="P22" i="98" s="1"/>
  <c r="H10" i="98"/>
  <c r="H21" i="98" s="1"/>
  <c r="F10" i="98"/>
  <c r="F21" i="98" s="1"/>
  <c r="F22" i="98" s="1"/>
  <c r="D4" i="98"/>
  <c r="R64" i="97"/>
  <c r="P64" i="97"/>
  <c r="N64" i="97"/>
  <c r="L64" i="97"/>
  <c r="J64" i="97"/>
  <c r="H64" i="97"/>
  <c r="F64" i="97"/>
  <c r="D64" i="97"/>
  <c r="B62" i="97"/>
  <c r="R61" i="97"/>
  <c r="P61" i="97"/>
  <c r="N61" i="97"/>
  <c r="L61" i="97"/>
  <c r="J61" i="97"/>
  <c r="H61" i="97"/>
  <c r="F61" i="97"/>
  <c r="D61" i="97"/>
  <c r="B61" i="97"/>
  <c r="B60" i="97"/>
  <c r="R59" i="97"/>
  <c r="P59" i="97"/>
  <c r="N59" i="97"/>
  <c r="L59" i="97"/>
  <c r="J59" i="97"/>
  <c r="H59" i="97"/>
  <c r="F59" i="97"/>
  <c r="D59" i="97"/>
  <c r="B59" i="97"/>
  <c r="B58" i="97"/>
  <c r="R57" i="97"/>
  <c r="P57" i="97"/>
  <c r="N57" i="97"/>
  <c r="L57" i="97"/>
  <c r="J57" i="97"/>
  <c r="H57" i="97"/>
  <c r="F57" i="97"/>
  <c r="D57" i="97"/>
  <c r="B57" i="97"/>
  <c r="B56" i="97"/>
  <c r="B55" i="97"/>
  <c r="B54" i="97"/>
  <c r="B53" i="97"/>
  <c r="B52" i="97"/>
  <c r="B51" i="97"/>
  <c r="B50" i="97"/>
  <c r="R49" i="97"/>
  <c r="P49" i="97"/>
  <c r="N49" i="97"/>
  <c r="L49" i="97"/>
  <c r="J49" i="97"/>
  <c r="H49" i="97"/>
  <c r="F49" i="97"/>
  <c r="D49" i="97"/>
  <c r="B49" i="97"/>
  <c r="B48" i="97"/>
  <c r="B47" i="97"/>
  <c r="R46" i="97"/>
  <c r="P46" i="97"/>
  <c r="N46" i="97"/>
  <c r="L46" i="97"/>
  <c r="J46" i="97"/>
  <c r="H46" i="97"/>
  <c r="F46" i="97"/>
  <c r="D46" i="97"/>
  <c r="B46" i="97"/>
  <c r="B45" i="97"/>
  <c r="R44" i="97"/>
  <c r="P44" i="97"/>
  <c r="N44" i="97"/>
  <c r="L44" i="97"/>
  <c r="J44" i="97"/>
  <c r="H44" i="97"/>
  <c r="F44" i="97"/>
  <c r="D44" i="97"/>
  <c r="B44" i="97"/>
  <c r="B43" i="97"/>
  <c r="R42" i="97"/>
  <c r="P42" i="97"/>
  <c r="N42" i="97"/>
  <c r="L42" i="97"/>
  <c r="J42" i="97"/>
  <c r="H42" i="97"/>
  <c r="F42" i="97"/>
  <c r="D42" i="97"/>
  <c r="B42" i="97"/>
  <c r="B41" i="97"/>
  <c r="R40" i="97"/>
  <c r="P40" i="97"/>
  <c r="N40" i="97"/>
  <c r="L40" i="97"/>
  <c r="J40" i="97"/>
  <c r="H40" i="97"/>
  <c r="F40" i="97"/>
  <c r="D40" i="97"/>
  <c r="B40" i="97"/>
  <c r="B39" i="97"/>
  <c r="R38" i="97"/>
  <c r="P38" i="97"/>
  <c r="N38" i="97"/>
  <c r="L38" i="97"/>
  <c r="J38" i="97"/>
  <c r="H38" i="97"/>
  <c r="F38" i="97"/>
  <c r="D38" i="97"/>
  <c r="B38" i="97"/>
  <c r="B37" i="97"/>
  <c r="R36" i="97"/>
  <c r="P36" i="97"/>
  <c r="N36" i="97"/>
  <c r="L36" i="97"/>
  <c r="J36" i="97"/>
  <c r="H36" i="97"/>
  <c r="F36" i="97"/>
  <c r="D36" i="97"/>
  <c r="B36" i="97"/>
  <c r="B35" i="97"/>
  <c r="R34" i="97"/>
  <c r="P34" i="97"/>
  <c r="N34" i="97"/>
  <c r="L34" i="97"/>
  <c r="J34" i="97"/>
  <c r="H34" i="97"/>
  <c r="F34" i="97"/>
  <c r="D34" i="97"/>
  <c r="B34" i="97"/>
  <c r="B33" i="97"/>
  <c r="R32" i="97"/>
  <c r="P32" i="97"/>
  <c r="N32" i="97"/>
  <c r="L32" i="97"/>
  <c r="J32" i="97"/>
  <c r="H32" i="97"/>
  <c r="F32" i="97"/>
  <c r="D32" i="97"/>
  <c r="B32" i="97"/>
  <c r="B31" i="97"/>
  <c r="B30" i="97"/>
  <c r="B29" i="97"/>
  <c r="B28" i="97"/>
  <c r="R27" i="97"/>
  <c r="P27" i="97"/>
  <c r="N27" i="97"/>
  <c r="L27" i="97"/>
  <c r="J27" i="97"/>
  <c r="H27" i="97"/>
  <c r="F27" i="97"/>
  <c r="D27" i="97"/>
  <c r="B27" i="97"/>
  <c r="B26" i="97"/>
  <c r="B25" i="97"/>
  <c r="B24" i="97"/>
  <c r="R23" i="97"/>
  <c r="P23" i="97"/>
  <c r="N23" i="97"/>
  <c r="L23" i="97"/>
  <c r="J23" i="97"/>
  <c r="H23" i="97"/>
  <c r="F23" i="97"/>
  <c r="D23" i="97"/>
  <c r="B23" i="97"/>
  <c r="R22" i="97"/>
  <c r="P22" i="97"/>
  <c r="P66" i="97" s="1"/>
  <c r="N22" i="97"/>
  <c r="L22" i="97"/>
  <c r="J22" i="97"/>
  <c r="H22" i="97"/>
  <c r="F22" i="97"/>
  <c r="D22" i="97"/>
  <c r="P20" i="97"/>
  <c r="J20" i="97"/>
  <c r="R19" i="97"/>
  <c r="R66" i="97" s="1"/>
  <c r="P19" i="97"/>
  <c r="J19" i="97"/>
  <c r="J66" i="97" s="1"/>
  <c r="J71" i="97" s="1"/>
  <c r="B17" i="97"/>
  <c r="B16" i="97"/>
  <c r="R15" i="97"/>
  <c r="P15" i="97"/>
  <c r="N15" i="97"/>
  <c r="L15" i="97"/>
  <c r="J15" i="97"/>
  <c r="H15" i="97"/>
  <c r="F15" i="97"/>
  <c r="D15" i="97"/>
  <c r="N13" i="97"/>
  <c r="L13" i="97"/>
  <c r="J13" i="97"/>
  <c r="J10" i="97" s="1"/>
  <c r="H13" i="97"/>
  <c r="H10" i="97" s="1"/>
  <c r="H19" i="97" s="1"/>
  <c r="F13" i="97"/>
  <c r="D13" i="97"/>
  <c r="B13" i="97"/>
  <c r="N12" i="97"/>
  <c r="L12" i="97"/>
  <c r="J12" i="97"/>
  <c r="H12" i="97"/>
  <c r="F12" i="97"/>
  <c r="F10" i="97" s="1"/>
  <c r="F19" i="97" s="1"/>
  <c r="D12" i="97"/>
  <c r="B12" i="97"/>
  <c r="N11" i="97"/>
  <c r="L11" i="97"/>
  <c r="L10" i="97" s="1"/>
  <c r="L19" i="97" s="1"/>
  <c r="J11" i="97"/>
  <c r="H11" i="97"/>
  <c r="F11" i="97"/>
  <c r="D11" i="97"/>
  <c r="D10" i="97" s="1"/>
  <c r="D19" i="97" s="1"/>
  <c r="B11" i="97"/>
  <c r="R10" i="97"/>
  <c r="P10" i="97"/>
  <c r="N10" i="97"/>
  <c r="N19" i="97" s="1"/>
  <c r="D4" i="97"/>
  <c r="R102" i="96"/>
  <c r="P102" i="96"/>
  <c r="N102" i="96"/>
  <c r="L102" i="96"/>
  <c r="J102" i="96"/>
  <c r="H102" i="96"/>
  <c r="F102" i="96"/>
  <c r="D102" i="96"/>
  <c r="B100" i="96"/>
  <c r="R99" i="96"/>
  <c r="P99" i="96"/>
  <c r="N99" i="96"/>
  <c r="L99" i="96"/>
  <c r="J99" i="96"/>
  <c r="H99" i="96"/>
  <c r="F99" i="96"/>
  <c r="D99" i="96"/>
  <c r="B99" i="96"/>
  <c r="B98" i="96"/>
  <c r="B97" i="96"/>
  <c r="R96" i="96"/>
  <c r="P96" i="96"/>
  <c r="N96" i="96"/>
  <c r="L96" i="96"/>
  <c r="J96" i="96"/>
  <c r="H96" i="96"/>
  <c r="F96" i="96"/>
  <c r="D96" i="96"/>
  <c r="B96" i="96"/>
  <c r="B95" i="96"/>
  <c r="R94" i="96"/>
  <c r="P94" i="96"/>
  <c r="N94" i="96"/>
  <c r="L94" i="96"/>
  <c r="J94" i="96"/>
  <c r="H94" i="96"/>
  <c r="F94" i="96"/>
  <c r="D94" i="96"/>
  <c r="B94" i="96"/>
  <c r="B93" i="96"/>
  <c r="R92" i="96"/>
  <c r="P92" i="96"/>
  <c r="N92" i="96"/>
  <c r="L92" i="96"/>
  <c r="J92" i="96"/>
  <c r="H92" i="96"/>
  <c r="F92" i="96"/>
  <c r="D92" i="96"/>
  <c r="B92" i="96"/>
  <c r="B91" i="96"/>
  <c r="B90" i="96"/>
  <c r="B89" i="96"/>
  <c r="B88" i="96"/>
  <c r="B87" i="96"/>
  <c r="B86" i="96"/>
  <c r="B85" i="96"/>
  <c r="B84" i="96"/>
  <c r="B83" i="96"/>
  <c r="R82" i="96"/>
  <c r="P82" i="96"/>
  <c r="N82" i="96"/>
  <c r="L82" i="96"/>
  <c r="J82" i="96"/>
  <c r="H82" i="96"/>
  <c r="F82" i="96"/>
  <c r="D82" i="96"/>
  <c r="B82" i="96"/>
  <c r="B81" i="96"/>
  <c r="R80" i="96"/>
  <c r="P80" i="96"/>
  <c r="N80" i="96"/>
  <c r="L80" i="96"/>
  <c r="J80" i="96"/>
  <c r="H80" i="96"/>
  <c r="F80" i="96"/>
  <c r="D80" i="96"/>
  <c r="B80" i="96"/>
  <c r="B79" i="96"/>
  <c r="B78" i="96"/>
  <c r="B77" i="96"/>
  <c r="B76" i="96"/>
  <c r="R75" i="96"/>
  <c r="P75" i="96"/>
  <c r="N75" i="96"/>
  <c r="L75" i="96"/>
  <c r="J75" i="96"/>
  <c r="H75" i="96"/>
  <c r="F75" i="96"/>
  <c r="D75" i="96"/>
  <c r="B75" i="96"/>
  <c r="B74" i="96"/>
  <c r="B73" i="96"/>
  <c r="B72" i="96"/>
  <c r="R71" i="96"/>
  <c r="P71" i="96"/>
  <c r="N71" i="96"/>
  <c r="L71" i="96"/>
  <c r="J71" i="96"/>
  <c r="H71" i="96"/>
  <c r="F71" i="96"/>
  <c r="D71" i="96"/>
  <c r="B71" i="96"/>
  <c r="B70" i="96"/>
  <c r="R69" i="96"/>
  <c r="P69" i="96"/>
  <c r="N69" i="96"/>
  <c r="L69" i="96"/>
  <c r="J69" i="96"/>
  <c r="H69" i="96"/>
  <c r="F69" i="96"/>
  <c r="D69" i="96"/>
  <c r="B69" i="96"/>
  <c r="B68" i="96"/>
  <c r="R67" i="96"/>
  <c r="P67" i="96"/>
  <c r="N67" i="96"/>
  <c r="L67" i="96"/>
  <c r="J67" i="96"/>
  <c r="H67" i="96"/>
  <c r="F67" i="96"/>
  <c r="D67" i="96"/>
  <c r="B67" i="96"/>
  <c r="B66" i="96"/>
  <c r="R65" i="96"/>
  <c r="P65" i="96"/>
  <c r="N65" i="96"/>
  <c r="L65" i="96"/>
  <c r="J65" i="96"/>
  <c r="H65" i="96"/>
  <c r="F65" i="96"/>
  <c r="D65" i="96"/>
  <c r="B65" i="96"/>
  <c r="B64" i="96"/>
  <c r="R63" i="96"/>
  <c r="P63" i="96"/>
  <c r="N63" i="96"/>
  <c r="L63" i="96"/>
  <c r="J63" i="96"/>
  <c r="H63" i="96"/>
  <c r="F63" i="96"/>
  <c r="D63" i="96"/>
  <c r="B63" i="96"/>
  <c r="B62" i="96"/>
  <c r="R61" i="96"/>
  <c r="P61" i="96"/>
  <c r="N61" i="96"/>
  <c r="L61" i="96"/>
  <c r="J61" i="96"/>
  <c r="H61" i="96"/>
  <c r="F61" i="96"/>
  <c r="D61" i="96"/>
  <c r="B61" i="96"/>
  <c r="B60" i="96"/>
  <c r="R59" i="96"/>
  <c r="P59" i="96"/>
  <c r="N59" i="96"/>
  <c r="L59" i="96"/>
  <c r="J59" i="96"/>
  <c r="H59" i="96"/>
  <c r="F59" i="96"/>
  <c r="D59" i="96"/>
  <c r="B59" i="96"/>
  <c r="B58" i="96"/>
  <c r="R57" i="96"/>
  <c r="P57" i="96"/>
  <c r="N57" i="96"/>
  <c r="L57" i="96"/>
  <c r="J57" i="96"/>
  <c r="H57" i="96"/>
  <c r="F57" i="96"/>
  <c r="D57" i="96"/>
  <c r="B57" i="96"/>
  <c r="B56" i="96"/>
  <c r="R55" i="96"/>
  <c r="P55" i="96"/>
  <c r="N55" i="96"/>
  <c r="L55" i="96"/>
  <c r="J55" i="96"/>
  <c r="H55" i="96"/>
  <c r="F55" i="96"/>
  <c r="D55" i="96"/>
  <c r="B55" i="96"/>
  <c r="B54" i="96"/>
  <c r="R53" i="96"/>
  <c r="P53" i="96"/>
  <c r="N53" i="96"/>
  <c r="L53" i="96"/>
  <c r="J53" i="96"/>
  <c r="H53" i="96"/>
  <c r="F53" i="96"/>
  <c r="D53" i="96"/>
  <c r="B53" i="96"/>
  <c r="B52" i="96"/>
  <c r="R51" i="96"/>
  <c r="P51" i="96"/>
  <c r="N51" i="96"/>
  <c r="L51" i="96"/>
  <c r="J51" i="96"/>
  <c r="H51" i="96"/>
  <c r="F51" i="96"/>
  <c r="D51" i="96"/>
  <c r="B51" i="96"/>
  <c r="B50" i="96"/>
  <c r="R49" i="96"/>
  <c r="P49" i="96"/>
  <c r="N49" i="96"/>
  <c r="L49" i="96"/>
  <c r="J49" i="96"/>
  <c r="H49" i="96"/>
  <c r="F49" i="96"/>
  <c r="D49" i="96"/>
  <c r="B49" i="96"/>
  <c r="B48" i="96"/>
  <c r="B47" i="96"/>
  <c r="B46" i="96"/>
  <c r="B45" i="96"/>
  <c r="B44" i="96"/>
  <c r="B43" i="96"/>
  <c r="B42" i="96"/>
  <c r="B41" i="96"/>
  <c r="B40" i="96"/>
  <c r="B39" i="96"/>
  <c r="R38" i="96"/>
  <c r="P38" i="96"/>
  <c r="N38" i="96"/>
  <c r="L38" i="96"/>
  <c r="J38" i="96"/>
  <c r="H38" i="96"/>
  <c r="F38" i="96"/>
  <c r="D38" i="96"/>
  <c r="B38" i="96"/>
  <c r="B37" i="96"/>
  <c r="B36" i="96"/>
  <c r="B35" i="96"/>
  <c r="B34" i="96"/>
  <c r="B33" i="96"/>
  <c r="B32" i="96"/>
  <c r="B31" i="96"/>
  <c r="B30" i="96"/>
  <c r="B29" i="96"/>
  <c r="B28" i="96"/>
  <c r="R27" i="96"/>
  <c r="P27" i="96"/>
  <c r="N27" i="96"/>
  <c r="L27" i="96"/>
  <c r="J27" i="96"/>
  <c r="H27" i="96"/>
  <c r="F27" i="96"/>
  <c r="D27" i="96"/>
  <c r="B27" i="96"/>
  <c r="R26" i="96"/>
  <c r="P26" i="96"/>
  <c r="N26" i="96"/>
  <c r="L26" i="96"/>
  <c r="J26" i="96"/>
  <c r="H26" i="96"/>
  <c r="F26" i="96"/>
  <c r="D26" i="96"/>
  <c r="F23" i="96"/>
  <c r="B21" i="96"/>
  <c r="B20" i="96"/>
  <c r="B19" i="96"/>
  <c r="R18" i="96"/>
  <c r="P18" i="96"/>
  <c r="N18" i="96"/>
  <c r="L18" i="96"/>
  <c r="J18" i="96"/>
  <c r="H18" i="96"/>
  <c r="F18" i="96"/>
  <c r="D18" i="96"/>
  <c r="N16" i="96"/>
  <c r="L16" i="96"/>
  <c r="J16" i="96"/>
  <c r="H16" i="96"/>
  <c r="F16" i="96"/>
  <c r="D16" i="96"/>
  <c r="B16" i="96"/>
  <c r="N15" i="96"/>
  <c r="L15" i="96"/>
  <c r="J15" i="96"/>
  <c r="H15" i="96"/>
  <c r="F15" i="96"/>
  <c r="D15" i="96"/>
  <c r="B15" i="96"/>
  <c r="N14" i="96"/>
  <c r="L14" i="96"/>
  <c r="J14" i="96"/>
  <c r="H14" i="96"/>
  <c r="F14" i="96"/>
  <c r="D14" i="96"/>
  <c r="B14" i="96"/>
  <c r="N13" i="96"/>
  <c r="L13" i="96"/>
  <c r="J13" i="96"/>
  <c r="J10" i="96" s="1"/>
  <c r="J23" i="96" s="1"/>
  <c r="H13" i="96"/>
  <c r="F13" i="96"/>
  <c r="D13" i="96"/>
  <c r="B13" i="96"/>
  <c r="N12" i="96"/>
  <c r="L12" i="96"/>
  <c r="J12" i="96"/>
  <c r="H12" i="96"/>
  <c r="H10" i="96" s="1"/>
  <c r="H23" i="96" s="1"/>
  <c r="F12" i="96"/>
  <c r="D12" i="96"/>
  <c r="B12" i="96"/>
  <c r="N11" i="96"/>
  <c r="N10" i="96" s="1"/>
  <c r="N23" i="96" s="1"/>
  <c r="L11" i="96"/>
  <c r="J11" i="96"/>
  <c r="H11" i="96"/>
  <c r="F11" i="96"/>
  <c r="F10" i="96" s="1"/>
  <c r="D11" i="96"/>
  <c r="B11" i="96"/>
  <c r="R10" i="96"/>
  <c r="P10" i="96"/>
  <c r="P23" i="96" s="1"/>
  <c r="D4" i="96"/>
  <c r="R66" i="95"/>
  <c r="R68" i="95" s="1"/>
  <c r="P66" i="95"/>
  <c r="N66" i="95"/>
  <c r="L66" i="95"/>
  <c r="J66" i="95"/>
  <c r="H66" i="95"/>
  <c r="F66" i="95"/>
  <c r="D66" i="95"/>
  <c r="B64" i="95"/>
  <c r="B63" i="95"/>
  <c r="R62" i="95"/>
  <c r="P62" i="95"/>
  <c r="N62" i="95"/>
  <c r="L62" i="95"/>
  <c r="J62" i="95"/>
  <c r="H62" i="95"/>
  <c r="F62" i="95"/>
  <c r="D62" i="95"/>
  <c r="B62" i="95"/>
  <c r="B61" i="95"/>
  <c r="R60" i="95"/>
  <c r="P60" i="95"/>
  <c r="N60" i="95"/>
  <c r="L60" i="95"/>
  <c r="J60" i="95"/>
  <c r="H60" i="95"/>
  <c r="F60" i="95"/>
  <c r="D60" i="95"/>
  <c r="B60" i="95"/>
  <c r="B59" i="95"/>
  <c r="B58" i="95"/>
  <c r="R57" i="95"/>
  <c r="P57" i="95"/>
  <c r="N57" i="95"/>
  <c r="L57" i="95"/>
  <c r="J57" i="95"/>
  <c r="H57" i="95"/>
  <c r="F57" i="95"/>
  <c r="D57" i="95"/>
  <c r="B57" i="95"/>
  <c r="B56" i="95"/>
  <c r="B55" i="95"/>
  <c r="B54" i="95"/>
  <c r="B53" i="95"/>
  <c r="B52" i="95"/>
  <c r="R51" i="95"/>
  <c r="P51" i="95"/>
  <c r="N51" i="95"/>
  <c r="L51" i="95"/>
  <c r="J51" i="95"/>
  <c r="H51" i="95"/>
  <c r="F51" i="95"/>
  <c r="D51" i="95"/>
  <c r="B51" i="95"/>
  <c r="B50" i="95"/>
  <c r="R49" i="95"/>
  <c r="P49" i="95"/>
  <c r="N49" i="95"/>
  <c r="L49" i="95"/>
  <c r="J49" i="95"/>
  <c r="H49" i="95"/>
  <c r="F49" i="95"/>
  <c r="D49" i="95"/>
  <c r="B49" i="95"/>
  <c r="B48" i="95"/>
  <c r="R47" i="95"/>
  <c r="P47" i="95"/>
  <c r="N47" i="95"/>
  <c r="L47" i="95"/>
  <c r="J47" i="95"/>
  <c r="H47" i="95"/>
  <c r="F47" i="95"/>
  <c r="D47" i="95"/>
  <c r="B47" i="95"/>
  <c r="B46" i="95"/>
  <c r="R45" i="95"/>
  <c r="P45" i="95"/>
  <c r="N45" i="95"/>
  <c r="L45" i="95"/>
  <c r="J45" i="95"/>
  <c r="H45" i="95"/>
  <c r="F45" i="95"/>
  <c r="D45" i="95"/>
  <c r="B45" i="95"/>
  <c r="B44" i="95"/>
  <c r="R43" i="95"/>
  <c r="P43" i="95"/>
  <c r="N43" i="95"/>
  <c r="L43" i="95"/>
  <c r="J43" i="95"/>
  <c r="H43" i="95"/>
  <c r="F43" i="95"/>
  <c r="D43" i="95"/>
  <c r="B43" i="95"/>
  <c r="B42" i="95"/>
  <c r="R41" i="95"/>
  <c r="P41" i="95"/>
  <c r="N41" i="95"/>
  <c r="L41" i="95"/>
  <c r="J41" i="95"/>
  <c r="H41" i="95"/>
  <c r="F41" i="95"/>
  <c r="D41" i="95"/>
  <c r="B41" i="95"/>
  <c r="B40" i="95"/>
  <c r="R39" i="95"/>
  <c r="P39" i="95"/>
  <c r="N39" i="95"/>
  <c r="L39" i="95"/>
  <c r="J39" i="95"/>
  <c r="H39" i="95"/>
  <c r="F39" i="95"/>
  <c r="D39" i="95"/>
  <c r="B39" i="95"/>
  <c r="B38" i="95"/>
  <c r="B37" i="95"/>
  <c r="B36" i="95"/>
  <c r="B35" i="95"/>
  <c r="B34" i="95"/>
  <c r="B33" i="95"/>
  <c r="B32" i="95"/>
  <c r="B31" i="95"/>
  <c r="B30" i="95"/>
  <c r="B29" i="95"/>
  <c r="R28" i="95"/>
  <c r="P28" i="95"/>
  <c r="N28" i="95"/>
  <c r="L28" i="95"/>
  <c r="J28" i="95"/>
  <c r="H28" i="95"/>
  <c r="F28" i="95"/>
  <c r="D28" i="95"/>
  <c r="B28" i="95"/>
  <c r="B27" i="95"/>
  <c r="B26" i="95"/>
  <c r="B25" i="95"/>
  <c r="B24" i="95"/>
  <c r="B23" i="95"/>
  <c r="B22" i="95"/>
  <c r="B21" i="95"/>
  <c r="B20" i="95"/>
  <c r="B19" i="95"/>
  <c r="R18" i="95"/>
  <c r="P18" i="95"/>
  <c r="N18" i="95"/>
  <c r="L18" i="95"/>
  <c r="J18" i="95"/>
  <c r="H18" i="95"/>
  <c r="F18" i="95"/>
  <c r="D18" i="95"/>
  <c r="B18" i="95"/>
  <c r="R17" i="95"/>
  <c r="P17" i="95"/>
  <c r="N17" i="95"/>
  <c r="L17" i="95"/>
  <c r="J17" i="95"/>
  <c r="H17" i="95"/>
  <c r="F17" i="95"/>
  <c r="D17" i="95"/>
  <c r="N15" i="95"/>
  <c r="P14" i="95"/>
  <c r="N14" i="95"/>
  <c r="N68" i="95" s="1"/>
  <c r="R12" i="95"/>
  <c r="P12" i="95"/>
  <c r="N12" i="95"/>
  <c r="L12" i="95"/>
  <c r="J12" i="95"/>
  <c r="H12" i="95"/>
  <c r="F12" i="95"/>
  <c r="D12" i="95"/>
  <c r="R10" i="95"/>
  <c r="R14" i="95" s="1"/>
  <c r="R15" i="95" s="1"/>
  <c r="P10" i="95"/>
  <c r="N10" i="95"/>
  <c r="L10" i="95"/>
  <c r="L14" i="95" s="1"/>
  <c r="J10" i="95"/>
  <c r="J14" i="95" s="1"/>
  <c r="H10" i="95"/>
  <c r="H14" i="95" s="1"/>
  <c r="H15" i="95" s="1"/>
  <c r="F10" i="95"/>
  <c r="F14" i="95" s="1"/>
  <c r="D10" i="95"/>
  <c r="D14" i="95" s="1"/>
  <c r="D4" i="95"/>
  <c r="N92" i="94"/>
  <c r="N91" i="94" s="1"/>
  <c r="L92" i="94"/>
  <c r="L91" i="94" s="1"/>
  <c r="J92" i="94"/>
  <c r="H92" i="94"/>
  <c r="F92" i="94"/>
  <c r="F91" i="94" s="1"/>
  <c r="D92" i="94"/>
  <c r="D91" i="94" s="1"/>
  <c r="B92" i="94"/>
  <c r="R91" i="94"/>
  <c r="P91" i="94"/>
  <c r="J91" i="94"/>
  <c r="H91" i="94"/>
  <c r="B89" i="94"/>
  <c r="B88" i="94"/>
  <c r="B87" i="94"/>
  <c r="R86" i="94"/>
  <c r="P86" i="94"/>
  <c r="N86" i="94"/>
  <c r="L86" i="94"/>
  <c r="J86" i="94"/>
  <c r="H86" i="94"/>
  <c r="F86" i="94"/>
  <c r="D86" i="94"/>
  <c r="B86" i="94"/>
  <c r="B85" i="94"/>
  <c r="R84" i="94"/>
  <c r="P84" i="94"/>
  <c r="N84" i="94"/>
  <c r="L84" i="94"/>
  <c r="J84" i="94"/>
  <c r="H84" i="94"/>
  <c r="F84" i="94"/>
  <c r="D84" i="94"/>
  <c r="B84" i="94"/>
  <c r="B83" i="94"/>
  <c r="R82" i="94"/>
  <c r="P82" i="94"/>
  <c r="N82" i="94"/>
  <c r="L82" i="94"/>
  <c r="J82" i="94"/>
  <c r="H82" i="94"/>
  <c r="F82" i="94"/>
  <c r="D82" i="94"/>
  <c r="B82" i="94"/>
  <c r="B81" i="94"/>
  <c r="B80" i="94"/>
  <c r="B79" i="94"/>
  <c r="B78" i="94"/>
  <c r="B77" i="94"/>
  <c r="B76" i="94"/>
  <c r="B75" i="94"/>
  <c r="B74" i="94"/>
  <c r="R73" i="94"/>
  <c r="P73" i="94"/>
  <c r="N73" i="94"/>
  <c r="L73" i="94"/>
  <c r="J73" i="94"/>
  <c r="H73" i="94"/>
  <c r="F73" i="94"/>
  <c r="D73" i="94"/>
  <c r="B73" i="94"/>
  <c r="B72" i="94"/>
  <c r="B71" i="94"/>
  <c r="R70" i="94"/>
  <c r="P70" i="94"/>
  <c r="N70" i="94"/>
  <c r="L70" i="94"/>
  <c r="J70" i="94"/>
  <c r="H70" i="94"/>
  <c r="F70" i="94"/>
  <c r="D70" i="94"/>
  <c r="B70" i="94"/>
  <c r="B69" i="94"/>
  <c r="B68" i="94"/>
  <c r="B67" i="94"/>
  <c r="B66" i="94"/>
  <c r="R65" i="94"/>
  <c r="P65" i="94"/>
  <c r="N65" i="94"/>
  <c r="L65" i="94"/>
  <c r="J65" i="94"/>
  <c r="H65" i="94"/>
  <c r="F65" i="94"/>
  <c r="D65" i="94"/>
  <c r="B65" i="94"/>
  <c r="B64" i="94"/>
  <c r="R63" i="94"/>
  <c r="P63" i="94"/>
  <c r="N63" i="94"/>
  <c r="L63" i="94"/>
  <c r="J63" i="94"/>
  <c r="H63" i="94"/>
  <c r="F63" i="94"/>
  <c r="D63" i="94"/>
  <c r="B63" i="94"/>
  <c r="B62" i="94"/>
  <c r="B61" i="94"/>
  <c r="B60" i="94"/>
  <c r="B59" i="94"/>
  <c r="R58" i="94"/>
  <c r="P58" i="94"/>
  <c r="N58" i="94"/>
  <c r="L58" i="94"/>
  <c r="J58" i="94"/>
  <c r="H58" i="94"/>
  <c r="F58" i="94"/>
  <c r="D58" i="94"/>
  <c r="B58" i="94"/>
  <c r="B57" i="94"/>
  <c r="R56" i="94"/>
  <c r="P56" i="94"/>
  <c r="N56" i="94"/>
  <c r="L56" i="94"/>
  <c r="J56" i="94"/>
  <c r="H56" i="94"/>
  <c r="F56" i="94"/>
  <c r="D56" i="94"/>
  <c r="B56" i="94"/>
  <c r="B55" i="94"/>
  <c r="R54" i="94"/>
  <c r="P54" i="94"/>
  <c r="N54" i="94"/>
  <c r="L54" i="94"/>
  <c r="J54" i="94"/>
  <c r="H54" i="94"/>
  <c r="F54" i="94"/>
  <c r="D54" i="94"/>
  <c r="B54" i="94"/>
  <c r="B53" i="94"/>
  <c r="R52" i="94"/>
  <c r="P52" i="94"/>
  <c r="N52" i="94"/>
  <c r="L52" i="94"/>
  <c r="J52" i="94"/>
  <c r="H52" i="94"/>
  <c r="F52" i="94"/>
  <c r="D52" i="94"/>
  <c r="B52" i="94"/>
  <c r="B51" i="94"/>
  <c r="B50" i="94"/>
  <c r="R49" i="94"/>
  <c r="P49" i="94"/>
  <c r="N49" i="94"/>
  <c r="L49" i="94"/>
  <c r="J49" i="94"/>
  <c r="H49" i="94"/>
  <c r="F49" i="94"/>
  <c r="D49" i="94"/>
  <c r="B49" i="94"/>
  <c r="B48" i="94"/>
  <c r="R47" i="94"/>
  <c r="P47" i="94"/>
  <c r="N47" i="94"/>
  <c r="L47" i="94"/>
  <c r="J47" i="94"/>
  <c r="H47" i="94"/>
  <c r="F47" i="94"/>
  <c r="D47" i="94"/>
  <c r="B47" i="94"/>
  <c r="B46" i="94"/>
  <c r="B45" i="94"/>
  <c r="R44" i="94"/>
  <c r="P44" i="94"/>
  <c r="N44" i="94"/>
  <c r="L44" i="94"/>
  <c r="J44" i="94"/>
  <c r="H44" i="94"/>
  <c r="F44" i="94"/>
  <c r="D44" i="94"/>
  <c r="B44" i="94"/>
  <c r="B43" i="94"/>
  <c r="R42" i="94"/>
  <c r="P42" i="94"/>
  <c r="N42" i="94"/>
  <c r="L42" i="94"/>
  <c r="J42" i="94"/>
  <c r="H42" i="94"/>
  <c r="F42" i="94"/>
  <c r="D42" i="94"/>
  <c r="B42" i="94"/>
  <c r="B41" i="94"/>
  <c r="B40" i="94"/>
  <c r="B39" i="94"/>
  <c r="B38" i="94"/>
  <c r="B37" i="94"/>
  <c r="B36" i="94"/>
  <c r="R35" i="94"/>
  <c r="P35" i="94"/>
  <c r="N35" i="94"/>
  <c r="L35" i="94"/>
  <c r="J35" i="94"/>
  <c r="H35" i="94"/>
  <c r="F35" i="94"/>
  <c r="D35" i="94"/>
  <c r="B35" i="94"/>
  <c r="B34" i="94"/>
  <c r="B33" i="94"/>
  <c r="B32" i="94"/>
  <c r="B31" i="94"/>
  <c r="B30" i="94"/>
  <c r="B29" i="94"/>
  <c r="B28" i="94"/>
  <c r="B27" i="94"/>
  <c r="B26" i="94"/>
  <c r="R25" i="94"/>
  <c r="P25" i="94"/>
  <c r="N25" i="94"/>
  <c r="L25" i="94"/>
  <c r="J25" i="94"/>
  <c r="H25" i="94"/>
  <c r="F25" i="94"/>
  <c r="D25" i="94"/>
  <c r="B25" i="94"/>
  <c r="R24" i="94"/>
  <c r="P24" i="94"/>
  <c r="N24" i="94"/>
  <c r="L24" i="94"/>
  <c r="J24" i="94"/>
  <c r="H24" i="94"/>
  <c r="F24" i="94"/>
  <c r="D24" i="94"/>
  <c r="P22" i="94"/>
  <c r="P21" i="94"/>
  <c r="J21" i="94"/>
  <c r="J94" i="94" s="1"/>
  <c r="B19" i="94"/>
  <c r="B18" i="94"/>
  <c r="R17" i="94"/>
  <c r="P17" i="94"/>
  <c r="N17" i="94"/>
  <c r="L17" i="94"/>
  <c r="J17" i="94"/>
  <c r="H17" i="94"/>
  <c r="F17" i="94"/>
  <c r="D17" i="94"/>
  <c r="N15" i="94"/>
  <c r="L15" i="94"/>
  <c r="J15" i="94"/>
  <c r="H15" i="94"/>
  <c r="F15" i="94"/>
  <c r="D15" i="94"/>
  <c r="B15" i="94"/>
  <c r="N14" i="94"/>
  <c r="L14" i="94"/>
  <c r="J14" i="94"/>
  <c r="H14" i="94"/>
  <c r="F14" i="94"/>
  <c r="D14" i="94"/>
  <c r="B14" i="94"/>
  <c r="N13" i="94"/>
  <c r="L13" i="94"/>
  <c r="J13" i="94"/>
  <c r="H13" i="94"/>
  <c r="F13" i="94"/>
  <c r="D13" i="94"/>
  <c r="B13" i="94"/>
  <c r="N12" i="94"/>
  <c r="L12" i="94"/>
  <c r="L10" i="94" s="1"/>
  <c r="L21" i="94" s="1"/>
  <c r="J12" i="94"/>
  <c r="J10" i="94" s="1"/>
  <c r="H12" i="94"/>
  <c r="F12" i="94"/>
  <c r="D12" i="94"/>
  <c r="B12" i="94"/>
  <c r="N11" i="94"/>
  <c r="L11" i="94"/>
  <c r="J11" i="94"/>
  <c r="H11" i="94"/>
  <c r="H10" i="94" s="1"/>
  <c r="H21" i="94" s="1"/>
  <c r="H22" i="94" s="1"/>
  <c r="F11" i="94"/>
  <c r="D11" i="94"/>
  <c r="B11" i="94"/>
  <c r="R10" i="94"/>
  <c r="R21" i="94" s="1"/>
  <c r="R22" i="94" s="1"/>
  <c r="P10" i="94"/>
  <c r="D10" i="94"/>
  <c r="D21" i="94" s="1"/>
  <c r="D4" i="94"/>
  <c r="D76" i="93"/>
  <c r="N74" i="93"/>
  <c r="L74" i="93"/>
  <c r="J74" i="93"/>
  <c r="H74" i="93"/>
  <c r="H73" i="93" s="1"/>
  <c r="F74" i="93"/>
  <c r="D74" i="93"/>
  <c r="B74" i="93"/>
  <c r="R73" i="93"/>
  <c r="P73" i="93"/>
  <c r="N73" i="93"/>
  <c r="L73" i="93"/>
  <c r="J73" i="93"/>
  <c r="F73" i="93"/>
  <c r="D73" i="93"/>
  <c r="B71" i="93"/>
  <c r="R70" i="93"/>
  <c r="P70" i="93"/>
  <c r="N70" i="93"/>
  <c r="L70" i="93"/>
  <c r="J70" i="93"/>
  <c r="H70" i="93"/>
  <c r="F70" i="93"/>
  <c r="D70" i="93"/>
  <c r="B70" i="93"/>
  <c r="B69" i="93"/>
  <c r="B68" i="93"/>
  <c r="B67" i="93"/>
  <c r="B66" i="93"/>
  <c r="B65" i="93"/>
  <c r="B64" i="93"/>
  <c r="B63" i="93"/>
  <c r="R62" i="93"/>
  <c r="P62" i="93"/>
  <c r="N62" i="93"/>
  <c r="L62" i="93"/>
  <c r="J62" i="93"/>
  <c r="H62" i="93"/>
  <c r="F62" i="93"/>
  <c r="D62" i="93"/>
  <c r="B62" i="93"/>
  <c r="B61" i="93"/>
  <c r="B60" i="93"/>
  <c r="B59" i="93"/>
  <c r="R58" i="93"/>
  <c r="P58" i="93"/>
  <c r="N58" i="93"/>
  <c r="L58" i="93"/>
  <c r="J58" i="93"/>
  <c r="H58" i="93"/>
  <c r="F58" i="93"/>
  <c r="D58" i="93"/>
  <c r="B58" i="93"/>
  <c r="B57" i="93"/>
  <c r="R56" i="93"/>
  <c r="P56" i="93"/>
  <c r="N56" i="93"/>
  <c r="L56" i="93"/>
  <c r="J56" i="93"/>
  <c r="H56" i="93"/>
  <c r="F56" i="93"/>
  <c r="D56" i="93"/>
  <c r="B56" i="93"/>
  <c r="B55" i="93"/>
  <c r="B54" i="93"/>
  <c r="R53" i="93"/>
  <c r="P53" i="93"/>
  <c r="N53" i="93"/>
  <c r="L53" i="93"/>
  <c r="J53" i="93"/>
  <c r="H53" i="93"/>
  <c r="F53" i="93"/>
  <c r="D53" i="93"/>
  <c r="B53" i="93"/>
  <c r="B52" i="93"/>
  <c r="R51" i="93"/>
  <c r="P51" i="93"/>
  <c r="N51" i="93"/>
  <c r="L51" i="93"/>
  <c r="J51" i="93"/>
  <c r="H51" i="93"/>
  <c r="F51" i="93"/>
  <c r="D51" i="93"/>
  <c r="B51" i="93"/>
  <c r="B50" i="93"/>
  <c r="R49" i="93"/>
  <c r="P49" i="93"/>
  <c r="N49" i="93"/>
  <c r="L49" i="93"/>
  <c r="J49" i="93"/>
  <c r="H49" i="93"/>
  <c r="F49" i="93"/>
  <c r="D49" i="93"/>
  <c r="B49" i="93"/>
  <c r="B48" i="93"/>
  <c r="R47" i="93"/>
  <c r="P47" i="93"/>
  <c r="N47" i="93"/>
  <c r="L47" i="93"/>
  <c r="J47" i="93"/>
  <c r="H47" i="93"/>
  <c r="F47" i="93"/>
  <c r="D47" i="93"/>
  <c r="B47" i="93"/>
  <c r="B46" i="93"/>
  <c r="R45" i="93"/>
  <c r="P45" i="93"/>
  <c r="N45" i="93"/>
  <c r="L45" i="93"/>
  <c r="J45" i="93"/>
  <c r="H45" i="93"/>
  <c r="F45" i="93"/>
  <c r="D45" i="93"/>
  <c r="B45" i="93"/>
  <c r="B44" i="93"/>
  <c r="R43" i="93"/>
  <c r="P43" i="93"/>
  <c r="N43" i="93"/>
  <c r="L43" i="93"/>
  <c r="J43" i="93"/>
  <c r="H43" i="93"/>
  <c r="F43" i="93"/>
  <c r="D43" i="93"/>
  <c r="B43" i="93"/>
  <c r="B42" i="93"/>
  <c r="R41" i="93"/>
  <c r="P41" i="93"/>
  <c r="N41" i="93"/>
  <c r="L41" i="93"/>
  <c r="J41" i="93"/>
  <c r="H41" i="93"/>
  <c r="F41" i="93"/>
  <c r="D41" i="93"/>
  <c r="B41" i="93"/>
  <c r="B40" i="93"/>
  <c r="R39" i="93"/>
  <c r="P39" i="93"/>
  <c r="N39" i="93"/>
  <c r="L39" i="93"/>
  <c r="J39" i="93"/>
  <c r="H39" i="93"/>
  <c r="F39" i="93"/>
  <c r="D39" i="93"/>
  <c r="B39" i="93"/>
  <c r="B38" i="93"/>
  <c r="B37" i="93"/>
  <c r="B36" i="93"/>
  <c r="B35" i="93"/>
  <c r="B34" i="93"/>
  <c r="B33" i="93"/>
  <c r="R32" i="93"/>
  <c r="P32" i="93"/>
  <c r="N32" i="93"/>
  <c r="L32" i="93"/>
  <c r="J32" i="93"/>
  <c r="H32" i="93"/>
  <c r="F32" i="93"/>
  <c r="D32" i="93"/>
  <c r="B32" i="93"/>
  <c r="B31" i="93"/>
  <c r="B30" i="93"/>
  <c r="B29" i="93"/>
  <c r="B28" i="93"/>
  <c r="B27" i="93"/>
  <c r="B26" i="93"/>
  <c r="B25" i="93"/>
  <c r="R24" i="93"/>
  <c r="P24" i="93"/>
  <c r="N24" i="93"/>
  <c r="L24" i="93"/>
  <c r="J24" i="93"/>
  <c r="H24" i="93"/>
  <c r="F24" i="93"/>
  <c r="D24" i="93"/>
  <c r="B24" i="93"/>
  <c r="R23" i="93"/>
  <c r="P23" i="93"/>
  <c r="N23" i="93"/>
  <c r="L23" i="93"/>
  <c r="J23" i="93"/>
  <c r="H23" i="93"/>
  <c r="F23" i="93"/>
  <c r="D23" i="93"/>
  <c r="R21" i="93"/>
  <c r="L21" i="93"/>
  <c r="R20" i="93"/>
  <c r="B18" i="93"/>
  <c r="B17" i="93"/>
  <c r="R16" i="93"/>
  <c r="P16" i="93"/>
  <c r="N16" i="93"/>
  <c r="L16" i="93"/>
  <c r="J16" i="93"/>
  <c r="H16" i="93"/>
  <c r="F16" i="93"/>
  <c r="D16" i="93"/>
  <c r="N14" i="93"/>
  <c r="L14" i="93"/>
  <c r="J14" i="93"/>
  <c r="H14" i="93"/>
  <c r="F14" i="93"/>
  <c r="D14" i="93"/>
  <c r="B14" i="93"/>
  <c r="N13" i="93"/>
  <c r="L13" i="93"/>
  <c r="J13" i="93"/>
  <c r="H13" i="93"/>
  <c r="F13" i="93"/>
  <c r="D13" i="93"/>
  <c r="B13" i="93"/>
  <c r="N12" i="93"/>
  <c r="L12" i="93"/>
  <c r="J12" i="93"/>
  <c r="H12" i="93"/>
  <c r="F12" i="93"/>
  <c r="D12" i="93"/>
  <c r="B12" i="93"/>
  <c r="N11" i="93"/>
  <c r="L11" i="93"/>
  <c r="L10" i="93" s="1"/>
  <c r="L20" i="93" s="1"/>
  <c r="L76" i="93" s="1"/>
  <c r="J11" i="93"/>
  <c r="H11" i="93"/>
  <c r="F11" i="93"/>
  <c r="D11" i="93"/>
  <c r="D10" i="93" s="1"/>
  <c r="D20" i="93" s="1"/>
  <c r="D21" i="93" s="1"/>
  <c r="B11" i="93"/>
  <c r="R10" i="93"/>
  <c r="P10" i="93"/>
  <c r="P20" i="93" s="1"/>
  <c r="N10" i="93"/>
  <c r="N20" i="93" s="1"/>
  <c r="H10" i="93"/>
  <c r="H20" i="93" s="1"/>
  <c r="D4" i="93"/>
  <c r="R75" i="92"/>
  <c r="R76" i="92" s="1"/>
  <c r="R70" i="92"/>
  <c r="R71" i="92" s="1"/>
  <c r="N68" i="92"/>
  <c r="N65" i="92" s="1"/>
  <c r="L68" i="92"/>
  <c r="J68" i="92"/>
  <c r="H68" i="92"/>
  <c r="F68" i="92"/>
  <c r="F65" i="92" s="1"/>
  <c r="D68" i="92"/>
  <c r="D65" i="92" s="1"/>
  <c r="B68" i="92"/>
  <c r="N67" i="92"/>
  <c r="L67" i="92"/>
  <c r="J67" i="92"/>
  <c r="J65" i="92" s="1"/>
  <c r="H67" i="92"/>
  <c r="F67" i="92"/>
  <c r="D67" i="92"/>
  <c r="B67" i="92"/>
  <c r="N66" i="92"/>
  <c r="L66" i="92"/>
  <c r="J66" i="92"/>
  <c r="H66" i="92"/>
  <c r="H65" i="92" s="1"/>
  <c r="F66" i="92"/>
  <c r="D66" i="92"/>
  <c r="B66" i="92"/>
  <c r="R65" i="92"/>
  <c r="P65" i="92"/>
  <c r="B63" i="92"/>
  <c r="R62" i="92"/>
  <c r="P62" i="92"/>
  <c r="N62" i="92"/>
  <c r="L62" i="92"/>
  <c r="J62" i="92"/>
  <c r="H62" i="92"/>
  <c r="F62" i="92"/>
  <c r="D62" i="92"/>
  <c r="B62" i="92"/>
  <c r="B61" i="92"/>
  <c r="R60" i="92"/>
  <c r="P60" i="92"/>
  <c r="N60" i="92"/>
  <c r="L60" i="92"/>
  <c r="J60" i="92"/>
  <c r="H60" i="92"/>
  <c r="F60" i="92"/>
  <c r="D60" i="92"/>
  <c r="B60" i="92"/>
  <c r="B59" i="92"/>
  <c r="R58" i="92"/>
  <c r="P58" i="92"/>
  <c r="N58" i="92"/>
  <c r="L58" i="92"/>
  <c r="J58" i="92"/>
  <c r="H58" i="92"/>
  <c r="F58" i="92"/>
  <c r="D58" i="92"/>
  <c r="B58" i="92"/>
  <c r="B57" i="92"/>
  <c r="R56" i="92"/>
  <c r="P56" i="92"/>
  <c r="N56" i="92"/>
  <c r="L56" i="92"/>
  <c r="J56" i="92"/>
  <c r="H56" i="92"/>
  <c r="F56" i="92"/>
  <c r="D56" i="92"/>
  <c r="B56" i="92"/>
  <c r="B55" i="92"/>
  <c r="R54" i="92"/>
  <c r="P54" i="92"/>
  <c r="N54" i="92"/>
  <c r="L54" i="92"/>
  <c r="J54" i="92"/>
  <c r="H54" i="92"/>
  <c r="F54" i="92"/>
  <c r="D54" i="92"/>
  <c r="B54" i="92"/>
  <c r="B53" i="92"/>
  <c r="B52" i="92"/>
  <c r="B51" i="92"/>
  <c r="R50" i="92"/>
  <c r="P50" i="92"/>
  <c r="N50" i="92"/>
  <c r="L50" i="92"/>
  <c r="J50" i="92"/>
  <c r="H50" i="92"/>
  <c r="F50" i="92"/>
  <c r="D50" i="92"/>
  <c r="B50" i="92"/>
  <c r="B49" i="92"/>
  <c r="R48" i="92"/>
  <c r="P48" i="92"/>
  <c r="N48" i="92"/>
  <c r="L48" i="92"/>
  <c r="J48" i="92"/>
  <c r="H48" i="92"/>
  <c r="F48" i="92"/>
  <c r="D48" i="92"/>
  <c r="B48" i="92"/>
  <c r="B47" i="92"/>
  <c r="R46" i="92"/>
  <c r="P46" i="92"/>
  <c r="N46" i="92"/>
  <c r="L46" i="92"/>
  <c r="J46" i="92"/>
  <c r="H46" i="92"/>
  <c r="F46" i="92"/>
  <c r="D46" i="92"/>
  <c r="B46" i="92"/>
  <c r="B45" i="92"/>
  <c r="R44" i="92"/>
  <c r="P44" i="92"/>
  <c r="N44" i="92"/>
  <c r="L44" i="92"/>
  <c r="J44" i="92"/>
  <c r="H44" i="92"/>
  <c r="F44" i="92"/>
  <c r="D44" i="92"/>
  <c r="B44" i="92"/>
  <c r="B43" i="92"/>
  <c r="R42" i="92"/>
  <c r="P42" i="92"/>
  <c r="N42" i="92"/>
  <c r="L42" i="92"/>
  <c r="J42" i="92"/>
  <c r="H42" i="92"/>
  <c r="F42" i="92"/>
  <c r="D42" i="92"/>
  <c r="B42" i="92"/>
  <c r="B41" i="92"/>
  <c r="R40" i="92"/>
  <c r="P40" i="92"/>
  <c r="N40" i="92"/>
  <c r="L40" i="92"/>
  <c r="J40" i="92"/>
  <c r="H40" i="92"/>
  <c r="F40" i="92"/>
  <c r="D40" i="92"/>
  <c r="B40" i="92"/>
  <c r="B39" i="92"/>
  <c r="B38" i="92"/>
  <c r="B37" i="92"/>
  <c r="B36" i="92"/>
  <c r="B35" i="92"/>
  <c r="B34" i="92"/>
  <c r="B33" i="92"/>
  <c r="B32" i="92"/>
  <c r="B31" i="92"/>
  <c r="B30" i="92"/>
  <c r="R29" i="92"/>
  <c r="P29" i="92"/>
  <c r="N29" i="92"/>
  <c r="L29" i="92"/>
  <c r="J29" i="92"/>
  <c r="H29" i="92"/>
  <c r="F29" i="92"/>
  <c r="D29" i="92"/>
  <c r="B29" i="92"/>
  <c r="B28" i="92"/>
  <c r="B27" i="92"/>
  <c r="B26" i="92"/>
  <c r="B25" i="92"/>
  <c r="B24" i="92"/>
  <c r="B23" i="92"/>
  <c r="B22" i="92"/>
  <c r="B21" i="92"/>
  <c r="B20" i="92"/>
  <c r="R19" i="92"/>
  <c r="P19" i="92"/>
  <c r="N19" i="92"/>
  <c r="L19" i="92"/>
  <c r="J19" i="92"/>
  <c r="H19" i="92"/>
  <c r="F19" i="92"/>
  <c r="D19" i="92"/>
  <c r="B19" i="92"/>
  <c r="R18" i="92"/>
  <c r="P18" i="92"/>
  <c r="N18" i="92"/>
  <c r="L18" i="92"/>
  <c r="J18" i="92"/>
  <c r="H18" i="92"/>
  <c r="F18" i="92"/>
  <c r="D18" i="92"/>
  <c r="L16" i="92"/>
  <c r="N15" i="92"/>
  <c r="L15" i="92"/>
  <c r="F15" i="92"/>
  <c r="D15" i="92"/>
  <c r="B13" i="92"/>
  <c r="R12" i="92"/>
  <c r="P12" i="92"/>
  <c r="N12" i="92"/>
  <c r="L12" i="92"/>
  <c r="J12" i="92"/>
  <c r="H12" i="92"/>
  <c r="F12" i="92"/>
  <c r="D12" i="92"/>
  <c r="R10" i="92"/>
  <c r="R15" i="92" s="1"/>
  <c r="R16" i="92" s="1"/>
  <c r="P10" i="92"/>
  <c r="P15" i="92" s="1"/>
  <c r="N10" i="92"/>
  <c r="L10" i="92"/>
  <c r="J10" i="92"/>
  <c r="J15" i="92" s="1"/>
  <c r="H10" i="92"/>
  <c r="H15" i="92" s="1"/>
  <c r="F10" i="92"/>
  <c r="D10" i="92"/>
  <c r="D4" i="92"/>
  <c r="R52" i="91"/>
  <c r="P52" i="91"/>
  <c r="N52" i="91"/>
  <c r="L52" i="91"/>
  <c r="J52" i="91"/>
  <c r="H52" i="91"/>
  <c r="F52" i="91"/>
  <c r="D52" i="91"/>
  <c r="B50" i="91"/>
  <c r="R49" i="91"/>
  <c r="P49" i="91"/>
  <c r="N49" i="91"/>
  <c r="L49" i="91"/>
  <c r="J49" i="91"/>
  <c r="H49" i="91"/>
  <c r="F49" i="91"/>
  <c r="D49" i="91"/>
  <c r="B49" i="91"/>
  <c r="B48" i="91"/>
  <c r="B47" i="91"/>
  <c r="R46" i="91"/>
  <c r="P46" i="91"/>
  <c r="N46" i="91"/>
  <c r="L46" i="91"/>
  <c r="J46" i="91"/>
  <c r="H46" i="91"/>
  <c r="F46" i="91"/>
  <c r="D46" i="91"/>
  <c r="B46" i="91"/>
  <c r="B45" i="91"/>
  <c r="R44" i="91"/>
  <c r="P44" i="91"/>
  <c r="N44" i="91"/>
  <c r="L44" i="91"/>
  <c r="J44" i="91"/>
  <c r="H44" i="91"/>
  <c r="F44" i="91"/>
  <c r="D44" i="91"/>
  <c r="B44" i="91"/>
  <c r="B43" i="91"/>
  <c r="R42" i="91"/>
  <c r="P42" i="91"/>
  <c r="N42" i="91"/>
  <c r="L42" i="91"/>
  <c r="J42" i="91"/>
  <c r="H42" i="91"/>
  <c r="F42" i="91"/>
  <c r="D42" i="91"/>
  <c r="B42" i="91"/>
  <c r="B41" i="91"/>
  <c r="R40" i="91"/>
  <c r="P40" i="91"/>
  <c r="N40" i="91"/>
  <c r="L40" i="91"/>
  <c r="J40" i="91"/>
  <c r="H40" i="91"/>
  <c r="F40" i="91"/>
  <c r="D40" i="91"/>
  <c r="B40" i="91"/>
  <c r="B39" i="91"/>
  <c r="R38" i="91"/>
  <c r="P38" i="91"/>
  <c r="N38" i="91"/>
  <c r="L38" i="91"/>
  <c r="J38" i="91"/>
  <c r="H38" i="91"/>
  <c r="F38" i="91"/>
  <c r="D38" i="91"/>
  <c r="B38" i="91"/>
  <c r="B37" i="91"/>
  <c r="R36" i="91"/>
  <c r="P36" i="91"/>
  <c r="N36" i="91"/>
  <c r="L36" i="91"/>
  <c r="J36" i="91"/>
  <c r="H36" i="91"/>
  <c r="F36" i="91"/>
  <c r="D36" i="91"/>
  <c r="B36" i="91"/>
  <c r="B35" i="91"/>
  <c r="B34" i="91"/>
  <c r="B33" i="91"/>
  <c r="B32" i="91"/>
  <c r="R31" i="91"/>
  <c r="P31" i="91"/>
  <c r="N31" i="91"/>
  <c r="L31" i="91"/>
  <c r="J31" i="91"/>
  <c r="H31" i="91"/>
  <c r="F31" i="91"/>
  <c r="D31" i="91"/>
  <c r="B31" i="91"/>
  <c r="B30" i="91"/>
  <c r="B29" i="91"/>
  <c r="B28" i="91"/>
  <c r="B27" i="91"/>
  <c r="B26" i="91"/>
  <c r="B25" i="91"/>
  <c r="B24" i="91"/>
  <c r="B23" i="91"/>
  <c r="R22" i="91"/>
  <c r="P22" i="91"/>
  <c r="N22" i="91"/>
  <c r="L22" i="91"/>
  <c r="J22" i="91"/>
  <c r="H22" i="91"/>
  <c r="F22" i="91"/>
  <c r="D22" i="91"/>
  <c r="B22" i="91"/>
  <c r="R21" i="91"/>
  <c r="P21" i="91"/>
  <c r="N21" i="91"/>
  <c r="L21" i="91"/>
  <c r="J21" i="91"/>
  <c r="H21" i="91"/>
  <c r="F21" i="91"/>
  <c r="D21" i="91"/>
  <c r="R18" i="91"/>
  <c r="R54" i="91" s="1"/>
  <c r="B16" i="91"/>
  <c r="B15" i="91"/>
  <c r="R14" i="91"/>
  <c r="P14" i="91"/>
  <c r="N14" i="91"/>
  <c r="L14" i="91"/>
  <c r="J14" i="91"/>
  <c r="H14" i="91"/>
  <c r="F14" i="91"/>
  <c r="D14" i="91"/>
  <c r="N12" i="91"/>
  <c r="L12" i="91"/>
  <c r="J12" i="91"/>
  <c r="J10" i="91" s="1"/>
  <c r="J18" i="91" s="1"/>
  <c r="H12" i="91"/>
  <c r="F12" i="91"/>
  <c r="D12" i="91"/>
  <c r="B12" i="91"/>
  <c r="N11" i="91"/>
  <c r="N10" i="91" s="1"/>
  <c r="L11" i="91"/>
  <c r="J11" i="91"/>
  <c r="H11" i="91"/>
  <c r="F11" i="91"/>
  <c r="F10" i="91" s="1"/>
  <c r="D11" i="91"/>
  <c r="B11" i="91"/>
  <c r="R10" i="91"/>
  <c r="P10" i="91"/>
  <c r="P18" i="91" s="1"/>
  <c r="L10" i="91"/>
  <c r="H10" i="91"/>
  <c r="H18" i="91" s="1"/>
  <c r="D10" i="91"/>
  <c r="D18" i="91" s="1"/>
  <c r="D4" i="91"/>
  <c r="R107" i="90"/>
  <c r="R112" i="90" s="1"/>
  <c r="N105" i="90"/>
  <c r="N104" i="90" s="1"/>
  <c r="L105" i="90"/>
  <c r="J105" i="90"/>
  <c r="H105" i="90"/>
  <c r="F105" i="90"/>
  <c r="F104" i="90" s="1"/>
  <c r="D105" i="90"/>
  <c r="B105" i="90"/>
  <c r="R104" i="90"/>
  <c r="P104" i="90"/>
  <c r="L104" i="90"/>
  <c r="J104" i="90"/>
  <c r="H104" i="90"/>
  <c r="D104" i="90"/>
  <c r="B102" i="90"/>
  <c r="R101" i="90"/>
  <c r="P101" i="90"/>
  <c r="N101" i="90"/>
  <c r="L101" i="90"/>
  <c r="J101" i="90"/>
  <c r="H101" i="90"/>
  <c r="F101" i="90"/>
  <c r="D101" i="90"/>
  <c r="B101" i="90"/>
  <c r="B100" i="90"/>
  <c r="B99" i="90"/>
  <c r="R98" i="90"/>
  <c r="P98" i="90"/>
  <c r="N98" i="90"/>
  <c r="L98" i="90"/>
  <c r="J98" i="90"/>
  <c r="H98" i="90"/>
  <c r="F98" i="90"/>
  <c r="D98" i="90"/>
  <c r="B98" i="90"/>
  <c r="B97" i="90"/>
  <c r="R96" i="90"/>
  <c r="P96" i="90"/>
  <c r="N96" i="90"/>
  <c r="L96" i="90"/>
  <c r="J96" i="90"/>
  <c r="H96" i="90"/>
  <c r="F96" i="90"/>
  <c r="D96" i="90"/>
  <c r="B96" i="90"/>
  <c r="B95" i="90"/>
  <c r="B94" i="90"/>
  <c r="R93" i="90"/>
  <c r="P93" i="90"/>
  <c r="N93" i="90"/>
  <c r="L93" i="90"/>
  <c r="J93" i="90"/>
  <c r="H93" i="90"/>
  <c r="F93" i="90"/>
  <c r="D93" i="90"/>
  <c r="B93" i="90"/>
  <c r="B92" i="90"/>
  <c r="B91" i="90"/>
  <c r="B90" i="90"/>
  <c r="B89" i="90"/>
  <c r="B88" i="90"/>
  <c r="B87" i="90"/>
  <c r="B86" i="90"/>
  <c r="B85" i="90"/>
  <c r="B84" i="90"/>
  <c r="B83" i="90"/>
  <c r="B82" i="90"/>
  <c r="R81" i="90"/>
  <c r="P81" i="90"/>
  <c r="N81" i="90"/>
  <c r="L81" i="90"/>
  <c r="J81" i="90"/>
  <c r="H81" i="90"/>
  <c r="F81" i="90"/>
  <c r="D81" i="90"/>
  <c r="B81" i="90"/>
  <c r="B80" i="90"/>
  <c r="B79" i="90"/>
  <c r="R78" i="90"/>
  <c r="P78" i="90"/>
  <c r="N78" i="90"/>
  <c r="L78" i="90"/>
  <c r="J78" i="90"/>
  <c r="H78" i="90"/>
  <c r="F78" i="90"/>
  <c r="D78" i="90"/>
  <c r="B78" i="90"/>
  <c r="B77" i="90"/>
  <c r="B76" i="90"/>
  <c r="B75" i="90"/>
  <c r="B74" i="90"/>
  <c r="R73" i="90"/>
  <c r="P73" i="90"/>
  <c r="N73" i="90"/>
  <c r="L73" i="90"/>
  <c r="J73" i="90"/>
  <c r="H73" i="90"/>
  <c r="F73" i="90"/>
  <c r="D73" i="90"/>
  <c r="B73" i="90"/>
  <c r="B72" i="90"/>
  <c r="B71" i="90"/>
  <c r="B70" i="90"/>
  <c r="B69" i="90"/>
  <c r="R68" i="90"/>
  <c r="P68" i="90"/>
  <c r="N68" i="90"/>
  <c r="L68" i="90"/>
  <c r="J68" i="90"/>
  <c r="H68" i="90"/>
  <c r="F68" i="90"/>
  <c r="D68" i="90"/>
  <c r="B68" i="90"/>
  <c r="B67" i="90"/>
  <c r="B66" i="90"/>
  <c r="R65" i="90"/>
  <c r="P65" i="90"/>
  <c r="N65" i="90"/>
  <c r="L65" i="90"/>
  <c r="J65" i="90"/>
  <c r="H65" i="90"/>
  <c r="F65" i="90"/>
  <c r="D65" i="90"/>
  <c r="B65" i="90"/>
  <c r="B64" i="90"/>
  <c r="R63" i="90"/>
  <c r="P63" i="90"/>
  <c r="N63" i="90"/>
  <c r="L63" i="90"/>
  <c r="J63" i="90"/>
  <c r="H63" i="90"/>
  <c r="F63" i="90"/>
  <c r="D63" i="90"/>
  <c r="B63" i="90"/>
  <c r="B62" i="90"/>
  <c r="R61" i="90"/>
  <c r="P61" i="90"/>
  <c r="N61" i="90"/>
  <c r="L61" i="90"/>
  <c r="J61" i="90"/>
  <c r="H61" i="90"/>
  <c r="F61" i="90"/>
  <c r="D61" i="90"/>
  <c r="B61" i="90"/>
  <c r="B60" i="90"/>
  <c r="R59" i="90"/>
  <c r="P59" i="90"/>
  <c r="N59" i="90"/>
  <c r="L59" i="90"/>
  <c r="J59" i="90"/>
  <c r="H59" i="90"/>
  <c r="F59" i="90"/>
  <c r="D59" i="90"/>
  <c r="B59" i="90"/>
  <c r="B58" i="90"/>
  <c r="R57" i="90"/>
  <c r="P57" i="90"/>
  <c r="N57" i="90"/>
  <c r="L57" i="90"/>
  <c r="J57" i="90"/>
  <c r="H57" i="90"/>
  <c r="F57" i="90"/>
  <c r="D57" i="90"/>
  <c r="B57" i="90"/>
  <c r="B56" i="90"/>
  <c r="R55" i="90"/>
  <c r="P55" i="90"/>
  <c r="N55" i="90"/>
  <c r="L55" i="90"/>
  <c r="J55" i="90"/>
  <c r="H55" i="90"/>
  <c r="F55" i="90"/>
  <c r="D55" i="90"/>
  <c r="B55" i="90"/>
  <c r="B54" i="90"/>
  <c r="B53" i="90"/>
  <c r="R52" i="90"/>
  <c r="P52" i="90"/>
  <c r="N52" i="90"/>
  <c r="L52" i="90"/>
  <c r="J52" i="90"/>
  <c r="H52" i="90"/>
  <c r="F52" i="90"/>
  <c r="D52" i="90"/>
  <c r="B52" i="90"/>
  <c r="B51" i="90"/>
  <c r="R50" i="90"/>
  <c r="P50" i="90"/>
  <c r="N50" i="90"/>
  <c r="L50" i="90"/>
  <c r="J50" i="90"/>
  <c r="H50" i="90"/>
  <c r="F50" i="90"/>
  <c r="D50" i="90"/>
  <c r="B50" i="90"/>
  <c r="B49" i="90"/>
  <c r="R48" i="90"/>
  <c r="P48" i="90"/>
  <c r="N48" i="90"/>
  <c r="L48" i="90"/>
  <c r="J48" i="90"/>
  <c r="H48" i="90"/>
  <c r="F48" i="90"/>
  <c r="D48" i="90"/>
  <c r="B48" i="90"/>
  <c r="B47" i="90"/>
  <c r="R46" i="90"/>
  <c r="P46" i="90"/>
  <c r="N46" i="90"/>
  <c r="L46" i="90"/>
  <c r="J46" i="90"/>
  <c r="H46" i="90"/>
  <c r="F46" i="90"/>
  <c r="D46" i="90"/>
  <c r="B46" i="90"/>
  <c r="B45" i="90"/>
  <c r="B44" i="90"/>
  <c r="B43" i="90"/>
  <c r="B42" i="90"/>
  <c r="B41" i="90"/>
  <c r="B40" i="90"/>
  <c r="B39" i="90"/>
  <c r="B38" i="90"/>
  <c r="B37" i="90"/>
  <c r="B36" i="90"/>
  <c r="R35" i="90"/>
  <c r="P35" i="90"/>
  <c r="N35" i="90"/>
  <c r="L35" i="90"/>
  <c r="J35" i="90"/>
  <c r="H35" i="90"/>
  <c r="F35" i="90"/>
  <c r="D35" i="90"/>
  <c r="B35" i="90"/>
  <c r="B34" i="90"/>
  <c r="B33" i="90"/>
  <c r="B32" i="90"/>
  <c r="B31" i="90"/>
  <c r="B30" i="90"/>
  <c r="B29" i="90"/>
  <c r="B28" i="90"/>
  <c r="B27" i="90"/>
  <c r="B26" i="90"/>
  <c r="R25" i="90"/>
  <c r="P25" i="90"/>
  <c r="N25" i="90"/>
  <c r="L25" i="90"/>
  <c r="J25" i="90"/>
  <c r="H25" i="90"/>
  <c r="F25" i="90"/>
  <c r="D25" i="90"/>
  <c r="B25" i="90"/>
  <c r="R24" i="90"/>
  <c r="P24" i="90"/>
  <c r="N24" i="90"/>
  <c r="L24" i="90"/>
  <c r="J24" i="90"/>
  <c r="H24" i="90"/>
  <c r="F24" i="90"/>
  <c r="D24" i="90"/>
  <c r="P21" i="90"/>
  <c r="N21" i="90"/>
  <c r="B19" i="90"/>
  <c r="B18" i="90"/>
  <c r="B17" i="90"/>
  <c r="R16" i="90"/>
  <c r="P16" i="90"/>
  <c r="N16" i="90"/>
  <c r="L16" i="90"/>
  <c r="J16" i="90"/>
  <c r="H16" i="90"/>
  <c r="F16" i="90"/>
  <c r="D16" i="90"/>
  <c r="N14" i="90"/>
  <c r="L14" i="90"/>
  <c r="J14" i="90"/>
  <c r="H14" i="90"/>
  <c r="F14" i="90"/>
  <c r="D14" i="90"/>
  <c r="B14" i="90"/>
  <c r="N13" i="90"/>
  <c r="N10" i="90" s="1"/>
  <c r="L13" i="90"/>
  <c r="J13" i="90"/>
  <c r="H13" i="90"/>
  <c r="F13" i="90"/>
  <c r="F10" i="90" s="1"/>
  <c r="F21" i="90" s="1"/>
  <c r="F107" i="90" s="1"/>
  <c r="D13" i="90"/>
  <c r="B13" i="90"/>
  <c r="N12" i="90"/>
  <c r="L12" i="90"/>
  <c r="J12" i="90"/>
  <c r="H12" i="90"/>
  <c r="F12" i="90"/>
  <c r="D12" i="90"/>
  <c r="D10" i="90" s="1"/>
  <c r="D21" i="90" s="1"/>
  <c r="B12" i="90"/>
  <c r="N11" i="90"/>
  <c r="L11" i="90"/>
  <c r="J11" i="90"/>
  <c r="H11" i="90"/>
  <c r="F11" i="90"/>
  <c r="D11" i="90"/>
  <c r="B11" i="90"/>
  <c r="R10" i="90"/>
  <c r="R21" i="90" s="1"/>
  <c r="R22" i="90" s="1"/>
  <c r="P10" i="90"/>
  <c r="L10" i="90"/>
  <c r="L21" i="90" s="1"/>
  <c r="J10" i="90"/>
  <c r="J21" i="90" s="1"/>
  <c r="J22" i="90" s="1"/>
  <c r="D4" i="90"/>
  <c r="N104" i="89"/>
  <c r="L104" i="89"/>
  <c r="J104" i="89"/>
  <c r="H104" i="89"/>
  <c r="H103" i="89" s="1"/>
  <c r="F104" i="89"/>
  <c r="D104" i="89"/>
  <c r="B104" i="89"/>
  <c r="R103" i="89"/>
  <c r="P103" i="89"/>
  <c r="N103" i="89"/>
  <c r="L103" i="89"/>
  <c r="J103" i="89"/>
  <c r="F103" i="89"/>
  <c r="D103" i="89"/>
  <c r="B101" i="89"/>
  <c r="R100" i="89"/>
  <c r="P100" i="89"/>
  <c r="N100" i="89"/>
  <c r="L100" i="89"/>
  <c r="J100" i="89"/>
  <c r="H100" i="89"/>
  <c r="F100" i="89"/>
  <c r="D100" i="89"/>
  <c r="B100" i="89"/>
  <c r="B99" i="89"/>
  <c r="B98" i="89"/>
  <c r="R97" i="89"/>
  <c r="P97" i="89"/>
  <c r="N97" i="89"/>
  <c r="L97" i="89"/>
  <c r="J97" i="89"/>
  <c r="H97" i="89"/>
  <c r="F97" i="89"/>
  <c r="D97" i="89"/>
  <c r="B97" i="89"/>
  <c r="B96" i="89"/>
  <c r="R95" i="89"/>
  <c r="P95" i="89"/>
  <c r="N95" i="89"/>
  <c r="L95" i="89"/>
  <c r="J95" i="89"/>
  <c r="H95" i="89"/>
  <c r="F95" i="89"/>
  <c r="D95" i="89"/>
  <c r="B95" i="89"/>
  <c r="B94" i="89"/>
  <c r="B93" i="89"/>
  <c r="R92" i="89"/>
  <c r="P92" i="89"/>
  <c r="N92" i="89"/>
  <c r="L92" i="89"/>
  <c r="J92" i="89"/>
  <c r="H92" i="89"/>
  <c r="F92" i="89"/>
  <c r="D92" i="89"/>
  <c r="B92" i="89"/>
  <c r="B91" i="89"/>
  <c r="B90" i="89"/>
  <c r="B89" i="89"/>
  <c r="B88" i="89"/>
  <c r="B87" i="89"/>
  <c r="B86" i="89"/>
  <c r="B85" i="89"/>
  <c r="B84" i="89"/>
  <c r="B83" i="89"/>
  <c r="R82" i="89"/>
  <c r="P82" i="89"/>
  <c r="N82" i="89"/>
  <c r="L82" i="89"/>
  <c r="J82" i="89"/>
  <c r="H82" i="89"/>
  <c r="F82" i="89"/>
  <c r="D82" i="89"/>
  <c r="B82" i="89"/>
  <c r="B81" i="89"/>
  <c r="B80" i="89"/>
  <c r="R79" i="89"/>
  <c r="P79" i="89"/>
  <c r="N79" i="89"/>
  <c r="L79" i="89"/>
  <c r="J79" i="89"/>
  <c r="H79" i="89"/>
  <c r="F79" i="89"/>
  <c r="D79" i="89"/>
  <c r="B79" i="89"/>
  <c r="B78" i="89"/>
  <c r="B77" i="89"/>
  <c r="B76" i="89"/>
  <c r="B75" i="89"/>
  <c r="B74" i="89"/>
  <c r="R73" i="89"/>
  <c r="P73" i="89"/>
  <c r="N73" i="89"/>
  <c r="L73" i="89"/>
  <c r="J73" i="89"/>
  <c r="H73" i="89"/>
  <c r="F73" i="89"/>
  <c r="D73" i="89"/>
  <c r="B73" i="89"/>
  <c r="B72" i="89"/>
  <c r="R71" i="89"/>
  <c r="P71" i="89"/>
  <c r="N71" i="89"/>
  <c r="L71" i="89"/>
  <c r="J71" i="89"/>
  <c r="H71" i="89"/>
  <c r="F71" i="89"/>
  <c r="D71" i="89"/>
  <c r="B71" i="89"/>
  <c r="B70" i="89"/>
  <c r="B69" i="89"/>
  <c r="B68" i="89"/>
  <c r="B67" i="89"/>
  <c r="R66" i="89"/>
  <c r="P66" i="89"/>
  <c r="N66" i="89"/>
  <c r="L66" i="89"/>
  <c r="J66" i="89"/>
  <c r="H66" i="89"/>
  <c r="F66" i="89"/>
  <c r="D66" i="89"/>
  <c r="B66" i="89"/>
  <c r="B65" i="89"/>
  <c r="R64" i="89"/>
  <c r="P64" i="89"/>
  <c r="N64" i="89"/>
  <c r="L64" i="89"/>
  <c r="J64" i="89"/>
  <c r="H64" i="89"/>
  <c r="F64" i="89"/>
  <c r="D64" i="89"/>
  <c r="B64" i="89"/>
  <c r="B63" i="89"/>
  <c r="R62" i="89"/>
  <c r="P62" i="89"/>
  <c r="N62" i="89"/>
  <c r="L62" i="89"/>
  <c r="J62" i="89"/>
  <c r="H62" i="89"/>
  <c r="F62" i="89"/>
  <c r="D62" i="89"/>
  <c r="B62" i="89"/>
  <c r="B61" i="89"/>
  <c r="R60" i="89"/>
  <c r="P60" i="89"/>
  <c r="N60" i="89"/>
  <c r="L60" i="89"/>
  <c r="J60" i="89"/>
  <c r="H60" i="89"/>
  <c r="F60" i="89"/>
  <c r="D60" i="89"/>
  <c r="B60" i="89"/>
  <c r="B59" i="89"/>
  <c r="R58" i="89"/>
  <c r="P58" i="89"/>
  <c r="N58" i="89"/>
  <c r="L58" i="89"/>
  <c r="J58" i="89"/>
  <c r="H58" i="89"/>
  <c r="F58" i="89"/>
  <c r="D58" i="89"/>
  <c r="B58" i="89"/>
  <c r="B57" i="89"/>
  <c r="R56" i="89"/>
  <c r="P56" i="89"/>
  <c r="N56" i="89"/>
  <c r="L56" i="89"/>
  <c r="J56" i="89"/>
  <c r="H56" i="89"/>
  <c r="F56" i="89"/>
  <c r="D56" i="89"/>
  <c r="B56" i="89"/>
  <c r="B55" i="89"/>
  <c r="B54" i="89"/>
  <c r="R53" i="89"/>
  <c r="P53" i="89"/>
  <c r="N53" i="89"/>
  <c r="L53" i="89"/>
  <c r="J53" i="89"/>
  <c r="H53" i="89"/>
  <c r="F53" i="89"/>
  <c r="D53" i="89"/>
  <c r="B53" i="89"/>
  <c r="B52" i="89"/>
  <c r="R51" i="89"/>
  <c r="P51" i="89"/>
  <c r="N51" i="89"/>
  <c r="L51" i="89"/>
  <c r="J51" i="89"/>
  <c r="H51" i="89"/>
  <c r="F51" i="89"/>
  <c r="D51" i="89"/>
  <c r="B51" i="89"/>
  <c r="B50" i="89"/>
  <c r="R49" i="89"/>
  <c r="P49" i="89"/>
  <c r="N49" i="89"/>
  <c r="L49" i="89"/>
  <c r="J49" i="89"/>
  <c r="H49" i="89"/>
  <c r="F49" i="89"/>
  <c r="D49" i="89"/>
  <c r="B49" i="89"/>
  <c r="B48" i="89"/>
  <c r="R47" i="89"/>
  <c r="P47" i="89"/>
  <c r="N47" i="89"/>
  <c r="L47" i="89"/>
  <c r="J47" i="89"/>
  <c r="H47" i="89"/>
  <c r="F47" i="89"/>
  <c r="D47" i="89"/>
  <c r="B47" i="89"/>
  <c r="B46" i="89"/>
  <c r="B45" i="89"/>
  <c r="B44" i="89"/>
  <c r="B43" i="89"/>
  <c r="B42" i="89"/>
  <c r="B41" i="89"/>
  <c r="B40" i="89"/>
  <c r="B39" i="89"/>
  <c r="B38" i="89"/>
  <c r="B37" i="89"/>
  <c r="R36" i="89"/>
  <c r="P36" i="89"/>
  <c r="N36" i="89"/>
  <c r="L36" i="89"/>
  <c r="J36" i="89"/>
  <c r="H36" i="89"/>
  <c r="F36" i="89"/>
  <c r="D36" i="89"/>
  <c r="B36" i="89"/>
  <c r="B35" i="89"/>
  <c r="B34" i="89"/>
  <c r="B33" i="89"/>
  <c r="B32" i="89"/>
  <c r="B31" i="89"/>
  <c r="B30" i="89"/>
  <c r="B29" i="89"/>
  <c r="B28" i="89"/>
  <c r="B27" i="89"/>
  <c r="B26" i="89"/>
  <c r="R25" i="89"/>
  <c r="P25" i="89"/>
  <c r="N25" i="89"/>
  <c r="L25" i="89"/>
  <c r="J25" i="89"/>
  <c r="H25" i="89"/>
  <c r="F25" i="89"/>
  <c r="D25" i="89"/>
  <c r="B25" i="89"/>
  <c r="R24" i="89"/>
  <c r="P24" i="89"/>
  <c r="N24" i="89"/>
  <c r="L24" i="89"/>
  <c r="J24" i="89"/>
  <c r="H24" i="89"/>
  <c r="F24" i="89"/>
  <c r="D24" i="89"/>
  <c r="L22" i="89"/>
  <c r="P21" i="89"/>
  <c r="P106" i="89" s="1"/>
  <c r="B19" i="89"/>
  <c r="B18" i="89"/>
  <c r="B17" i="89"/>
  <c r="R16" i="89"/>
  <c r="P16" i="89"/>
  <c r="N16" i="89"/>
  <c r="L16" i="89"/>
  <c r="J16" i="89"/>
  <c r="H16" i="89"/>
  <c r="F16" i="89"/>
  <c r="D16" i="89"/>
  <c r="N14" i="89"/>
  <c r="L14" i="89"/>
  <c r="J14" i="89"/>
  <c r="H14" i="89"/>
  <c r="F14" i="89"/>
  <c r="D14" i="89"/>
  <c r="B14" i="89"/>
  <c r="N13" i="89"/>
  <c r="L13" i="89"/>
  <c r="L10" i="89" s="1"/>
  <c r="L21" i="89" s="1"/>
  <c r="L106" i="89" s="1"/>
  <c r="J13" i="89"/>
  <c r="H13" i="89"/>
  <c r="F13" i="89"/>
  <c r="D13" i="89"/>
  <c r="B13" i="89"/>
  <c r="N12" i="89"/>
  <c r="L12" i="89"/>
  <c r="J12" i="89"/>
  <c r="J10" i="89" s="1"/>
  <c r="J21" i="89" s="1"/>
  <c r="H12" i="89"/>
  <c r="F12" i="89"/>
  <c r="D12" i="89"/>
  <c r="B12" i="89"/>
  <c r="N11" i="89"/>
  <c r="L11" i="89"/>
  <c r="J11" i="89"/>
  <c r="H11" i="89"/>
  <c r="H10" i="89" s="1"/>
  <c r="H21" i="89" s="1"/>
  <c r="F11" i="89"/>
  <c r="D11" i="89"/>
  <c r="B11" i="89"/>
  <c r="R10" i="89"/>
  <c r="R21" i="89" s="1"/>
  <c r="P10" i="89"/>
  <c r="D10" i="89"/>
  <c r="D21" i="89" s="1"/>
  <c r="D4" i="89"/>
  <c r="R90" i="88"/>
  <c r="P90" i="88"/>
  <c r="N90" i="88"/>
  <c r="L90" i="88"/>
  <c r="J90" i="88"/>
  <c r="H90" i="88"/>
  <c r="F90" i="88"/>
  <c r="D90" i="88"/>
  <c r="B88" i="88"/>
  <c r="R87" i="88"/>
  <c r="P87" i="88"/>
  <c r="N87" i="88"/>
  <c r="L87" i="88"/>
  <c r="J87" i="88"/>
  <c r="H87" i="88"/>
  <c r="F87" i="88"/>
  <c r="D87" i="88"/>
  <c r="B87" i="88"/>
  <c r="B86" i="88"/>
  <c r="R85" i="88"/>
  <c r="P85" i="88"/>
  <c r="N85" i="88"/>
  <c r="L85" i="88"/>
  <c r="J85" i="88"/>
  <c r="H85" i="88"/>
  <c r="F85" i="88"/>
  <c r="D85" i="88"/>
  <c r="B85" i="88"/>
  <c r="B84" i="88"/>
  <c r="R83" i="88"/>
  <c r="P83" i="88"/>
  <c r="N83" i="88"/>
  <c r="L83" i="88"/>
  <c r="J83" i="88"/>
  <c r="H83" i="88"/>
  <c r="F83" i="88"/>
  <c r="D83" i="88"/>
  <c r="B83" i="88"/>
  <c r="B82" i="88"/>
  <c r="B81" i="88"/>
  <c r="B80" i="88"/>
  <c r="B79" i="88"/>
  <c r="B78" i="88"/>
  <c r="B77" i="88"/>
  <c r="B76" i="88"/>
  <c r="B75" i="88"/>
  <c r="B74" i="88"/>
  <c r="R73" i="88"/>
  <c r="P73" i="88"/>
  <c r="N73" i="88"/>
  <c r="L73" i="88"/>
  <c r="J73" i="88"/>
  <c r="H73" i="88"/>
  <c r="F73" i="88"/>
  <c r="D73" i="88"/>
  <c r="B73" i="88"/>
  <c r="B72" i="88"/>
  <c r="R71" i="88"/>
  <c r="P71" i="88"/>
  <c r="N71" i="88"/>
  <c r="L71" i="88"/>
  <c r="J71" i="88"/>
  <c r="H71" i="88"/>
  <c r="F71" i="88"/>
  <c r="D71" i="88"/>
  <c r="B71" i="88"/>
  <c r="B70" i="88"/>
  <c r="B69" i="88"/>
  <c r="B68" i="88"/>
  <c r="R67" i="88"/>
  <c r="P67" i="88"/>
  <c r="N67" i="88"/>
  <c r="L67" i="88"/>
  <c r="J67" i="88"/>
  <c r="H67" i="88"/>
  <c r="F67" i="88"/>
  <c r="D67" i="88"/>
  <c r="B67" i="88"/>
  <c r="B66" i="88"/>
  <c r="R65" i="88"/>
  <c r="P65" i="88"/>
  <c r="N65" i="88"/>
  <c r="L65" i="88"/>
  <c r="J65" i="88"/>
  <c r="H65" i="88"/>
  <c r="F65" i="88"/>
  <c r="D65" i="88"/>
  <c r="B65" i="88"/>
  <c r="B64" i="88"/>
  <c r="B63" i="88"/>
  <c r="R62" i="88"/>
  <c r="P62" i="88"/>
  <c r="N62" i="88"/>
  <c r="L62" i="88"/>
  <c r="J62" i="88"/>
  <c r="H62" i="88"/>
  <c r="F62" i="88"/>
  <c r="D62" i="88"/>
  <c r="B62" i="88"/>
  <c r="B61" i="88"/>
  <c r="R60" i="88"/>
  <c r="P60" i="88"/>
  <c r="N60" i="88"/>
  <c r="L60" i="88"/>
  <c r="J60" i="88"/>
  <c r="H60" i="88"/>
  <c r="F60" i="88"/>
  <c r="D60" i="88"/>
  <c r="B60" i="88"/>
  <c r="B59" i="88"/>
  <c r="R58" i="88"/>
  <c r="P58" i="88"/>
  <c r="N58" i="88"/>
  <c r="L58" i="88"/>
  <c r="J58" i="88"/>
  <c r="H58" i="88"/>
  <c r="F58" i="88"/>
  <c r="D58" i="88"/>
  <c r="B58" i="88"/>
  <c r="B57" i="88"/>
  <c r="R56" i="88"/>
  <c r="P56" i="88"/>
  <c r="N56" i="88"/>
  <c r="L56" i="88"/>
  <c r="J56" i="88"/>
  <c r="H56" i="88"/>
  <c r="F56" i="88"/>
  <c r="D56" i="88"/>
  <c r="B56" i="88"/>
  <c r="B55" i="88"/>
  <c r="R54" i="88"/>
  <c r="P54" i="88"/>
  <c r="N54" i="88"/>
  <c r="L54" i="88"/>
  <c r="J54" i="88"/>
  <c r="H54" i="88"/>
  <c r="F54" i="88"/>
  <c r="D54" i="88"/>
  <c r="B54" i="88"/>
  <c r="B53" i="88"/>
  <c r="R52" i="88"/>
  <c r="P52" i="88"/>
  <c r="N52" i="88"/>
  <c r="L52" i="88"/>
  <c r="J52" i="88"/>
  <c r="H52" i="88"/>
  <c r="F52" i="88"/>
  <c r="D52" i="88"/>
  <c r="B52" i="88"/>
  <c r="B51" i="88"/>
  <c r="R50" i="88"/>
  <c r="P50" i="88"/>
  <c r="N50" i="88"/>
  <c r="L50" i="88"/>
  <c r="J50" i="88"/>
  <c r="H50" i="88"/>
  <c r="F50" i="88"/>
  <c r="D50" i="88"/>
  <c r="B50" i="88"/>
  <c r="B49" i="88"/>
  <c r="R48" i="88"/>
  <c r="P48" i="88"/>
  <c r="N48" i="88"/>
  <c r="L48" i="88"/>
  <c r="J48" i="88"/>
  <c r="H48" i="88"/>
  <c r="F48" i="88"/>
  <c r="D48" i="88"/>
  <c r="B48" i="88"/>
  <c r="B47" i="88"/>
  <c r="R46" i="88"/>
  <c r="P46" i="88"/>
  <c r="N46" i="88"/>
  <c r="L46" i="88"/>
  <c r="J46" i="88"/>
  <c r="H46" i="88"/>
  <c r="F46" i="88"/>
  <c r="D46" i="88"/>
  <c r="B46" i="88"/>
  <c r="B45" i="88"/>
  <c r="B44" i="88"/>
  <c r="B43" i="88"/>
  <c r="B42" i="88"/>
  <c r="B41" i="88"/>
  <c r="B40" i="88"/>
  <c r="B39" i="88"/>
  <c r="B38" i="88"/>
  <c r="B37" i="88"/>
  <c r="B36" i="88"/>
  <c r="R35" i="88"/>
  <c r="P35" i="88"/>
  <c r="N35" i="88"/>
  <c r="L35" i="88"/>
  <c r="J35" i="88"/>
  <c r="H35" i="88"/>
  <c r="F35" i="88"/>
  <c r="D35" i="88"/>
  <c r="B35" i="88"/>
  <c r="B34" i="88"/>
  <c r="B33" i="88"/>
  <c r="B32" i="88"/>
  <c r="B31" i="88"/>
  <c r="B30" i="88"/>
  <c r="B29" i="88"/>
  <c r="B28" i="88"/>
  <c r="B27" i="88"/>
  <c r="B26" i="88"/>
  <c r="R25" i="88"/>
  <c r="P25" i="88"/>
  <c r="N25" i="88"/>
  <c r="L25" i="88"/>
  <c r="J25" i="88"/>
  <c r="H25" i="88"/>
  <c r="F25" i="88"/>
  <c r="D25" i="88"/>
  <c r="B25" i="88"/>
  <c r="R24" i="88"/>
  <c r="P24" i="88"/>
  <c r="N24" i="88"/>
  <c r="L24" i="88"/>
  <c r="J24" i="88"/>
  <c r="H24" i="88"/>
  <c r="F24" i="88"/>
  <c r="D24" i="88"/>
  <c r="D22" i="88"/>
  <c r="P21" i="88"/>
  <c r="P92" i="88" s="1"/>
  <c r="B19" i="88"/>
  <c r="B18" i="88"/>
  <c r="B17" i="88"/>
  <c r="R16" i="88"/>
  <c r="P16" i="88"/>
  <c r="N16" i="88"/>
  <c r="L16" i="88"/>
  <c r="J16" i="88"/>
  <c r="H16" i="88"/>
  <c r="F16" i="88"/>
  <c r="D16" i="88"/>
  <c r="N14" i="88"/>
  <c r="L14" i="88"/>
  <c r="J14" i="88"/>
  <c r="H14" i="88"/>
  <c r="F14" i="88"/>
  <c r="D14" i="88"/>
  <c r="B14" i="88"/>
  <c r="N13" i="88"/>
  <c r="N10" i="88" s="1"/>
  <c r="N21" i="88" s="1"/>
  <c r="L13" i="88"/>
  <c r="J13" i="88"/>
  <c r="H13" i="88"/>
  <c r="F13" i="88"/>
  <c r="F10" i="88" s="1"/>
  <c r="F21" i="88" s="1"/>
  <c r="D13" i="88"/>
  <c r="B13" i="88"/>
  <c r="N12" i="88"/>
  <c r="L12" i="88"/>
  <c r="L10" i="88" s="1"/>
  <c r="L21" i="88" s="1"/>
  <c r="J12" i="88"/>
  <c r="H12" i="88"/>
  <c r="F12" i="88"/>
  <c r="D12" i="88"/>
  <c r="D10" i="88" s="1"/>
  <c r="D21" i="88" s="1"/>
  <c r="D92" i="88" s="1"/>
  <c r="B12" i="88"/>
  <c r="N11" i="88"/>
  <c r="L11" i="88"/>
  <c r="J11" i="88"/>
  <c r="H11" i="88"/>
  <c r="F11" i="88"/>
  <c r="D11" i="88"/>
  <c r="B11" i="88"/>
  <c r="R10" i="88"/>
  <c r="R21" i="88" s="1"/>
  <c r="P10" i="88"/>
  <c r="J10" i="88"/>
  <c r="J21" i="88" s="1"/>
  <c r="D4" i="88"/>
  <c r="N89" i="87"/>
  <c r="L89" i="87"/>
  <c r="J89" i="87"/>
  <c r="J88" i="87" s="1"/>
  <c r="H89" i="87"/>
  <c r="H88" i="87" s="1"/>
  <c r="F89" i="87"/>
  <c r="D89" i="87"/>
  <c r="B89" i="87"/>
  <c r="R88" i="87"/>
  <c r="P88" i="87"/>
  <c r="N88" i="87"/>
  <c r="L88" i="87"/>
  <c r="F88" i="87"/>
  <c r="D88" i="87"/>
  <c r="B86" i="87"/>
  <c r="B85" i="87"/>
  <c r="R84" i="87"/>
  <c r="P84" i="87"/>
  <c r="N84" i="87"/>
  <c r="L84" i="87"/>
  <c r="J84" i="87"/>
  <c r="H84" i="87"/>
  <c r="F84" i="87"/>
  <c r="D84" i="87"/>
  <c r="B84" i="87"/>
  <c r="B83" i="87"/>
  <c r="R82" i="87"/>
  <c r="P82" i="87"/>
  <c r="N82" i="87"/>
  <c r="L82" i="87"/>
  <c r="J82" i="87"/>
  <c r="H82" i="87"/>
  <c r="F82" i="87"/>
  <c r="D82" i="87"/>
  <c r="B82" i="87"/>
  <c r="B81" i="87"/>
  <c r="B80" i="87"/>
  <c r="R79" i="87"/>
  <c r="P79" i="87"/>
  <c r="N79" i="87"/>
  <c r="L79" i="87"/>
  <c r="J79" i="87"/>
  <c r="H79" i="87"/>
  <c r="F79" i="87"/>
  <c r="D79" i="87"/>
  <c r="B79" i="87"/>
  <c r="B78" i="87"/>
  <c r="B77" i="87"/>
  <c r="B76" i="87"/>
  <c r="B75" i="87"/>
  <c r="B74" i="87"/>
  <c r="B73" i="87"/>
  <c r="B72" i="87"/>
  <c r="B71" i="87"/>
  <c r="B70" i="87"/>
  <c r="B69" i="87"/>
  <c r="R68" i="87"/>
  <c r="P68" i="87"/>
  <c r="N68" i="87"/>
  <c r="L68" i="87"/>
  <c r="J68" i="87"/>
  <c r="H68" i="87"/>
  <c r="F68" i="87"/>
  <c r="D68" i="87"/>
  <c r="B68" i="87"/>
  <c r="B67" i="87"/>
  <c r="B66" i="87"/>
  <c r="B65" i="87"/>
  <c r="R64" i="87"/>
  <c r="P64" i="87"/>
  <c r="N64" i="87"/>
  <c r="L64" i="87"/>
  <c r="J64" i="87"/>
  <c r="H64" i="87"/>
  <c r="F64" i="87"/>
  <c r="D64" i="87"/>
  <c r="B64" i="87"/>
  <c r="B63" i="87"/>
  <c r="B62" i="87"/>
  <c r="B61" i="87"/>
  <c r="B60" i="87"/>
  <c r="R59" i="87"/>
  <c r="P59" i="87"/>
  <c r="N59" i="87"/>
  <c r="L59" i="87"/>
  <c r="J59" i="87"/>
  <c r="H59" i="87"/>
  <c r="F59" i="87"/>
  <c r="D59" i="87"/>
  <c r="B59" i="87"/>
  <c r="B58" i="87"/>
  <c r="R57" i="87"/>
  <c r="P57" i="87"/>
  <c r="N57" i="87"/>
  <c r="L57" i="87"/>
  <c r="J57" i="87"/>
  <c r="H57" i="87"/>
  <c r="F57" i="87"/>
  <c r="D57" i="87"/>
  <c r="B57" i="87"/>
  <c r="B56" i="87"/>
  <c r="R55" i="87"/>
  <c r="P55" i="87"/>
  <c r="N55" i="87"/>
  <c r="L55" i="87"/>
  <c r="J55" i="87"/>
  <c r="H55" i="87"/>
  <c r="F55" i="87"/>
  <c r="D55" i="87"/>
  <c r="B55" i="87"/>
  <c r="B54" i="87"/>
  <c r="R53" i="87"/>
  <c r="P53" i="87"/>
  <c r="N53" i="87"/>
  <c r="L53" i="87"/>
  <c r="J53" i="87"/>
  <c r="H53" i="87"/>
  <c r="F53" i="87"/>
  <c r="D53" i="87"/>
  <c r="B53" i="87"/>
  <c r="B52" i="87"/>
  <c r="R51" i="87"/>
  <c r="P51" i="87"/>
  <c r="N51" i="87"/>
  <c r="L51" i="87"/>
  <c r="J51" i="87"/>
  <c r="H51" i="87"/>
  <c r="F51" i="87"/>
  <c r="D51" i="87"/>
  <c r="B51" i="87"/>
  <c r="B50" i="87"/>
  <c r="R49" i="87"/>
  <c r="P49" i="87"/>
  <c r="N49" i="87"/>
  <c r="L49" i="87"/>
  <c r="J49" i="87"/>
  <c r="H49" i="87"/>
  <c r="F49" i="87"/>
  <c r="D49" i="87"/>
  <c r="B49" i="87"/>
  <c r="B48" i="87"/>
  <c r="R47" i="87"/>
  <c r="P47" i="87"/>
  <c r="N47" i="87"/>
  <c r="L47" i="87"/>
  <c r="J47" i="87"/>
  <c r="H47" i="87"/>
  <c r="F47" i="87"/>
  <c r="D47" i="87"/>
  <c r="B47" i="87"/>
  <c r="B46" i="87"/>
  <c r="B45" i="87"/>
  <c r="B44" i="87"/>
  <c r="B43" i="87"/>
  <c r="B42" i="87"/>
  <c r="B41" i="87"/>
  <c r="B40" i="87"/>
  <c r="B39" i="87"/>
  <c r="B38" i="87"/>
  <c r="B37" i="87"/>
  <c r="R36" i="87"/>
  <c r="P36" i="87"/>
  <c r="N36" i="87"/>
  <c r="L36" i="87"/>
  <c r="J36" i="87"/>
  <c r="H36" i="87"/>
  <c r="F36" i="87"/>
  <c r="D36" i="87"/>
  <c r="B36" i="87"/>
  <c r="B35" i="87"/>
  <c r="B34" i="87"/>
  <c r="B33" i="87"/>
  <c r="B32" i="87"/>
  <c r="B31" i="87"/>
  <c r="B30" i="87"/>
  <c r="B29" i="87"/>
  <c r="B28" i="87"/>
  <c r="B27" i="87"/>
  <c r="B26" i="87"/>
  <c r="R25" i="87"/>
  <c r="P25" i="87"/>
  <c r="N25" i="87"/>
  <c r="L25" i="87"/>
  <c r="J25" i="87"/>
  <c r="H25" i="87"/>
  <c r="F25" i="87"/>
  <c r="D25" i="87"/>
  <c r="B25" i="87"/>
  <c r="R24" i="87"/>
  <c r="P24" i="87"/>
  <c r="N24" i="87"/>
  <c r="L24" i="87"/>
  <c r="J24" i="87"/>
  <c r="H24" i="87"/>
  <c r="F24" i="87"/>
  <c r="D24" i="87"/>
  <c r="R21" i="87"/>
  <c r="R91" i="87" s="1"/>
  <c r="P21" i="87"/>
  <c r="B19" i="87"/>
  <c r="B18" i="87"/>
  <c r="B17" i="87"/>
  <c r="R16" i="87"/>
  <c r="P16" i="87"/>
  <c r="N16" i="87"/>
  <c r="L16" i="87"/>
  <c r="J16" i="87"/>
  <c r="H16" i="87"/>
  <c r="F16" i="87"/>
  <c r="D16" i="87"/>
  <c r="N14" i="87"/>
  <c r="L14" i="87"/>
  <c r="J14" i="87"/>
  <c r="H14" i="87"/>
  <c r="F14" i="87"/>
  <c r="D14" i="87"/>
  <c r="B14" i="87"/>
  <c r="N13" i="87"/>
  <c r="L13" i="87"/>
  <c r="J13" i="87"/>
  <c r="H13" i="87"/>
  <c r="H10" i="87" s="1"/>
  <c r="H21" i="87" s="1"/>
  <c r="F13" i="87"/>
  <c r="D13" i="87"/>
  <c r="B13" i="87"/>
  <c r="N12" i="87"/>
  <c r="L12" i="87"/>
  <c r="J12" i="87"/>
  <c r="H12" i="87"/>
  <c r="F12" i="87"/>
  <c r="D12" i="87"/>
  <c r="B12" i="87"/>
  <c r="N11" i="87"/>
  <c r="L11" i="87"/>
  <c r="L10" i="87" s="1"/>
  <c r="L21" i="87" s="1"/>
  <c r="L22" i="87" s="1"/>
  <c r="J11" i="87"/>
  <c r="H11" i="87"/>
  <c r="F11" i="87"/>
  <c r="D11" i="87"/>
  <c r="B11" i="87"/>
  <c r="R10" i="87"/>
  <c r="P10" i="87"/>
  <c r="N10" i="87"/>
  <c r="N21" i="87" s="1"/>
  <c r="N91" i="87" s="1"/>
  <c r="F10" i="87"/>
  <c r="F21" i="87" s="1"/>
  <c r="D10" i="87"/>
  <c r="D21" i="87" s="1"/>
  <c r="D4" i="87"/>
  <c r="R101" i="86"/>
  <c r="P101" i="86"/>
  <c r="N101" i="86"/>
  <c r="L101" i="86"/>
  <c r="J101" i="86"/>
  <c r="H101" i="86"/>
  <c r="F101" i="86"/>
  <c r="D101" i="86"/>
  <c r="B99" i="86"/>
  <c r="R98" i="86"/>
  <c r="P98" i="86"/>
  <c r="N98" i="86"/>
  <c r="L98" i="86"/>
  <c r="J98" i="86"/>
  <c r="H98" i="86"/>
  <c r="F98" i="86"/>
  <c r="D98" i="86"/>
  <c r="B98" i="86"/>
  <c r="B97" i="86"/>
  <c r="B96" i="86"/>
  <c r="R95" i="86"/>
  <c r="P95" i="86"/>
  <c r="N95" i="86"/>
  <c r="L95" i="86"/>
  <c r="J95" i="86"/>
  <c r="H95" i="86"/>
  <c r="F95" i="86"/>
  <c r="D95" i="86"/>
  <c r="B95" i="86"/>
  <c r="B94" i="86"/>
  <c r="R93" i="86"/>
  <c r="P93" i="86"/>
  <c r="N93" i="86"/>
  <c r="L93" i="86"/>
  <c r="J93" i="86"/>
  <c r="H93" i="86"/>
  <c r="F93" i="86"/>
  <c r="D93" i="86"/>
  <c r="B93" i="86"/>
  <c r="B92" i="86"/>
  <c r="B91" i="86"/>
  <c r="R90" i="86"/>
  <c r="P90" i="86"/>
  <c r="N90" i="86"/>
  <c r="L90" i="86"/>
  <c r="J90" i="86"/>
  <c r="H90" i="86"/>
  <c r="F90" i="86"/>
  <c r="D90" i="86"/>
  <c r="B90" i="86"/>
  <c r="B89" i="86"/>
  <c r="B88" i="86"/>
  <c r="B87" i="86"/>
  <c r="B86" i="86"/>
  <c r="B85" i="86"/>
  <c r="B84" i="86"/>
  <c r="B83" i="86"/>
  <c r="B82" i="86"/>
  <c r="B81" i="86"/>
  <c r="B80" i="86"/>
  <c r="R79" i="86"/>
  <c r="P79" i="86"/>
  <c r="N79" i="86"/>
  <c r="L79" i="86"/>
  <c r="J79" i="86"/>
  <c r="H79" i="86"/>
  <c r="F79" i="86"/>
  <c r="D79" i="86"/>
  <c r="B79" i="86"/>
  <c r="B78" i="86"/>
  <c r="B77" i="86"/>
  <c r="B76" i="86"/>
  <c r="B75" i="86"/>
  <c r="B74" i="86"/>
  <c r="R73" i="86"/>
  <c r="P73" i="86"/>
  <c r="N73" i="86"/>
  <c r="L73" i="86"/>
  <c r="J73" i="86"/>
  <c r="H73" i="86"/>
  <c r="F73" i="86"/>
  <c r="D73" i="86"/>
  <c r="B73" i="86"/>
  <c r="B72" i="86"/>
  <c r="R71" i="86"/>
  <c r="P71" i="86"/>
  <c r="N71" i="86"/>
  <c r="L71" i="86"/>
  <c r="J71" i="86"/>
  <c r="H71" i="86"/>
  <c r="F71" i="86"/>
  <c r="D71" i="86"/>
  <c r="B71" i="86"/>
  <c r="B70" i="86"/>
  <c r="B69" i="86"/>
  <c r="B68" i="86"/>
  <c r="R67" i="86"/>
  <c r="P67" i="86"/>
  <c r="N67" i="86"/>
  <c r="L67" i="86"/>
  <c r="J67" i="86"/>
  <c r="H67" i="86"/>
  <c r="F67" i="86"/>
  <c r="D67" i="86"/>
  <c r="B67" i="86"/>
  <c r="B66" i="86"/>
  <c r="R65" i="86"/>
  <c r="P65" i="86"/>
  <c r="N65" i="86"/>
  <c r="L65" i="86"/>
  <c r="J65" i="86"/>
  <c r="H65" i="86"/>
  <c r="F65" i="86"/>
  <c r="D65" i="86"/>
  <c r="B65" i="86"/>
  <c r="B64" i="86"/>
  <c r="R63" i="86"/>
  <c r="P63" i="86"/>
  <c r="N63" i="86"/>
  <c r="L63" i="86"/>
  <c r="J63" i="86"/>
  <c r="H63" i="86"/>
  <c r="F63" i="86"/>
  <c r="D63" i="86"/>
  <c r="B63" i="86"/>
  <c r="B62" i="86"/>
  <c r="R61" i="86"/>
  <c r="P61" i="86"/>
  <c r="N61" i="86"/>
  <c r="L61" i="86"/>
  <c r="J61" i="86"/>
  <c r="H61" i="86"/>
  <c r="F61" i="86"/>
  <c r="D61" i="86"/>
  <c r="B61" i="86"/>
  <c r="B60" i="86"/>
  <c r="R59" i="86"/>
  <c r="P59" i="86"/>
  <c r="N59" i="86"/>
  <c r="L59" i="86"/>
  <c r="J59" i="86"/>
  <c r="H59" i="86"/>
  <c r="F59" i="86"/>
  <c r="D59" i="86"/>
  <c r="B59" i="86"/>
  <c r="B58" i="86"/>
  <c r="R57" i="86"/>
  <c r="P57" i="86"/>
  <c r="N57" i="86"/>
  <c r="L57" i="86"/>
  <c r="J57" i="86"/>
  <c r="H57" i="86"/>
  <c r="F57" i="86"/>
  <c r="D57" i="86"/>
  <c r="B57" i="86"/>
  <c r="B56" i="86"/>
  <c r="B55" i="86"/>
  <c r="R54" i="86"/>
  <c r="P54" i="86"/>
  <c r="N54" i="86"/>
  <c r="L54" i="86"/>
  <c r="J54" i="86"/>
  <c r="H54" i="86"/>
  <c r="F54" i="86"/>
  <c r="D54" i="86"/>
  <c r="B54" i="86"/>
  <c r="B53" i="86"/>
  <c r="R52" i="86"/>
  <c r="P52" i="86"/>
  <c r="N52" i="86"/>
  <c r="L52" i="86"/>
  <c r="J52" i="86"/>
  <c r="H52" i="86"/>
  <c r="F52" i="86"/>
  <c r="D52" i="86"/>
  <c r="B52" i="86"/>
  <c r="B51" i="86"/>
  <c r="R50" i="86"/>
  <c r="P50" i="86"/>
  <c r="N50" i="86"/>
  <c r="L50" i="86"/>
  <c r="J50" i="86"/>
  <c r="H50" i="86"/>
  <c r="F50" i="86"/>
  <c r="D50" i="86"/>
  <c r="B50" i="86"/>
  <c r="B49" i="86"/>
  <c r="R48" i="86"/>
  <c r="P48" i="86"/>
  <c r="N48" i="86"/>
  <c r="L48" i="86"/>
  <c r="J48" i="86"/>
  <c r="H48" i="86"/>
  <c r="F48" i="86"/>
  <c r="D48" i="86"/>
  <c r="B48" i="86"/>
  <c r="B47" i="86"/>
  <c r="B46" i="86"/>
  <c r="B45" i="86"/>
  <c r="B44" i="86"/>
  <c r="B43" i="86"/>
  <c r="B42" i="86"/>
  <c r="B41" i="86"/>
  <c r="B40" i="86"/>
  <c r="B39" i="86"/>
  <c r="B38" i="86"/>
  <c r="R37" i="86"/>
  <c r="P37" i="86"/>
  <c r="N37" i="86"/>
  <c r="L37" i="86"/>
  <c r="J37" i="86"/>
  <c r="H37" i="86"/>
  <c r="F37" i="86"/>
  <c r="D37" i="86"/>
  <c r="B37" i="86"/>
  <c r="B36" i="86"/>
  <c r="B35" i="86"/>
  <c r="B34" i="86"/>
  <c r="B33" i="86"/>
  <c r="B32" i="86"/>
  <c r="B31" i="86"/>
  <c r="B30" i="86"/>
  <c r="B29" i="86"/>
  <c r="B28" i="86"/>
  <c r="B27" i="86"/>
  <c r="R26" i="86"/>
  <c r="P26" i="86"/>
  <c r="N26" i="86"/>
  <c r="L26" i="86"/>
  <c r="J26" i="86"/>
  <c r="H26" i="86"/>
  <c r="F26" i="86"/>
  <c r="D26" i="86"/>
  <c r="B26" i="86"/>
  <c r="R25" i="86"/>
  <c r="P25" i="86"/>
  <c r="N25" i="86"/>
  <c r="L25" i="86"/>
  <c r="J25" i="86"/>
  <c r="H25" i="86"/>
  <c r="F25" i="86"/>
  <c r="D25" i="86"/>
  <c r="B20" i="86"/>
  <c r="B19" i="86"/>
  <c r="B18" i="86"/>
  <c r="B17" i="86"/>
  <c r="R16" i="86"/>
  <c r="P16" i="86"/>
  <c r="N16" i="86"/>
  <c r="L16" i="86"/>
  <c r="J16" i="86"/>
  <c r="H16" i="86"/>
  <c r="F16" i="86"/>
  <c r="D16" i="86"/>
  <c r="N14" i="86"/>
  <c r="L14" i="86"/>
  <c r="J14" i="86"/>
  <c r="H14" i="86"/>
  <c r="F14" i="86"/>
  <c r="D14" i="86"/>
  <c r="B14" i="86"/>
  <c r="N13" i="86"/>
  <c r="N10" i="86" s="1"/>
  <c r="N22" i="86" s="1"/>
  <c r="L13" i="86"/>
  <c r="J13" i="86"/>
  <c r="H13" i="86"/>
  <c r="F13" i="86"/>
  <c r="F10" i="86" s="1"/>
  <c r="F22" i="86" s="1"/>
  <c r="D13" i="86"/>
  <c r="B13" i="86"/>
  <c r="N12" i="86"/>
  <c r="L12" i="86"/>
  <c r="L10" i="86" s="1"/>
  <c r="L22" i="86" s="1"/>
  <c r="L103" i="86" s="1"/>
  <c r="J12" i="86"/>
  <c r="H12" i="86"/>
  <c r="F12" i="86"/>
  <c r="D12" i="86"/>
  <c r="B12" i="86"/>
  <c r="N11" i="86"/>
  <c r="L11" i="86"/>
  <c r="J11" i="86"/>
  <c r="J10" i="86" s="1"/>
  <c r="J22" i="86" s="1"/>
  <c r="J23" i="86" s="1"/>
  <c r="H11" i="86"/>
  <c r="H10" i="86" s="1"/>
  <c r="H22" i="86" s="1"/>
  <c r="F11" i="86"/>
  <c r="D11" i="86"/>
  <c r="B11" i="86"/>
  <c r="R10" i="86"/>
  <c r="R22" i="86" s="1"/>
  <c r="P10" i="86"/>
  <c r="P22" i="86" s="1"/>
  <c r="D10" i="86"/>
  <c r="D22" i="86" s="1"/>
  <c r="D4" i="86"/>
  <c r="N107" i="85"/>
  <c r="L107" i="85"/>
  <c r="J107" i="85"/>
  <c r="J105" i="85" s="1"/>
  <c r="H107" i="85"/>
  <c r="F107" i="85"/>
  <c r="D107" i="85"/>
  <c r="B107" i="85"/>
  <c r="N106" i="85"/>
  <c r="N105" i="85" s="1"/>
  <c r="L106" i="85"/>
  <c r="J106" i="85"/>
  <c r="H106" i="85"/>
  <c r="H105" i="85" s="1"/>
  <c r="F106" i="85"/>
  <c r="F105" i="85" s="1"/>
  <c r="D106" i="85"/>
  <c r="B106" i="85"/>
  <c r="R105" i="85"/>
  <c r="P105" i="85"/>
  <c r="L105" i="85"/>
  <c r="D105" i="85"/>
  <c r="B103" i="85"/>
  <c r="R102" i="85"/>
  <c r="P102" i="85"/>
  <c r="N102" i="85"/>
  <c r="L102" i="85"/>
  <c r="J102" i="85"/>
  <c r="H102" i="85"/>
  <c r="F102" i="85"/>
  <c r="D102" i="85"/>
  <c r="B102" i="85"/>
  <c r="B101" i="85"/>
  <c r="B100" i="85"/>
  <c r="B99" i="85"/>
  <c r="R98" i="85"/>
  <c r="P98" i="85"/>
  <c r="N98" i="85"/>
  <c r="L98" i="85"/>
  <c r="J98" i="85"/>
  <c r="H98" i="85"/>
  <c r="F98" i="85"/>
  <c r="D98" i="85"/>
  <c r="B98" i="85"/>
  <c r="B97" i="85"/>
  <c r="R96" i="85"/>
  <c r="P96" i="85"/>
  <c r="N96" i="85"/>
  <c r="L96" i="85"/>
  <c r="J96" i="85"/>
  <c r="H96" i="85"/>
  <c r="F96" i="85"/>
  <c r="D96" i="85"/>
  <c r="B96" i="85"/>
  <c r="B95" i="85"/>
  <c r="R94" i="85"/>
  <c r="P94" i="85"/>
  <c r="N94" i="85"/>
  <c r="L94" i="85"/>
  <c r="J94" i="85"/>
  <c r="H94" i="85"/>
  <c r="F94" i="85"/>
  <c r="D94" i="85"/>
  <c r="B94" i="85"/>
  <c r="B93" i="85"/>
  <c r="B92" i="85"/>
  <c r="B91" i="85"/>
  <c r="B90" i="85"/>
  <c r="B89" i="85"/>
  <c r="B88" i="85"/>
  <c r="B87" i="85"/>
  <c r="B86" i="85"/>
  <c r="B85" i="85"/>
  <c r="B84" i="85"/>
  <c r="R83" i="85"/>
  <c r="P83" i="85"/>
  <c r="N83" i="85"/>
  <c r="L83" i="85"/>
  <c r="J83" i="85"/>
  <c r="H83" i="85"/>
  <c r="F83" i="85"/>
  <c r="D83" i="85"/>
  <c r="B83" i="85"/>
  <c r="B82" i="85"/>
  <c r="B81" i="85"/>
  <c r="R80" i="85"/>
  <c r="P80" i="85"/>
  <c r="N80" i="85"/>
  <c r="L80" i="85"/>
  <c r="J80" i="85"/>
  <c r="H80" i="85"/>
  <c r="F80" i="85"/>
  <c r="D80" i="85"/>
  <c r="B80" i="85"/>
  <c r="B79" i="85"/>
  <c r="B78" i="85"/>
  <c r="B77" i="85"/>
  <c r="B76" i="85"/>
  <c r="B75" i="85"/>
  <c r="R74" i="85"/>
  <c r="P74" i="85"/>
  <c r="N74" i="85"/>
  <c r="L74" i="85"/>
  <c r="J74" i="85"/>
  <c r="H74" i="85"/>
  <c r="F74" i="85"/>
  <c r="D74" i="85"/>
  <c r="B74" i="85"/>
  <c r="B73" i="85"/>
  <c r="R72" i="85"/>
  <c r="P72" i="85"/>
  <c r="N72" i="85"/>
  <c r="L72" i="85"/>
  <c r="J72" i="85"/>
  <c r="H72" i="85"/>
  <c r="F72" i="85"/>
  <c r="D72" i="85"/>
  <c r="B72" i="85"/>
  <c r="B71" i="85"/>
  <c r="B70" i="85"/>
  <c r="B69" i="85"/>
  <c r="B68" i="85"/>
  <c r="R67" i="85"/>
  <c r="P67" i="85"/>
  <c r="N67" i="85"/>
  <c r="L67" i="85"/>
  <c r="J67" i="85"/>
  <c r="H67" i="85"/>
  <c r="F67" i="85"/>
  <c r="D67" i="85"/>
  <c r="B67" i="85"/>
  <c r="B66" i="85"/>
  <c r="R65" i="85"/>
  <c r="P65" i="85"/>
  <c r="N65" i="85"/>
  <c r="L65" i="85"/>
  <c r="J65" i="85"/>
  <c r="H65" i="85"/>
  <c r="F65" i="85"/>
  <c r="D65" i="85"/>
  <c r="B65" i="85"/>
  <c r="B64" i="85"/>
  <c r="R63" i="85"/>
  <c r="P63" i="85"/>
  <c r="N63" i="85"/>
  <c r="L63" i="85"/>
  <c r="J63" i="85"/>
  <c r="H63" i="85"/>
  <c r="F63" i="85"/>
  <c r="D63" i="85"/>
  <c r="B63" i="85"/>
  <c r="B62" i="85"/>
  <c r="R61" i="85"/>
  <c r="P61" i="85"/>
  <c r="N61" i="85"/>
  <c r="L61" i="85"/>
  <c r="J61" i="85"/>
  <c r="H61" i="85"/>
  <c r="F61" i="85"/>
  <c r="D61" i="85"/>
  <c r="B61" i="85"/>
  <c r="B60" i="85"/>
  <c r="R59" i="85"/>
  <c r="P59" i="85"/>
  <c r="N59" i="85"/>
  <c r="L59" i="85"/>
  <c r="J59" i="85"/>
  <c r="H59" i="85"/>
  <c r="F59" i="85"/>
  <c r="D59" i="85"/>
  <c r="B59" i="85"/>
  <c r="B58" i="85"/>
  <c r="R57" i="85"/>
  <c r="P57" i="85"/>
  <c r="N57" i="85"/>
  <c r="L57" i="85"/>
  <c r="J57" i="85"/>
  <c r="H57" i="85"/>
  <c r="F57" i="85"/>
  <c r="D57" i="85"/>
  <c r="B57" i="85"/>
  <c r="B56" i="85"/>
  <c r="R55" i="85"/>
  <c r="P55" i="85"/>
  <c r="N55" i="85"/>
  <c r="L55" i="85"/>
  <c r="J55" i="85"/>
  <c r="H55" i="85"/>
  <c r="F55" i="85"/>
  <c r="D55" i="85"/>
  <c r="B55" i="85"/>
  <c r="B54" i="85"/>
  <c r="R53" i="85"/>
  <c r="P53" i="85"/>
  <c r="N53" i="85"/>
  <c r="L53" i="85"/>
  <c r="J53" i="85"/>
  <c r="H53" i="85"/>
  <c r="F53" i="85"/>
  <c r="D53" i="85"/>
  <c r="B53" i="85"/>
  <c r="B52" i="85"/>
  <c r="R51" i="85"/>
  <c r="P51" i="85"/>
  <c r="N51" i="85"/>
  <c r="L51" i="85"/>
  <c r="J51" i="85"/>
  <c r="H51" i="85"/>
  <c r="F51" i="85"/>
  <c r="D51" i="85"/>
  <c r="B51" i="85"/>
  <c r="B50" i="85"/>
  <c r="B49" i="85"/>
  <c r="B48" i="85"/>
  <c r="B47" i="85"/>
  <c r="R46" i="85"/>
  <c r="P46" i="85"/>
  <c r="N46" i="85"/>
  <c r="L46" i="85"/>
  <c r="J46" i="85"/>
  <c r="H46" i="85"/>
  <c r="F46" i="85"/>
  <c r="D46" i="85"/>
  <c r="B46" i="85"/>
  <c r="B45" i="85"/>
  <c r="R44" i="85"/>
  <c r="P44" i="85"/>
  <c r="N44" i="85"/>
  <c r="L44" i="85"/>
  <c r="J44" i="85"/>
  <c r="H44" i="85"/>
  <c r="F44" i="85"/>
  <c r="D44" i="85"/>
  <c r="B44" i="85"/>
  <c r="B43" i="85"/>
  <c r="R42" i="85"/>
  <c r="P42" i="85"/>
  <c r="N42" i="85"/>
  <c r="L42" i="85"/>
  <c r="J42" i="85"/>
  <c r="H42" i="85"/>
  <c r="F42" i="85"/>
  <c r="D42" i="85"/>
  <c r="B42" i="85"/>
  <c r="B41" i="85"/>
  <c r="R40" i="85"/>
  <c r="P40" i="85"/>
  <c r="N40" i="85"/>
  <c r="L40" i="85"/>
  <c r="J40" i="85"/>
  <c r="H40" i="85"/>
  <c r="F40" i="85"/>
  <c r="D40" i="85"/>
  <c r="B40" i="85"/>
  <c r="B39" i="85"/>
  <c r="B38" i="85"/>
  <c r="B37" i="85"/>
  <c r="B36" i="85"/>
  <c r="B35" i="85"/>
  <c r="B34" i="85"/>
  <c r="B33" i="85"/>
  <c r="B32" i="85"/>
  <c r="B31" i="85"/>
  <c r="B30" i="85"/>
  <c r="R29" i="85"/>
  <c r="P29" i="85"/>
  <c r="N29" i="85"/>
  <c r="L29" i="85"/>
  <c r="J29" i="85"/>
  <c r="H29" i="85"/>
  <c r="F29" i="85"/>
  <c r="D29" i="85"/>
  <c r="B29" i="85"/>
  <c r="B28" i="85"/>
  <c r="B27" i="85"/>
  <c r="B26" i="85"/>
  <c r="B25" i="85"/>
  <c r="B24" i="85"/>
  <c r="B23" i="85"/>
  <c r="B22" i="85"/>
  <c r="B21" i="85"/>
  <c r="B20" i="85"/>
  <c r="B19" i="85"/>
  <c r="R18" i="85"/>
  <c r="P18" i="85"/>
  <c r="N18" i="85"/>
  <c r="L18" i="85"/>
  <c r="J18" i="85"/>
  <c r="H18" i="85"/>
  <c r="F18" i="85"/>
  <c r="D18" i="85"/>
  <c r="B18" i="85"/>
  <c r="R17" i="85"/>
  <c r="P17" i="85"/>
  <c r="N17" i="85"/>
  <c r="L17" i="85"/>
  <c r="J17" i="85"/>
  <c r="H17" i="85"/>
  <c r="F17" i="85"/>
  <c r="D17" i="85"/>
  <c r="N14" i="85"/>
  <c r="R12" i="85"/>
  <c r="P12" i="85"/>
  <c r="N12" i="85"/>
  <c r="L12" i="85"/>
  <c r="J12" i="85"/>
  <c r="H12" i="85"/>
  <c r="F12" i="85"/>
  <c r="D12" i="85"/>
  <c r="R10" i="85"/>
  <c r="R14" i="85" s="1"/>
  <c r="P10" i="85"/>
  <c r="P14" i="85" s="1"/>
  <c r="N10" i="85"/>
  <c r="L10" i="85"/>
  <c r="L14" i="85" s="1"/>
  <c r="J10" i="85"/>
  <c r="J14" i="85" s="1"/>
  <c r="H10" i="85"/>
  <c r="H14" i="85" s="1"/>
  <c r="F10" i="85"/>
  <c r="F14" i="85" s="1"/>
  <c r="F15" i="85" s="1"/>
  <c r="D10" i="85"/>
  <c r="D14" i="85" s="1"/>
  <c r="D4" i="85"/>
  <c r="R79" i="84"/>
  <c r="P79" i="84"/>
  <c r="N79" i="84"/>
  <c r="L79" i="84"/>
  <c r="J79" i="84"/>
  <c r="H79" i="84"/>
  <c r="F79" i="84"/>
  <c r="D79" i="84"/>
  <c r="B77" i="84"/>
  <c r="B76" i="84"/>
  <c r="R75" i="84"/>
  <c r="P75" i="84"/>
  <c r="N75" i="84"/>
  <c r="L75" i="84"/>
  <c r="J75" i="84"/>
  <c r="H75" i="84"/>
  <c r="F75" i="84"/>
  <c r="D75" i="84"/>
  <c r="B75" i="84"/>
  <c r="B74" i="84"/>
  <c r="R73" i="84"/>
  <c r="P73" i="84"/>
  <c r="N73" i="84"/>
  <c r="L73" i="84"/>
  <c r="J73" i="84"/>
  <c r="H73" i="84"/>
  <c r="F73" i="84"/>
  <c r="D73" i="84"/>
  <c r="B73" i="84"/>
  <c r="B72" i="84"/>
  <c r="R71" i="84"/>
  <c r="P71" i="84"/>
  <c r="N71" i="84"/>
  <c r="L71" i="84"/>
  <c r="J71" i="84"/>
  <c r="H71" i="84"/>
  <c r="F71" i="84"/>
  <c r="D71" i="84"/>
  <c r="B71" i="84"/>
  <c r="B70" i="84"/>
  <c r="B69" i="84"/>
  <c r="B68" i="84"/>
  <c r="B67" i="84"/>
  <c r="B66" i="84"/>
  <c r="B65" i="84"/>
  <c r="R64" i="84"/>
  <c r="P64" i="84"/>
  <c r="N64" i="84"/>
  <c r="L64" i="84"/>
  <c r="J64" i="84"/>
  <c r="H64" i="84"/>
  <c r="F64" i="84"/>
  <c r="D64" i="84"/>
  <c r="B64" i="84"/>
  <c r="B63" i="84"/>
  <c r="B62" i="84"/>
  <c r="B61" i="84"/>
  <c r="R60" i="84"/>
  <c r="P60" i="84"/>
  <c r="N60" i="84"/>
  <c r="L60" i="84"/>
  <c r="J60" i="84"/>
  <c r="H60" i="84"/>
  <c r="F60" i="84"/>
  <c r="D60" i="84"/>
  <c r="B60" i="84"/>
  <c r="B59" i="84"/>
  <c r="R58" i="84"/>
  <c r="P58" i="84"/>
  <c r="N58" i="84"/>
  <c r="L58" i="84"/>
  <c r="J58" i="84"/>
  <c r="H58" i="84"/>
  <c r="F58" i="84"/>
  <c r="D58" i="84"/>
  <c r="B58" i="84"/>
  <c r="B57" i="84"/>
  <c r="B56" i="84"/>
  <c r="B55" i="84"/>
  <c r="R54" i="84"/>
  <c r="P54" i="84"/>
  <c r="N54" i="84"/>
  <c r="L54" i="84"/>
  <c r="J54" i="84"/>
  <c r="H54" i="84"/>
  <c r="F54" i="84"/>
  <c r="D54" i="84"/>
  <c r="B54" i="84"/>
  <c r="B53" i="84"/>
  <c r="R52" i="84"/>
  <c r="P52" i="84"/>
  <c r="N52" i="84"/>
  <c r="L52" i="84"/>
  <c r="J52" i="84"/>
  <c r="H52" i="84"/>
  <c r="F52" i="84"/>
  <c r="D52" i="84"/>
  <c r="B52" i="84"/>
  <c r="B51" i="84"/>
  <c r="R50" i="84"/>
  <c r="P50" i="84"/>
  <c r="N50" i="84"/>
  <c r="L50" i="84"/>
  <c r="J50" i="84"/>
  <c r="H50" i="84"/>
  <c r="F50" i="84"/>
  <c r="D50" i="84"/>
  <c r="B50" i="84"/>
  <c r="B49" i="84"/>
  <c r="R48" i="84"/>
  <c r="P48" i="84"/>
  <c r="N48" i="84"/>
  <c r="L48" i="84"/>
  <c r="J48" i="84"/>
  <c r="H48" i="84"/>
  <c r="F48" i="84"/>
  <c r="D48" i="84"/>
  <c r="B48" i="84"/>
  <c r="B47" i="84"/>
  <c r="R46" i="84"/>
  <c r="P46" i="84"/>
  <c r="N46" i="84"/>
  <c r="L46" i="84"/>
  <c r="J46" i="84"/>
  <c r="H46" i="84"/>
  <c r="F46" i="84"/>
  <c r="D46" i="84"/>
  <c r="B46" i="84"/>
  <c r="B45" i="84"/>
  <c r="R44" i="84"/>
  <c r="P44" i="84"/>
  <c r="N44" i="84"/>
  <c r="L44" i="84"/>
  <c r="J44" i="84"/>
  <c r="H44" i="84"/>
  <c r="F44" i="84"/>
  <c r="D44" i="84"/>
  <c r="B44" i="84"/>
  <c r="B43" i="84"/>
  <c r="R42" i="84"/>
  <c r="P42" i="84"/>
  <c r="N42" i="84"/>
  <c r="L42" i="84"/>
  <c r="J42" i="84"/>
  <c r="H42" i="84"/>
  <c r="F42" i="84"/>
  <c r="D42" i="84"/>
  <c r="B42" i="84"/>
  <c r="B41" i="84"/>
  <c r="R40" i="84"/>
  <c r="P40" i="84"/>
  <c r="N40" i="84"/>
  <c r="L40" i="84"/>
  <c r="J40" i="84"/>
  <c r="H40" i="84"/>
  <c r="F40" i="84"/>
  <c r="D40" i="84"/>
  <c r="B40" i="84"/>
  <c r="B39" i="84"/>
  <c r="R38" i="84"/>
  <c r="P38" i="84"/>
  <c r="N38" i="84"/>
  <c r="L38" i="84"/>
  <c r="J38" i="84"/>
  <c r="H38" i="84"/>
  <c r="F38" i="84"/>
  <c r="D38" i="84"/>
  <c r="B38" i="84"/>
  <c r="B37" i="84"/>
  <c r="B36" i="84"/>
  <c r="B35" i="84"/>
  <c r="B34" i="84"/>
  <c r="B33" i="84"/>
  <c r="B32" i="84"/>
  <c r="R31" i="84"/>
  <c r="P31" i="84"/>
  <c r="N31" i="84"/>
  <c r="L31" i="84"/>
  <c r="J31" i="84"/>
  <c r="H31" i="84"/>
  <c r="F31" i="84"/>
  <c r="D31" i="84"/>
  <c r="B31" i="84"/>
  <c r="B30" i="84"/>
  <c r="B29" i="84"/>
  <c r="B28" i="84"/>
  <c r="B27" i="84"/>
  <c r="B26" i="84"/>
  <c r="B25" i="84"/>
  <c r="B24" i="84"/>
  <c r="B23" i="84"/>
  <c r="R22" i="84"/>
  <c r="P22" i="84"/>
  <c r="N22" i="84"/>
  <c r="L22" i="84"/>
  <c r="J22" i="84"/>
  <c r="H22" i="84"/>
  <c r="F22" i="84"/>
  <c r="D22" i="84"/>
  <c r="B22" i="84"/>
  <c r="R21" i="84"/>
  <c r="P21" i="84"/>
  <c r="N21" i="84"/>
  <c r="L21" i="84"/>
  <c r="J21" i="84"/>
  <c r="H21" i="84"/>
  <c r="F21" i="84"/>
  <c r="D21" i="84"/>
  <c r="H19" i="84"/>
  <c r="B16" i="84"/>
  <c r="B15" i="84"/>
  <c r="R14" i="84"/>
  <c r="P14" i="84"/>
  <c r="N14" i="84"/>
  <c r="L14" i="84"/>
  <c r="J14" i="84"/>
  <c r="H14" i="84"/>
  <c r="F14" i="84"/>
  <c r="D14" i="84"/>
  <c r="N12" i="84"/>
  <c r="L12" i="84"/>
  <c r="J12" i="84"/>
  <c r="H12" i="84"/>
  <c r="H10" i="84" s="1"/>
  <c r="H18" i="84" s="1"/>
  <c r="F12" i="84"/>
  <c r="D12" i="84"/>
  <c r="B12" i="84"/>
  <c r="N11" i="84"/>
  <c r="N10" i="84" s="1"/>
  <c r="N18" i="84" s="1"/>
  <c r="L11" i="84"/>
  <c r="L10" i="84" s="1"/>
  <c r="J11" i="84"/>
  <c r="H11" i="84"/>
  <c r="F11" i="84"/>
  <c r="F10" i="84" s="1"/>
  <c r="F18" i="84" s="1"/>
  <c r="D11" i="84"/>
  <c r="D10" i="84" s="1"/>
  <c r="B11" i="84"/>
  <c r="R10" i="84"/>
  <c r="R18" i="84" s="1"/>
  <c r="P10" i="84"/>
  <c r="P18" i="84" s="1"/>
  <c r="J10" i="84"/>
  <c r="J18" i="84" s="1"/>
  <c r="D4" i="84"/>
  <c r="R99" i="83"/>
  <c r="P99" i="83"/>
  <c r="N99" i="83"/>
  <c r="L99" i="83"/>
  <c r="J99" i="83"/>
  <c r="H99" i="83"/>
  <c r="F99" i="83"/>
  <c r="D99" i="83"/>
  <c r="B97" i="83"/>
  <c r="R96" i="83"/>
  <c r="P96" i="83"/>
  <c r="N96" i="83"/>
  <c r="L96" i="83"/>
  <c r="J96" i="83"/>
  <c r="H96" i="83"/>
  <c r="F96" i="83"/>
  <c r="D96" i="83"/>
  <c r="B96" i="83"/>
  <c r="B95" i="83"/>
  <c r="R94" i="83"/>
  <c r="P94" i="83"/>
  <c r="N94" i="83"/>
  <c r="L94" i="83"/>
  <c r="J94" i="83"/>
  <c r="H94" i="83"/>
  <c r="F94" i="83"/>
  <c r="D94" i="83"/>
  <c r="B94" i="83"/>
  <c r="B93" i="83"/>
  <c r="R92" i="83"/>
  <c r="P92" i="83"/>
  <c r="N92" i="83"/>
  <c r="L92" i="83"/>
  <c r="J92" i="83"/>
  <c r="H92" i="83"/>
  <c r="F92" i="83"/>
  <c r="D92" i="83"/>
  <c r="B92" i="83"/>
  <c r="B91" i="83"/>
  <c r="R90" i="83"/>
  <c r="P90" i="83"/>
  <c r="N90" i="83"/>
  <c r="L90" i="83"/>
  <c r="J90" i="83"/>
  <c r="H90" i="83"/>
  <c r="F90" i="83"/>
  <c r="D90" i="83"/>
  <c r="B90" i="83"/>
  <c r="B89" i="83"/>
  <c r="B88" i="83"/>
  <c r="B87" i="83"/>
  <c r="B86" i="83"/>
  <c r="B85" i="83"/>
  <c r="B84" i="83"/>
  <c r="B83" i="83"/>
  <c r="B82" i="83"/>
  <c r="B81" i="83"/>
  <c r="B80" i="83"/>
  <c r="R79" i="83"/>
  <c r="P79" i="83"/>
  <c r="N79" i="83"/>
  <c r="L79" i="83"/>
  <c r="J79" i="83"/>
  <c r="H79" i="83"/>
  <c r="F79" i="83"/>
  <c r="D79" i="83"/>
  <c r="B79" i="83"/>
  <c r="B78" i="83"/>
  <c r="B77" i="83"/>
  <c r="R76" i="83"/>
  <c r="P76" i="83"/>
  <c r="N76" i="83"/>
  <c r="L76" i="83"/>
  <c r="J76" i="83"/>
  <c r="H76" i="83"/>
  <c r="F76" i="83"/>
  <c r="D76" i="83"/>
  <c r="B76" i="83"/>
  <c r="B75" i="83"/>
  <c r="B74" i="83"/>
  <c r="B73" i="83"/>
  <c r="B72" i="83"/>
  <c r="R71" i="83"/>
  <c r="P71" i="83"/>
  <c r="N71" i="83"/>
  <c r="L71" i="83"/>
  <c r="J71" i="83"/>
  <c r="H71" i="83"/>
  <c r="F71" i="83"/>
  <c r="D71" i="83"/>
  <c r="B71" i="83"/>
  <c r="B70" i="83"/>
  <c r="R69" i="83"/>
  <c r="P69" i="83"/>
  <c r="N69" i="83"/>
  <c r="L69" i="83"/>
  <c r="J69" i="83"/>
  <c r="H69" i="83"/>
  <c r="F69" i="83"/>
  <c r="D69" i="83"/>
  <c r="B69" i="83"/>
  <c r="B68" i="83"/>
  <c r="B67" i="83"/>
  <c r="B66" i="83"/>
  <c r="R65" i="83"/>
  <c r="P65" i="83"/>
  <c r="N65" i="83"/>
  <c r="L65" i="83"/>
  <c r="J65" i="83"/>
  <c r="H65" i="83"/>
  <c r="F65" i="83"/>
  <c r="D65" i="83"/>
  <c r="B65" i="83"/>
  <c r="B64" i="83"/>
  <c r="R63" i="83"/>
  <c r="P63" i="83"/>
  <c r="N63" i="83"/>
  <c r="L63" i="83"/>
  <c r="J63" i="83"/>
  <c r="H63" i="83"/>
  <c r="F63" i="83"/>
  <c r="D63" i="83"/>
  <c r="B63" i="83"/>
  <c r="B62" i="83"/>
  <c r="R61" i="83"/>
  <c r="P61" i="83"/>
  <c r="N61" i="83"/>
  <c r="L61" i="83"/>
  <c r="J61" i="83"/>
  <c r="H61" i="83"/>
  <c r="F61" i="83"/>
  <c r="D61" i="83"/>
  <c r="B61" i="83"/>
  <c r="B60" i="83"/>
  <c r="R59" i="83"/>
  <c r="P59" i="83"/>
  <c r="N59" i="83"/>
  <c r="L59" i="83"/>
  <c r="J59" i="83"/>
  <c r="H59" i="83"/>
  <c r="F59" i="83"/>
  <c r="D59" i="83"/>
  <c r="B59" i="83"/>
  <c r="B58" i="83"/>
  <c r="R57" i="83"/>
  <c r="P57" i="83"/>
  <c r="N57" i="83"/>
  <c r="L57" i="83"/>
  <c r="J57" i="83"/>
  <c r="H57" i="83"/>
  <c r="F57" i="83"/>
  <c r="D57" i="83"/>
  <c r="B57" i="83"/>
  <c r="B56" i="83"/>
  <c r="B55" i="83"/>
  <c r="R54" i="83"/>
  <c r="P54" i="83"/>
  <c r="N54" i="83"/>
  <c r="L54" i="83"/>
  <c r="J54" i="83"/>
  <c r="H54" i="83"/>
  <c r="F54" i="83"/>
  <c r="D54" i="83"/>
  <c r="B54" i="83"/>
  <c r="B53" i="83"/>
  <c r="R52" i="83"/>
  <c r="P52" i="83"/>
  <c r="N52" i="83"/>
  <c r="L52" i="83"/>
  <c r="J52" i="83"/>
  <c r="H52" i="83"/>
  <c r="F52" i="83"/>
  <c r="D52" i="83"/>
  <c r="B52" i="83"/>
  <c r="B51" i="83"/>
  <c r="R50" i="83"/>
  <c r="P50" i="83"/>
  <c r="N50" i="83"/>
  <c r="L50" i="83"/>
  <c r="J50" i="83"/>
  <c r="H50" i="83"/>
  <c r="F50" i="83"/>
  <c r="D50" i="83"/>
  <c r="B50" i="83"/>
  <c r="B49" i="83"/>
  <c r="R48" i="83"/>
  <c r="P48" i="83"/>
  <c r="N48" i="83"/>
  <c r="L48" i="83"/>
  <c r="J48" i="83"/>
  <c r="H48" i="83"/>
  <c r="F48" i="83"/>
  <c r="D48" i="83"/>
  <c r="B48" i="83"/>
  <c r="B47" i="83"/>
  <c r="B46" i="83"/>
  <c r="B45" i="83"/>
  <c r="B44" i="83"/>
  <c r="B43" i="83"/>
  <c r="B42" i="83"/>
  <c r="B41" i="83"/>
  <c r="B40" i="83"/>
  <c r="B39" i="83"/>
  <c r="B38" i="83"/>
  <c r="R37" i="83"/>
  <c r="P37" i="83"/>
  <c r="N37" i="83"/>
  <c r="L37" i="83"/>
  <c r="J37" i="83"/>
  <c r="H37" i="83"/>
  <c r="F37" i="83"/>
  <c r="D37" i="83"/>
  <c r="B37" i="83"/>
  <c r="B36" i="83"/>
  <c r="B35" i="83"/>
  <c r="B34" i="83"/>
  <c r="B33" i="83"/>
  <c r="B32" i="83"/>
  <c r="B31" i="83"/>
  <c r="B30" i="83"/>
  <c r="B29" i="83"/>
  <c r="B28" i="83"/>
  <c r="B27" i="83"/>
  <c r="R26" i="83"/>
  <c r="P26" i="83"/>
  <c r="N26" i="83"/>
  <c r="L26" i="83"/>
  <c r="J26" i="83"/>
  <c r="H26" i="83"/>
  <c r="F26" i="83"/>
  <c r="D26" i="83"/>
  <c r="B26" i="83"/>
  <c r="R25" i="83"/>
  <c r="P25" i="83"/>
  <c r="N25" i="83"/>
  <c r="L25" i="83"/>
  <c r="J25" i="83"/>
  <c r="H25" i="83"/>
  <c r="F25" i="83"/>
  <c r="D25" i="83"/>
  <c r="R23" i="83"/>
  <c r="R22" i="83"/>
  <c r="R101" i="83" s="1"/>
  <c r="B20" i="83"/>
  <c r="B19" i="83"/>
  <c r="B18" i="83"/>
  <c r="R17" i="83"/>
  <c r="P17" i="83"/>
  <c r="N17" i="83"/>
  <c r="L17" i="83"/>
  <c r="J17" i="83"/>
  <c r="H17" i="83"/>
  <c r="F17" i="83"/>
  <c r="D17" i="83"/>
  <c r="N15" i="83"/>
  <c r="L15" i="83"/>
  <c r="J15" i="83"/>
  <c r="H15" i="83"/>
  <c r="F15" i="83"/>
  <c r="D15" i="83"/>
  <c r="B15" i="83"/>
  <c r="N14" i="83"/>
  <c r="L14" i="83"/>
  <c r="J14" i="83"/>
  <c r="H14" i="83"/>
  <c r="F14" i="83"/>
  <c r="D14" i="83"/>
  <c r="B14" i="83"/>
  <c r="N13" i="83"/>
  <c r="L13" i="83"/>
  <c r="J13" i="83"/>
  <c r="H13" i="83"/>
  <c r="H10" i="83" s="1"/>
  <c r="H22" i="83" s="1"/>
  <c r="F13" i="83"/>
  <c r="D13" i="83"/>
  <c r="B13" i="83"/>
  <c r="N12" i="83"/>
  <c r="L12" i="83"/>
  <c r="J12" i="83"/>
  <c r="H12" i="83"/>
  <c r="F12" i="83"/>
  <c r="F10" i="83" s="1"/>
  <c r="F22" i="83" s="1"/>
  <c r="D12" i="83"/>
  <c r="B12" i="83"/>
  <c r="N11" i="83"/>
  <c r="L11" i="83"/>
  <c r="L10" i="83" s="1"/>
  <c r="L22" i="83" s="1"/>
  <c r="J11" i="83"/>
  <c r="H11" i="83"/>
  <c r="F11" i="83"/>
  <c r="D11" i="83"/>
  <c r="D10" i="83" s="1"/>
  <c r="D22" i="83" s="1"/>
  <c r="B11" i="83"/>
  <c r="R10" i="83"/>
  <c r="P10" i="83"/>
  <c r="N10" i="83"/>
  <c r="N22" i="83" s="1"/>
  <c r="D4" i="83"/>
  <c r="R54" i="82"/>
  <c r="P54" i="82"/>
  <c r="N54" i="82"/>
  <c r="L54" i="82"/>
  <c r="J54" i="82"/>
  <c r="H54" i="82"/>
  <c r="F54" i="82"/>
  <c r="D54" i="82"/>
  <c r="B52" i="82"/>
  <c r="B51" i="82"/>
  <c r="R50" i="82"/>
  <c r="P50" i="82"/>
  <c r="N50" i="82"/>
  <c r="L50" i="82"/>
  <c r="J50" i="82"/>
  <c r="H50" i="82"/>
  <c r="F50" i="82"/>
  <c r="D50" i="82"/>
  <c r="B50" i="82"/>
  <c r="B49" i="82"/>
  <c r="R48" i="82"/>
  <c r="P48" i="82"/>
  <c r="N48" i="82"/>
  <c r="L48" i="82"/>
  <c r="J48" i="82"/>
  <c r="H48" i="82"/>
  <c r="F48" i="82"/>
  <c r="D48" i="82"/>
  <c r="B48" i="82"/>
  <c r="B47" i="82"/>
  <c r="R46" i="82"/>
  <c r="P46" i="82"/>
  <c r="N46" i="82"/>
  <c r="L46" i="82"/>
  <c r="J46" i="82"/>
  <c r="H46" i="82"/>
  <c r="F46" i="82"/>
  <c r="D46" i="82"/>
  <c r="B46" i="82"/>
  <c r="B45" i="82"/>
  <c r="B44" i="82"/>
  <c r="B43" i="82"/>
  <c r="R42" i="82"/>
  <c r="P42" i="82"/>
  <c r="N42" i="82"/>
  <c r="L42" i="82"/>
  <c r="J42" i="82"/>
  <c r="H42" i="82"/>
  <c r="F42" i="82"/>
  <c r="D42" i="82"/>
  <c r="B42" i="82"/>
  <c r="B41" i="82"/>
  <c r="B40" i="82"/>
  <c r="R39" i="82"/>
  <c r="P39" i="82"/>
  <c r="N39" i="82"/>
  <c r="L39" i="82"/>
  <c r="J39" i="82"/>
  <c r="H39" i="82"/>
  <c r="F39" i="82"/>
  <c r="D39" i="82"/>
  <c r="B39" i="82"/>
  <c r="B38" i="82"/>
  <c r="R37" i="82"/>
  <c r="P37" i="82"/>
  <c r="N37" i="82"/>
  <c r="L37" i="82"/>
  <c r="J37" i="82"/>
  <c r="H37" i="82"/>
  <c r="F37" i="82"/>
  <c r="D37" i="82"/>
  <c r="B37" i="82"/>
  <c r="B36" i="82"/>
  <c r="R35" i="82"/>
  <c r="P35" i="82"/>
  <c r="N35" i="82"/>
  <c r="L35" i="82"/>
  <c r="J35" i="82"/>
  <c r="H35" i="82"/>
  <c r="F35" i="82"/>
  <c r="D35" i="82"/>
  <c r="B35" i="82"/>
  <c r="B34" i="82"/>
  <c r="R33" i="82"/>
  <c r="P33" i="82"/>
  <c r="N33" i="82"/>
  <c r="L33" i="82"/>
  <c r="J33" i="82"/>
  <c r="H33" i="82"/>
  <c r="F33" i="82"/>
  <c r="D33" i="82"/>
  <c r="B33" i="82"/>
  <c r="B32" i="82"/>
  <c r="B31" i="82"/>
  <c r="B30" i="82"/>
  <c r="B29" i="82"/>
  <c r="B28" i="82"/>
  <c r="R27" i="82"/>
  <c r="P27" i="82"/>
  <c r="N27" i="82"/>
  <c r="L27" i="82"/>
  <c r="J27" i="82"/>
  <c r="H27" i="82"/>
  <c r="F27" i="82"/>
  <c r="D27" i="82"/>
  <c r="B27" i="82"/>
  <c r="B26" i="82"/>
  <c r="B25" i="82"/>
  <c r="B24" i="82"/>
  <c r="B23" i="82"/>
  <c r="B22" i="82"/>
  <c r="B21" i="82"/>
  <c r="B20" i="82"/>
  <c r="B19" i="82"/>
  <c r="R18" i="82"/>
  <c r="P18" i="82"/>
  <c r="N18" i="82"/>
  <c r="L18" i="82"/>
  <c r="J18" i="82"/>
  <c r="H18" i="82"/>
  <c r="F18" i="82"/>
  <c r="D18" i="82"/>
  <c r="B18" i="82"/>
  <c r="R17" i="82"/>
  <c r="P17" i="82"/>
  <c r="N17" i="82"/>
  <c r="L17" i="82"/>
  <c r="J17" i="82"/>
  <c r="H17" i="82"/>
  <c r="F17" i="82"/>
  <c r="D17" i="82"/>
  <c r="R12" i="82"/>
  <c r="P12" i="82"/>
  <c r="N12" i="82"/>
  <c r="L12" i="82"/>
  <c r="J12" i="82"/>
  <c r="H12" i="82"/>
  <c r="F12" i="82"/>
  <c r="D12" i="82"/>
  <c r="R10" i="82"/>
  <c r="R14" i="82" s="1"/>
  <c r="P10" i="82"/>
  <c r="P14" i="82" s="1"/>
  <c r="P15" i="82" s="1"/>
  <c r="N10" i="82"/>
  <c r="N14" i="82" s="1"/>
  <c r="L10" i="82"/>
  <c r="L14" i="82" s="1"/>
  <c r="J10" i="82"/>
  <c r="J14" i="82" s="1"/>
  <c r="H10" i="82"/>
  <c r="H14" i="82" s="1"/>
  <c r="H15" i="82" s="1"/>
  <c r="F10" i="82"/>
  <c r="F14" i="82" s="1"/>
  <c r="D10" i="82"/>
  <c r="D14" i="82" s="1"/>
  <c r="D4" i="82"/>
  <c r="R31" i="81"/>
  <c r="P31" i="81"/>
  <c r="N31" i="81"/>
  <c r="L31" i="81"/>
  <c r="J31" i="81"/>
  <c r="H31" i="81"/>
  <c r="F31" i="81"/>
  <c r="D31" i="81"/>
  <c r="B29" i="81"/>
  <c r="R28" i="81"/>
  <c r="P28" i="81"/>
  <c r="N28" i="81"/>
  <c r="L28" i="81"/>
  <c r="J28" i="81"/>
  <c r="H28" i="81"/>
  <c r="F28" i="81"/>
  <c r="D28" i="81"/>
  <c r="B28" i="81"/>
  <c r="B27" i="81"/>
  <c r="R26" i="81"/>
  <c r="P26" i="81"/>
  <c r="N26" i="81"/>
  <c r="L26" i="81"/>
  <c r="J26" i="81"/>
  <c r="H26" i="81"/>
  <c r="F26" i="81"/>
  <c r="D26" i="81"/>
  <c r="B26" i="81"/>
  <c r="B25" i="81"/>
  <c r="R24" i="81"/>
  <c r="P24" i="81"/>
  <c r="N24" i="81"/>
  <c r="L24" i="81"/>
  <c r="J24" i="81"/>
  <c r="H24" i="81"/>
  <c r="F24" i="81"/>
  <c r="D24" i="81"/>
  <c r="B24" i="81"/>
  <c r="R23" i="81"/>
  <c r="P23" i="81"/>
  <c r="N23" i="81"/>
  <c r="L23" i="81"/>
  <c r="J23" i="81"/>
  <c r="H23" i="81"/>
  <c r="F23" i="81"/>
  <c r="D23" i="81"/>
  <c r="F20" i="81"/>
  <c r="B18" i="81"/>
  <c r="B17" i="81"/>
  <c r="B16" i="81"/>
  <c r="R15" i="81"/>
  <c r="P15" i="81"/>
  <c r="N15" i="81"/>
  <c r="L15" i="81"/>
  <c r="J15" i="81"/>
  <c r="H15" i="81"/>
  <c r="F15" i="81"/>
  <c r="D15" i="81"/>
  <c r="N13" i="81"/>
  <c r="L13" i="81"/>
  <c r="J13" i="81"/>
  <c r="H13" i="81"/>
  <c r="F13" i="81"/>
  <c r="D13" i="81"/>
  <c r="B13" i="81"/>
  <c r="N12" i="81"/>
  <c r="L12" i="81"/>
  <c r="J12" i="81"/>
  <c r="H12" i="81"/>
  <c r="F12" i="81"/>
  <c r="F10" i="81" s="1"/>
  <c r="D12" i="81"/>
  <c r="B12" i="81"/>
  <c r="N11" i="81"/>
  <c r="L11" i="81"/>
  <c r="L10" i="81" s="1"/>
  <c r="L20" i="81" s="1"/>
  <c r="J11" i="81"/>
  <c r="J10" i="81" s="1"/>
  <c r="J20" i="81" s="1"/>
  <c r="H11" i="81"/>
  <c r="F11" i="81"/>
  <c r="D11" i="81"/>
  <c r="D10" i="81" s="1"/>
  <c r="D20" i="81" s="1"/>
  <c r="B11" i="81"/>
  <c r="R10" i="81"/>
  <c r="P10" i="81"/>
  <c r="P20" i="81" s="1"/>
  <c r="P21" i="81" s="1"/>
  <c r="N10" i="81"/>
  <c r="N20" i="81" s="1"/>
  <c r="D4" i="81"/>
  <c r="R194" i="80"/>
  <c r="P194" i="80"/>
  <c r="N194" i="80"/>
  <c r="L194" i="80"/>
  <c r="J194" i="80"/>
  <c r="H194" i="80"/>
  <c r="F194" i="80"/>
  <c r="D194" i="80"/>
  <c r="B192" i="80"/>
  <c r="R191" i="80"/>
  <c r="P191" i="80"/>
  <c r="N191" i="80"/>
  <c r="L191" i="80"/>
  <c r="J191" i="80"/>
  <c r="H191" i="80"/>
  <c r="F191" i="80"/>
  <c r="D191" i="80"/>
  <c r="B191" i="80"/>
  <c r="B190" i="80"/>
  <c r="B189" i="80"/>
  <c r="B188" i="80"/>
  <c r="R187" i="80"/>
  <c r="P187" i="80"/>
  <c r="N187" i="80"/>
  <c r="L187" i="80"/>
  <c r="J187" i="80"/>
  <c r="H187" i="80"/>
  <c r="F187" i="80"/>
  <c r="D187" i="80"/>
  <c r="B187" i="80"/>
  <c r="B186" i="80"/>
  <c r="R185" i="80"/>
  <c r="P185" i="80"/>
  <c r="N185" i="80"/>
  <c r="L185" i="80"/>
  <c r="J185" i="80"/>
  <c r="H185" i="80"/>
  <c r="F185" i="80"/>
  <c r="D185" i="80"/>
  <c r="B185" i="80"/>
  <c r="B184" i="80"/>
  <c r="B183" i="80"/>
  <c r="R182" i="80"/>
  <c r="P182" i="80"/>
  <c r="N182" i="80"/>
  <c r="L182" i="80"/>
  <c r="J182" i="80"/>
  <c r="H182" i="80"/>
  <c r="F182" i="80"/>
  <c r="D182" i="80"/>
  <c r="B182" i="80"/>
  <c r="B181" i="80"/>
  <c r="B180" i="80"/>
  <c r="B179" i="80"/>
  <c r="B178" i="80"/>
  <c r="B177" i="80"/>
  <c r="B176" i="80"/>
  <c r="B175" i="80"/>
  <c r="B174" i="80"/>
  <c r="R173" i="80"/>
  <c r="P173" i="80"/>
  <c r="N173" i="80"/>
  <c r="L173" i="80"/>
  <c r="J173" i="80"/>
  <c r="H173" i="80"/>
  <c r="F173" i="80"/>
  <c r="D173" i="80"/>
  <c r="B173" i="80"/>
  <c r="B172" i="80"/>
  <c r="B171" i="80"/>
  <c r="R170" i="80"/>
  <c r="P170" i="80"/>
  <c r="N170" i="80"/>
  <c r="L170" i="80"/>
  <c r="J170" i="80"/>
  <c r="H170" i="80"/>
  <c r="F170" i="80"/>
  <c r="D170" i="80"/>
  <c r="B170" i="80"/>
  <c r="B169" i="80"/>
  <c r="B168" i="80"/>
  <c r="B167" i="80"/>
  <c r="R166" i="80"/>
  <c r="P166" i="80"/>
  <c r="N166" i="80"/>
  <c r="L166" i="80"/>
  <c r="J166" i="80"/>
  <c r="H166" i="80"/>
  <c r="F166" i="80"/>
  <c r="D166" i="80"/>
  <c r="B166" i="80"/>
  <c r="B165" i="80"/>
  <c r="B164" i="80"/>
  <c r="B163" i="80"/>
  <c r="R162" i="80"/>
  <c r="P162" i="80"/>
  <c r="N162" i="80"/>
  <c r="L162" i="80"/>
  <c r="J162" i="80"/>
  <c r="H162" i="80"/>
  <c r="F162" i="80"/>
  <c r="D162" i="80"/>
  <c r="B162" i="80"/>
  <c r="B161" i="80"/>
  <c r="R160" i="80"/>
  <c r="P160" i="80"/>
  <c r="N160" i="80"/>
  <c r="L160" i="80"/>
  <c r="J160" i="80"/>
  <c r="H160" i="80"/>
  <c r="F160" i="80"/>
  <c r="D160" i="80"/>
  <c r="B160" i="80"/>
  <c r="B159" i="80"/>
  <c r="R158" i="80"/>
  <c r="P158" i="80"/>
  <c r="N158" i="80"/>
  <c r="L158" i="80"/>
  <c r="J158" i="80"/>
  <c r="H158" i="80"/>
  <c r="F158" i="80"/>
  <c r="D158" i="80"/>
  <c r="B158" i="80"/>
  <c r="B157" i="80"/>
  <c r="B156" i="80"/>
  <c r="B155" i="80"/>
  <c r="B154" i="80"/>
  <c r="B153" i="80"/>
  <c r="B152" i="80"/>
  <c r="B151" i="80"/>
  <c r="B150" i="80"/>
  <c r="B149" i="80"/>
  <c r="B148" i="80"/>
  <c r="B147" i="80"/>
  <c r="B146" i="80"/>
  <c r="B145" i="80"/>
  <c r="B144" i="80"/>
  <c r="B143" i="80"/>
  <c r="B142" i="80"/>
  <c r="B141" i="80"/>
  <c r="B140" i="80"/>
  <c r="B139" i="80"/>
  <c r="B138" i="80"/>
  <c r="B137" i="80"/>
  <c r="R136" i="80"/>
  <c r="P136" i="80"/>
  <c r="N136" i="80"/>
  <c r="L136" i="80"/>
  <c r="J136" i="80"/>
  <c r="H136" i="80"/>
  <c r="F136" i="80"/>
  <c r="D136" i="80"/>
  <c r="B136" i="80"/>
  <c r="B135" i="80"/>
  <c r="R134" i="80"/>
  <c r="P134" i="80"/>
  <c r="N134" i="80"/>
  <c r="L134" i="80"/>
  <c r="J134" i="80"/>
  <c r="H134" i="80"/>
  <c r="F134" i="80"/>
  <c r="D134" i="80"/>
  <c r="B134" i="80"/>
  <c r="B133" i="80"/>
  <c r="B132" i="80"/>
  <c r="R131" i="80"/>
  <c r="P131" i="80"/>
  <c r="N131" i="80"/>
  <c r="L131" i="80"/>
  <c r="J131" i="80"/>
  <c r="H131" i="80"/>
  <c r="F131" i="80"/>
  <c r="D131" i="80"/>
  <c r="B131" i="80"/>
  <c r="B130" i="80"/>
  <c r="B129" i="80"/>
  <c r="R128" i="80"/>
  <c r="P128" i="80"/>
  <c r="N128" i="80"/>
  <c r="L128" i="80"/>
  <c r="J128" i="80"/>
  <c r="H128" i="80"/>
  <c r="F128" i="80"/>
  <c r="D128" i="80"/>
  <c r="B128" i="80"/>
  <c r="B127" i="80"/>
  <c r="R126" i="80"/>
  <c r="P126" i="80"/>
  <c r="N126" i="80"/>
  <c r="L126" i="80"/>
  <c r="J126" i="80"/>
  <c r="H126" i="80"/>
  <c r="F126" i="80"/>
  <c r="D126" i="80"/>
  <c r="B126" i="80"/>
  <c r="B125" i="80"/>
  <c r="B124" i="80"/>
  <c r="R123" i="80"/>
  <c r="P123" i="80"/>
  <c r="N123" i="80"/>
  <c r="L123" i="80"/>
  <c r="J123" i="80"/>
  <c r="H123" i="80"/>
  <c r="F123" i="80"/>
  <c r="D123" i="80"/>
  <c r="B123" i="80"/>
  <c r="B122" i="80"/>
  <c r="B121" i="80"/>
  <c r="R120" i="80"/>
  <c r="P120" i="80"/>
  <c r="N120" i="80"/>
  <c r="L120" i="80"/>
  <c r="J120" i="80"/>
  <c r="H120" i="80"/>
  <c r="F120" i="80"/>
  <c r="D120" i="80"/>
  <c r="B120" i="80"/>
  <c r="B119" i="80"/>
  <c r="R118" i="80"/>
  <c r="P118" i="80"/>
  <c r="N118" i="80"/>
  <c r="L118" i="80"/>
  <c r="J118" i="80"/>
  <c r="H118" i="80"/>
  <c r="F118" i="80"/>
  <c r="D118" i="80"/>
  <c r="B118" i="80"/>
  <c r="B117" i="80"/>
  <c r="R116" i="80"/>
  <c r="P116" i="80"/>
  <c r="N116" i="80"/>
  <c r="L116" i="80"/>
  <c r="J116" i="80"/>
  <c r="H116" i="80"/>
  <c r="F116" i="80"/>
  <c r="D116" i="80"/>
  <c r="B116" i="80"/>
  <c r="B115" i="80"/>
  <c r="R114" i="80"/>
  <c r="P114" i="80"/>
  <c r="N114" i="80"/>
  <c r="L114" i="80"/>
  <c r="J114" i="80"/>
  <c r="H114" i="80"/>
  <c r="F114" i="80"/>
  <c r="D114" i="80"/>
  <c r="B114" i="80"/>
  <c r="B113" i="80"/>
  <c r="B112" i="80"/>
  <c r="B111" i="80"/>
  <c r="B110" i="80"/>
  <c r="B109" i="80"/>
  <c r="B108" i="80"/>
  <c r="B107" i="80"/>
  <c r="B106" i="80"/>
  <c r="B105" i="80"/>
  <c r="B104" i="80"/>
  <c r="R103" i="80"/>
  <c r="P103" i="80"/>
  <c r="N103" i="80"/>
  <c r="L103" i="80"/>
  <c r="J103" i="80"/>
  <c r="H103" i="80"/>
  <c r="F103" i="80"/>
  <c r="D103" i="80"/>
  <c r="B103" i="80"/>
  <c r="B102" i="80"/>
  <c r="B101" i="80"/>
  <c r="B100" i="80"/>
  <c r="B99" i="80"/>
  <c r="B98" i="80"/>
  <c r="B97" i="80"/>
  <c r="B96" i="80"/>
  <c r="B95" i="80"/>
  <c r="B94" i="80"/>
  <c r="R93" i="80"/>
  <c r="P93" i="80"/>
  <c r="N93" i="80"/>
  <c r="L93" i="80"/>
  <c r="J93" i="80"/>
  <c r="H93" i="80"/>
  <c r="F93" i="80"/>
  <c r="D93" i="80"/>
  <c r="B93" i="80"/>
  <c r="R92" i="80"/>
  <c r="P92" i="80"/>
  <c r="N92" i="80"/>
  <c r="L92" i="80"/>
  <c r="J92" i="80"/>
  <c r="H92" i="80"/>
  <c r="F92" i="80"/>
  <c r="D92" i="80"/>
  <c r="N89" i="80"/>
  <c r="B87" i="80"/>
  <c r="B86" i="80"/>
  <c r="B85" i="80"/>
  <c r="B84" i="80"/>
  <c r="B83" i="80"/>
  <c r="B82" i="80"/>
  <c r="B81" i="80"/>
  <c r="B80" i="80"/>
  <c r="B79" i="80"/>
  <c r="B78" i="80"/>
  <c r="B77" i="80"/>
  <c r="B76" i="80"/>
  <c r="B75" i="80"/>
  <c r="B74" i="80"/>
  <c r="B73" i="80"/>
  <c r="B72" i="80"/>
  <c r="B71" i="80"/>
  <c r="B70" i="80"/>
  <c r="B69" i="80"/>
  <c r="B68" i="80"/>
  <c r="B67" i="80"/>
  <c r="B66" i="80"/>
  <c r="B65" i="80"/>
  <c r="B64" i="80"/>
  <c r="B63" i="80"/>
  <c r="B62" i="80"/>
  <c r="B61" i="80"/>
  <c r="B60" i="80"/>
  <c r="B59" i="80"/>
  <c r="B58" i="80"/>
  <c r="R57" i="80"/>
  <c r="P57" i="80"/>
  <c r="N57" i="80"/>
  <c r="L57" i="80"/>
  <c r="J57" i="80"/>
  <c r="H57" i="80"/>
  <c r="F57" i="80"/>
  <c r="D57" i="80"/>
  <c r="N55" i="80"/>
  <c r="L55" i="80"/>
  <c r="J55" i="80"/>
  <c r="H55" i="80"/>
  <c r="F55" i="80"/>
  <c r="D55" i="80"/>
  <c r="B55" i="80"/>
  <c r="N54" i="80"/>
  <c r="L54" i="80"/>
  <c r="J54" i="80"/>
  <c r="H54" i="80"/>
  <c r="F54" i="80"/>
  <c r="D54" i="80"/>
  <c r="B54" i="80"/>
  <c r="N53" i="80"/>
  <c r="L53" i="80"/>
  <c r="J53" i="80"/>
  <c r="H53" i="80"/>
  <c r="F53" i="80"/>
  <c r="D53" i="80"/>
  <c r="B53" i="80"/>
  <c r="N52" i="80"/>
  <c r="L52" i="80"/>
  <c r="J52" i="80"/>
  <c r="H52" i="80"/>
  <c r="F52" i="80"/>
  <c r="D52" i="80"/>
  <c r="B52" i="80"/>
  <c r="N51" i="80"/>
  <c r="L51" i="80"/>
  <c r="J51" i="80"/>
  <c r="H51" i="80"/>
  <c r="F51" i="80"/>
  <c r="D51" i="80"/>
  <c r="B51" i="80"/>
  <c r="N50" i="80"/>
  <c r="L50" i="80"/>
  <c r="J50" i="80"/>
  <c r="H50" i="80"/>
  <c r="F50" i="80"/>
  <c r="D50" i="80"/>
  <c r="B50" i="80"/>
  <c r="N49" i="80"/>
  <c r="L49" i="80"/>
  <c r="J49" i="80"/>
  <c r="H49" i="80"/>
  <c r="F49" i="80"/>
  <c r="D49" i="80"/>
  <c r="B49" i="80"/>
  <c r="N48" i="80"/>
  <c r="L48" i="80"/>
  <c r="J48" i="80"/>
  <c r="H48" i="80"/>
  <c r="F48" i="80"/>
  <c r="D48" i="80"/>
  <c r="B48" i="80"/>
  <c r="N47" i="80"/>
  <c r="L47" i="80"/>
  <c r="J47" i="80"/>
  <c r="H47" i="80"/>
  <c r="F47" i="80"/>
  <c r="D47" i="80"/>
  <c r="B47" i="80"/>
  <c r="N46" i="80"/>
  <c r="L46" i="80"/>
  <c r="J46" i="80"/>
  <c r="H46" i="80"/>
  <c r="F46" i="80"/>
  <c r="D46" i="80"/>
  <c r="B46" i="80"/>
  <c r="N45" i="80"/>
  <c r="L45" i="80"/>
  <c r="J45" i="80"/>
  <c r="H45" i="80"/>
  <c r="F45" i="80"/>
  <c r="D45" i="80"/>
  <c r="B45" i="80"/>
  <c r="N44" i="80"/>
  <c r="L44" i="80"/>
  <c r="J44" i="80"/>
  <c r="H44" i="80"/>
  <c r="F44" i="80"/>
  <c r="D44" i="80"/>
  <c r="B44" i="80"/>
  <c r="N43" i="80"/>
  <c r="L43" i="80"/>
  <c r="J43" i="80"/>
  <c r="H43" i="80"/>
  <c r="F43" i="80"/>
  <c r="D43" i="80"/>
  <c r="B43" i="80"/>
  <c r="N42" i="80"/>
  <c r="L42" i="80"/>
  <c r="J42" i="80"/>
  <c r="H42" i="80"/>
  <c r="F42" i="80"/>
  <c r="D42" i="80"/>
  <c r="B42" i="80"/>
  <c r="N41" i="80"/>
  <c r="L41" i="80"/>
  <c r="J41" i="80"/>
  <c r="H41" i="80"/>
  <c r="F41" i="80"/>
  <c r="D41" i="80"/>
  <c r="B41" i="80"/>
  <c r="N40" i="80"/>
  <c r="L40" i="80"/>
  <c r="J40" i="80"/>
  <c r="H40" i="80"/>
  <c r="F40" i="80"/>
  <c r="D40" i="80"/>
  <c r="B40" i="80"/>
  <c r="N39" i="80"/>
  <c r="L39" i="80"/>
  <c r="J39" i="80"/>
  <c r="H39" i="80"/>
  <c r="F39" i="80"/>
  <c r="D39" i="80"/>
  <c r="B39" i="80"/>
  <c r="N38" i="80"/>
  <c r="L38" i="80"/>
  <c r="J38" i="80"/>
  <c r="H38" i="80"/>
  <c r="F38" i="80"/>
  <c r="D38" i="80"/>
  <c r="B38" i="80"/>
  <c r="N37" i="80"/>
  <c r="L37" i="80"/>
  <c r="J37" i="80"/>
  <c r="H37" i="80"/>
  <c r="F37" i="80"/>
  <c r="D37" i="80"/>
  <c r="B37" i="80"/>
  <c r="N36" i="80"/>
  <c r="L36" i="80"/>
  <c r="J36" i="80"/>
  <c r="H36" i="80"/>
  <c r="F36" i="80"/>
  <c r="D36" i="80"/>
  <c r="B36" i="80"/>
  <c r="N35" i="80"/>
  <c r="L35" i="80"/>
  <c r="J35" i="80"/>
  <c r="H35" i="80"/>
  <c r="F35" i="80"/>
  <c r="D35" i="80"/>
  <c r="B35" i="80"/>
  <c r="N34" i="80"/>
  <c r="L34" i="80"/>
  <c r="J34" i="80"/>
  <c r="H34" i="80"/>
  <c r="F34" i="80"/>
  <c r="D34" i="80"/>
  <c r="B34" i="80"/>
  <c r="N33" i="80"/>
  <c r="L33" i="80"/>
  <c r="J33" i="80"/>
  <c r="H33" i="80"/>
  <c r="F33" i="80"/>
  <c r="D33" i="80"/>
  <c r="B33" i="80"/>
  <c r="N32" i="80"/>
  <c r="L32" i="80"/>
  <c r="J32" i="80"/>
  <c r="H32" i="80"/>
  <c r="F32" i="80"/>
  <c r="D32" i="80"/>
  <c r="B32" i="80"/>
  <c r="N31" i="80"/>
  <c r="L31" i="80"/>
  <c r="J31" i="80"/>
  <c r="H31" i="80"/>
  <c r="F31" i="80"/>
  <c r="D31" i="80"/>
  <c r="B31" i="80"/>
  <c r="N30" i="80"/>
  <c r="L30" i="80"/>
  <c r="J30" i="80"/>
  <c r="H30" i="80"/>
  <c r="F30" i="80"/>
  <c r="D30" i="80"/>
  <c r="B30" i="80"/>
  <c r="N29" i="80"/>
  <c r="L29" i="80"/>
  <c r="J29" i="80"/>
  <c r="H29" i="80"/>
  <c r="F29" i="80"/>
  <c r="D29" i="80"/>
  <c r="B29" i="80"/>
  <c r="N28" i="80"/>
  <c r="L28" i="80"/>
  <c r="J28" i="80"/>
  <c r="H28" i="80"/>
  <c r="F28" i="80"/>
  <c r="D28" i="80"/>
  <c r="B28" i="80"/>
  <c r="N27" i="80"/>
  <c r="L27" i="80"/>
  <c r="J27" i="80"/>
  <c r="H27" i="80"/>
  <c r="F27" i="80"/>
  <c r="D27" i="80"/>
  <c r="B27" i="80"/>
  <c r="N26" i="80"/>
  <c r="L26" i="80"/>
  <c r="J26" i="80"/>
  <c r="H26" i="80"/>
  <c r="F26" i="80"/>
  <c r="D26" i="80"/>
  <c r="B26" i="80"/>
  <c r="N25" i="80"/>
  <c r="L25" i="80"/>
  <c r="J25" i="80"/>
  <c r="H25" i="80"/>
  <c r="F25" i="80"/>
  <c r="D25" i="80"/>
  <c r="B25" i="80"/>
  <c r="N24" i="80"/>
  <c r="L24" i="80"/>
  <c r="J24" i="80"/>
  <c r="H24" i="80"/>
  <c r="F24" i="80"/>
  <c r="D24" i="80"/>
  <c r="B24" i="80"/>
  <c r="N23" i="80"/>
  <c r="L23" i="80"/>
  <c r="J23" i="80"/>
  <c r="H23" i="80"/>
  <c r="F23" i="80"/>
  <c r="D23" i="80"/>
  <c r="B23" i="80"/>
  <c r="N22" i="80"/>
  <c r="L22" i="80"/>
  <c r="J22" i="80"/>
  <c r="H22" i="80"/>
  <c r="F22" i="80"/>
  <c r="D22" i="80"/>
  <c r="B22" i="80"/>
  <c r="N21" i="80"/>
  <c r="L21" i="80"/>
  <c r="J21" i="80"/>
  <c r="H21" i="80"/>
  <c r="F21" i="80"/>
  <c r="D21" i="80"/>
  <c r="B21" i="80"/>
  <c r="N20" i="80"/>
  <c r="L20" i="80"/>
  <c r="J20" i="80"/>
  <c r="H20" i="80"/>
  <c r="F20" i="80"/>
  <c r="D20" i="80"/>
  <c r="B20" i="80"/>
  <c r="N19" i="80"/>
  <c r="L19" i="80"/>
  <c r="J19" i="80"/>
  <c r="H19" i="80"/>
  <c r="F19" i="80"/>
  <c r="D19" i="80"/>
  <c r="B19" i="80"/>
  <c r="N18" i="80"/>
  <c r="L18" i="80"/>
  <c r="J18" i="80"/>
  <c r="H18" i="80"/>
  <c r="F18" i="80"/>
  <c r="D18" i="80"/>
  <c r="B18" i="80"/>
  <c r="N17" i="80"/>
  <c r="L17" i="80"/>
  <c r="J17" i="80"/>
  <c r="H17" i="80"/>
  <c r="F17" i="80"/>
  <c r="D17" i="80"/>
  <c r="B17" i="80"/>
  <c r="N16" i="80"/>
  <c r="L16" i="80"/>
  <c r="J16" i="80"/>
  <c r="H16" i="80"/>
  <c r="F16" i="80"/>
  <c r="D16" i="80"/>
  <c r="B16" i="80"/>
  <c r="N15" i="80"/>
  <c r="L15" i="80"/>
  <c r="J15" i="80"/>
  <c r="H15" i="80"/>
  <c r="F15" i="80"/>
  <c r="D15" i="80"/>
  <c r="B15" i="80"/>
  <c r="N14" i="80"/>
  <c r="L14" i="80"/>
  <c r="J14" i="80"/>
  <c r="H14" i="80"/>
  <c r="F14" i="80"/>
  <c r="D14" i="80"/>
  <c r="B14" i="80"/>
  <c r="N13" i="80"/>
  <c r="L13" i="80"/>
  <c r="J13" i="80"/>
  <c r="H13" i="80"/>
  <c r="F13" i="80"/>
  <c r="D13" i="80"/>
  <c r="B13" i="80"/>
  <c r="N12" i="80"/>
  <c r="L12" i="80"/>
  <c r="J12" i="80"/>
  <c r="J10" i="80" s="1"/>
  <c r="J89" i="80" s="1"/>
  <c r="H12" i="80"/>
  <c r="H10" i="80" s="1"/>
  <c r="H89" i="80" s="1"/>
  <c r="F12" i="80"/>
  <c r="F10" i="80" s="1"/>
  <c r="F89" i="80" s="1"/>
  <c r="F90" i="80" s="1"/>
  <c r="D12" i="80"/>
  <c r="B12" i="80"/>
  <c r="N11" i="80"/>
  <c r="L11" i="80"/>
  <c r="L10" i="80" s="1"/>
  <c r="L89" i="80" s="1"/>
  <c r="J11" i="80"/>
  <c r="H11" i="80"/>
  <c r="F11" i="80"/>
  <c r="D11" i="80"/>
  <c r="D10" i="80" s="1"/>
  <c r="D89" i="80" s="1"/>
  <c r="B11" i="80"/>
  <c r="R10" i="80"/>
  <c r="P10" i="80"/>
  <c r="P89" i="80" s="1"/>
  <c r="N10" i="80"/>
  <c r="D4" i="80"/>
  <c r="P110" i="79"/>
  <c r="P111" i="79" s="1"/>
  <c r="P106" i="79"/>
  <c r="P107" i="79" s="1"/>
  <c r="D106" i="79"/>
  <c r="P101" i="79"/>
  <c r="P102" i="79" s="1"/>
  <c r="R99" i="79"/>
  <c r="P99" i="79"/>
  <c r="N99" i="79"/>
  <c r="L99" i="79"/>
  <c r="J99" i="79"/>
  <c r="H99" i="79"/>
  <c r="F99" i="79"/>
  <c r="D99" i="79"/>
  <c r="D101" i="79" s="1"/>
  <c r="D102" i="79" s="1"/>
  <c r="B97" i="79"/>
  <c r="R96" i="79"/>
  <c r="P96" i="79"/>
  <c r="N96" i="79"/>
  <c r="L96" i="79"/>
  <c r="J96" i="79"/>
  <c r="H96" i="79"/>
  <c r="F96" i="79"/>
  <c r="D96" i="79"/>
  <c r="B96" i="79"/>
  <c r="B95" i="79"/>
  <c r="R94" i="79"/>
  <c r="P94" i="79"/>
  <c r="N94" i="79"/>
  <c r="L94" i="79"/>
  <c r="J94" i="79"/>
  <c r="H94" i="79"/>
  <c r="F94" i="79"/>
  <c r="D94" i="79"/>
  <c r="B94" i="79"/>
  <c r="B93" i="79"/>
  <c r="R92" i="79"/>
  <c r="P92" i="79"/>
  <c r="N92" i="79"/>
  <c r="L92" i="79"/>
  <c r="J92" i="79"/>
  <c r="H92" i="79"/>
  <c r="F92" i="79"/>
  <c r="D92" i="79"/>
  <c r="B92" i="79"/>
  <c r="B91" i="79"/>
  <c r="B90" i="79"/>
  <c r="R89" i="79"/>
  <c r="P89" i="79"/>
  <c r="N89" i="79"/>
  <c r="L89" i="79"/>
  <c r="J89" i="79"/>
  <c r="H89" i="79"/>
  <c r="F89" i="79"/>
  <c r="D89" i="79"/>
  <c r="B89" i="79"/>
  <c r="B88" i="79"/>
  <c r="B87" i="79"/>
  <c r="B86" i="79"/>
  <c r="B85" i="79"/>
  <c r="B84" i="79"/>
  <c r="B83" i="79"/>
  <c r="B82" i="79"/>
  <c r="B81" i="79"/>
  <c r="R80" i="79"/>
  <c r="P80" i="79"/>
  <c r="N80" i="79"/>
  <c r="L80" i="79"/>
  <c r="J80" i="79"/>
  <c r="H80" i="79"/>
  <c r="F80" i="79"/>
  <c r="D80" i="79"/>
  <c r="B80" i="79"/>
  <c r="B79" i="79"/>
  <c r="B78" i="79"/>
  <c r="R77" i="79"/>
  <c r="P77" i="79"/>
  <c r="N77" i="79"/>
  <c r="L77" i="79"/>
  <c r="J77" i="79"/>
  <c r="H77" i="79"/>
  <c r="F77" i="79"/>
  <c r="D77" i="79"/>
  <c r="B77" i="79"/>
  <c r="B76" i="79"/>
  <c r="B75" i="79"/>
  <c r="B74" i="79"/>
  <c r="B73" i="79"/>
  <c r="R72" i="79"/>
  <c r="P72" i="79"/>
  <c r="N72" i="79"/>
  <c r="L72" i="79"/>
  <c r="J72" i="79"/>
  <c r="H72" i="79"/>
  <c r="F72" i="79"/>
  <c r="D72" i="79"/>
  <c r="B72" i="79"/>
  <c r="B71" i="79"/>
  <c r="B70" i="79"/>
  <c r="B69" i="79"/>
  <c r="B68" i="79"/>
  <c r="R67" i="79"/>
  <c r="P67" i="79"/>
  <c r="N67" i="79"/>
  <c r="L67" i="79"/>
  <c r="J67" i="79"/>
  <c r="H67" i="79"/>
  <c r="F67" i="79"/>
  <c r="D67" i="79"/>
  <c r="B67" i="79"/>
  <c r="B66" i="79"/>
  <c r="R65" i="79"/>
  <c r="P65" i="79"/>
  <c r="N65" i="79"/>
  <c r="L65" i="79"/>
  <c r="J65" i="79"/>
  <c r="H65" i="79"/>
  <c r="F65" i="79"/>
  <c r="D65" i="79"/>
  <c r="B65" i="79"/>
  <c r="B64" i="79"/>
  <c r="R63" i="79"/>
  <c r="P63" i="79"/>
  <c r="N63" i="79"/>
  <c r="L63" i="79"/>
  <c r="J63" i="79"/>
  <c r="H63" i="79"/>
  <c r="F63" i="79"/>
  <c r="D63" i="79"/>
  <c r="B63" i="79"/>
  <c r="B62" i="79"/>
  <c r="R61" i="79"/>
  <c r="P61" i="79"/>
  <c r="N61" i="79"/>
  <c r="L61" i="79"/>
  <c r="J61" i="79"/>
  <c r="H61" i="79"/>
  <c r="F61" i="79"/>
  <c r="D61" i="79"/>
  <c r="B61" i="79"/>
  <c r="B60" i="79"/>
  <c r="R59" i="79"/>
  <c r="P59" i="79"/>
  <c r="N59" i="79"/>
  <c r="L59" i="79"/>
  <c r="J59" i="79"/>
  <c r="H59" i="79"/>
  <c r="F59" i="79"/>
  <c r="D59" i="79"/>
  <c r="B59" i="79"/>
  <c r="B58" i="79"/>
  <c r="R57" i="79"/>
  <c r="P57" i="79"/>
  <c r="N57" i="79"/>
  <c r="L57" i="79"/>
  <c r="J57" i="79"/>
  <c r="H57" i="79"/>
  <c r="F57" i="79"/>
  <c r="D57" i="79"/>
  <c r="B57" i="79"/>
  <c r="B56" i="79"/>
  <c r="R55" i="79"/>
  <c r="P55" i="79"/>
  <c r="N55" i="79"/>
  <c r="L55" i="79"/>
  <c r="J55" i="79"/>
  <c r="H55" i="79"/>
  <c r="F55" i="79"/>
  <c r="D55" i="79"/>
  <c r="B55" i="79"/>
  <c r="B54" i="79"/>
  <c r="B53" i="79"/>
  <c r="R52" i="79"/>
  <c r="P52" i="79"/>
  <c r="N52" i="79"/>
  <c r="L52" i="79"/>
  <c r="J52" i="79"/>
  <c r="H52" i="79"/>
  <c r="F52" i="79"/>
  <c r="D52" i="79"/>
  <c r="B52" i="79"/>
  <c r="B51" i="79"/>
  <c r="R50" i="79"/>
  <c r="P50" i="79"/>
  <c r="N50" i="79"/>
  <c r="L50" i="79"/>
  <c r="J50" i="79"/>
  <c r="H50" i="79"/>
  <c r="F50" i="79"/>
  <c r="D50" i="79"/>
  <c r="B50" i="79"/>
  <c r="B49" i="79"/>
  <c r="R48" i="79"/>
  <c r="P48" i="79"/>
  <c r="N48" i="79"/>
  <c r="L48" i="79"/>
  <c r="J48" i="79"/>
  <c r="H48" i="79"/>
  <c r="F48" i="79"/>
  <c r="D48" i="79"/>
  <c r="B48" i="79"/>
  <c r="B47" i="79"/>
  <c r="R46" i="79"/>
  <c r="P46" i="79"/>
  <c r="N46" i="79"/>
  <c r="L46" i="79"/>
  <c r="J46" i="79"/>
  <c r="H46" i="79"/>
  <c r="F46" i="79"/>
  <c r="D46" i="79"/>
  <c r="B46" i="79"/>
  <c r="B45" i="79"/>
  <c r="B44" i="79"/>
  <c r="B43" i="79"/>
  <c r="B42" i="79"/>
  <c r="B41" i="79"/>
  <c r="B40" i="79"/>
  <c r="B39" i="79"/>
  <c r="B38" i="79"/>
  <c r="B37" i="79"/>
  <c r="B36" i="79"/>
  <c r="R35" i="79"/>
  <c r="P35" i="79"/>
  <c r="N35" i="79"/>
  <c r="L35" i="79"/>
  <c r="J35" i="79"/>
  <c r="H35" i="79"/>
  <c r="F35" i="79"/>
  <c r="D35" i="79"/>
  <c r="B35" i="79"/>
  <c r="B34" i="79"/>
  <c r="B33" i="79"/>
  <c r="B32" i="79"/>
  <c r="B31" i="79"/>
  <c r="B30" i="79"/>
  <c r="B29" i="79"/>
  <c r="B28" i="79"/>
  <c r="B27" i="79"/>
  <c r="B26" i="79"/>
  <c r="R25" i="79"/>
  <c r="P25" i="79"/>
  <c r="N25" i="79"/>
  <c r="L25" i="79"/>
  <c r="J25" i="79"/>
  <c r="H25" i="79"/>
  <c r="F25" i="79"/>
  <c r="D25" i="79"/>
  <c r="B25" i="79"/>
  <c r="R24" i="79"/>
  <c r="P24" i="79"/>
  <c r="N24" i="79"/>
  <c r="L24" i="79"/>
  <c r="J24" i="79"/>
  <c r="H24" i="79"/>
  <c r="F24" i="79"/>
  <c r="D24" i="79"/>
  <c r="L22" i="79"/>
  <c r="R21" i="79"/>
  <c r="B19" i="79"/>
  <c r="B18" i="79"/>
  <c r="B17" i="79"/>
  <c r="R16" i="79"/>
  <c r="P16" i="79"/>
  <c r="N16" i="79"/>
  <c r="L16" i="79"/>
  <c r="J16" i="79"/>
  <c r="H16" i="79"/>
  <c r="F16" i="79"/>
  <c r="D16" i="79"/>
  <c r="N14" i="79"/>
  <c r="L14" i="79"/>
  <c r="J14" i="79"/>
  <c r="H14" i="79"/>
  <c r="F14" i="79"/>
  <c r="D14" i="79"/>
  <c r="B14" i="79"/>
  <c r="N13" i="79"/>
  <c r="L13" i="79"/>
  <c r="J13" i="79"/>
  <c r="H13" i="79"/>
  <c r="F13" i="79"/>
  <c r="D13" i="79"/>
  <c r="B13" i="79"/>
  <c r="N12" i="79"/>
  <c r="L12" i="79"/>
  <c r="L10" i="79" s="1"/>
  <c r="L21" i="79" s="1"/>
  <c r="J12" i="79"/>
  <c r="H12" i="79"/>
  <c r="H10" i="79" s="1"/>
  <c r="H21" i="79" s="1"/>
  <c r="F12" i="79"/>
  <c r="D12" i="79"/>
  <c r="D10" i="79" s="1"/>
  <c r="D21" i="79" s="1"/>
  <c r="D22" i="79" s="1"/>
  <c r="B12" i="79"/>
  <c r="N11" i="79"/>
  <c r="L11" i="79"/>
  <c r="J11" i="79"/>
  <c r="H11" i="79"/>
  <c r="F11" i="79"/>
  <c r="D11" i="79"/>
  <c r="B11" i="79"/>
  <c r="R10" i="79"/>
  <c r="P10" i="79"/>
  <c r="P21" i="79" s="1"/>
  <c r="P22" i="79" s="1"/>
  <c r="J10" i="79"/>
  <c r="J21" i="79" s="1"/>
  <c r="D4" i="79"/>
  <c r="R50" i="78"/>
  <c r="P50" i="78"/>
  <c r="N50" i="78"/>
  <c r="L50" i="78"/>
  <c r="J50" i="78"/>
  <c r="H50" i="78"/>
  <c r="F50" i="78"/>
  <c r="D50" i="78"/>
  <c r="B48" i="78"/>
  <c r="R47" i="78"/>
  <c r="P47" i="78"/>
  <c r="N47" i="78"/>
  <c r="L47" i="78"/>
  <c r="J47" i="78"/>
  <c r="H47" i="78"/>
  <c r="F47" i="78"/>
  <c r="D47" i="78"/>
  <c r="B47" i="78"/>
  <c r="B46" i="78"/>
  <c r="R45" i="78"/>
  <c r="P45" i="78"/>
  <c r="N45" i="78"/>
  <c r="L45" i="78"/>
  <c r="J45" i="78"/>
  <c r="H45" i="78"/>
  <c r="F45" i="78"/>
  <c r="D45" i="78"/>
  <c r="B45" i="78"/>
  <c r="B44" i="78"/>
  <c r="B43" i="78"/>
  <c r="B42" i="78"/>
  <c r="B41" i="78"/>
  <c r="B40" i="78"/>
  <c r="B39" i="78"/>
  <c r="B38" i="78"/>
  <c r="B37" i="78"/>
  <c r="B36" i="78"/>
  <c r="B35" i="78"/>
  <c r="R34" i="78"/>
  <c r="P34" i="78"/>
  <c r="N34" i="78"/>
  <c r="L34" i="78"/>
  <c r="J34" i="78"/>
  <c r="H34" i="78"/>
  <c r="F34" i="78"/>
  <c r="D34" i="78"/>
  <c r="B34" i="78"/>
  <c r="B33" i="78"/>
  <c r="B32" i="78"/>
  <c r="B31" i="78"/>
  <c r="B30" i="78"/>
  <c r="B29" i="78"/>
  <c r="B28" i="78"/>
  <c r="B27" i="78"/>
  <c r="B26" i="78"/>
  <c r="R25" i="78"/>
  <c r="P25" i="78"/>
  <c r="N25" i="78"/>
  <c r="L25" i="78"/>
  <c r="J25" i="78"/>
  <c r="H25" i="78"/>
  <c r="F25" i="78"/>
  <c r="D25" i="78"/>
  <c r="B25" i="78"/>
  <c r="R24" i="78"/>
  <c r="P24" i="78"/>
  <c r="N24" i="78"/>
  <c r="L24" i="78"/>
  <c r="J24" i="78"/>
  <c r="H24" i="78"/>
  <c r="F24" i="78"/>
  <c r="D24" i="78"/>
  <c r="R22" i="78"/>
  <c r="B19" i="78"/>
  <c r="B18" i="78"/>
  <c r="B17" i="78"/>
  <c r="R16" i="78"/>
  <c r="P16" i="78"/>
  <c r="N16" i="78"/>
  <c r="L16" i="78"/>
  <c r="J16" i="78"/>
  <c r="H16" i="78"/>
  <c r="F16" i="78"/>
  <c r="D16" i="78"/>
  <c r="N14" i="78"/>
  <c r="L14" i="78"/>
  <c r="J14" i="78"/>
  <c r="H14" i="78"/>
  <c r="F14" i="78"/>
  <c r="D14" i="78"/>
  <c r="B14" i="78"/>
  <c r="N13" i="78"/>
  <c r="L13" i="78"/>
  <c r="J13" i="78"/>
  <c r="J10" i="78" s="1"/>
  <c r="J21" i="78" s="1"/>
  <c r="H13" i="78"/>
  <c r="F13" i="78"/>
  <c r="D13" i="78"/>
  <c r="B13" i="78"/>
  <c r="N12" i="78"/>
  <c r="L12" i="78"/>
  <c r="J12" i="78"/>
  <c r="H12" i="78"/>
  <c r="H10" i="78" s="1"/>
  <c r="H21" i="78" s="1"/>
  <c r="F12" i="78"/>
  <c r="D12" i="78"/>
  <c r="B12" i="78"/>
  <c r="N11" i="78"/>
  <c r="N10" i="78" s="1"/>
  <c r="N21" i="78" s="1"/>
  <c r="L11" i="78"/>
  <c r="J11" i="78"/>
  <c r="H11" i="78"/>
  <c r="F11" i="78"/>
  <c r="F10" i="78" s="1"/>
  <c r="F21" i="78" s="1"/>
  <c r="F52" i="78" s="1"/>
  <c r="F57" i="78" s="1"/>
  <c r="D11" i="78"/>
  <c r="B11" i="78"/>
  <c r="R10" i="78"/>
  <c r="R21" i="78" s="1"/>
  <c r="P10" i="78"/>
  <c r="P21" i="78" s="1"/>
  <c r="D10" i="78"/>
  <c r="D21" i="78" s="1"/>
  <c r="D4" i="78"/>
  <c r="R47" i="77"/>
  <c r="P47" i="77"/>
  <c r="N47" i="77"/>
  <c r="L47" i="77"/>
  <c r="J47" i="77"/>
  <c r="H47" i="77"/>
  <c r="F47" i="77"/>
  <c r="D47" i="77"/>
  <c r="B45" i="77"/>
  <c r="B44" i="77"/>
  <c r="B43" i="77"/>
  <c r="R42" i="77"/>
  <c r="P42" i="77"/>
  <c r="N42" i="77"/>
  <c r="L42" i="77"/>
  <c r="J42" i="77"/>
  <c r="H42" i="77"/>
  <c r="F42" i="77"/>
  <c r="D42" i="77"/>
  <c r="B42" i="77"/>
  <c r="B41" i="77"/>
  <c r="R40" i="77"/>
  <c r="P40" i="77"/>
  <c r="N40" i="77"/>
  <c r="L40" i="77"/>
  <c r="J40" i="77"/>
  <c r="H40" i="77"/>
  <c r="F40" i="77"/>
  <c r="D40" i="77"/>
  <c r="B40" i="77"/>
  <c r="B39" i="77"/>
  <c r="R38" i="77"/>
  <c r="P38" i="77"/>
  <c r="N38" i="77"/>
  <c r="L38" i="77"/>
  <c r="J38" i="77"/>
  <c r="H38" i="77"/>
  <c r="F38" i="77"/>
  <c r="D38" i="77"/>
  <c r="B38" i="77"/>
  <c r="B37" i="77"/>
  <c r="R36" i="77"/>
  <c r="P36" i="77"/>
  <c r="N36" i="77"/>
  <c r="L36" i="77"/>
  <c r="J36" i="77"/>
  <c r="H36" i="77"/>
  <c r="F36" i="77"/>
  <c r="D36" i="77"/>
  <c r="B36" i="77"/>
  <c r="B35" i="77"/>
  <c r="R34" i="77"/>
  <c r="P34" i="77"/>
  <c r="N34" i="77"/>
  <c r="L34" i="77"/>
  <c r="J34" i="77"/>
  <c r="H34" i="77"/>
  <c r="F34" i="77"/>
  <c r="D34" i="77"/>
  <c r="B34" i="77"/>
  <c r="B33" i="77"/>
  <c r="R32" i="77"/>
  <c r="P32" i="77"/>
  <c r="N32" i="77"/>
  <c r="L32" i="77"/>
  <c r="J32" i="77"/>
  <c r="H32" i="77"/>
  <c r="F32" i="77"/>
  <c r="D32" i="77"/>
  <c r="B32" i="77"/>
  <c r="B31" i="77"/>
  <c r="B30" i="77"/>
  <c r="B29" i="77"/>
  <c r="R28" i="77"/>
  <c r="P28" i="77"/>
  <c r="N28" i="77"/>
  <c r="L28" i="77"/>
  <c r="J28" i="77"/>
  <c r="H28" i="77"/>
  <c r="F28" i="77"/>
  <c r="D28" i="77"/>
  <c r="B28" i="77"/>
  <c r="B27" i="77"/>
  <c r="B26" i="77"/>
  <c r="B25" i="77"/>
  <c r="B24" i="77"/>
  <c r="B23" i="77"/>
  <c r="B22" i="77"/>
  <c r="B21" i="77"/>
  <c r="R20" i="77"/>
  <c r="P20" i="77"/>
  <c r="N20" i="77"/>
  <c r="L20" i="77"/>
  <c r="J20" i="77"/>
  <c r="H20" i="77"/>
  <c r="F20" i="77"/>
  <c r="D20" i="77"/>
  <c r="B20" i="77"/>
  <c r="R19" i="77"/>
  <c r="P19" i="77"/>
  <c r="N19" i="77"/>
  <c r="L19" i="77"/>
  <c r="J19" i="77"/>
  <c r="H19" i="77"/>
  <c r="F19" i="77"/>
  <c r="D19" i="77"/>
  <c r="P16" i="77"/>
  <c r="P49" i="77" s="1"/>
  <c r="N16" i="77"/>
  <c r="R14" i="77"/>
  <c r="P14" i="77"/>
  <c r="N14" i="77"/>
  <c r="L14" i="77"/>
  <c r="J14" i="77"/>
  <c r="H14" i="77"/>
  <c r="F14" i="77"/>
  <c r="D14" i="77"/>
  <c r="N12" i="77"/>
  <c r="L12" i="77"/>
  <c r="J12" i="77"/>
  <c r="H12" i="77"/>
  <c r="F12" i="77"/>
  <c r="F10" i="77" s="1"/>
  <c r="F16" i="77" s="1"/>
  <c r="F17" i="77" s="1"/>
  <c r="D12" i="77"/>
  <c r="B12" i="77"/>
  <c r="N11" i="77"/>
  <c r="L11" i="77"/>
  <c r="L10" i="77" s="1"/>
  <c r="L16" i="77" s="1"/>
  <c r="J11" i="77"/>
  <c r="H11" i="77"/>
  <c r="H10" i="77" s="1"/>
  <c r="H16" i="77" s="1"/>
  <c r="H49" i="77" s="1"/>
  <c r="F11" i="77"/>
  <c r="D11" i="77"/>
  <c r="B11" i="77"/>
  <c r="R10" i="77"/>
  <c r="R16" i="77" s="1"/>
  <c r="R49" i="77" s="1"/>
  <c r="P10" i="77"/>
  <c r="N10" i="77"/>
  <c r="J10" i="77"/>
  <c r="D10" i="77"/>
  <c r="D16" i="77" s="1"/>
  <c r="D4" i="77"/>
  <c r="P98" i="76"/>
  <c r="R96" i="76"/>
  <c r="P96" i="76"/>
  <c r="N96" i="76"/>
  <c r="L96" i="76"/>
  <c r="J96" i="76"/>
  <c r="H96" i="76"/>
  <c r="F96" i="76"/>
  <c r="D96" i="76"/>
  <c r="B94" i="76"/>
  <c r="R93" i="76"/>
  <c r="P93" i="76"/>
  <c r="N93" i="76"/>
  <c r="L93" i="76"/>
  <c r="J93" i="76"/>
  <c r="H93" i="76"/>
  <c r="F93" i="76"/>
  <c r="D93" i="76"/>
  <c r="B93" i="76"/>
  <c r="B92" i="76"/>
  <c r="B91" i="76"/>
  <c r="B90" i="76"/>
  <c r="R89" i="76"/>
  <c r="P89" i="76"/>
  <c r="N89" i="76"/>
  <c r="L89" i="76"/>
  <c r="J89" i="76"/>
  <c r="H89" i="76"/>
  <c r="F89" i="76"/>
  <c r="D89" i="76"/>
  <c r="B89" i="76"/>
  <c r="B88" i="76"/>
  <c r="R87" i="76"/>
  <c r="P87" i="76"/>
  <c r="N87" i="76"/>
  <c r="L87" i="76"/>
  <c r="J87" i="76"/>
  <c r="H87" i="76"/>
  <c r="F87" i="76"/>
  <c r="D87" i="76"/>
  <c r="B87" i="76"/>
  <c r="B86" i="76"/>
  <c r="R85" i="76"/>
  <c r="P85" i="76"/>
  <c r="N85" i="76"/>
  <c r="L85" i="76"/>
  <c r="J85" i="76"/>
  <c r="H85" i="76"/>
  <c r="F85" i="76"/>
  <c r="D85" i="76"/>
  <c r="B85" i="76"/>
  <c r="B84" i="76"/>
  <c r="B83" i="76"/>
  <c r="B82" i="76"/>
  <c r="B81" i="76"/>
  <c r="B80" i="76"/>
  <c r="B79" i="76"/>
  <c r="B78" i="76"/>
  <c r="B77" i="76"/>
  <c r="B76" i="76"/>
  <c r="R75" i="76"/>
  <c r="P75" i="76"/>
  <c r="N75" i="76"/>
  <c r="L75" i="76"/>
  <c r="J75" i="76"/>
  <c r="H75" i="76"/>
  <c r="F75" i="76"/>
  <c r="D75" i="76"/>
  <c r="B75" i="76"/>
  <c r="B74" i="76"/>
  <c r="B73" i="76"/>
  <c r="R72" i="76"/>
  <c r="P72" i="76"/>
  <c r="N72" i="76"/>
  <c r="L72" i="76"/>
  <c r="J72" i="76"/>
  <c r="H72" i="76"/>
  <c r="F72" i="76"/>
  <c r="D72" i="76"/>
  <c r="B72" i="76"/>
  <c r="B71" i="76"/>
  <c r="B70" i="76"/>
  <c r="B69" i="76"/>
  <c r="R68" i="76"/>
  <c r="P68" i="76"/>
  <c r="N68" i="76"/>
  <c r="L68" i="76"/>
  <c r="J68" i="76"/>
  <c r="H68" i="76"/>
  <c r="F68" i="76"/>
  <c r="D68" i="76"/>
  <c r="B68" i="76"/>
  <c r="B67" i="76"/>
  <c r="B66" i="76"/>
  <c r="R65" i="76"/>
  <c r="P65" i="76"/>
  <c r="N65" i="76"/>
  <c r="L65" i="76"/>
  <c r="J65" i="76"/>
  <c r="H65" i="76"/>
  <c r="F65" i="76"/>
  <c r="D65" i="76"/>
  <c r="B65" i="76"/>
  <c r="B64" i="76"/>
  <c r="R63" i="76"/>
  <c r="P63" i="76"/>
  <c r="N63" i="76"/>
  <c r="L63" i="76"/>
  <c r="J63" i="76"/>
  <c r="H63" i="76"/>
  <c r="F63" i="76"/>
  <c r="D63" i="76"/>
  <c r="B63" i="76"/>
  <c r="B62" i="76"/>
  <c r="R61" i="76"/>
  <c r="P61" i="76"/>
  <c r="N61" i="76"/>
  <c r="L61" i="76"/>
  <c r="J61" i="76"/>
  <c r="H61" i="76"/>
  <c r="F61" i="76"/>
  <c r="D61" i="76"/>
  <c r="B61" i="76"/>
  <c r="B60" i="76"/>
  <c r="R59" i="76"/>
  <c r="P59" i="76"/>
  <c r="N59" i="76"/>
  <c r="L59" i="76"/>
  <c r="J59" i="76"/>
  <c r="H59" i="76"/>
  <c r="F59" i="76"/>
  <c r="D59" i="76"/>
  <c r="B59" i="76"/>
  <c r="B58" i="76"/>
  <c r="R57" i="76"/>
  <c r="P57" i="76"/>
  <c r="N57" i="76"/>
  <c r="L57" i="76"/>
  <c r="J57" i="76"/>
  <c r="H57" i="76"/>
  <c r="F57" i="76"/>
  <c r="D57" i="76"/>
  <c r="B57" i="76"/>
  <c r="B56" i="76"/>
  <c r="R55" i="76"/>
  <c r="P55" i="76"/>
  <c r="N55" i="76"/>
  <c r="L55" i="76"/>
  <c r="J55" i="76"/>
  <c r="H55" i="76"/>
  <c r="F55" i="76"/>
  <c r="D55" i="76"/>
  <c r="B55" i="76"/>
  <c r="B54" i="76"/>
  <c r="R53" i="76"/>
  <c r="P53" i="76"/>
  <c r="N53" i="76"/>
  <c r="L53" i="76"/>
  <c r="J53" i="76"/>
  <c r="H53" i="76"/>
  <c r="F53" i="76"/>
  <c r="D53" i="76"/>
  <c r="B53" i="76"/>
  <c r="B52" i="76"/>
  <c r="R51" i="76"/>
  <c r="P51" i="76"/>
  <c r="N51" i="76"/>
  <c r="L51" i="76"/>
  <c r="J51" i="76"/>
  <c r="H51" i="76"/>
  <c r="F51" i="76"/>
  <c r="D51" i="76"/>
  <c r="B51" i="76"/>
  <c r="B50" i="76"/>
  <c r="R49" i="76"/>
  <c r="P49" i="76"/>
  <c r="N49" i="76"/>
  <c r="L49" i="76"/>
  <c r="J49" i="76"/>
  <c r="H49" i="76"/>
  <c r="F49" i="76"/>
  <c r="D49" i="76"/>
  <c r="B49" i="76"/>
  <c r="B48" i="76"/>
  <c r="R47" i="76"/>
  <c r="P47" i="76"/>
  <c r="N47" i="76"/>
  <c r="L47" i="76"/>
  <c r="J47" i="76"/>
  <c r="H47" i="76"/>
  <c r="F47" i="76"/>
  <c r="D47" i="76"/>
  <c r="B47" i="76"/>
  <c r="B46" i="76"/>
  <c r="R45" i="76"/>
  <c r="P45" i="76"/>
  <c r="N45" i="76"/>
  <c r="L45" i="76"/>
  <c r="J45" i="76"/>
  <c r="H45" i="76"/>
  <c r="F45" i="76"/>
  <c r="D45" i="76"/>
  <c r="B45" i="76"/>
  <c r="B44" i="76"/>
  <c r="B43" i="76"/>
  <c r="B42" i="76"/>
  <c r="B41" i="76"/>
  <c r="B40" i="76"/>
  <c r="B39" i="76"/>
  <c r="B38" i="76"/>
  <c r="B37" i="76"/>
  <c r="B36" i="76"/>
  <c r="B35" i="76"/>
  <c r="R34" i="76"/>
  <c r="P34" i="76"/>
  <c r="N34" i="76"/>
  <c r="L34" i="76"/>
  <c r="J34" i="76"/>
  <c r="H34" i="76"/>
  <c r="F34" i="76"/>
  <c r="D34" i="76"/>
  <c r="B34" i="76"/>
  <c r="B33" i="76"/>
  <c r="B32" i="76"/>
  <c r="B31" i="76"/>
  <c r="B30" i="76"/>
  <c r="B29" i="76"/>
  <c r="B28" i="76"/>
  <c r="B27" i="76"/>
  <c r="B26" i="76"/>
  <c r="B25" i="76"/>
  <c r="R24" i="76"/>
  <c r="P24" i="76"/>
  <c r="N24" i="76"/>
  <c r="L24" i="76"/>
  <c r="J24" i="76"/>
  <c r="H24" i="76"/>
  <c r="F24" i="76"/>
  <c r="D24" i="76"/>
  <c r="B24" i="76"/>
  <c r="R23" i="76"/>
  <c r="P23" i="76"/>
  <c r="N23" i="76"/>
  <c r="L23" i="76"/>
  <c r="J23" i="76"/>
  <c r="H23" i="76"/>
  <c r="F23" i="76"/>
  <c r="D23" i="76"/>
  <c r="B18" i="76"/>
  <c r="B17" i="76"/>
  <c r="B16" i="76"/>
  <c r="R15" i="76"/>
  <c r="R20" i="76" s="1"/>
  <c r="P15" i="76"/>
  <c r="N15" i="76"/>
  <c r="L15" i="76"/>
  <c r="J15" i="76"/>
  <c r="H15" i="76"/>
  <c r="F15" i="76"/>
  <c r="D15" i="76"/>
  <c r="N13" i="76"/>
  <c r="N10" i="76" s="1"/>
  <c r="N20" i="76" s="1"/>
  <c r="L13" i="76"/>
  <c r="J13" i="76"/>
  <c r="H13" i="76"/>
  <c r="F13" i="76"/>
  <c r="D13" i="76"/>
  <c r="B13" i="76"/>
  <c r="N12" i="76"/>
  <c r="L12" i="76"/>
  <c r="L10" i="76" s="1"/>
  <c r="L20" i="76" s="1"/>
  <c r="J12" i="76"/>
  <c r="H12" i="76"/>
  <c r="F12" i="76"/>
  <c r="D12" i="76"/>
  <c r="D10" i="76" s="1"/>
  <c r="D20" i="76" s="1"/>
  <c r="B12" i="76"/>
  <c r="N11" i="76"/>
  <c r="L11" i="76"/>
  <c r="J11" i="76"/>
  <c r="J10" i="76" s="1"/>
  <c r="J20" i="76" s="1"/>
  <c r="J98" i="76" s="1"/>
  <c r="H11" i="76"/>
  <c r="F11" i="76"/>
  <c r="D11" i="76"/>
  <c r="B11" i="76"/>
  <c r="R10" i="76"/>
  <c r="P10" i="76"/>
  <c r="P20" i="76" s="1"/>
  <c r="P21" i="76" s="1"/>
  <c r="D4" i="76"/>
  <c r="R95" i="75"/>
  <c r="P95" i="75"/>
  <c r="N95" i="75"/>
  <c r="L95" i="75"/>
  <c r="J95" i="75"/>
  <c r="H95" i="75"/>
  <c r="F95" i="75"/>
  <c r="D95" i="75"/>
  <c r="D97" i="75" s="1"/>
  <c r="B93" i="75"/>
  <c r="R92" i="75"/>
  <c r="P92" i="75"/>
  <c r="N92" i="75"/>
  <c r="L92" i="75"/>
  <c r="J92" i="75"/>
  <c r="H92" i="75"/>
  <c r="F92" i="75"/>
  <c r="D92" i="75"/>
  <c r="B92" i="75"/>
  <c r="B91" i="75"/>
  <c r="B90" i="75"/>
  <c r="R89" i="75"/>
  <c r="P89" i="75"/>
  <c r="N89" i="75"/>
  <c r="L89" i="75"/>
  <c r="J89" i="75"/>
  <c r="H89" i="75"/>
  <c r="F89" i="75"/>
  <c r="D89" i="75"/>
  <c r="B89" i="75"/>
  <c r="B88" i="75"/>
  <c r="R87" i="75"/>
  <c r="P87" i="75"/>
  <c r="N87" i="75"/>
  <c r="L87" i="75"/>
  <c r="J87" i="75"/>
  <c r="H87" i="75"/>
  <c r="F87" i="75"/>
  <c r="D87" i="75"/>
  <c r="B87" i="75"/>
  <c r="B86" i="75"/>
  <c r="B85" i="75"/>
  <c r="R84" i="75"/>
  <c r="P84" i="75"/>
  <c r="N84" i="75"/>
  <c r="L84" i="75"/>
  <c r="J84" i="75"/>
  <c r="H84" i="75"/>
  <c r="F84" i="75"/>
  <c r="D84" i="75"/>
  <c r="B84" i="75"/>
  <c r="B83" i="75"/>
  <c r="B82" i="75"/>
  <c r="B81" i="75"/>
  <c r="B80" i="75"/>
  <c r="B79" i="75"/>
  <c r="B78" i="75"/>
  <c r="B77" i="75"/>
  <c r="B76" i="75"/>
  <c r="R75" i="75"/>
  <c r="P75" i="75"/>
  <c r="N75" i="75"/>
  <c r="L75" i="75"/>
  <c r="J75" i="75"/>
  <c r="H75" i="75"/>
  <c r="F75" i="75"/>
  <c r="D75" i="75"/>
  <c r="B75" i="75"/>
  <c r="B74" i="75"/>
  <c r="B73" i="75"/>
  <c r="R72" i="75"/>
  <c r="P72" i="75"/>
  <c r="N72" i="75"/>
  <c r="L72" i="75"/>
  <c r="J72" i="75"/>
  <c r="H72" i="75"/>
  <c r="F72" i="75"/>
  <c r="D72" i="75"/>
  <c r="B72" i="75"/>
  <c r="B71" i="75"/>
  <c r="B70" i="75"/>
  <c r="B69" i="75"/>
  <c r="R68" i="75"/>
  <c r="P68" i="75"/>
  <c r="N68" i="75"/>
  <c r="L68" i="75"/>
  <c r="J68" i="75"/>
  <c r="H68" i="75"/>
  <c r="F68" i="75"/>
  <c r="D68" i="75"/>
  <c r="B68" i="75"/>
  <c r="B67" i="75"/>
  <c r="B66" i="75"/>
  <c r="R65" i="75"/>
  <c r="P65" i="75"/>
  <c r="N65" i="75"/>
  <c r="L65" i="75"/>
  <c r="J65" i="75"/>
  <c r="H65" i="75"/>
  <c r="F65" i="75"/>
  <c r="D65" i="75"/>
  <c r="B65" i="75"/>
  <c r="B64" i="75"/>
  <c r="B63" i="75"/>
  <c r="B62" i="75"/>
  <c r="R61" i="75"/>
  <c r="P61" i="75"/>
  <c r="N61" i="75"/>
  <c r="L61" i="75"/>
  <c r="J61" i="75"/>
  <c r="H61" i="75"/>
  <c r="F61" i="75"/>
  <c r="D61" i="75"/>
  <c r="B61" i="75"/>
  <c r="B60" i="75"/>
  <c r="R59" i="75"/>
  <c r="P59" i="75"/>
  <c r="N59" i="75"/>
  <c r="L59" i="75"/>
  <c r="J59" i="75"/>
  <c r="H59" i="75"/>
  <c r="F59" i="75"/>
  <c r="D59" i="75"/>
  <c r="B59" i="75"/>
  <c r="B58" i="75"/>
  <c r="B57" i="75"/>
  <c r="R56" i="75"/>
  <c r="P56" i="75"/>
  <c r="N56" i="75"/>
  <c r="L56" i="75"/>
  <c r="J56" i="75"/>
  <c r="H56" i="75"/>
  <c r="F56" i="75"/>
  <c r="D56" i="75"/>
  <c r="B56" i="75"/>
  <c r="B55" i="75"/>
  <c r="R54" i="75"/>
  <c r="P54" i="75"/>
  <c r="N54" i="75"/>
  <c r="L54" i="75"/>
  <c r="J54" i="75"/>
  <c r="H54" i="75"/>
  <c r="F54" i="75"/>
  <c r="D54" i="75"/>
  <c r="B54" i="75"/>
  <c r="B53" i="75"/>
  <c r="R52" i="75"/>
  <c r="P52" i="75"/>
  <c r="N52" i="75"/>
  <c r="L52" i="75"/>
  <c r="J52" i="75"/>
  <c r="H52" i="75"/>
  <c r="F52" i="75"/>
  <c r="D52" i="75"/>
  <c r="B52" i="75"/>
  <c r="B51" i="75"/>
  <c r="R50" i="75"/>
  <c r="P50" i="75"/>
  <c r="N50" i="75"/>
  <c r="L50" i="75"/>
  <c r="J50" i="75"/>
  <c r="H50" i="75"/>
  <c r="F50" i="75"/>
  <c r="D50" i="75"/>
  <c r="B50" i="75"/>
  <c r="B49" i="75"/>
  <c r="R48" i="75"/>
  <c r="P48" i="75"/>
  <c r="N48" i="75"/>
  <c r="L48" i="75"/>
  <c r="J48" i="75"/>
  <c r="H48" i="75"/>
  <c r="F48" i="75"/>
  <c r="D48" i="75"/>
  <c r="B48" i="75"/>
  <c r="B47" i="75"/>
  <c r="R46" i="75"/>
  <c r="P46" i="75"/>
  <c r="N46" i="75"/>
  <c r="L46" i="75"/>
  <c r="J46" i="75"/>
  <c r="H46" i="75"/>
  <c r="F46" i="75"/>
  <c r="D46" i="75"/>
  <c r="B46" i="75"/>
  <c r="B45" i="75"/>
  <c r="B44" i="75"/>
  <c r="B43" i="75"/>
  <c r="B42" i="75"/>
  <c r="B41" i="75"/>
  <c r="B40" i="75"/>
  <c r="B39" i="75"/>
  <c r="B38" i="75"/>
  <c r="B37" i="75"/>
  <c r="B36" i="75"/>
  <c r="R35" i="75"/>
  <c r="P35" i="75"/>
  <c r="N35" i="75"/>
  <c r="L35" i="75"/>
  <c r="J35" i="75"/>
  <c r="H35" i="75"/>
  <c r="F35" i="75"/>
  <c r="D35" i="75"/>
  <c r="B35" i="75"/>
  <c r="B34" i="75"/>
  <c r="B33" i="75"/>
  <c r="B32" i="75"/>
  <c r="B31" i="75"/>
  <c r="B30" i="75"/>
  <c r="B29" i="75"/>
  <c r="B28" i="75"/>
  <c r="B27" i="75"/>
  <c r="B26" i="75"/>
  <c r="R25" i="75"/>
  <c r="P25" i="75"/>
  <c r="N25" i="75"/>
  <c r="L25" i="75"/>
  <c r="J25" i="75"/>
  <c r="H25" i="75"/>
  <c r="F25" i="75"/>
  <c r="D25" i="75"/>
  <c r="B25" i="75"/>
  <c r="R24" i="75"/>
  <c r="P24" i="75"/>
  <c r="N24" i="75"/>
  <c r="L24" i="75"/>
  <c r="J24" i="75"/>
  <c r="H24" i="75"/>
  <c r="F24" i="75"/>
  <c r="D24" i="75"/>
  <c r="R21" i="75"/>
  <c r="R97" i="75" s="1"/>
  <c r="P21" i="75"/>
  <c r="P97" i="75" s="1"/>
  <c r="F21" i="75"/>
  <c r="B19" i="75"/>
  <c r="B18" i="75"/>
  <c r="B17" i="75"/>
  <c r="R16" i="75"/>
  <c r="P16" i="75"/>
  <c r="N16" i="75"/>
  <c r="L16" i="75"/>
  <c r="J16" i="75"/>
  <c r="H16" i="75"/>
  <c r="F16" i="75"/>
  <c r="D16" i="75"/>
  <c r="N14" i="75"/>
  <c r="L14" i="75"/>
  <c r="J14" i="75"/>
  <c r="H14" i="75"/>
  <c r="F14" i="75"/>
  <c r="D14" i="75"/>
  <c r="B14" i="75"/>
  <c r="N13" i="75"/>
  <c r="N10" i="75" s="1"/>
  <c r="N21" i="75" s="1"/>
  <c r="L13" i="75"/>
  <c r="J13" i="75"/>
  <c r="H13" i="75"/>
  <c r="H10" i="75" s="1"/>
  <c r="H21" i="75" s="1"/>
  <c r="F13" i="75"/>
  <c r="F10" i="75" s="1"/>
  <c r="D13" i="75"/>
  <c r="B13" i="75"/>
  <c r="N12" i="75"/>
  <c r="L12" i="75"/>
  <c r="J12" i="75"/>
  <c r="H12" i="75"/>
  <c r="F12" i="75"/>
  <c r="D12" i="75"/>
  <c r="B12" i="75"/>
  <c r="N11" i="75"/>
  <c r="L11" i="75"/>
  <c r="J11" i="75"/>
  <c r="J10" i="75" s="1"/>
  <c r="J21" i="75" s="1"/>
  <c r="H11" i="75"/>
  <c r="F11" i="75"/>
  <c r="D11" i="75"/>
  <c r="B11" i="75"/>
  <c r="R10" i="75"/>
  <c r="P10" i="75"/>
  <c r="L10" i="75"/>
  <c r="L21" i="75" s="1"/>
  <c r="D10" i="75"/>
  <c r="D21" i="75" s="1"/>
  <c r="D22" i="75" s="1"/>
  <c r="D4" i="75"/>
  <c r="N93" i="74"/>
  <c r="L93" i="74"/>
  <c r="J93" i="74"/>
  <c r="H93" i="74"/>
  <c r="F93" i="74"/>
  <c r="D93" i="74"/>
  <c r="B93" i="74"/>
  <c r="N92" i="74"/>
  <c r="L92" i="74"/>
  <c r="J92" i="74"/>
  <c r="H92" i="74"/>
  <c r="F92" i="74"/>
  <c r="D92" i="74"/>
  <c r="B92" i="74"/>
  <c r="N91" i="74"/>
  <c r="L91" i="74"/>
  <c r="J91" i="74"/>
  <c r="H91" i="74"/>
  <c r="F91" i="74"/>
  <c r="D91" i="74"/>
  <c r="B91" i="74"/>
  <c r="N90" i="74"/>
  <c r="L90" i="74"/>
  <c r="J90" i="74"/>
  <c r="H90" i="74"/>
  <c r="F90" i="74"/>
  <c r="D90" i="74"/>
  <c r="B90" i="74"/>
  <c r="N89" i="74"/>
  <c r="L89" i="74"/>
  <c r="J89" i="74"/>
  <c r="H89" i="74"/>
  <c r="F89" i="74"/>
  <c r="D89" i="74"/>
  <c r="B89" i="74"/>
  <c r="N88" i="74"/>
  <c r="L88" i="74"/>
  <c r="J88" i="74"/>
  <c r="H88" i="74"/>
  <c r="F88" i="74"/>
  <c r="D88" i="74"/>
  <c r="B88" i="74"/>
  <c r="N87" i="74"/>
  <c r="L87" i="74"/>
  <c r="J87" i="74"/>
  <c r="H87" i="74"/>
  <c r="F87" i="74"/>
  <c r="D87" i="74"/>
  <c r="B87" i="74"/>
  <c r="N86" i="74"/>
  <c r="L86" i="74"/>
  <c r="J86" i="74"/>
  <c r="H86" i="74"/>
  <c r="F86" i="74"/>
  <c r="D86" i="74"/>
  <c r="B86" i="74"/>
  <c r="N85" i="74"/>
  <c r="L85" i="74"/>
  <c r="J85" i="74"/>
  <c r="H85" i="74"/>
  <c r="F85" i="74"/>
  <c r="D85" i="74"/>
  <c r="B85" i="74"/>
  <c r="N84" i="74"/>
  <c r="L84" i="74"/>
  <c r="J84" i="74"/>
  <c r="J81" i="74" s="1"/>
  <c r="H84" i="74"/>
  <c r="H81" i="74" s="1"/>
  <c r="F84" i="74"/>
  <c r="D84" i="74"/>
  <c r="B84" i="74"/>
  <c r="N83" i="74"/>
  <c r="L83" i="74"/>
  <c r="J83" i="74"/>
  <c r="H83" i="74"/>
  <c r="F83" i="74"/>
  <c r="D83" i="74"/>
  <c r="B83" i="74"/>
  <c r="N82" i="74"/>
  <c r="L82" i="74"/>
  <c r="L81" i="74" s="1"/>
  <c r="J82" i="74"/>
  <c r="H82" i="74"/>
  <c r="F82" i="74"/>
  <c r="D82" i="74"/>
  <c r="D81" i="74" s="1"/>
  <c r="B82" i="74"/>
  <c r="R81" i="74"/>
  <c r="P81" i="74"/>
  <c r="N81" i="74"/>
  <c r="F81" i="74"/>
  <c r="B79" i="74"/>
  <c r="R78" i="74"/>
  <c r="P78" i="74"/>
  <c r="N78" i="74"/>
  <c r="L78" i="74"/>
  <c r="J78" i="74"/>
  <c r="H78" i="74"/>
  <c r="F78" i="74"/>
  <c r="D78" i="74"/>
  <c r="B78" i="74"/>
  <c r="B77" i="74"/>
  <c r="R76" i="74"/>
  <c r="P76" i="74"/>
  <c r="N76" i="74"/>
  <c r="L76" i="74"/>
  <c r="J76" i="74"/>
  <c r="H76" i="74"/>
  <c r="F76" i="74"/>
  <c r="D76" i="74"/>
  <c r="B76" i="74"/>
  <c r="B75" i="74"/>
  <c r="R74" i="74"/>
  <c r="P74" i="74"/>
  <c r="N74" i="74"/>
  <c r="L74" i="74"/>
  <c r="J74" i="74"/>
  <c r="H74" i="74"/>
  <c r="F74" i="74"/>
  <c r="D74" i="74"/>
  <c r="B74" i="74"/>
  <c r="B73" i="74"/>
  <c r="B72" i="74"/>
  <c r="B71" i="74"/>
  <c r="R70" i="74"/>
  <c r="P70" i="74"/>
  <c r="N70" i="74"/>
  <c r="L70" i="74"/>
  <c r="J70" i="74"/>
  <c r="H70" i="74"/>
  <c r="F70" i="74"/>
  <c r="D70" i="74"/>
  <c r="B70" i="74"/>
  <c r="B69" i="74"/>
  <c r="B68" i="74"/>
  <c r="R67" i="74"/>
  <c r="P67" i="74"/>
  <c r="N67" i="74"/>
  <c r="L67" i="74"/>
  <c r="J67" i="74"/>
  <c r="H67" i="74"/>
  <c r="F67" i="74"/>
  <c r="D67" i="74"/>
  <c r="B67" i="74"/>
  <c r="B66" i="74"/>
  <c r="B65" i="74"/>
  <c r="B64" i="74"/>
  <c r="B63" i="74"/>
  <c r="R62" i="74"/>
  <c r="P62" i="74"/>
  <c r="N62" i="74"/>
  <c r="L62" i="74"/>
  <c r="J62" i="74"/>
  <c r="H62" i="74"/>
  <c r="F62" i="74"/>
  <c r="D62" i="74"/>
  <c r="B62" i="74"/>
  <c r="B61" i="74"/>
  <c r="R60" i="74"/>
  <c r="P60" i="74"/>
  <c r="N60" i="74"/>
  <c r="L60" i="74"/>
  <c r="J60" i="74"/>
  <c r="H60" i="74"/>
  <c r="F60" i="74"/>
  <c r="D60" i="74"/>
  <c r="B60" i="74"/>
  <c r="B59" i="74"/>
  <c r="B58" i="74"/>
  <c r="R57" i="74"/>
  <c r="P57" i="74"/>
  <c r="N57" i="74"/>
  <c r="L57" i="74"/>
  <c r="J57" i="74"/>
  <c r="H57" i="74"/>
  <c r="F57" i="74"/>
  <c r="D57" i="74"/>
  <c r="B57" i="74"/>
  <c r="B56" i="74"/>
  <c r="R55" i="74"/>
  <c r="P55" i="74"/>
  <c r="N55" i="74"/>
  <c r="L55" i="74"/>
  <c r="J55" i="74"/>
  <c r="H55" i="74"/>
  <c r="F55" i="74"/>
  <c r="D55" i="74"/>
  <c r="B55" i="74"/>
  <c r="B54" i="74"/>
  <c r="R53" i="74"/>
  <c r="P53" i="74"/>
  <c r="N53" i="74"/>
  <c r="L53" i="74"/>
  <c r="J53" i="74"/>
  <c r="H53" i="74"/>
  <c r="F53" i="74"/>
  <c r="D53" i="74"/>
  <c r="B53" i="74"/>
  <c r="B52" i="74"/>
  <c r="R51" i="74"/>
  <c r="P51" i="74"/>
  <c r="N51" i="74"/>
  <c r="L51" i="74"/>
  <c r="J51" i="74"/>
  <c r="H51" i="74"/>
  <c r="F51" i="74"/>
  <c r="D51" i="74"/>
  <c r="B51" i="74"/>
  <c r="B50" i="74"/>
  <c r="B49" i="74"/>
  <c r="B48" i="74"/>
  <c r="B47" i="74"/>
  <c r="B46" i="74"/>
  <c r="B45" i="74"/>
  <c r="B44" i="74"/>
  <c r="R43" i="74"/>
  <c r="P43" i="74"/>
  <c r="N43" i="74"/>
  <c r="L43" i="74"/>
  <c r="J43" i="74"/>
  <c r="H43" i="74"/>
  <c r="F43" i="74"/>
  <c r="D43" i="74"/>
  <c r="B43" i="74"/>
  <c r="B42" i="74"/>
  <c r="B41" i="74"/>
  <c r="B40" i="74"/>
  <c r="B39" i="74"/>
  <c r="B38" i="74"/>
  <c r="B37" i="74"/>
  <c r="B36" i="74"/>
  <c r="B35" i="74"/>
  <c r="R34" i="74"/>
  <c r="P34" i="74"/>
  <c r="N34" i="74"/>
  <c r="L34" i="74"/>
  <c r="J34" i="74"/>
  <c r="H34" i="74"/>
  <c r="F34" i="74"/>
  <c r="D34" i="74"/>
  <c r="B34" i="74"/>
  <c r="R33" i="74"/>
  <c r="P33" i="74"/>
  <c r="N33" i="74"/>
  <c r="L33" i="74"/>
  <c r="J33" i="74"/>
  <c r="H33" i="74"/>
  <c r="F33" i="74"/>
  <c r="D33" i="74"/>
  <c r="R30" i="74"/>
  <c r="B28" i="74"/>
  <c r="B27" i="74"/>
  <c r="B26" i="74"/>
  <c r="B25" i="74"/>
  <c r="B24" i="74"/>
  <c r="B23" i="74"/>
  <c r="R22" i="74"/>
  <c r="P22" i="74"/>
  <c r="N22" i="74"/>
  <c r="L22" i="74"/>
  <c r="J22" i="74"/>
  <c r="H22" i="74"/>
  <c r="F22" i="74"/>
  <c r="D22" i="74"/>
  <c r="N20" i="74"/>
  <c r="L20" i="74"/>
  <c r="J20" i="74"/>
  <c r="H20" i="74"/>
  <c r="F20" i="74"/>
  <c r="D20" i="74"/>
  <c r="B20" i="74"/>
  <c r="N19" i="74"/>
  <c r="L19" i="74"/>
  <c r="J19" i="74"/>
  <c r="H19" i="74"/>
  <c r="F19" i="74"/>
  <c r="D19" i="74"/>
  <c r="B19" i="74"/>
  <c r="N18" i="74"/>
  <c r="L18" i="74"/>
  <c r="J18" i="74"/>
  <c r="H18" i="74"/>
  <c r="F18" i="74"/>
  <c r="D18" i="74"/>
  <c r="B18" i="74"/>
  <c r="N17" i="74"/>
  <c r="L17" i="74"/>
  <c r="J17" i="74"/>
  <c r="H17" i="74"/>
  <c r="F17" i="74"/>
  <c r="D17" i="74"/>
  <c r="B17" i="74"/>
  <c r="N16" i="74"/>
  <c r="L16" i="74"/>
  <c r="J16" i="74"/>
  <c r="H16" i="74"/>
  <c r="F16" i="74"/>
  <c r="D16" i="74"/>
  <c r="B16" i="74"/>
  <c r="N15" i="74"/>
  <c r="L15" i="74"/>
  <c r="J15" i="74"/>
  <c r="H15" i="74"/>
  <c r="F15" i="74"/>
  <c r="D15" i="74"/>
  <c r="B15" i="74"/>
  <c r="N14" i="74"/>
  <c r="L14" i="74"/>
  <c r="J14" i="74"/>
  <c r="H14" i="74"/>
  <c r="F14" i="74"/>
  <c r="D14" i="74"/>
  <c r="B14" i="74"/>
  <c r="N13" i="74"/>
  <c r="L13" i="74"/>
  <c r="L10" i="74" s="1"/>
  <c r="L30" i="74" s="1"/>
  <c r="J13" i="74"/>
  <c r="H13" i="74"/>
  <c r="F13" i="74"/>
  <c r="D13" i="74"/>
  <c r="D10" i="74" s="1"/>
  <c r="D30" i="74" s="1"/>
  <c r="B13" i="74"/>
  <c r="N12" i="74"/>
  <c r="L12" i="74"/>
  <c r="J12" i="74"/>
  <c r="H12" i="74"/>
  <c r="F12" i="74"/>
  <c r="D12" i="74"/>
  <c r="B12" i="74"/>
  <c r="N11" i="74"/>
  <c r="L11" i="74"/>
  <c r="J11" i="74"/>
  <c r="H11" i="74"/>
  <c r="H10" i="74" s="1"/>
  <c r="H30" i="74" s="1"/>
  <c r="F11" i="74"/>
  <c r="D11" i="74"/>
  <c r="B11" i="74"/>
  <c r="R10" i="74"/>
  <c r="P10" i="74"/>
  <c r="P30" i="74" s="1"/>
  <c r="J10" i="74"/>
  <c r="J30" i="74" s="1"/>
  <c r="D4" i="74"/>
  <c r="L48" i="73"/>
  <c r="R46" i="73"/>
  <c r="P46" i="73"/>
  <c r="N46" i="73"/>
  <c r="L46" i="73"/>
  <c r="J46" i="73"/>
  <c r="H46" i="73"/>
  <c r="F46" i="73"/>
  <c r="D46" i="73"/>
  <c r="B44" i="73"/>
  <c r="R43" i="73"/>
  <c r="P43" i="73"/>
  <c r="N43" i="73"/>
  <c r="L43" i="73"/>
  <c r="J43" i="73"/>
  <c r="H43" i="73"/>
  <c r="F43" i="73"/>
  <c r="D43" i="73"/>
  <c r="B43" i="73"/>
  <c r="B42" i="73"/>
  <c r="R41" i="73"/>
  <c r="P41" i="73"/>
  <c r="N41" i="73"/>
  <c r="L41" i="73"/>
  <c r="J41" i="73"/>
  <c r="H41" i="73"/>
  <c r="F41" i="73"/>
  <c r="D41" i="73"/>
  <c r="B41" i="73"/>
  <c r="B40" i="73"/>
  <c r="R39" i="73"/>
  <c r="P39" i="73"/>
  <c r="N39" i="73"/>
  <c r="L39" i="73"/>
  <c r="J39" i="73"/>
  <c r="H39" i="73"/>
  <c r="F39" i="73"/>
  <c r="D39" i="73"/>
  <c r="B39" i="73"/>
  <c r="B38" i="73"/>
  <c r="R37" i="73"/>
  <c r="P37" i="73"/>
  <c r="N37" i="73"/>
  <c r="L37" i="73"/>
  <c r="J37" i="73"/>
  <c r="H37" i="73"/>
  <c r="F37" i="73"/>
  <c r="D37" i="73"/>
  <c r="B37" i="73"/>
  <c r="B36" i="73"/>
  <c r="R35" i="73"/>
  <c r="P35" i="73"/>
  <c r="N35" i="73"/>
  <c r="L35" i="73"/>
  <c r="J35" i="73"/>
  <c r="H35" i="73"/>
  <c r="F35" i="73"/>
  <c r="D35" i="73"/>
  <c r="B35" i="73"/>
  <c r="B34" i="73"/>
  <c r="R33" i="73"/>
  <c r="P33" i="73"/>
  <c r="N33" i="73"/>
  <c r="L33" i="73"/>
  <c r="J33" i="73"/>
  <c r="H33" i="73"/>
  <c r="F33" i="73"/>
  <c r="D33" i="73"/>
  <c r="B33" i="73"/>
  <c r="B32" i="73"/>
  <c r="R31" i="73"/>
  <c r="P31" i="73"/>
  <c r="N31" i="73"/>
  <c r="L31" i="73"/>
  <c r="J31" i="73"/>
  <c r="H31" i="73"/>
  <c r="F31" i="73"/>
  <c r="D31" i="73"/>
  <c r="B31" i="73"/>
  <c r="B30" i="73"/>
  <c r="B29" i="73"/>
  <c r="B28" i="73"/>
  <c r="B27" i="73"/>
  <c r="R26" i="73"/>
  <c r="P26" i="73"/>
  <c r="N26" i="73"/>
  <c r="L26" i="73"/>
  <c r="J26" i="73"/>
  <c r="H26" i="73"/>
  <c r="F26" i="73"/>
  <c r="D26" i="73"/>
  <c r="B26" i="73"/>
  <c r="B25" i="73"/>
  <c r="B24" i="73"/>
  <c r="B23" i="73"/>
  <c r="B22" i="73"/>
  <c r="B21" i="73"/>
  <c r="B20" i="73"/>
  <c r="B19" i="73"/>
  <c r="R18" i="73"/>
  <c r="P18" i="73"/>
  <c r="N18" i="73"/>
  <c r="L18" i="73"/>
  <c r="J18" i="73"/>
  <c r="H18" i="73"/>
  <c r="F18" i="73"/>
  <c r="D18" i="73"/>
  <c r="B18" i="73"/>
  <c r="R17" i="73"/>
  <c r="P17" i="73"/>
  <c r="N17" i="73"/>
  <c r="L17" i="73"/>
  <c r="J17" i="73"/>
  <c r="H17" i="73"/>
  <c r="F17" i="73"/>
  <c r="D17" i="73"/>
  <c r="R14" i="73"/>
  <c r="R48" i="73" s="1"/>
  <c r="J14" i="73"/>
  <c r="R12" i="73"/>
  <c r="P12" i="73"/>
  <c r="N12" i="73"/>
  <c r="L12" i="73"/>
  <c r="J12" i="73"/>
  <c r="H12" i="73"/>
  <c r="F12" i="73"/>
  <c r="D12" i="73"/>
  <c r="R10" i="73"/>
  <c r="P10" i="73"/>
  <c r="P14" i="73" s="1"/>
  <c r="N10" i="73"/>
  <c r="N14" i="73" s="1"/>
  <c r="L10" i="73"/>
  <c r="L14" i="73" s="1"/>
  <c r="L15" i="73" s="1"/>
  <c r="J10" i="73"/>
  <c r="H10" i="73"/>
  <c r="H14" i="73" s="1"/>
  <c r="F10" i="73"/>
  <c r="F14" i="73" s="1"/>
  <c r="D10" i="73"/>
  <c r="D14" i="73" s="1"/>
  <c r="D4" i="73"/>
  <c r="N133" i="72"/>
  <c r="L133" i="72"/>
  <c r="J133" i="72"/>
  <c r="H133" i="72"/>
  <c r="F133" i="72"/>
  <c r="D133" i="72"/>
  <c r="B133" i="72"/>
  <c r="N132" i="72"/>
  <c r="L132" i="72"/>
  <c r="J132" i="72"/>
  <c r="H132" i="72"/>
  <c r="F132" i="72"/>
  <c r="D132" i="72"/>
  <c r="B132" i="72"/>
  <c r="N131" i="72"/>
  <c r="L131" i="72"/>
  <c r="J131" i="72"/>
  <c r="H131" i="72"/>
  <c r="F131" i="72"/>
  <c r="D131" i="72"/>
  <c r="B131" i="72"/>
  <c r="N130" i="72"/>
  <c r="L130" i="72"/>
  <c r="L127" i="72" s="1"/>
  <c r="J130" i="72"/>
  <c r="J127" i="72" s="1"/>
  <c r="H130" i="72"/>
  <c r="F130" i="72"/>
  <c r="D130" i="72"/>
  <c r="D127" i="72" s="1"/>
  <c r="B130" i="72"/>
  <c r="N129" i="72"/>
  <c r="L129" i="72"/>
  <c r="J129" i="72"/>
  <c r="H129" i="72"/>
  <c r="F129" i="72"/>
  <c r="D129" i="72"/>
  <c r="B129" i="72"/>
  <c r="N128" i="72"/>
  <c r="N127" i="72" s="1"/>
  <c r="L128" i="72"/>
  <c r="J128" i="72"/>
  <c r="H128" i="72"/>
  <c r="F128" i="72"/>
  <c r="F127" i="72" s="1"/>
  <c r="D128" i="72"/>
  <c r="B128" i="72"/>
  <c r="R127" i="72"/>
  <c r="P127" i="72"/>
  <c r="H127" i="72"/>
  <c r="B125" i="72"/>
  <c r="B124" i="72"/>
  <c r="R123" i="72"/>
  <c r="P123" i="72"/>
  <c r="N123" i="72"/>
  <c r="L123" i="72"/>
  <c r="J123" i="72"/>
  <c r="H123" i="72"/>
  <c r="F123" i="72"/>
  <c r="D123" i="72"/>
  <c r="B123" i="72"/>
  <c r="B122" i="72"/>
  <c r="R121" i="72"/>
  <c r="P121" i="72"/>
  <c r="N121" i="72"/>
  <c r="L121" i="72"/>
  <c r="J121" i="72"/>
  <c r="H121" i="72"/>
  <c r="F121" i="72"/>
  <c r="D121" i="72"/>
  <c r="B121" i="72"/>
  <c r="B120" i="72"/>
  <c r="R119" i="72"/>
  <c r="P119" i="72"/>
  <c r="N119" i="72"/>
  <c r="L119" i="72"/>
  <c r="J119" i="72"/>
  <c r="H119" i="72"/>
  <c r="F119" i="72"/>
  <c r="D119" i="72"/>
  <c r="B119" i="72"/>
  <c r="B118" i="72"/>
  <c r="B117" i="72"/>
  <c r="B116" i="72"/>
  <c r="B115" i="72"/>
  <c r="R114" i="72"/>
  <c r="P114" i="72"/>
  <c r="N114" i="72"/>
  <c r="L114" i="72"/>
  <c r="J114" i="72"/>
  <c r="H114" i="72"/>
  <c r="F114" i="72"/>
  <c r="D114" i="72"/>
  <c r="B114" i="72"/>
  <c r="B113" i="72"/>
  <c r="R112" i="72"/>
  <c r="P112" i="72"/>
  <c r="N112" i="72"/>
  <c r="L112" i="72"/>
  <c r="J112" i="72"/>
  <c r="H112" i="72"/>
  <c r="F112" i="72"/>
  <c r="D112" i="72"/>
  <c r="B112" i="72"/>
  <c r="B111" i="72"/>
  <c r="B110" i="72"/>
  <c r="R109" i="72"/>
  <c r="P109" i="72"/>
  <c r="N109" i="72"/>
  <c r="L109" i="72"/>
  <c r="J109" i="72"/>
  <c r="H109" i="72"/>
  <c r="F109" i="72"/>
  <c r="D109" i="72"/>
  <c r="B109" i="72"/>
  <c r="B108" i="72"/>
  <c r="B107" i="72"/>
  <c r="B106" i="72"/>
  <c r="B105" i="72"/>
  <c r="B104" i="72"/>
  <c r="B103" i="72"/>
  <c r="B102" i="72"/>
  <c r="B101" i="72"/>
  <c r="R100" i="72"/>
  <c r="P100" i="72"/>
  <c r="N100" i="72"/>
  <c r="L100" i="72"/>
  <c r="J100" i="72"/>
  <c r="H100" i="72"/>
  <c r="F100" i="72"/>
  <c r="D100" i="72"/>
  <c r="B100" i="72"/>
  <c r="B99" i="72"/>
  <c r="R98" i="72"/>
  <c r="P98" i="72"/>
  <c r="N98" i="72"/>
  <c r="L98" i="72"/>
  <c r="J98" i="72"/>
  <c r="H98" i="72"/>
  <c r="F98" i="72"/>
  <c r="D98" i="72"/>
  <c r="B98" i="72"/>
  <c r="B97" i="72"/>
  <c r="B96" i="72"/>
  <c r="R95" i="72"/>
  <c r="P95" i="72"/>
  <c r="N95" i="72"/>
  <c r="L95" i="72"/>
  <c r="J95" i="72"/>
  <c r="H95" i="72"/>
  <c r="F95" i="72"/>
  <c r="D95" i="72"/>
  <c r="B95" i="72"/>
  <c r="B94" i="72"/>
  <c r="R93" i="72"/>
  <c r="P93" i="72"/>
  <c r="N93" i="72"/>
  <c r="L93" i="72"/>
  <c r="J93" i="72"/>
  <c r="H93" i="72"/>
  <c r="F93" i="72"/>
  <c r="D93" i="72"/>
  <c r="B93" i="72"/>
  <c r="B92" i="72"/>
  <c r="R91" i="72"/>
  <c r="P91" i="72"/>
  <c r="N91" i="72"/>
  <c r="L91" i="72"/>
  <c r="J91" i="72"/>
  <c r="H91" i="72"/>
  <c r="F91" i="72"/>
  <c r="D91" i="72"/>
  <c r="B91" i="72"/>
  <c r="B90" i="72"/>
  <c r="B89" i="72"/>
  <c r="R88" i="72"/>
  <c r="P88" i="72"/>
  <c r="N88" i="72"/>
  <c r="L88" i="72"/>
  <c r="J88" i="72"/>
  <c r="H88" i="72"/>
  <c r="F88" i="72"/>
  <c r="D88" i="72"/>
  <c r="B88" i="72"/>
  <c r="B87" i="72"/>
  <c r="R86" i="72"/>
  <c r="P86" i="72"/>
  <c r="N86" i="72"/>
  <c r="L86" i="72"/>
  <c r="J86" i="72"/>
  <c r="H86" i="72"/>
  <c r="F86" i="72"/>
  <c r="D86" i="72"/>
  <c r="B86" i="72"/>
  <c r="B85" i="72"/>
  <c r="R84" i="72"/>
  <c r="P84" i="72"/>
  <c r="N84" i="72"/>
  <c r="L84" i="72"/>
  <c r="J84" i="72"/>
  <c r="H84" i="72"/>
  <c r="F84" i="72"/>
  <c r="D84" i="72"/>
  <c r="B84" i="72"/>
  <c r="B83" i="72"/>
  <c r="B82" i="72"/>
  <c r="B81" i="72"/>
  <c r="B80" i="72"/>
  <c r="B79" i="72"/>
  <c r="B78" i="72"/>
  <c r="B77" i="72"/>
  <c r="B76" i="72"/>
  <c r="B75" i="72"/>
  <c r="B74" i="72"/>
  <c r="R73" i="72"/>
  <c r="P73" i="72"/>
  <c r="N73" i="72"/>
  <c r="L73" i="72"/>
  <c r="J73" i="72"/>
  <c r="H73" i="72"/>
  <c r="F73" i="72"/>
  <c r="D73" i="72"/>
  <c r="B73" i="72"/>
  <c r="B72" i="72"/>
  <c r="B71" i="72"/>
  <c r="B70" i="72"/>
  <c r="B69" i="72"/>
  <c r="B68" i="72"/>
  <c r="B67" i="72"/>
  <c r="B66" i="72"/>
  <c r="B65" i="72"/>
  <c r="B64" i="72"/>
  <c r="B63" i="72"/>
  <c r="R62" i="72"/>
  <c r="P62" i="72"/>
  <c r="N62" i="72"/>
  <c r="L62" i="72"/>
  <c r="J62" i="72"/>
  <c r="H62" i="72"/>
  <c r="F62" i="72"/>
  <c r="D62" i="72"/>
  <c r="B62" i="72"/>
  <c r="R61" i="72"/>
  <c r="P61" i="72"/>
  <c r="N61" i="72"/>
  <c r="L61" i="72"/>
  <c r="J61" i="72"/>
  <c r="H61" i="72"/>
  <c r="F61" i="72"/>
  <c r="D61" i="72"/>
  <c r="B56" i="72"/>
  <c r="B55" i="72"/>
  <c r="B54" i="72"/>
  <c r="B53" i="72"/>
  <c r="B52" i="72"/>
  <c r="B51" i="72"/>
  <c r="B50" i="72"/>
  <c r="B49" i="72"/>
  <c r="B48" i="72"/>
  <c r="B47" i="72"/>
  <c r="B46" i="72"/>
  <c r="B45" i="72"/>
  <c r="B44" i="72"/>
  <c r="B43" i="72"/>
  <c r="B42" i="72"/>
  <c r="B41" i="72"/>
  <c r="R40" i="72"/>
  <c r="P40" i="72"/>
  <c r="N40" i="72"/>
  <c r="L40" i="72"/>
  <c r="J40" i="72"/>
  <c r="H40" i="72"/>
  <c r="F40" i="72"/>
  <c r="D40" i="72"/>
  <c r="N38" i="72"/>
  <c r="L38" i="72"/>
  <c r="J38" i="72"/>
  <c r="H38" i="72"/>
  <c r="F38" i="72"/>
  <c r="D38" i="72"/>
  <c r="B38" i="72"/>
  <c r="N37" i="72"/>
  <c r="L37" i="72"/>
  <c r="J37" i="72"/>
  <c r="H37" i="72"/>
  <c r="F37" i="72"/>
  <c r="D37" i="72"/>
  <c r="B37" i="72"/>
  <c r="N36" i="72"/>
  <c r="L36" i="72"/>
  <c r="J36" i="72"/>
  <c r="H36" i="72"/>
  <c r="F36" i="72"/>
  <c r="D36" i="72"/>
  <c r="B36" i="72"/>
  <c r="N35" i="72"/>
  <c r="L35" i="72"/>
  <c r="J35" i="72"/>
  <c r="H35" i="72"/>
  <c r="F35" i="72"/>
  <c r="D35" i="72"/>
  <c r="B35" i="72"/>
  <c r="N34" i="72"/>
  <c r="L34" i="72"/>
  <c r="J34" i="72"/>
  <c r="H34" i="72"/>
  <c r="F34" i="72"/>
  <c r="D34" i="72"/>
  <c r="B34" i="72"/>
  <c r="N33" i="72"/>
  <c r="L33" i="72"/>
  <c r="J33" i="72"/>
  <c r="H33" i="72"/>
  <c r="F33" i="72"/>
  <c r="D33" i="72"/>
  <c r="B33" i="72"/>
  <c r="N32" i="72"/>
  <c r="L32" i="72"/>
  <c r="J32" i="72"/>
  <c r="H32" i="72"/>
  <c r="F32" i="72"/>
  <c r="D32" i="72"/>
  <c r="B32" i="72"/>
  <c r="N31" i="72"/>
  <c r="L31" i="72"/>
  <c r="J31" i="72"/>
  <c r="H31" i="72"/>
  <c r="F31" i="72"/>
  <c r="D31" i="72"/>
  <c r="B31" i="72"/>
  <c r="N30" i="72"/>
  <c r="L30" i="72"/>
  <c r="J30" i="72"/>
  <c r="H30" i="72"/>
  <c r="F30" i="72"/>
  <c r="D30" i="72"/>
  <c r="B30" i="72"/>
  <c r="N29" i="72"/>
  <c r="L29" i="72"/>
  <c r="J29" i="72"/>
  <c r="H29" i="72"/>
  <c r="F29" i="72"/>
  <c r="D29" i="72"/>
  <c r="B29" i="72"/>
  <c r="N28" i="72"/>
  <c r="L28" i="72"/>
  <c r="J28" i="72"/>
  <c r="H28" i="72"/>
  <c r="F28" i="72"/>
  <c r="D28" i="72"/>
  <c r="B28" i="72"/>
  <c r="N27" i="72"/>
  <c r="L27" i="72"/>
  <c r="J27" i="72"/>
  <c r="H27" i="72"/>
  <c r="F27" i="72"/>
  <c r="D27" i="72"/>
  <c r="B27" i="72"/>
  <c r="N26" i="72"/>
  <c r="L26" i="72"/>
  <c r="J26" i="72"/>
  <c r="H26" i="72"/>
  <c r="F26" i="72"/>
  <c r="D26" i="72"/>
  <c r="B26" i="72"/>
  <c r="N25" i="72"/>
  <c r="L25" i="72"/>
  <c r="J25" i="72"/>
  <c r="H25" i="72"/>
  <c r="F25" i="72"/>
  <c r="D25" i="72"/>
  <c r="B25" i="72"/>
  <c r="N24" i="72"/>
  <c r="L24" i="72"/>
  <c r="J24" i="72"/>
  <c r="H24" i="72"/>
  <c r="F24" i="72"/>
  <c r="D24" i="72"/>
  <c r="B24" i="72"/>
  <c r="N23" i="72"/>
  <c r="L23" i="72"/>
  <c r="J23" i="72"/>
  <c r="H23" i="72"/>
  <c r="F23" i="72"/>
  <c r="D23" i="72"/>
  <c r="B23" i="72"/>
  <c r="N22" i="72"/>
  <c r="L22" i="72"/>
  <c r="J22" i="72"/>
  <c r="H22" i="72"/>
  <c r="F22" i="72"/>
  <c r="D22" i="72"/>
  <c r="B22" i="72"/>
  <c r="N21" i="72"/>
  <c r="L21" i="72"/>
  <c r="J21" i="72"/>
  <c r="H21" i="72"/>
  <c r="F21" i="72"/>
  <c r="D21" i="72"/>
  <c r="B21" i="72"/>
  <c r="N20" i="72"/>
  <c r="L20" i="72"/>
  <c r="J20" i="72"/>
  <c r="H20" i="72"/>
  <c r="F20" i="72"/>
  <c r="D20" i="72"/>
  <c r="B20" i="72"/>
  <c r="N19" i="72"/>
  <c r="L19" i="72"/>
  <c r="J19" i="72"/>
  <c r="H19" i="72"/>
  <c r="F19" i="72"/>
  <c r="D19" i="72"/>
  <c r="B19" i="72"/>
  <c r="N18" i="72"/>
  <c r="L18" i="72"/>
  <c r="J18" i="72"/>
  <c r="H18" i="72"/>
  <c r="F18" i="72"/>
  <c r="D18" i="72"/>
  <c r="B18" i="72"/>
  <c r="N17" i="72"/>
  <c r="L17" i="72"/>
  <c r="J17" i="72"/>
  <c r="H17" i="72"/>
  <c r="F17" i="72"/>
  <c r="D17" i="72"/>
  <c r="B17" i="72"/>
  <c r="N16" i="72"/>
  <c r="L16" i="72"/>
  <c r="J16" i="72"/>
  <c r="H16" i="72"/>
  <c r="F16" i="72"/>
  <c r="D16" i="72"/>
  <c r="B16" i="72"/>
  <c r="N15" i="72"/>
  <c r="L15" i="72"/>
  <c r="J15" i="72"/>
  <c r="H15" i="72"/>
  <c r="F15" i="72"/>
  <c r="D15" i="72"/>
  <c r="B15" i="72"/>
  <c r="N14" i="72"/>
  <c r="L14" i="72"/>
  <c r="J14" i="72"/>
  <c r="H14" i="72"/>
  <c r="F14" i="72"/>
  <c r="D14" i="72"/>
  <c r="B14" i="72"/>
  <c r="N13" i="72"/>
  <c r="L13" i="72"/>
  <c r="J13" i="72"/>
  <c r="J10" i="72" s="1"/>
  <c r="J58" i="72" s="1"/>
  <c r="H13" i="72"/>
  <c r="F13" i="72"/>
  <c r="D13" i="72"/>
  <c r="B13" i="72"/>
  <c r="N12" i="72"/>
  <c r="L12" i="72"/>
  <c r="J12" i="72"/>
  <c r="H12" i="72"/>
  <c r="H10" i="72" s="1"/>
  <c r="H58" i="72" s="1"/>
  <c r="H59" i="72" s="1"/>
  <c r="F12" i="72"/>
  <c r="D12" i="72"/>
  <c r="B12" i="72"/>
  <c r="N11" i="72"/>
  <c r="N10" i="72" s="1"/>
  <c r="N58" i="72" s="1"/>
  <c r="L11" i="72"/>
  <c r="J11" i="72"/>
  <c r="H11" i="72"/>
  <c r="F11" i="72"/>
  <c r="F10" i="72" s="1"/>
  <c r="F58" i="72" s="1"/>
  <c r="D11" i="72"/>
  <c r="B11" i="72"/>
  <c r="R10" i="72"/>
  <c r="R58" i="72" s="1"/>
  <c r="P10" i="72"/>
  <c r="P58" i="72" s="1"/>
  <c r="D4" i="72"/>
  <c r="N98" i="71"/>
  <c r="N97" i="71" s="1"/>
  <c r="L98" i="71"/>
  <c r="J98" i="71"/>
  <c r="H98" i="71"/>
  <c r="F98" i="71"/>
  <c r="F97" i="71" s="1"/>
  <c r="D98" i="71"/>
  <c r="B98" i="71"/>
  <c r="R97" i="71"/>
  <c r="P97" i="71"/>
  <c r="L97" i="71"/>
  <c r="J97" i="71"/>
  <c r="H97" i="71"/>
  <c r="D97" i="71"/>
  <c r="B95" i="71"/>
  <c r="R94" i="71"/>
  <c r="P94" i="71"/>
  <c r="N94" i="71"/>
  <c r="L94" i="71"/>
  <c r="J94" i="71"/>
  <c r="H94" i="71"/>
  <c r="F94" i="71"/>
  <c r="D94" i="71"/>
  <c r="B94" i="71"/>
  <c r="B93" i="71"/>
  <c r="R92" i="71"/>
  <c r="P92" i="71"/>
  <c r="N92" i="71"/>
  <c r="L92" i="71"/>
  <c r="J92" i="71"/>
  <c r="H92" i="71"/>
  <c r="F92" i="71"/>
  <c r="D92" i="71"/>
  <c r="B92" i="71"/>
  <c r="B91" i="71"/>
  <c r="R90" i="71"/>
  <c r="P90" i="71"/>
  <c r="N90" i="71"/>
  <c r="L90" i="71"/>
  <c r="J90" i="71"/>
  <c r="H90" i="71"/>
  <c r="F90" i="71"/>
  <c r="D90" i="71"/>
  <c r="B90" i="71"/>
  <c r="B89" i="71"/>
  <c r="R88" i="71"/>
  <c r="P88" i="71"/>
  <c r="N88" i="71"/>
  <c r="L88" i="71"/>
  <c r="J88" i="71"/>
  <c r="H88" i="71"/>
  <c r="F88" i="71"/>
  <c r="D88" i="71"/>
  <c r="B88" i="71"/>
  <c r="B87" i="71"/>
  <c r="B86" i="71"/>
  <c r="B85" i="71"/>
  <c r="B84" i="71"/>
  <c r="B83" i="71"/>
  <c r="B82" i="71"/>
  <c r="R81" i="71"/>
  <c r="P81" i="71"/>
  <c r="N81" i="71"/>
  <c r="L81" i="71"/>
  <c r="J81" i="71"/>
  <c r="H81" i="71"/>
  <c r="F81" i="71"/>
  <c r="D81" i="71"/>
  <c r="B81" i="71"/>
  <c r="B80" i="71"/>
  <c r="R79" i="71"/>
  <c r="P79" i="71"/>
  <c r="N79" i="71"/>
  <c r="L79" i="71"/>
  <c r="J79" i="71"/>
  <c r="H79" i="71"/>
  <c r="F79" i="71"/>
  <c r="D79" i="71"/>
  <c r="B79" i="71"/>
  <c r="B78" i="71"/>
  <c r="B77" i="71"/>
  <c r="B76" i="71"/>
  <c r="R75" i="71"/>
  <c r="P75" i="71"/>
  <c r="N75" i="71"/>
  <c r="L75" i="71"/>
  <c r="J75" i="71"/>
  <c r="H75" i="71"/>
  <c r="F75" i="71"/>
  <c r="D75" i="71"/>
  <c r="B75" i="71"/>
  <c r="B74" i="71"/>
  <c r="R73" i="71"/>
  <c r="P73" i="71"/>
  <c r="N73" i="71"/>
  <c r="L73" i="71"/>
  <c r="J73" i="71"/>
  <c r="H73" i="71"/>
  <c r="F73" i="71"/>
  <c r="D73" i="71"/>
  <c r="B73" i="71"/>
  <c r="B72" i="71"/>
  <c r="B71" i="71"/>
  <c r="R70" i="71"/>
  <c r="P70" i="71"/>
  <c r="N70" i="71"/>
  <c r="L70" i="71"/>
  <c r="J70" i="71"/>
  <c r="H70" i="71"/>
  <c r="F70" i="71"/>
  <c r="D70" i="71"/>
  <c r="B70" i="71"/>
  <c r="B69" i="71"/>
  <c r="R68" i="71"/>
  <c r="P68" i="71"/>
  <c r="N68" i="71"/>
  <c r="L68" i="71"/>
  <c r="J68" i="71"/>
  <c r="H68" i="71"/>
  <c r="F68" i="71"/>
  <c r="D68" i="71"/>
  <c r="B68" i="71"/>
  <c r="B67" i="71"/>
  <c r="R66" i="71"/>
  <c r="P66" i="71"/>
  <c r="N66" i="71"/>
  <c r="L66" i="71"/>
  <c r="J66" i="71"/>
  <c r="H66" i="71"/>
  <c r="F66" i="71"/>
  <c r="D66" i="71"/>
  <c r="B66" i="71"/>
  <c r="B65" i="71"/>
  <c r="R64" i="71"/>
  <c r="P64" i="71"/>
  <c r="N64" i="71"/>
  <c r="L64" i="71"/>
  <c r="J64" i="71"/>
  <c r="H64" i="71"/>
  <c r="F64" i="71"/>
  <c r="D64" i="71"/>
  <c r="B64" i="71"/>
  <c r="B63" i="71"/>
  <c r="R62" i="71"/>
  <c r="P62" i="71"/>
  <c r="N62" i="71"/>
  <c r="L62" i="71"/>
  <c r="J62" i="71"/>
  <c r="H62" i="71"/>
  <c r="F62" i="71"/>
  <c r="D62" i="71"/>
  <c r="B62" i="71"/>
  <c r="B61" i="71"/>
  <c r="R60" i="71"/>
  <c r="P60" i="71"/>
  <c r="N60" i="71"/>
  <c r="L60" i="71"/>
  <c r="J60" i="71"/>
  <c r="H60" i="71"/>
  <c r="F60" i="71"/>
  <c r="D60" i="71"/>
  <c r="B60" i="71"/>
  <c r="B59" i="71"/>
  <c r="B58" i="71"/>
  <c r="B57" i="71"/>
  <c r="B56" i="71"/>
  <c r="B55" i="71"/>
  <c r="B54" i="71"/>
  <c r="B53" i="71"/>
  <c r="B52" i="71"/>
  <c r="B51" i="71"/>
  <c r="B50" i="71"/>
  <c r="R49" i="71"/>
  <c r="P49" i="71"/>
  <c r="N49" i="71"/>
  <c r="L49" i="71"/>
  <c r="J49" i="71"/>
  <c r="H49" i="71"/>
  <c r="F49" i="71"/>
  <c r="D49" i="71"/>
  <c r="B49" i="71"/>
  <c r="B48" i="71"/>
  <c r="B47" i="71"/>
  <c r="B46" i="71"/>
  <c r="B45" i="71"/>
  <c r="B44" i="71"/>
  <c r="B43" i="71"/>
  <c r="B42" i="71"/>
  <c r="B41" i="71"/>
  <c r="B40" i="71"/>
  <c r="R39" i="71"/>
  <c r="P39" i="71"/>
  <c r="N39" i="71"/>
  <c r="L39" i="71"/>
  <c r="J39" i="71"/>
  <c r="H39" i="71"/>
  <c r="F39" i="71"/>
  <c r="D39" i="71"/>
  <c r="B39" i="71"/>
  <c r="R38" i="71"/>
  <c r="P38" i="71"/>
  <c r="N38" i="71"/>
  <c r="L38" i="71"/>
  <c r="J38" i="71"/>
  <c r="H38" i="71"/>
  <c r="F38" i="71"/>
  <c r="D38" i="71"/>
  <c r="R35" i="71"/>
  <c r="R100" i="71" s="1"/>
  <c r="J35" i="71"/>
  <c r="B33" i="71"/>
  <c r="R32" i="71"/>
  <c r="P32" i="71"/>
  <c r="N32" i="71"/>
  <c r="L32" i="71"/>
  <c r="J32" i="71"/>
  <c r="H32" i="71"/>
  <c r="F32" i="71"/>
  <c r="D32" i="71"/>
  <c r="N30" i="71"/>
  <c r="L30" i="71"/>
  <c r="J30" i="71"/>
  <c r="H30" i="71"/>
  <c r="F30" i="71"/>
  <c r="D30" i="71"/>
  <c r="B30" i="71"/>
  <c r="N29" i="71"/>
  <c r="L29" i="71"/>
  <c r="J29" i="71"/>
  <c r="H29" i="71"/>
  <c r="F29" i="71"/>
  <c r="D29" i="71"/>
  <c r="B29" i="71"/>
  <c r="N28" i="71"/>
  <c r="L28" i="71"/>
  <c r="J28" i="71"/>
  <c r="H28" i="71"/>
  <c r="F28" i="71"/>
  <c r="D28" i="71"/>
  <c r="B28" i="71"/>
  <c r="N27" i="71"/>
  <c r="L27" i="71"/>
  <c r="J27" i="71"/>
  <c r="H27" i="71"/>
  <c r="F27" i="71"/>
  <c r="D27" i="71"/>
  <c r="B27" i="71"/>
  <c r="N26" i="71"/>
  <c r="L26" i="71"/>
  <c r="J26" i="71"/>
  <c r="H26" i="71"/>
  <c r="F26" i="71"/>
  <c r="D26" i="71"/>
  <c r="B26" i="71"/>
  <c r="N25" i="71"/>
  <c r="L25" i="71"/>
  <c r="J25" i="71"/>
  <c r="H25" i="71"/>
  <c r="F25" i="71"/>
  <c r="D25" i="71"/>
  <c r="B25" i="71"/>
  <c r="N24" i="71"/>
  <c r="L24" i="71"/>
  <c r="J24" i="71"/>
  <c r="H24" i="71"/>
  <c r="F24" i="71"/>
  <c r="D24" i="71"/>
  <c r="B24" i="71"/>
  <c r="N23" i="71"/>
  <c r="L23" i="71"/>
  <c r="J23" i="71"/>
  <c r="H23" i="71"/>
  <c r="F23" i="71"/>
  <c r="D23" i="71"/>
  <c r="B23" i="71"/>
  <c r="N22" i="71"/>
  <c r="L22" i="71"/>
  <c r="J22" i="71"/>
  <c r="H22" i="71"/>
  <c r="F22" i="71"/>
  <c r="D22" i="71"/>
  <c r="B22" i="71"/>
  <c r="N21" i="71"/>
  <c r="L21" i="71"/>
  <c r="J21" i="71"/>
  <c r="H21" i="71"/>
  <c r="F21" i="71"/>
  <c r="D21" i="71"/>
  <c r="B21" i="71"/>
  <c r="N20" i="71"/>
  <c r="L20" i="71"/>
  <c r="J20" i="71"/>
  <c r="H20" i="71"/>
  <c r="F20" i="71"/>
  <c r="D20" i="71"/>
  <c r="B20" i="71"/>
  <c r="N19" i="71"/>
  <c r="L19" i="71"/>
  <c r="J19" i="71"/>
  <c r="H19" i="71"/>
  <c r="F19" i="71"/>
  <c r="D19" i="71"/>
  <c r="B19" i="71"/>
  <c r="N18" i="71"/>
  <c r="L18" i="71"/>
  <c r="J18" i="71"/>
  <c r="H18" i="71"/>
  <c r="F18" i="71"/>
  <c r="D18" i="71"/>
  <c r="B18" i="71"/>
  <c r="N17" i="71"/>
  <c r="L17" i="71"/>
  <c r="J17" i="71"/>
  <c r="H17" i="71"/>
  <c r="F17" i="71"/>
  <c r="D17" i="71"/>
  <c r="B17" i="71"/>
  <c r="N16" i="71"/>
  <c r="L16" i="71"/>
  <c r="J16" i="71"/>
  <c r="H16" i="71"/>
  <c r="F16" i="71"/>
  <c r="D16" i="71"/>
  <c r="B16" i="71"/>
  <c r="N15" i="71"/>
  <c r="L15" i="71"/>
  <c r="J15" i="71"/>
  <c r="H15" i="71"/>
  <c r="F15" i="71"/>
  <c r="D15" i="71"/>
  <c r="B15" i="71"/>
  <c r="N14" i="71"/>
  <c r="L14" i="71"/>
  <c r="J14" i="71"/>
  <c r="H14" i="71"/>
  <c r="F14" i="71"/>
  <c r="D14" i="71"/>
  <c r="B14" i="71"/>
  <c r="N13" i="71"/>
  <c r="N10" i="71" s="1"/>
  <c r="N35" i="71" s="1"/>
  <c r="L13" i="71"/>
  <c r="J13" i="71"/>
  <c r="H13" i="71"/>
  <c r="H10" i="71" s="1"/>
  <c r="H35" i="71" s="1"/>
  <c r="F13" i="71"/>
  <c r="F10" i="71" s="1"/>
  <c r="F35" i="71" s="1"/>
  <c r="D13" i="71"/>
  <c r="B13" i="71"/>
  <c r="N12" i="71"/>
  <c r="L12" i="71"/>
  <c r="J12" i="71"/>
  <c r="H12" i="71"/>
  <c r="F12" i="71"/>
  <c r="D12" i="71"/>
  <c r="B12" i="71"/>
  <c r="N11" i="71"/>
  <c r="L11" i="71"/>
  <c r="J11" i="71"/>
  <c r="J10" i="71" s="1"/>
  <c r="H11" i="71"/>
  <c r="F11" i="71"/>
  <c r="D11" i="71"/>
  <c r="B11" i="71"/>
  <c r="R10" i="71"/>
  <c r="P10" i="71"/>
  <c r="P35" i="71" s="1"/>
  <c r="L10" i="71"/>
  <c r="L35" i="71" s="1"/>
  <c r="D10" i="71"/>
  <c r="D35" i="71" s="1"/>
  <c r="D4" i="71"/>
  <c r="N135" i="70"/>
  <c r="L135" i="70"/>
  <c r="L132" i="70" s="1"/>
  <c r="J135" i="70"/>
  <c r="J132" i="70" s="1"/>
  <c r="H135" i="70"/>
  <c r="F135" i="70"/>
  <c r="D135" i="70"/>
  <c r="D132" i="70" s="1"/>
  <c r="B135" i="70"/>
  <c r="N134" i="70"/>
  <c r="L134" i="70"/>
  <c r="J134" i="70"/>
  <c r="H134" i="70"/>
  <c r="H132" i="70" s="1"/>
  <c r="F134" i="70"/>
  <c r="D134" i="70"/>
  <c r="B134" i="70"/>
  <c r="N133" i="70"/>
  <c r="N132" i="70" s="1"/>
  <c r="L133" i="70"/>
  <c r="J133" i="70"/>
  <c r="H133" i="70"/>
  <c r="F133" i="70"/>
  <c r="F132" i="70" s="1"/>
  <c r="D133" i="70"/>
  <c r="B133" i="70"/>
  <c r="R132" i="70"/>
  <c r="P132" i="70"/>
  <c r="B130" i="70"/>
  <c r="B129" i="70"/>
  <c r="B128" i="70"/>
  <c r="R127" i="70"/>
  <c r="P127" i="70"/>
  <c r="N127" i="70"/>
  <c r="L127" i="70"/>
  <c r="J127" i="70"/>
  <c r="H127" i="70"/>
  <c r="F127" i="70"/>
  <c r="D127" i="70"/>
  <c r="B127" i="70"/>
  <c r="B126" i="70"/>
  <c r="R125" i="70"/>
  <c r="P125" i="70"/>
  <c r="N125" i="70"/>
  <c r="L125" i="70"/>
  <c r="J125" i="70"/>
  <c r="H125" i="70"/>
  <c r="F125" i="70"/>
  <c r="D125" i="70"/>
  <c r="B125" i="70"/>
  <c r="B124" i="70"/>
  <c r="R123" i="70"/>
  <c r="P123" i="70"/>
  <c r="N123" i="70"/>
  <c r="L123" i="70"/>
  <c r="J123" i="70"/>
  <c r="H123" i="70"/>
  <c r="F123" i="70"/>
  <c r="D123" i="70"/>
  <c r="B123" i="70"/>
  <c r="B122" i="70"/>
  <c r="B121" i="70"/>
  <c r="B120" i="70"/>
  <c r="B119" i="70"/>
  <c r="B118" i="70"/>
  <c r="B117" i="70"/>
  <c r="B116" i="70"/>
  <c r="B115" i="70"/>
  <c r="R114" i="70"/>
  <c r="P114" i="70"/>
  <c r="N114" i="70"/>
  <c r="L114" i="70"/>
  <c r="J114" i="70"/>
  <c r="H114" i="70"/>
  <c r="F114" i="70"/>
  <c r="D114" i="70"/>
  <c r="B114" i="70"/>
  <c r="B113" i="70"/>
  <c r="B112" i="70"/>
  <c r="R111" i="70"/>
  <c r="P111" i="70"/>
  <c r="N111" i="70"/>
  <c r="L111" i="70"/>
  <c r="J111" i="70"/>
  <c r="H111" i="70"/>
  <c r="F111" i="70"/>
  <c r="D111" i="70"/>
  <c r="B111" i="70"/>
  <c r="B110" i="70"/>
  <c r="B109" i="70"/>
  <c r="B108" i="70"/>
  <c r="R107" i="70"/>
  <c r="P107" i="70"/>
  <c r="N107" i="70"/>
  <c r="L107" i="70"/>
  <c r="J107" i="70"/>
  <c r="H107" i="70"/>
  <c r="F107" i="70"/>
  <c r="D107" i="70"/>
  <c r="B107" i="70"/>
  <c r="B106" i="70"/>
  <c r="B105" i="70"/>
  <c r="B104" i="70"/>
  <c r="R103" i="70"/>
  <c r="P103" i="70"/>
  <c r="N103" i="70"/>
  <c r="L103" i="70"/>
  <c r="J103" i="70"/>
  <c r="H103" i="70"/>
  <c r="F103" i="70"/>
  <c r="D103" i="70"/>
  <c r="B103" i="70"/>
  <c r="B102" i="70"/>
  <c r="R101" i="70"/>
  <c r="P101" i="70"/>
  <c r="N101" i="70"/>
  <c r="L101" i="70"/>
  <c r="J101" i="70"/>
  <c r="H101" i="70"/>
  <c r="F101" i="70"/>
  <c r="D101" i="70"/>
  <c r="B101" i="70"/>
  <c r="B100" i="70"/>
  <c r="B99" i="70"/>
  <c r="B98" i="70"/>
  <c r="B97" i="70"/>
  <c r="B96" i="70"/>
  <c r="B95" i="70"/>
  <c r="B94" i="70"/>
  <c r="R93" i="70"/>
  <c r="P93" i="70"/>
  <c r="N93" i="70"/>
  <c r="L93" i="70"/>
  <c r="J93" i="70"/>
  <c r="H93" i="70"/>
  <c r="F93" i="70"/>
  <c r="D93" i="70"/>
  <c r="B93" i="70"/>
  <c r="B92" i="70"/>
  <c r="R91" i="70"/>
  <c r="P91" i="70"/>
  <c r="N91" i="70"/>
  <c r="L91" i="70"/>
  <c r="J91" i="70"/>
  <c r="H91" i="70"/>
  <c r="F91" i="70"/>
  <c r="D91" i="70"/>
  <c r="B91" i="70"/>
  <c r="B90" i="70"/>
  <c r="B89" i="70"/>
  <c r="R88" i="70"/>
  <c r="P88" i="70"/>
  <c r="N88" i="70"/>
  <c r="L88" i="70"/>
  <c r="J88" i="70"/>
  <c r="H88" i="70"/>
  <c r="F88" i="70"/>
  <c r="D88" i="70"/>
  <c r="B88" i="70"/>
  <c r="B87" i="70"/>
  <c r="R86" i="70"/>
  <c r="P86" i="70"/>
  <c r="N86" i="70"/>
  <c r="L86" i="70"/>
  <c r="J86" i="70"/>
  <c r="H86" i="70"/>
  <c r="F86" i="70"/>
  <c r="D86" i="70"/>
  <c r="B86" i="70"/>
  <c r="B85" i="70"/>
  <c r="B84" i="70"/>
  <c r="R83" i="70"/>
  <c r="P83" i="70"/>
  <c r="N83" i="70"/>
  <c r="L83" i="70"/>
  <c r="J83" i="70"/>
  <c r="H83" i="70"/>
  <c r="F83" i="70"/>
  <c r="D83" i="70"/>
  <c r="B83" i="70"/>
  <c r="B82" i="70"/>
  <c r="R81" i="70"/>
  <c r="P81" i="70"/>
  <c r="N81" i="70"/>
  <c r="L81" i="70"/>
  <c r="J81" i="70"/>
  <c r="H81" i="70"/>
  <c r="F81" i="70"/>
  <c r="D81" i="70"/>
  <c r="B81" i="70"/>
  <c r="B80" i="70"/>
  <c r="R79" i="70"/>
  <c r="P79" i="70"/>
  <c r="N79" i="70"/>
  <c r="L79" i="70"/>
  <c r="J79" i="70"/>
  <c r="H79" i="70"/>
  <c r="F79" i="70"/>
  <c r="D79" i="70"/>
  <c r="B79" i="70"/>
  <c r="B78" i="70"/>
  <c r="R77" i="70"/>
  <c r="P77" i="70"/>
  <c r="N77" i="70"/>
  <c r="L77" i="70"/>
  <c r="J77" i="70"/>
  <c r="H77" i="70"/>
  <c r="F77" i="70"/>
  <c r="D77" i="70"/>
  <c r="B77" i="70"/>
  <c r="B76" i="70"/>
  <c r="B75" i="70"/>
  <c r="B74" i="70"/>
  <c r="B73" i="70"/>
  <c r="B72" i="70"/>
  <c r="B71" i="70"/>
  <c r="B70" i="70"/>
  <c r="B69" i="70"/>
  <c r="B68" i="70"/>
  <c r="B67" i="70"/>
  <c r="R66" i="70"/>
  <c r="P66" i="70"/>
  <c r="N66" i="70"/>
  <c r="L66" i="70"/>
  <c r="J66" i="70"/>
  <c r="H66" i="70"/>
  <c r="F66" i="70"/>
  <c r="D66" i="70"/>
  <c r="B66" i="70"/>
  <c r="B65" i="70"/>
  <c r="B64" i="70"/>
  <c r="B63" i="70"/>
  <c r="B62" i="70"/>
  <c r="B61" i="70"/>
  <c r="B60" i="70"/>
  <c r="B59" i="70"/>
  <c r="B58" i="70"/>
  <c r="B57" i="70"/>
  <c r="R56" i="70"/>
  <c r="P56" i="70"/>
  <c r="N56" i="70"/>
  <c r="L56" i="70"/>
  <c r="J56" i="70"/>
  <c r="H56" i="70"/>
  <c r="F56" i="70"/>
  <c r="D56" i="70"/>
  <c r="B56" i="70"/>
  <c r="R55" i="70"/>
  <c r="P55" i="70"/>
  <c r="N55" i="70"/>
  <c r="L55" i="70"/>
  <c r="J55" i="70"/>
  <c r="H55" i="70"/>
  <c r="F55" i="70"/>
  <c r="D55" i="70"/>
  <c r="B50" i="70"/>
  <c r="B49" i="70"/>
  <c r="B48" i="70"/>
  <c r="B47" i="70"/>
  <c r="B46" i="70"/>
  <c r="B45" i="70"/>
  <c r="B44" i="70"/>
  <c r="B43" i="70"/>
  <c r="B42" i="70"/>
  <c r="B41" i="70"/>
  <c r="B40" i="70"/>
  <c r="B39" i="70"/>
  <c r="B38" i="70"/>
  <c r="B37" i="70"/>
  <c r="B36" i="70"/>
  <c r="B35" i="70"/>
  <c r="R34" i="70"/>
  <c r="P34" i="70"/>
  <c r="N34" i="70"/>
  <c r="L34" i="70"/>
  <c r="J34" i="70"/>
  <c r="H34" i="70"/>
  <c r="F34" i="70"/>
  <c r="D34" i="70"/>
  <c r="N32" i="70"/>
  <c r="L32" i="70"/>
  <c r="J32" i="70"/>
  <c r="H32" i="70"/>
  <c r="F32" i="70"/>
  <c r="D32" i="70"/>
  <c r="B32" i="70"/>
  <c r="N31" i="70"/>
  <c r="L31" i="70"/>
  <c r="J31" i="70"/>
  <c r="H31" i="70"/>
  <c r="F31" i="70"/>
  <c r="D31" i="70"/>
  <c r="B31" i="70"/>
  <c r="N30" i="70"/>
  <c r="L30" i="70"/>
  <c r="J30" i="70"/>
  <c r="H30" i="70"/>
  <c r="F30" i="70"/>
  <c r="D30" i="70"/>
  <c r="B30" i="70"/>
  <c r="N29" i="70"/>
  <c r="L29" i="70"/>
  <c r="J29" i="70"/>
  <c r="H29" i="70"/>
  <c r="F29" i="70"/>
  <c r="D29" i="70"/>
  <c r="B29" i="70"/>
  <c r="N28" i="70"/>
  <c r="L28" i="70"/>
  <c r="J28" i="70"/>
  <c r="H28" i="70"/>
  <c r="F28" i="70"/>
  <c r="D28" i="70"/>
  <c r="B28" i="70"/>
  <c r="N27" i="70"/>
  <c r="L27" i="70"/>
  <c r="J27" i="70"/>
  <c r="H27" i="70"/>
  <c r="F27" i="70"/>
  <c r="D27" i="70"/>
  <c r="B27" i="70"/>
  <c r="N26" i="70"/>
  <c r="L26" i="70"/>
  <c r="J26" i="70"/>
  <c r="H26" i="70"/>
  <c r="F26" i="70"/>
  <c r="D26" i="70"/>
  <c r="B26" i="70"/>
  <c r="N25" i="70"/>
  <c r="L25" i="70"/>
  <c r="J25" i="70"/>
  <c r="H25" i="70"/>
  <c r="F25" i="70"/>
  <c r="D25" i="70"/>
  <c r="B25" i="70"/>
  <c r="N24" i="70"/>
  <c r="L24" i="70"/>
  <c r="J24" i="70"/>
  <c r="H24" i="70"/>
  <c r="F24" i="70"/>
  <c r="D24" i="70"/>
  <c r="B24" i="70"/>
  <c r="N23" i="70"/>
  <c r="L23" i="70"/>
  <c r="J23" i="70"/>
  <c r="H23" i="70"/>
  <c r="F23" i="70"/>
  <c r="D23" i="70"/>
  <c r="B23" i="70"/>
  <c r="N22" i="70"/>
  <c r="L22" i="70"/>
  <c r="J22" i="70"/>
  <c r="H22" i="70"/>
  <c r="F22" i="70"/>
  <c r="D22" i="70"/>
  <c r="B22" i="70"/>
  <c r="N21" i="70"/>
  <c r="L21" i="70"/>
  <c r="J21" i="70"/>
  <c r="H21" i="70"/>
  <c r="F21" i="70"/>
  <c r="D21" i="70"/>
  <c r="B21" i="70"/>
  <c r="N20" i="70"/>
  <c r="L20" i="70"/>
  <c r="J20" i="70"/>
  <c r="H20" i="70"/>
  <c r="F20" i="70"/>
  <c r="D20" i="70"/>
  <c r="B20" i="70"/>
  <c r="N19" i="70"/>
  <c r="L19" i="70"/>
  <c r="J19" i="70"/>
  <c r="H19" i="70"/>
  <c r="F19" i="70"/>
  <c r="D19" i="70"/>
  <c r="B19" i="70"/>
  <c r="N18" i="70"/>
  <c r="L18" i="70"/>
  <c r="J18" i="70"/>
  <c r="H18" i="70"/>
  <c r="F18" i="70"/>
  <c r="D18" i="70"/>
  <c r="B18" i="70"/>
  <c r="N17" i="70"/>
  <c r="L17" i="70"/>
  <c r="J17" i="70"/>
  <c r="H17" i="70"/>
  <c r="F17" i="70"/>
  <c r="D17" i="70"/>
  <c r="B17" i="70"/>
  <c r="N16" i="70"/>
  <c r="L16" i="70"/>
  <c r="J16" i="70"/>
  <c r="H16" i="70"/>
  <c r="F16" i="70"/>
  <c r="D16" i="70"/>
  <c r="B16" i="70"/>
  <c r="N15" i="70"/>
  <c r="L15" i="70"/>
  <c r="J15" i="70"/>
  <c r="H15" i="70"/>
  <c r="F15" i="70"/>
  <c r="D15" i="70"/>
  <c r="B15" i="70"/>
  <c r="N14" i="70"/>
  <c r="L14" i="70"/>
  <c r="J14" i="70"/>
  <c r="H14" i="70"/>
  <c r="F14" i="70"/>
  <c r="D14" i="70"/>
  <c r="B14" i="70"/>
  <c r="N13" i="70"/>
  <c r="L13" i="70"/>
  <c r="L10" i="70" s="1"/>
  <c r="L52" i="70" s="1"/>
  <c r="J13" i="70"/>
  <c r="H13" i="70"/>
  <c r="F13" i="70"/>
  <c r="D13" i="70"/>
  <c r="D10" i="70" s="1"/>
  <c r="D52" i="70" s="1"/>
  <c r="B13" i="70"/>
  <c r="N12" i="70"/>
  <c r="L12" i="70"/>
  <c r="J12" i="70"/>
  <c r="J10" i="70" s="1"/>
  <c r="J52" i="70" s="1"/>
  <c r="H12" i="70"/>
  <c r="F12" i="70"/>
  <c r="D12" i="70"/>
  <c r="B12" i="70"/>
  <c r="N11" i="70"/>
  <c r="L11" i="70"/>
  <c r="J11" i="70"/>
  <c r="H11" i="70"/>
  <c r="H10" i="70" s="1"/>
  <c r="H52" i="70" s="1"/>
  <c r="F11" i="70"/>
  <c r="D11" i="70"/>
  <c r="B11" i="70"/>
  <c r="R10" i="70"/>
  <c r="R52" i="70" s="1"/>
  <c r="P10" i="70"/>
  <c r="P52" i="70" s="1"/>
  <c r="D4" i="70"/>
  <c r="D119" i="69"/>
  <c r="D120" i="69" s="1"/>
  <c r="N117" i="69"/>
  <c r="L117" i="69"/>
  <c r="J117" i="69"/>
  <c r="H117" i="69"/>
  <c r="H116" i="69" s="1"/>
  <c r="F117" i="69"/>
  <c r="D117" i="69"/>
  <c r="B117" i="69"/>
  <c r="R116" i="69"/>
  <c r="P116" i="69"/>
  <c r="N116" i="69"/>
  <c r="L116" i="69"/>
  <c r="J116" i="69"/>
  <c r="F116" i="69"/>
  <c r="D116" i="69"/>
  <c r="B114" i="69"/>
  <c r="R113" i="69"/>
  <c r="P113" i="69"/>
  <c r="N113" i="69"/>
  <c r="L113" i="69"/>
  <c r="J113" i="69"/>
  <c r="H113" i="69"/>
  <c r="F113" i="69"/>
  <c r="D113" i="69"/>
  <c r="B113" i="69"/>
  <c r="B112" i="69"/>
  <c r="R111" i="69"/>
  <c r="P111" i="69"/>
  <c r="N111" i="69"/>
  <c r="L111" i="69"/>
  <c r="J111" i="69"/>
  <c r="H111" i="69"/>
  <c r="F111" i="69"/>
  <c r="D111" i="69"/>
  <c r="B111" i="69"/>
  <c r="B110" i="69"/>
  <c r="R109" i="69"/>
  <c r="P109" i="69"/>
  <c r="N109" i="69"/>
  <c r="L109" i="69"/>
  <c r="J109" i="69"/>
  <c r="H109" i="69"/>
  <c r="F109" i="69"/>
  <c r="D109" i="69"/>
  <c r="B109" i="69"/>
  <c r="B108" i="69"/>
  <c r="B107" i="69"/>
  <c r="B106" i="69"/>
  <c r="B105" i="69"/>
  <c r="R104" i="69"/>
  <c r="P104" i="69"/>
  <c r="N104" i="69"/>
  <c r="L104" i="69"/>
  <c r="J104" i="69"/>
  <c r="H104" i="69"/>
  <c r="F104" i="69"/>
  <c r="D104" i="69"/>
  <c r="B104" i="69"/>
  <c r="B103" i="69"/>
  <c r="R102" i="69"/>
  <c r="P102" i="69"/>
  <c r="N102" i="69"/>
  <c r="L102" i="69"/>
  <c r="J102" i="69"/>
  <c r="H102" i="69"/>
  <c r="F102" i="69"/>
  <c r="D102" i="69"/>
  <c r="B102" i="69"/>
  <c r="B101" i="69"/>
  <c r="R100" i="69"/>
  <c r="P100" i="69"/>
  <c r="N100" i="69"/>
  <c r="L100" i="69"/>
  <c r="J100" i="69"/>
  <c r="H100" i="69"/>
  <c r="F100" i="69"/>
  <c r="D100" i="69"/>
  <c r="B100" i="69"/>
  <c r="B99" i="69"/>
  <c r="R98" i="69"/>
  <c r="P98" i="69"/>
  <c r="N98" i="69"/>
  <c r="L98" i="69"/>
  <c r="J98" i="69"/>
  <c r="H98" i="69"/>
  <c r="F98" i="69"/>
  <c r="D98" i="69"/>
  <c r="B98" i="69"/>
  <c r="B97" i="69"/>
  <c r="B96" i="69"/>
  <c r="B95" i="69"/>
  <c r="B94" i="69"/>
  <c r="B93" i="69"/>
  <c r="B92" i="69"/>
  <c r="B91" i="69"/>
  <c r="B90" i="69"/>
  <c r="B89" i="69"/>
  <c r="B88" i="69"/>
  <c r="R87" i="69"/>
  <c r="P87" i="69"/>
  <c r="N87" i="69"/>
  <c r="L87" i="69"/>
  <c r="J87" i="69"/>
  <c r="H87" i="69"/>
  <c r="F87" i="69"/>
  <c r="D87" i="69"/>
  <c r="B87" i="69"/>
  <c r="B86" i="69"/>
  <c r="B85" i="69"/>
  <c r="R84" i="69"/>
  <c r="P84" i="69"/>
  <c r="N84" i="69"/>
  <c r="L84" i="69"/>
  <c r="J84" i="69"/>
  <c r="H84" i="69"/>
  <c r="F84" i="69"/>
  <c r="D84" i="69"/>
  <c r="B84" i="69"/>
  <c r="B83" i="69"/>
  <c r="R82" i="69"/>
  <c r="P82" i="69"/>
  <c r="N82" i="69"/>
  <c r="L82" i="69"/>
  <c r="J82" i="69"/>
  <c r="H82" i="69"/>
  <c r="F82" i="69"/>
  <c r="D82" i="69"/>
  <c r="B82" i="69"/>
  <c r="B81" i="69"/>
  <c r="B80" i="69"/>
  <c r="R79" i="69"/>
  <c r="P79" i="69"/>
  <c r="N79" i="69"/>
  <c r="L79" i="69"/>
  <c r="J79" i="69"/>
  <c r="H79" i="69"/>
  <c r="F79" i="69"/>
  <c r="D79" i="69"/>
  <c r="B79" i="69"/>
  <c r="B78" i="69"/>
  <c r="R77" i="69"/>
  <c r="P77" i="69"/>
  <c r="N77" i="69"/>
  <c r="L77" i="69"/>
  <c r="J77" i="69"/>
  <c r="H77" i="69"/>
  <c r="F77" i="69"/>
  <c r="D77" i="69"/>
  <c r="B77" i="69"/>
  <c r="B76" i="69"/>
  <c r="B75" i="69"/>
  <c r="B74" i="69"/>
  <c r="B73" i="69"/>
  <c r="B72" i="69"/>
  <c r="B71" i="69"/>
  <c r="R70" i="69"/>
  <c r="P70" i="69"/>
  <c r="N70" i="69"/>
  <c r="L70" i="69"/>
  <c r="J70" i="69"/>
  <c r="H70" i="69"/>
  <c r="F70" i="69"/>
  <c r="D70" i="69"/>
  <c r="B70" i="69"/>
  <c r="B69" i="69"/>
  <c r="B68" i="69"/>
  <c r="B67" i="69"/>
  <c r="B66" i="69"/>
  <c r="B65" i="69"/>
  <c r="B64" i="69"/>
  <c r="B63" i="69"/>
  <c r="B62" i="69"/>
  <c r="B61" i="69"/>
  <c r="R60" i="69"/>
  <c r="P60" i="69"/>
  <c r="N60" i="69"/>
  <c r="L60" i="69"/>
  <c r="J60" i="69"/>
  <c r="H60" i="69"/>
  <c r="F60" i="69"/>
  <c r="D60" i="69"/>
  <c r="B60" i="69"/>
  <c r="R59" i="69"/>
  <c r="P59" i="69"/>
  <c r="N59" i="69"/>
  <c r="L59" i="69"/>
  <c r="J59" i="69"/>
  <c r="H59" i="69"/>
  <c r="F59" i="69"/>
  <c r="D59" i="69"/>
  <c r="P56" i="69"/>
  <c r="P119" i="69" s="1"/>
  <c r="H56" i="69"/>
  <c r="B54" i="69"/>
  <c r="B53" i="69"/>
  <c r="B52" i="69"/>
  <c r="B51" i="69"/>
  <c r="B50" i="69"/>
  <c r="B49" i="69"/>
  <c r="B48" i="69"/>
  <c r="B47" i="69"/>
  <c r="B46" i="69"/>
  <c r="B45" i="69"/>
  <c r="B44" i="69"/>
  <c r="B43" i="69"/>
  <c r="B42" i="69"/>
  <c r="B41" i="69"/>
  <c r="B40" i="69"/>
  <c r="B39" i="69"/>
  <c r="B38" i="69"/>
  <c r="R37" i="69"/>
  <c r="P37" i="69"/>
  <c r="N37" i="69"/>
  <c r="L37" i="69"/>
  <c r="J37" i="69"/>
  <c r="H37" i="69"/>
  <c r="F37" i="69"/>
  <c r="D37" i="69"/>
  <c r="N35" i="69"/>
  <c r="L35" i="69"/>
  <c r="J35" i="69"/>
  <c r="H35" i="69"/>
  <c r="F35" i="69"/>
  <c r="D35" i="69"/>
  <c r="B35" i="69"/>
  <c r="N34" i="69"/>
  <c r="L34" i="69"/>
  <c r="J34" i="69"/>
  <c r="H34" i="69"/>
  <c r="F34" i="69"/>
  <c r="D34" i="69"/>
  <c r="B34" i="69"/>
  <c r="N33" i="69"/>
  <c r="L33" i="69"/>
  <c r="J33" i="69"/>
  <c r="H33" i="69"/>
  <c r="F33" i="69"/>
  <c r="D33" i="69"/>
  <c r="B33" i="69"/>
  <c r="N32" i="69"/>
  <c r="L32" i="69"/>
  <c r="J32" i="69"/>
  <c r="H32" i="69"/>
  <c r="F32" i="69"/>
  <c r="D32" i="69"/>
  <c r="B32" i="69"/>
  <c r="N31" i="69"/>
  <c r="L31" i="69"/>
  <c r="J31" i="69"/>
  <c r="H31" i="69"/>
  <c r="F31" i="69"/>
  <c r="D31" i="69"/>
  <c r="B31" i="69"/>
  <c r="N30" i="69"/>
  <c r="L30" i="69"/>
  <c r="J30" i="69"/>
  <c r="H30" i="69"/>
  <c r="F30" i="69"/>
  <c r="D30" i="69"/>
  <c r="B30" i="69"/>
  <c r="N29" i="69"/>
  <c r="L29" i="69"/>
  <c r="J29" i="69"/>
  <c r="H29" i="69"/>
  <c r="F29" i="69"/>
  <c r="D29" i="69"/>
  <c r="B29" i="69"/>
  <c r="N28" i="69"/>
  <c r="L28" i="69"/>
  <c r="J28" i="69"/>
  <c r="H28" i="69"/>
  <c r="F28" i="69"/>
  <c r="D28" i="69"/>
  <c r="B28" i="69"/>
  <c r="N27" i="69"/>
  <c r="L27" i="69"/>
  <c r="J27" i="69"/>
  <c r="H27" i="69"/>
  <c r="F27" i="69"/>
  <c r="D27" i="69"/>
  <c r="B27" i="69"/>
  <c r="N26" i="69"/>
  <c r="L26" i="69"/>
  <c r="J26" i="69"/>
  <c r="H26" i="69"/>
  <c r="F26" i="69"/>
  <c r="D26" i="69"/>
  <c r="B26" i="69"/>
  <c r="N25" i="69"/>
  <c r="L25" i="69"/>
  <c r="J25" i="69"/>
  <c r="H25" i="69"/>
  <c r="F25" i="69"/>
  <c r="D25" i="69"/>
  <c r="B25" i="69"/>
  <c r="N24" i="69"/>
  <c r="L24" i="69"/>
  <c r="J24" i="69"/>
  <c r="H24" i="69"/>
  <c r="F24" i="69"/>
  <c r="D24" i="69"/>
  <c r="B24" i="69"/>
  <c r="N23" i="69"/>
  <c r="L23" i="69"/>
  <c r="J23" i="69"/>
  <c r="H23" i="69"/>
  <c r="F23" i="69"/>
  <c r="D23" i="69"/>
  <c r="B23" i="69"/>
  <c r="N22" i="69"/>
  <c r="L22" i="69"/>
  <c r="J22" i="69"/>
  <c r="H22" i="69"/>
  <c r="F22" i="69"/>
  <c r="D22" i="69"/>
  <c r="B22" i="69"/>
  <c r="N21" i="69"/>
  <c r="L21" i="69"/>
  <c r="J21" i="69"/>
  <c r="H21" i="69"/>
  <c r="F21" i="69"/>
  <c r="D21" i="69"/>
  <c r="B21" i="69"/>
  <c r="N20" i="69"/>
  <c r="L20" i="69"/>
  <c r="J20" i="69"/>
  <c r="H20" i="69"/>
  <c r="F20" i="69"/>
  <c r="D20" i="69"/>
  <c r="B20" i="69"/>
  <c r="N19" i="69"/>
  <c r="L19" i="69"/>
  <c r="J19" i="69"/>
  <c r="H19" i="69"/>
  <c r="F19" i="69"/>
  <c r="D19" i="69"/>
  <c r="B19" i="69"/>
  <c r="N18" i="69"/>
  <c r="L18" i="69"/>
  <c r="J18" i="69"/>
  <c r="H18" i="69"/>
  <c r="F18" i="69"/>
  <c r="D18" i="69"/>
  <c r="B18" i="69"/>
  <c r="N17" i="69"/>
  <c r="L17" i="69"/>
  <c r="J17" i="69"/>
  <c r="H17" i="69"/>
  <c r="F17" i="69"/>
  <c r="D17" i="69"/>
  <c r="B17" i="69"/>
  <c r="N16" i="69"/>
  <c r="L16" i="69"/>
  <c r="J16" i="69"/>
  <c r="H16" i="69"/>
  <c r="F16" i="69"/>
  <c r="D16" i="69"/>
  <c r="B16" i="69"/>
  <c r="N15" i="69"/>
  <c r="L15" i="69"/>
  <c r="J15" i="69"/>
  <c r="H15" i="69"/>
  <c r="F15" i="69"/>
  <c r="D15" i="69"/>
  <c r="B15" i="69"/>
  <c r="N14" i="69"/>
  <c r="L14" i="69"/>
  <c r="L10" i="69" s="1"/>
  <c r="L56" i="69" s="1"/>
  <c r="L57" i="69" s="1"/>
  <c r="J14" i="69"/>
  <c r="H14" i="69"/>
  <c r="F14" i="69"/>
  <c r="D14" i="69"/>
  <c r="D10" i="69" s="1"/>
  <c r="D56" i="69" s="1"/>
  <c r="D57" i="69" s="1"/>
  <c r="B14" i="69"/>
  <c r="N13" i="69"/>
  <c r="L13" i="69"/>
  <c r="J13" i="69"/>
  <c r="J10" i="69" s="1"/>
  <c r="J56" i="69" s="1"/>
  <c r="H13" i="69"/>
  <c r="F13" i="69"/>
  <c r="D13" i="69"/>
  <c r="B13" i="69"/>
  <c r="N12" i="69"/>
  <c r="L12" i="69"/>
  <c r="J12" i="69"/>
  <c r="H12" i="69"/>
  <c r="F12" i="69"/>
  <c r="D12" i="69"/>
  <c r="B12" i="69"/>
  <c r="N11" i="69"/>
  <c r="N10" i="69" s="1"/>
  <c r="N56" i="69" s="1"/>
  <c r="L11" i="69"/>
  <c r="J11" i="69"/>
  <c r="H11" i="69"/>
  <c r="F11" i="69"/>
  <c r="F10" i="69" s="1"/>
  <c r="F56" i="69" s="1"/>
  <c r="D11" i="69"/>
  <c r="B11" i="69"/>
  <c r="R10" i="69"/>
  <c r="R56" i="69" s="1"/>
  <c r="P10" i="69"/>
  <c r="H10" i="69"/>
  <c r="D4" i="69"/>
  <c r="J101" i="68"/>
  <c r="R99" i="68"/>
  <c r="P99" i="68"/>
  <c r="N99" i="68"/>
  <c r="L99" i="68"/>
  <c r="J99" i="68"/>
  <c r="H99" i="68"/>
  <c r="F99" i="68"/>
  <c r="D99" i="68"/>
  <c r="B97" i="68"/>
  <c r="B96" i="68"/>
  <c r="R95" i="68"/>
  <c r="P95" i="68"/>
  <c r="N95" i="68"/>
  <c r="L95" i="68"/>
  <c r="J95" i="68"/>
  <c r="H95" i="68"/>
  <c r="F95" i="68"/>
  <c r="D95" i="68"/>
  <c r="B95" i="68"/>
  <c r="B94" i="68"/>
  <c r="R93" i="68"/>
  <c r="P93" i="68"/>
  <c r="N93" i="68"/>
  <c r="L93" i="68"/>
  <c r="J93" i="68"/>
  <c r="H93" i="68"/>
  <c r="F93" i="68"/>
  <c r="D93" i="68"/>
  <c r="B93" i="68"/>
  <c r="B92" i="68"/>
  <c r="B91" i="68"/>
  <c r="R90" i="68"/>
  <c r="P90" i="68"/>
  <c r="N90" i="68"/>
  <c r="L90" i="68"/>
  <c r="J90" i="68"/>
  <c r="H90" i="68"/>
  <c r="F90" i="68"/>
  <c r="D90" i="68"/>
  <c r="B90" i="68"/>
  <c r="B89" i="68"/>
  <c r="B88" i="68"/>
  <c r="B87" i="68"/>
  <c r="B86" i="68"/>
  <c r="B85" i="68"/>
  <c r="B84" i="68"/>
  <c r="B83" i="68"/>
  <c r="R82" i="68"/>
  <c r="P82" i="68"/>
  <c r="N82" i="68"/>
  <c r="L82" i="68"/>
  <c r="J82" i="68"/>
  <c r="H82" i="68"/>
  <c r="F82" i="68"/>
  <c r="D82" i="68"/>
  <c r="B82" i="68"/>
  <c r="B81" i="68"/>
  <c r="B80" i="68"/>
  <c r="R79" i="68"/>
  <c r="P79" i="68"/>
  <c r="N79" i="68"/>
  <c r="L79" i="68"/>
  <c r="J79" i="68"/>
  <c r="H79" i="68"/>
  <c r="F79" i="68"/>
  <c r="D79" i="68"/>
  <c r="B79" i="68"/>
  <c r="B78" i="68"/>
  <c r="B77" i="68"/>
  <c r="R76" i="68"/>
  <c r="P76" i="68"/>
  <c r="N76" i="68"/>
  <c r="L76" i="68"/>
  <c r="J76" i="68"/>
  <c r="H76" i="68"/>
  <c r="F76" i="68"/>
  <c r="D76" i="68"/>
  <c r="B76" i="68"/>
  <c r="B75" i="68"/>
  <c r="B74" i="68"/>
  <c r="B73" i="68"/>
  <c r="R72" i="68"/>
  <c r="P72" i="68"/>
  <c r="N72" i="68"/>
  <c r="L72" i="68"/>
  <c r="J72" i="68"/>
  <c r="H72" i="68"/>
  <c r="F72" i="68"/>
  <c r="D72" i="68"/>
  <c r="B72" i="68"/>
  <c r="B71" i="68"/>
  <c r="R70" i="68"/>
  <c r="P70" i="68"/>
  <c r="N70" i="68"/>
  <c r="L70" i="68"/>
  <c r="J70" i="68"/>
  <c r="H70" i="68"/>
  <c r="F70" i="68"/>
  <c r="D70" i="68"/>
  <c r="B70" i="68"/>
  <c r="B69" i="68"/>
  <c r="R68" i="68"/>
  <c r="P68" i="68"/>
  <c r="N68" i="68"/>
  <c r="L68" i="68"/>
  <c r="J68" i="68"/>
  <c r="H68" i="68"/>
  <c r="F68" i="68"/>
  <c r="D68" i="68"/>
  <c r="B68" i="68"/>
  <c r="B67" i="68"/>
  <c r="B66" i="68"/>
  <c r="R65" i="68"/>
  <c r="P65" i="68"/>
  <c r="N65" i="68"/>
  <c r="L65" i="68"/>
  <c r="J65" i="68"/>
  <c r="H65" i="68"/>
  <c r="F65" i="68"/>
  <c r="D65" i="68"/>
  <c r="B65" i="68"/>
  <c r="B64" i="68"/>
  <c r="R63" i="68"/>
  <c r="P63" i="68"/>
  <c r="N63" i="68"/>
  <c r="L63" i="68"/>
  <c r="J63" i="68"/>
  <c r="H63" i="68"/>
  <c r="F63" i="68"/>
  <c r="D63" i="68"/>
  <c r="B63" i="68"/>
  <c r="B62" i="68"/>
  <c r="R61" i="68"/>
  <c r="P61" i="68"/>
  <c r="N61" i="68"/>
  <c r="L61" i="68"/>
  <c r="J61" i="68"/>
  <c r="H61" i="68"/>
  <c r="F61" i="68"/>
  <c r="D61" i="68"/>
  <c r="B61" i="68"/>
  <c r="B60" i="68"/>
  <c r="R59" i="68"/>
  <c r="P59" i="68"/>
  <c r="N59" i="68"/>
  <c r="L59" i="68"/>
  <c r="J59" i="68"/>
  <c r="H59" i="68"/>
  <c r="F59" i="68"/>
  <c r="D59" i="68"/>
  <c r="B59" i="68"/>
  <c r="B58" i="68"/>
  <c r="R57" i="68"/>
  <c r="P57" i="68"/>
  <c r="N57" i="68"/>
  <c r="L57" i="68"/>
  <c r="J57" i="68"/>
  <c r="H57" i="68"/>
  <c r="F57" i="68"/>
  <c r="D57" i="68"/>
  <c r="B57" i="68"/>
  <c r="B56" i="68"/>
  <c r="R55" i="68"/>
  <c r="P55" i="68"/>
  <c r="N55" i="68"/>
  <c r="L55" i="68"/>
  <c r="J55" i="68"/>
  <c r="H55" i="68"/>
  <c r="F55" i="68"/>
  <c r="D55" i="68"/>
  <c r="B55" i="68"/>
  <c r="B54" i="68"/>
  <c r="B53" i="68"/>
  <c r="B52" i="68"/>
  <c r="B51" i="68"/>
  <c r="B50" i="68"/>
  <c r="B49" i="68"/>
  <c r="B48" i="68"/>
  <c r="B47" i="68"/>
  <c r="B46" i="68"/>
  <c r="B45" i="68"/>
  <c r="R44" i="68"/>
  <c r="P44" i="68"/>
  <c r="N44" i="68"/>
  <c r="L44" i="68"/>
  <c r="J44" i="68"/>
  <c r="H44" i="68"/>
  <c r="F44" i="68"/>
  <c r="D44" i="68"/>
  <c r="B44" i="68"/>
  <c r="B43" i="68"/>
  <c r="B42" i="68"/>
  <c r="B41" i="68"/>
  <c r="B40" i="68"/>
  <c r="B39" i="68"/>
  <c r="B38" i="68"/>
  <c r="B37" i="68"/>
  <c r="B36" i="68"/>
  <c r="B35" i="68"/>
  <c r="R34" i="68"/>
  <c r="P34" i="68"/>
  <c r="N34" i="68"/>
  <c r="L34" i="68"/>
  <c r="J34" i="68"/>
  <c r="H34" i="68"/>
  <c r="F34" i="68"/>
  <c r="D34" i="68"/>
  <c r="B34" i="68"/>
  <c r="R33" i="68"/>
  <c r="P33" i="68"/>
  <c r="N33" i="68"/>
  <c r="L33" i="68"/>
  <c r="J33" i="68"/>
  <c r="H33" i="68"/>
  <c r="F33" i="68"/>
  <c r="D33" i="68"/>
  <c r="R30" i="68"/>
  <c r="R31" i="68" s="1"/>
  <c r="J30" i="68"/>
  <c r="J31" i="68" s="1"/>
  <c r="B28" i="68"/>
  <c r="B27" i="68"/>
  <c r="B26" i="68"/>
  <c r="R25" i="68"/>
  <c r="P25" i="68"/>
  <c r="N25" i="68"/>
  <c r="L25" i="68"/>
  <c r="J25" i="68"/>
  <c r="H25" i="68"/>
  <c r="F25" i="68"/>
  <c r="D25" i="68"/>
  <c r="N23" i="68"/>
  <c r="L23" i="68"/>
  <c r="J23" i="68"/>
  <c r="H23" i="68"/>
  <c r="F23" i="68"/>
  <c r="D23" i="68"/>
  <c r="B23" i="68"/>
  <c r="N22" i="68"/>
  <c r="L22" i="68"/>
  <c r="J22" i="68"/>
  <c r="H22" i="68"/>
  <c r="F22" i="68"/>
  <c r="D22" i="68"/>
  <c r="B22" i="68"/>
  <c r="N21" i="68"/>
  <c r="L21" i="68"/>
  <c r="J21" i="68"/>
  <c r="H21" i="68"/>
  <c r="F21" i="68"/>
  <c r="D21" i="68"/>
  <c r="B21" i="68"/>
  <c r="N20" i="68"/>
  <c r="L20" i="68"/>
  <c r="J20" i="68"/>
  <c r="H20" i="68"/>
  <c r="F20" i="68"/>
  <c r="D20" i="68"/>
  <c r="B20" i="68"/>
  <c r="N19" i="68"/>
  <c r="L19" i="68"/>
  <c r="J19" i="68"/>
  <c r="H19" i="68"/>
  <c r="F19" i="68"/>
  <c r="D19" i="68"/>
  <c r="B19" i="68"/>
  <c r="N18" i="68"/>
  <c r="L18" i="68"/>
  <c r="J18" i="68"/>
  <c r="H18" i="68"/>
  <c r="F18" i="68"/>
  <c r="D18" i="68"/>
  <c r="B18" i="68"/>
  <c r="N17" i="68"/>
  <c r="L17" i="68"/>
  <c r="J17" i="68"/>
  <c r="H17" i="68"/>
  <c r="F17" i="68"/>
  <c r="D17" i="68"/>
  <c r="B17" i="68"/>
  <c r="N16" i="68"/>
  <c r="L16" i="68"/>
  <c r="J16" i="68"/>
  <c r="H16" i="68"/>
  <c r="F16" i="68"/>
  <c r="D16" i="68"/>
  <c r="B16" i="68"/>
  <c r="N15" i="68"/>
  <c r="L15" i="68"/>
  <c r="J15" i="68"/>
  <c r="H15" i="68"/>
  <c r="F15" i="68"/>
  <c r="D15" i="68"/>
  <c r="B15" i="68"/>
  <c r="N14" i="68"/>
  <c r="L14" i="68"/>
  <c r="J14" i="68"/>
  <c r="J10" i="68" s="1"/>
  <c r="H14" i="68"/>
  <c r="F14" i="68"/>
  <c r="D14" i="68"/>
  <c r="B14" i="68"/>
  <c r="N13" i="68"/>
  <c r="L13" i="68"/>
  <c r="J13" i="68"/>
  <c r="H13" i="68"/>
  <c r="F13" i="68"/>
  <c r="D13" i="68"/>
  <c r="B13" i="68"/>
  <c r="N12" i="68"/>
  <c r="L12" i="68"/>
  <c r="J12" i="68"/>
  <c r="H12" i="68"/>
  <c r="F12" i="68"/>
  <c r="F10" i="68" s="1"/>
  <c r="F30" i="68" s="1"/>
  <c r="D12" i="68"/>
  <c r="B12" i="68"/>
  <c r="N11" i="68"/>
  <c r="L11" i="68"/>
  <c r="L10" i="68" s="1"/>
  <c r="L30" i="68" s="1"/>
  <c r="J11" i="68"/>
  <c r="H11" i="68"/>
  <c r="F11" i="68"/>
  <c r="D11" i="68"/>
  <c r="D10" i="68" s="1"/>
  <c r="D30" i="68" s="1"/>
  <c r="B11" i="68"/>
  <c r="R10" i="68"/>
  <c r="P10" i="68"/>
  <c r="P30" i="68" s="1"/>
  <c r="N10" i="68"/>
  <c r="N30" i="68" s="1"/>
  <c r="D4" i="68"/>
  <c r="N101" i="67"/>
  <c r="L101" i="67"/>
  <c r="L100" i="67" s="1"/>
  <c r="J101" i="67"/>
  <c r="H101" i="67"/>
  <c r="H100" i="67" s="1"/>
  <c r="F101" i="67"/>
  <c r="D101" i="67"/>
  <c r="D100" i="67" s="1"/>
  <c r="B101" i="67"/>
  <c r="R100" i="67"/>
  <c r="P100" i="67"/>
  <c r="N100" i="67"/>
  <c r="J100" i="67"/>
  <c r="F100" i="67"/>
  <c r="B98" i="67"/>
  <c r="R97" i="67"/>
  <c r="P97" i="67"/>
  <c r="N97" i="67"/>
  <c r="L97" i="67"/>
  <c r="J97" i="67"/>
  <c r="H97" i="67"/>
  <c r="F97" i="67"/>
  <c r="D97" i="67"/>
  <c r="B97" i="67"/>
  <c r="B96" i="67"/>
  <c r="R95" i="67"/>
  <c r="P95" i="67"/>
  <c r="N95" i="67"/>
  <c r="L95" i="67"/>
  <c r="J95" i="67"/>
  <c r="H95" i="67"/>
  <c r="F95" i="67"/>
  <c r="D95" i="67"/>
  <c r="B95" i="67"/>
  <c r="B94" i="67"/>
  <c r="R93" i="67"/>
  <c r="P93" i="67"/>
  <c r="N93" i="67"/>
  <c r="L93" i="67"/>
  <c r="J93" i="67"/>
  <c r="H93" i="67"/>
  <c r="F93" i="67"/>
  <c r="D93" i="67"/>
  <c r="B93" i="67"/>
  <c r="B92" i="67"/>
  <c r="B91" i="67"/>
  <c r="R90" i="67"/>
  <c r="P90" i="67"/>
  <c r="N90" i="67"/>
  <c r="L90" i="67"/>
  <c r="J90" i="67"/>
  <c r="H90" i="67"/>
  <c r="F90" i="67"/>
  <c r="D90" i="67"/>
  <c r="B90" i="67"/>
  <c r="B89" i="67"/>
  <c r="B88" i="67"/>
  <c r="B87" i="67"/>
  <c r="B86" i="67"/>
  <c r="B85" i="67"/>
  <c r="B84" i="67"/>
  <c r="B83" i="67"/>
  <c r="B82" i="67"/>
  <c r="B81" i="67"/>
  <c r="R80" i="67"/>
  <c r="P80" i="67"/>
  <c r="N80" i="67"/>
  <c r="L80" i="67"/>
  <c r="J80" i="67"/>
  <c r="H80" i="67"/>
  <c r="F80" i="67"/>
  <c r="D80" i="67"/>
  <c r="B80" i="67"/>
  <c r="B79" i="67"/>
  <c r="B78" i="67"/>
  <c r="R77" i="67"/>
  <c r="P77" i="67"/>
  <c r="N77" i="67"/>
  <c r="L77" i="67"/>
  <c r="J77" i="67"/>
  <c r="H77" i="67"/>
  <c r="F77" i="67"/>
  <c r="D77" i="67"/>
  <c r="B77" i="67"/>
  <c r="B76" i="67"/>
  <c r="R75" i="67"/>
  <c r="P75" i="67"/>
  <c r="N75" i="67"/>
  <c r="L75" i="67"/>
  <c r="J75" i="67"/>
  <c r="H75" i="67"/>
  <c r="F75" i="67"/>
  <c r="D75" i="67"/>
  <c r="B75" i="67"/>
  <c r="B74" i="67"/>
  <c r="R73" i="67"/>
  <c r="P73" i="67"/>
  <c r="N73" i="67"/>
  <c r="L73" i="67"/>
  <c r="J73" i="67"/>
  <c r="H73" i="67"/>
  <c r="F73" i="67"/>
  <c r="D73" i="67"/>
  <c r="B73" i="67"/>
  <c r="B72" i="67"/>
  <c r="B71" i="67"/>
  <c r="B70" i="67"/>
  <c r="B69" i="67"/>
  <c r="B68" i="67"/>
  <c r="R67" i="67"/>
  <c r="P67" i="67"/>
  <c r="N67" i="67"/>
  <c r="L67" i="67"/>
  <c r="J67" i="67"/>
  <c r="H67" i="67"/>
  <c r="F67" i="67"/>
  <c r="D67" i="67"/>
  <c r="B67" i="67"/>
  <c r="B66" i="67"/>
  <c r="B65" i="67"/>
  <c r="B64" i="67"/>
  <c r="B63" i="67"/>
  <c r="B62" i="67"/>
  <c r="B61" i="67"/>
  <c r="B60" i="67"/>
  <c r="B59" i="67"/>
  <c r="B58" i="67"/>
  <c r="R57" i="67"/>
  <c r="P57" i="67"/>
  <c r="N57" i="67"/>
  <c r="L57" i="67"/>
  <c r="J57" i="67"/>
  <c r="H57" i="67"/>
  <c r="F57" i="67"/>
  <c r="D57" i="67"/>
  <c r="B57" i="67"/>
  <c r="R56" i="67"/>
  <c r="P56" i="67"/>
  <c r="N56" i="67"/>
  <c r="L56" i="67"/>
  <c r="J56" i="67"/>
  <c r="H56" i="67"/>
  <c r="F56" i="67"/>
  <c r="D56" i="67"/>
  <c r="R53" i="67"/>
  <c r="B51" i="67"/>
  <c r="B50" i="67"/>
  <c r="B49" i="67"/>
  <c r="B48" i="67"/>
  <c r="B47" i="67"/>
  <c r="B46" i="67"/>
  <c r="B45" i="67"/>
  <c r="B44" i="67"/>
  <c r="B43" i="67"/>
  <c r="B42" i="67"/>
  <c r="B41" i="67"/>
  <c r="B40" i="67"/>
  <c r="B39" i="67"/>
  <c r="B38" i="67"/>
  <c r="B37" i="67"/>
  <c r="R36" i="67"/>
  <c r="P36" i="67"/>
  <c r="N36" i="67"/>
  <c r="L36" i="67"/>
  <c r="J36" i="67"/>
  <c r="H36" i="67"/>
  <c r="F36" i="67"/>
  <c r="D36" i="67"/>
  <c r="N34" i="67"/>
  <c r="L34" i="67"/>
  <c r="J34" i="67"/>
  <c r="H34" i="67"/>
  <c r="F34" i="67"/>
  <c r="D34" i="67"/>
  <c r="B34" i="67"/>
  <c r="N33" i="67"/>
  <c r="L33" i="67"/>
  <c r="J33" i="67"/>
  <c r="H33" i="67"/>
  <c r="F33" i="67"/>
  <c r="D33" i="67"/>
  <c r="B33" i="67"/>
  <c r="N32" i="67"/>
  <c r="L32" i="67"/>
  <c r="J32" i="67"/>
  <c r="H32" i="67"/>
  <c r="F32" i="67"/>
  <c r="D32" i="67"/>
  <c r="B32" i="67"/>
  <c r="N31" i="67"/>
  <c r="L31" i="67"/>
  <c r="J31" i="67"/>
  <c r="H31" i="67"/>
  <c r="F31" i="67"/>
  <c r="D31" i="67"/>
  <c r="B31" i="67"/>
  <c r="N30" i="67"/>
  <c r="L30" i="67"/>
  <c r="J30" i="67"/>
  <c r="H30" i="67"/>
  <c r="F30" i="67"/>
  <c r="D30" i="67"/>
  <c r="B30" i="67"/>
  <c r="N29" i="67"/>
  <c r="L29" i="67"/>
  <c r="J29" i="67"/>
  <c r="H29" i="67"/>
  <c r="F29" i="67"/>
  <c r="D29" i="67"/>
  <c r="B29" i="67"/>
  <c r="N28" i="67"/>
  <c r="L28" i="67"/>
  <c r="J28" i="67"/>
  <c r="H28" i="67"/>
  <c r="F28" i="67"/>
  <c r="D28" i="67"/>
  <c r="B28" i="67"/>
  <c r="N27" i="67"/>
  <c r="L27" i="67"/>
  <c r="J27" i="67"/>
  <c r="H27" i="67"/>
  <c r="F27" i="67"/>
  <c r="D27" i="67"/>
  <c r="B27" i="67"/>
  <c r="N26" i="67"/>
  <c r="L26" i="67"/>
  <c r="J26" i="67"/>
  <c r="H26" i="67"/>
  <c r="F26" i="67"/>
  <c r="D26" i="67"/>
  <c r="B26" i="67"/>
  <c r="N25" i="67"/>
  <c r="L25" i="67"/>
  <c r="J25" i="67"/>
  <c r="H25" i="67"/>
  <c r="F25" i="67"/>
  <c r="D25" i="67"/>
  <c r="B25" i="67"/>
  <c r="N24" i="67"/>
  <c r="L24" i="67"/>
  <c r="J24" i="67"/>
  <c r="H24" i="67"/>
  <c r="F24" i="67"/>
  <c r="D24" i="67"/>
  <c r="B24" i="67"/>
  <c r="N23" i="67"/>
  <c r="L23" i="67"/>
  <c r="J23" i="67"/>
  <c r="H23" i="67"/>
  <c r="F23" i="67"/>
  <c r="D23" i="67"/>
  <c r="B23" i="67"/>
  <c r="N22" i="67"/>
  <c r="L22" i="67"/>
  <c r="J22" i="67"/>
  <c r="H22" i="67"/>
  <c r="F22" i="67"/>
  <c r="D22" i="67"/>
  <c r="B22" i="67"/>
  <c r="N21" i="67"/>
  <c r="L21" i="67"/>
  <c r="J21" i="67"/>
  <c r="H21" i="67"/>
  <c r="F21" i="67"/>
  <c r="D21" i="67"/>
  <c r="B21" i="67"/>
  <c r="N20" i="67"/>
  <c r="L20" i="67"/>
  <c r="J20" i="67"/>
  <c r="H20" i="67"/>
  <c r="F20" i="67"/>
  <c r="D20" i="67"/>
  <c r="B20" i="67"/>
  <c r="N19" i="67"/>
  <c r="L19" i="67"/>
  <c r="J19" i="67"/>
  <c r="H19" i="67"/>
  <c r="F19" i="67"/>
  <c r="D19" i="67"/>
  <c r="B19" i="67"/>
  <c r="N18" i="67"/>
  <c r="L18" i="67"/>
  <c r="J18" i="67"/>
  <c r="H18" i="67"/>
  <c r="F18" i="67"/>
  <c r="D18" i="67"/>
  <c r="B18" i="67"/>
  <c r="N17" i="67"/>
  <c r="L17" i="67"/>
  <c r="J17" i="67"/>
  <c r="H17" i="67"/>
  <c r="F17" i="67"/>
  <c r="D17" i="67"/>
  <c r="B17" i="67"/>
  <c r="N16" i="67"/>
  <c r="L16" i="67"/>
  <c r="J16" i="67"/>
  <c r="H16" i="67"/>
  <c r="F16" i="67"/>
  <c r="D16" i="67"/>
  <c r="B16" i="67"/>
  <c r="N15" i="67"/>
  <c r="L15" i="67"/>
  <c r="J15" i="67"/>
  <c r="H15" i="67"/>
  <c r="F15" i="67"/>
  <c r="D15" i="67"/>
  <c r="B15" i="67"/>
  <c r="N14" i="67"/>
  <c r="L14" i="67"/>
  <c r="L10" i="67" s="1"/>
  <c r="L53" i="67" s="1"/>
  <c r="J14" i="67"/>
  <c r="H14" i="67"/>
  <c r="F14" i="67"/>
  <c r="D14" i="67"/>
  <c r="D10" i="67" s="1"/>
  <c r="D53" i="67" s="1"/>
  <c r="B14" i="67"/>
  <c r="N13" i="67"/>
  <c r="L13" i="67"/>
  <c r="J13" i="67"/>
  <c r="H13" i="67"/>
  <c r="F13" i="67"/>
  <c r="D13" i="67"/>
  <c r="B13" i="67"/>
  <c r="N12" i="67"/>
  <c r="L12" i="67"/>
  <c r="J12" i="67"/>
  <c r="H12" i="67"/>
  <c r="H10" i="67" s="1"/>
  <c r="H53" i="67" s="1"/>
  <c r="F12" i="67"/>
  <c r="D12" i="67"/>
  <c r="B12" i="67"/>
  <c r="N11" i="67"/>
  <c r="N10" i="67" s="1"/>
  <c r="N53" i="67" s="1"/>
  <c r="L11" i="67"/>
  <c r="J11" i="67"/>
  <c r="J10" i="67" s="1"/>
  <c r="J53" i="67" s="1"/>
  <c r="H11" i="67"/>
  <c r="F11" i="67"/>
  <c r="F10" i="67" s="1"/>
  <c r="F53" i="67" s="1"/>
  <c r="D11" i="67"/>
  <c r="B11" i="67"/>
  <c r="R10" i="67"/>
  <c r="P10" i="67"/>
  <c r="P53" i="67" s="1"/>
  <c r="P54" i="67" s="1"/>
  <c r="D4" i="67"/>
  <c r="N148" i="66"/>
  <c r="N144" i="66" s="1"/>
  <c r="L148" i="66"/>
  <c r="J148" i="66"/>
  <c r="H148" i="66"/>
  <c r="F148" i="66"/>
  <c r="F144" i="66" s="1"/>
  <c r="D148" i="66"/>
  <c r="B148" i="66"/>
  <c r="N147" i="66"/>
  <c r="L147" i="66"/>
  <c r="J147" i="66"/>
  <c r="H147" i="66"/>
  <c r="F147" i="66"/>
  <c r="D147" i="66"/>
  <c r="B147" i="66"/>
  <c r="N146" i="66"/>
  <c r="L146" i="66"/>
  <c r="J146" i="66"/>
  <c r="J144" i="66" s="1"/>
  <c r="H146" i="66"/>
  <c r="F146" i="66"/>
  <c r="D146" i="66"/>
  <c r="B146" i="66"/>
  <c r="N145" i="66"/>
  <c r="L145" i="66"/>
  <c r="J145" i="66"/>
  <c r="H145" i="66"/>
  <c r="H144" i="66" s="1"/>
  <c r="F145" i="66"/>
  <c r="D145" i="66"/>
  <c r="B145" i="66"/>
  <c r="R144" i="66"/>
  <c r="P144" i="66"/>
  <c r="B142" i="66"/>
  <c r="R141" i="66"/>
  <c r="P141" i="66"/>
  <c r="N141" i="66"/>
  <c r="L141" i="66"/>
  <c r="J141" i="66"/>
  <c r="H141" i="66"/>
  <c r="F141" i="66"/>
  <c r="D141" i="66"/>
  <c r="B141" i="66"/>
  <c r="B140" i="66"/>
  <c r="B139" i="66"/>
  <c r="R138" i="66"/>
  <c r="P138" i="66"/>
  <c r="N138" i="66"/>
  <c r="L138" i="66"/>
  <c r="J138" i="66"/>
  <c r="H138" i="66"/>
  <c r="F138" i="66"/>
  <c r="D138" i="66"/>
  <c r="B138" i="66"/>
  <c r="B137" i="66"/>
  <c r="R136" i="66"/>
  <c r="P136" i="66"/>
  <c r="N136" i="66"/>
  <c r="L136" i="66"/>
  <c r="J136" i="66"/>
  <c r="H136" i="66"/>
  <c r="F136" i="66"/>
  <c r="D136" i="66"/>
  <c r="B136" i="66"/>
  <c r="B135" i="66"/>
  <c r="B134" i="66"/>
  <c r="R133" i="66"/>
  <c r="P133" i="66"/>
  <c r="N133" i="66"/>
  <c r="L133" i="66"/>
  <c r="J133" i="66"/>
  <c r="H133" i="66"/>
  <c r="F133" i="66"/>
  <c r="D133" i="66"/>
  <c r="B133" i="66"/>
  <c r="B132" i="66"/>
  <c r="B131" i="66"/>
  <c r="B130" i="66"/>
  <c r="B129" i="66"/>
  <c r="R128" i="66"/>
  <c r="P128" i="66"/>
  <c r="N128" i="66"/>
  <c r="L128" i="66"/>
  <c r="J128" i="66"/>
  <c r="H128" i="66"/>
  <c r="F128" i="66"/>
  <c r="D128" i="66"/>
  <c r="B128" i="66"/>
  <c r="B127" i="66"/>
  <c r="B126" i="66"/>
  <c r="R125" i="66"/>
  <c r="P125" i="66"/>
  <c r="N125" i="66"/>
  <c r="L125" i="66"/>
  <c r="J125" i="66"/>
  <c r="H125" i="66"/>
  <c r="F125" i="66"/>
  <c r="D125" i="66"/>
  <c r="B125" i="66"/>
  <c r="B124" i="66"/>
  <c r="R123" i="66"/>
  <c r="P123" i="66"/>
  <c r="N123" i="66"/>
  <c r="L123" i="66"/>
  <c r="J123" i="66"/>
  <c r="H123" i="66"/>
  <c r="F123" i="66"/>
  <c r="D123" i="66"/>
  <c r="B123" i="66"/>
  <c r="B122" i="66"/>
  <c r="B121" i="66"/>
  <c r="B120" i="66"/>
  <c r="R119" i="66"/>
  <c r="P119" i="66"/>
  <c r="N119" i="66"/>
  <c r="L119" i="66"/>
  <c r="J119" i="66"/>
  <c r="H119" i="66"/>
  <c r="F119" i="66"/>
  <c r="D119" i="66"/>
  <c r="B119" i="66"/>
  <c r="B118" i="66"/>
  <c r="R117" i="66"/>
  <c r="P117" i="66"/>
  <c r="N117" i="66"/>
  <c r="L117" i="66"/>
  <c r="J117" i="66"/>
  <c r="H117" i="66"/>
  <c r="F117" i="66"/>
  <c r="D117" i="66"/>
  <c r="B117" i="66"/>
  <c r="B116" i="66"/>
  <c r="B115" i="66"/>
  <c r="B114" i="66"/>
  <c r="B113" i="66"/>
  <c r="B112" i="66"/>
  <c r="B111" i="66"/>
  <c r="B110" i="66"/>
  <c r="B109" i="66"/>
  <c r="B108" i="66"/>
  <c r="R107" i="66"/>
  <c r="P107" i="66"/>
  <c r="N107" i="66"/>
  <c r="L107" i="66"/>
  <c r="J107" i="66"/>
  <c r="H107" i="66"/>
  <c r="F107" i="66"/>
  <c r="D107" i="66"/>
  <c r="B107" i="66"/>
  <c r="B106" i="66"/>
  <c r="B105" i="66"/>
  <c r="R104" i="66"/>
  <c r="P104" i="66"/>
  <c r="N104" i="66"/>
  <c r="L104" i="66"/>
  <c r="J104" i="66"/>
  <c r="H104" i="66"/>
  <c r="F104" i="66"/>
  <c r="D104" i="66"/>
  <c r="B104" i="66"/>
  <c r="B103" i="66"/>
  <c r="B102" i="66"/>
  <c r="R101" i="66"/>
  <c r="P101" i="66"/>
  <c r="N101" i="66"/>
  <c r="L101" i="66"/>
  <c r="J101" i="66"/>
  <c r="H101" i="66"/>
  <c r="F101" i="66"/>
  <c r="D101" i="66"/>
  <c r="B101" i="66"/>
  <c r="B100" i="66"/>
  <c r="R99" i="66"/>
  <c r="P99" i="66"/>
  <c r="N99" i="66"/>
  <c r="L99" i="66"/>
  <c r="J99" i="66"/>
  <c r="H99" i="66"/>
  <c r="F99" i="66"/>
  <c r="D99" i="66"/>
  <c r="B99" i="66"/>
  <c r="B98" i="66"/>
  <c r="R97" i="66"/>
  <c r="P97" i="66"/>
  <c r="N97" i="66"/>
  <c r="L97" i="66"/>
  <c r="J97" i="66"/>
  <c r="H97" i="66"/>
  <c r="F97" i="66"/>
  <c r="D97" i="66"/>
  <c r="B97" i="66"/>
  <c r="B96" i="66"/>
  <c r="B95" i="66"/>
  <c r="R94" i="66"/>
  <c r="P94" i="66"/>
  <c r="N94" i="66"/>
  <c r="L94" i="66"/>
  <c r="J94" i="66"/>
  <c r="H94" i="66"/>
  <c r="F94" i="66"/>
  <c r="D94" i="66"/>
  <c r="B94" i="66"/>
  <c r="B93" i="66"/>
  <c r="R92" i="66"/>
  <c r="P92" i="66"/>
  <c r="N92" i="66"/>
  <c r="L92" i="66"/>
  <c r="J92" i="66"/>
  <c r="H92" i="66"/>
  <c r="F92" i="66"/>
  <c r="D92" i="66"/>
  <c r="B92" i="66"/>
  <c r="B91" i="66"/>
  <c r="B90" i="66"/>
  <c r="B89" i="66"/>
  <c r="B88" i="66"/>
  <c r="B87" i="66"/>
  <c r="B86" i="66"/>
  <c r="B85" i="66"/>
  <c r="B84" i="66"/>
  <c r="B83" i="66"/>
  <c r="B82" i="66"/>
  <c r="R81" i="66"/>
  <c r="P81" i="66"/>
  <c r="N81" i="66"/>
  <c r="L81" i="66"/>
  <c r="J81" i="66"/>
  <c r="H81" i="66"/>
  <c r="F81" i="66"/>
  <c r="D81" i="66"/>
  <c r="B81" i="66"/>
  <c r="B80" i="66"/>
  <c r="B79" i="66"/>
  <c r="B78" i="66"/>
  <c r="B77" i="66"/>
  <c r="B76" i="66"/>
  <c r="B75" i="66"/>
  <c r="B74" i="66"/>
  <c r="B73" i="66"/>
  <c r="B72" i="66"/>
  <c r="B71" i="66"/>
  <c r="R70" i="66"/>
  <c r="P70" i="66"/>
  <c r="N70" i="66"/>
  <c r="L70" i="66"/>
  <c r="J70" i="66"/>
  <c r="H70" i="66"/>
  <c r="F70" i="66"/>
  <c r="D70" i="66"/>
  <c r="B70" i="66"/>
  <c r="R69" i="66"/>
  <c r="P69" i="66"/>
  <c r="N69" i="66"/>
  <c r="L69" i="66"/>
  <c r="J69" i="66"/>
  <c r="H69" i="66"/>
  <c r="F69" i="66"/>
  <c r="D69" i="66"/>
  <c r="B64" i="66"/>
  <c r="B63" i="66"/>
  <c r="B62" i="66"/>
  <c r="B61" i="66"/>
  <c r="B60" i="66"/>
  <c r="B59" i="66"/>
  <c r="B58" i="66"/>
  <c r="B57" i="66"/>
  <c r="B56" i="66"/>
  <c r="B55" i="66"/>
  <c r="B54" i="66"/>
  <c r="B53" i="66"/>
  <c r="B52" i="66"/>
  <c r="B51" i="66"/>
  <c r="B50" i="66"/>
  <c r="B49" i="66"/>
  <c r="B48" i="66"/>
  <c r="B47" i="66"/>
  <c r="B46" i="66"/>
  <c r="R45" i="66"/>
  <c r="P45" i="66"/>
  <c r="N45" i="66"/>
  <c r="L45" i="66"/>
  <c r="J45" i="66"/>
  <c r="H45" i="66"/>
  <c r="F45" i="66"/>
  <c r="D45" i="66"/>
  <c r="N43" i="66"/>
  <c r="L43" i="66"/>
  <c r="J43" i="66"/>
  <c r="H43" i="66"/>
  <c r="F43" i="66"/>
  <c r="D43" i="66"/>
  <c r="B43" i="66"/>
  <c r="N42" i="66"/>
  <c r="L42" i="66"/>
  <c r="J42" i="66"/>
  <c r="H42" i="66"/>
  <c r="F42" i="66"/>
  <c r="D42" i="66"/>
  <c r="B42" i="66"/>
  <c r="N41" i="66"/>
  <c r="L41" i="66"/>
  <c r="J41" i="66"/>
  <c r="H41" i="66"/>
  <c r="F41" i="66"/>
  <c r="D41" i="66"/>
  <c r="B41" i="66"/>
  <c r="N40" i="66"/>
  <c r="L40" i="66"/>
  <c r="J40" i="66"/>
  <c r="H40" i="66"/>
  <c r="F40" i="66"/>
  <c r="D40" i="66"/>
  <c r="B40" i="66"/>
  <c r="N39" i="66"/>
  <c r="L39" i="66"/>
  <c r="J39" i="66"/>
  <c r="H39" i="66"/>
  <c r="F39" i="66"/>
  <c r="D39" i="66"/>
  <c r="B39" i="66"/>
  <c r="N38" i="66"/>
  <c r="L38" i="66"/>
  <c r="J38" i="66"/>
  <c r="H38" i="66"/>
  <c r="F38" i="66"/>
  <c r="D38" i="66"/>
  <c r="B38" i="66"/>
  <c r="N37" i="66"/>
  <c r="L37" i="66"/>
  <c r="J37" i="66"/>
  <c r="H37" i="66"/>
  <c r="F37" i="66"/>
  <c r="D37" i="66"/>
  <c r="B37" i="66"/>
  <c r="N36" i="66"/>
  <c r="L36" i="66"/>
  <c r="J36" i="66"/>
  <c r="H36" i="66"/>
  <c r="F36" i="66"/>
  <c r="D36" i="66"/>
  <c r="B36" i="66"/>
  <c r="N35" i="66"/>
  <c r="L35" i="66"/>
  <c r="J35" i="66"/>
  <c r="H35" i="66"/>
  <c r="F35" i="66"/>
  <c r="D35" i="66"/>
  <c r="B35" i="66"/>
  <c r="N34" i="66"/>
  <c r="L34" i="66"/>
  <c r="J34" i="66"/>
  <c r="H34" i="66"/>
  <c r="F34" i="66"/>
  <c r="D34" i="66"/>
  <c r="B34" i="66"/>
  <c r="N33" i="66"/>
  <c r="L33" i="66"/>
  <c r="J33" i="66"/>
  <c r="H33" i="66"/>
  <c r="F33" i="66"/>
  <c r="D33" i="66"/>
  <c r="B33" i="66"/>
  <c r="N32" i="66"/>
  <c r="L32" i="66"/>
  <c r="J32" i="66"/>
  <c r="H32" i="66"/>
  <c r="F32" i="66"/>
  <c r="D32" i="66"/>
  <c r="B32" i="66"/>
  <c r="N31" i="66"/>
  <c r="L31" i="66"/>
  <c r="J31" i="66"/>
  <c r="H31" i="66"/>
  <c r="F31" i="66"/>
  <c r="D31" i="66"/>
  <c r="B31" i="66"/>
  <c r="N30" i="66"/>
  <c r="L30" i="66"/>
  <c r="J30" i="66"/>
  <c r="H30" i="66"/>
  <c r="F30" i="66"/>
  <c r="D30" i="66"/>
  <c r="B30" i="66"/>
  <c r="N29" i="66"/>
  <c r="L29" i="66"/>
  <c r="J29" i="66"/>
  <c r="H29" i="66"/>
  <c r="F29" i="66"/>
  <c r="D29" i="66"/>
  <c r="B29" i="66"/>
  <c r="N28" i="66"/>
  <c r="L28" i="66"/>
  <c r="J28" i="66"/>
  <c r="H28" i="66"/>
  <c r="F28" i="66"/>
  <c r="D28" i="66"/>
  <c r="B28" i="66"/>
  <c r="N27" i="66"/>
  <c r="L27" i="66"/>
  <c r="J27" i="66"/>
  <c r="H27" i="66"/>
  <c r="F27" i="66"/>
  <c r="D27" i="66"/>
  <c r="B27" i="66"/>
  <c r="N26" i="66"/>
  <c r="L26" i="66"/>
  <c r="J26" i="66"/>
  <c r="H26" i="66"/>
  <c r="F26" i="66"/>
  <c r="D26" i="66"/>
  <c r="B26" i="66"/>
  <c r="N25" i="66"/>
  <c r="L25" i="66"/>
  <c r="J25" i="66"/>
  <c r="H25" i="66"/>
  <c r="F25" i="66"/>
  <c r="D25" i="66"/>
  <c r="B25" i="66"/>
  <c r="N24" i="66"/>
  <c r="L24" i="66"/>
  <c r="J24" i="66"/>
  <c r="H24" i="66"/>
  <c r="F24" i="66"/>
  <c r="D24" i="66"/>
  <c r="B24" i="66"/>
  <c r="N23" i="66"/>
  <c r="L23" i="66"/>
  <c r="J23" i="66"/>
  <c r="H23" i="66"/>
  <c r="F23" i="66"/>
  <c r="D23" i="66"/>
  <c r="B23" i="66"/>
  <c r="N22" i="66"/>
  <c r="L22" i="66"/>
  <c r="J22" i="66"/>
  <c r="H22" i="66"/>
  <c r="F22" i="66"/>
  <c r="D22" i="66"/>
  <c r="B22" i="66"/>
  <c r="N21" i="66"/>
  <c r="L21" i="66"/>
  <c r="J21" i="66"/>
  <c r="H21" i="66"/>
  <c r="F21" i="66"/>
  <c r="D21" i="66"/>
  <c r="B21" i="66"/>
  <c r="N20" i="66"/>
  <c r="L20" i="66"/>
  <c r="J20" i="66"/>
  <c r="H20" i="66"/>
  <c r="F20" i="66"/>
  <c r="D20" i="66"/>
  <c r="B20" i="66"/>
  <c r="N19" i="66"/>
  <c r="L19" i="66"/>
  <c r="J19" i="66"/>
  <c r="H19" i="66"/>
  <c r="F19" i="66"/>
  <c r="D19" i="66"/>
  <c r="B19" i="66"/>
  <c r="N18" i="66"/>
  <c r="L18" i="66"/>
  <c r="J18" i="66"/>
  <c r="H18" i="66"/>
  <c r="F18" i="66"/>
  <c r="D18" i="66"/>
  <c r="B18" i="66"/>
  <c r="N17" i="66"/>
  <c r="L17" i="66"/>
  <c r="J17" i="66"/>
  <c r="H17" i="66"/>
  <c r="F17" i="66"/>
  <c r="D17" i="66"/>
  <c r="B17" i="66"/>
  <c r="N16" i="66"/>
  <c r="L16" i="66"/>
  <c r="J16" i="66"/>
  <c r="H16" i="66"/>
  <c r="F16" i="66"/>
  <c r="D16" i="66"/>
  <c r="B16" i="66"/>
  <c r="N15" i="66"/>
  <c r="L15" i="66"/>
  <c r="J15" i="66"/>
  <c r="H15" i="66"/>
  <c r="F15" i="66"/>
  <c r="D15" i="66"/>
  <c r="B15" i="66"/>
  <c r="N14" i="66"/>
  <c r="L14" i="66"/>
  <c r="L10" i="66" s="1"/>
  <c r="L66" i="66" s="1"/>
  <c r="J14" i="66"/>
  <c r="H14" i="66"/>
  <c r="F14" i="66"/>
  <c r="D14" i="66"/>
  <c r="D10" i="66" s="1"/>
  <c r="D66" i="66" s="1"/>
  <c r="B14" i="66"/>
  <c r="N13" i="66"/>
  <c r="L13" i="66"/>
  <c r="J13" i="66"/>
  <c r="J10" i="66" s="1"/>
  <c r="J66" i="66" s="1"/>
  <c r="J67" i="66" s="1"/>
  <c r="H13" i="66"/>
  <c r="F13" i="66"/>
  <c r="D13" i="66"/>
  <c r="B13" i="66"/>
  <c r="N12" i="66"/>
  <c r="L12" i="66"/>
  <c r="J12" i="66"/>
  <c r="H12" i="66"/>
  <c r="H10" i="66" s="1"/>
  <c r="H66" i="66" s="1"/>
  <c r="F12" i="66"/>
  <c r="D12" i="66"/>
  <c r="B12" i="66"/>
  <c r="N11" i="66"/>
  <c r="N10" i="66" s="1"/>
  <c r="N66" i="66" s="1"/>
  <c r="L11" i="66"/>
  <c r="J11" i="66"/>
  <c r="H11" i="66"/>
  <c r="F11" i="66"/>
  <c r="F10" i="66" s="1"/>
  <c r="F66" i="66" s="1"/>
  <c r="D11" i="66"/>
  <c r="B11" i="66"/>
  <c r="R10" i="66"/>
  <c r="P10" i="66"/>
  <c r="P66" i="66" s="1"/>
  <c r="D4" i="66"/>
  <c r="N89" i="65"/>
  <c r="N88" i="65" s="1"/>
  <c r="L89" i="65"/>
  <c r="J89" i="65"/>
  <c r="J88" i="65" s="1"/>
  <c r="H89" i="65"/>
  <c r="F89" i="65"/>
  <c r="F88" i="65" s="1"/>
  <c r="D89" i="65"/>
  <c r="B89" i="65"/>
  <c r="R88" i="65"/>
  <c r="P88" i="65"/>
  <c r="L88" i="65"/>
  <c r="H88" i="65"/>
  <c r="D88" i="65"/>
  <c r="B86" i="65"/>
  <c r="B85" i="65"/>
  <c r="R84" i="65"/>
  <c r="P84" i="65"/>
  <c r="N84" i="65"/>
  <c r="L84" i="65"/>
  <c r="J84" i="65"/>
  <c r="H84" i="65"/>
  <c r="F84" i="65"/>
  <c r="D84" i="65"/>
  <c r="B84" i="65"/>
  <c r="B83" i="65"/>
  <c r="R82" i="65"/>
  <c r="P82" i="65"/>
  <c r="N82" i="65"/>
  <c r="L82" i="65"/>
  <c r="J82" i="65"/>
  <c r="H82" i="65"/>
  <c r="F82" i="65"/>
  <c r="D82" i="65"/>
  <c r="B82" i="65"/>
  <c r="B81" i="65"/>
  <c r="R80" i="65"/>
  <c r="P80" i="65"/>
  <c r="N80" i="65"/>
  <c r="L80" i="65"/>
  <c r="J80" i="65"/>
  <c r="H80" i="65"/>
  <c r="F80" i="65"/>
  <c r="D80" i="65"/>
  <c r="B80" i="65"/>
  <c r="B79" i="65"/>
  <c r="B78" i="65"/>
  <c r="B77" i="65"/>
  <c r="B76" i="65"/>
  <c r="B75" i="65"/>
  <c r="B74" i="65"/>
  <c r="B73" i="65"/>
  <c r="B72" i="65"/>
  <c r="B71" i="65"/>
  <c r="R70" i="65"/>
  <c r="P70" i="65"/>
  <c r="N70" i="65"/>
  <c r="L70" i="65"/>
  <c r="J70" i="65"/>
  <c r="H70" i="65"/>
  <c r="F70" i="65"/>
  <c r="D70" i="65"/>
  <c r="B70" i="65"/>
  <c r="B69" i="65"/>
  <c r="R68" i="65"/>
  <c r="P68" i="65"/>
  <c r="N68" i="65"/>
  <c r="L68" i="65"/>
  <c r="J68" i="65"/>
  <c r="H68" i="65"/>
  <c r="F68" i="65"/>
  <c r="D68" i="65"/>
  <c r="B68" i="65"/>
  <c r="B67" i="65"/>
  <c r="B66" i="65"/>
  <c r="B65" i="65"/>
  <c r="R64" i="65"/>
  <c r="P64" i="65"/>
  <c r="N64" i="65"/>
  <c r="L64" i="65"/>
  <c r="J64" i="65"/>
  <c r="H64" i="65"/>
  <c r="F64" i="65"/>
  <c r="D64" i="65"/>
  <c r="B64" i="65"/>
  <c r="B63" i="65"/>
  <c r="B62" i="65"/>
  <c r="R61" i="65"/>
  <c r="P61" i="65"/>
  <c r="N61" i="65"/>
  <c r="L61" i="65"/>
  <c r="J61" i="65"/>
  <c r="H61" i="65"/>
  <c r="F61" i="65"/>
  <c r="D61" i="65"/>
  <c r="B61" i="65"/>
  <c r="B60" i="65"/>
  <c r="R59" i="65"/>
  <c r="P59" i="65"/>
  <c r="N59" i="65"/>
  <c r="L59" i="65"/>
  <c r="J59" i="65"/>
  <c r="H59" i="65"/>
  <c r="F59" i="65"/>
  <c r="D59" i="65"/>
  <c r="B59" i="65"/>
  <c r="B58" i="65"/>
  <c r="R57" i="65"/>
  <c r="P57" i="65"/>
  <c r="N57" i="65"/>
  <c r="L57" i="65"/>
  <c r="J57" i="65"/>
  <c r="H57" i="65"/>
  <c r="F57" i="65"/>
  <c r="D57" i="65"/>
  <c r="B57" i="65"/>
  <c r="B56" i="65"/>
  <c r="R55" i="65"/>
  <c r="P55" i="65"/>
  <c r="N55" i="65"/>
  <c r="L55" i="65"/>
  <c r="J55" i="65"/>
  <c r="H55" i="65"/>
  <c r="F55" i="65"/>
  <c r="D55" i="65"/>
  <c r="B55" i="65"/>
  <c r="B54" i="65"/>
  <c r="R53" i="65"/>
  <c r="P53" i="65"/>
  <c r="N53" i="65"/>
  <c r="L53" i="65"/>
  <c r="J53" i="65"/>
  <c r="H53" i="65"/>
  <c r="F53" i="65"/>
  <c r="D53" i="65"/>
  <c r="B53" i="65"/>
  <c r="B52" i="65"/>
  <c r="R51" i="65"/>
  <c r="P51" i="65"/>
  <c r="N51" i="65"/>
  <c r="L51" i="65"/>
  <c r="J51" i="65"/>
  <c r="H51" i="65"/>
  <c r="F51" i="65"/>
  <c r="D51" i="65"/>
  <c r="B51" i="65"/>
  <c r="B50" i="65"/>
  <c r="R49" i="65"/>
  <c r="P49" i="65"/>
  <c r="N49" i="65"/>
  <c r="L49" i="65"/>
  <c r="J49" i="65"/>
  <c r="H49" i="65"/>
  <c r="F49" i="65"/>
  <c r="D49" i="65"/>
  <c r="B49" i="65"/>
  <c r="B48" i="65"/>
  <c r="R47" i="65"/>
  <c r="P47" i="65"/>
  <c r="N47" i="65"/>
  <c r="L47" i="65"/>
  <c r="J47" i="65"/>
  <c r="H47" i="65"/>
  <c r="F47" i="65"/>
  <c r="D47" i="65"/>
  <c r="B47" i="65"/>
  <c r="B46" i="65"/>
  <c r="R45" i="65"/>
  <c r="P45" i="65"/>
  <c r="N45" i="65"/>
  <c r="L45" i="65"/>
  <c r="J45" i="65"/>
  <c r="H45" i="65"/>
  <c r="F45" i="65"/>
  <c r="D45" i="65"/>
  <c r="B45" i="65"/>
  <c r="B44" i="65"/>
  <c r="B43" i="65"/>
  <c r="B42" i="65"/>
  <c r="B41" i="65"/>
  <c r="B40" i="65"/>
  <c r="B39" i="65"/>
  <c r="B38" i="65"/>
  <c r="B37" i="65"/>
  <c r="B36" i="65"/>
  <c r="B35" i="65"/>
  <c r="R34" i="65"/>
  <c r="P34" i="65"/>
  <c r="N34" i="65"/>
  <c r="L34" i="65"/>
  <c r="J34" i="65"/>
  <c r="H34" i="65"/>
  <c r="F34" i="65"/>
  <c r="D34" i="65"/>
  <c r="B34" i="65"/>
  <c r="B33" i="65"/>
  <c r="B32" i="65"/>
  <c r="B31" i="65"/>
  <c r="B30" i="65"/>
  <c r="B29" i="65"/>
  <c r="B28" i="65"/>
  <c r="B27" i="65"/>
  <c r="B26" i="65"/>
  <c r="B25" i="65"/>
  <c r="R24" i="65"/>
  <c r="P24" i="65"/>
  <c r="N24" i="65"/>
  <c r="L24" i="65"/>
  <c r="J24" i="65"/>
  <c r="H24" i="65"/>
  <c r="F24" i="65"/>
  <c r="D24" i="65"/>
  <c r="B24" i="65"/>
  <c r="R23" i="65"/>
  <c r="P23" i="65"/>
  <c r="N23" i="65"/>
  <c r="L23" i="65"/>
  <c r="J23" i="65"/>
  <c r="H23" i="65"/>
  <c r="F23" i="65"/>
  <c r="D23" i="65"/>
  <c r="N20" i="65"/>
  <c r="B18" i="65"/>
  <c r="B17" i="65"/>
  <c r="B16" i="65"/>
  <c r="R15" i="65"/>
  <c r="P15" i="65"/>
  <c r="N15" i="65"/>
  <c r="L15" i="65"/>
  <c r="J15" i="65"/>
  <c r="H15" i="65"/>
  <c r="F15" i="65"/>
  <c r="D15" i="65"/>
  <c r="N13" i="65"/>
  <c r="L13" i="65"/>
  <c r="J13" i="65"/>
  <c r="H13" i="65"/>
  <c r="H10" i="65" s="1"/>
  <c r="H20" i="65" s="1"/>
  <c r="F13" i="65"/>
  <c r="D13" i="65"/>
  <c r="B13" i="65"/>
  <c r="N12" i="65"/>
  <c r="L12" i="65"/>
  <c r="J12" i="65"/>
  <c r="H12" i="65"/>
  <c r="F12" i="65"/>
  <c r="F10" i="65" s="1"/>
  <c r="F20" i="65" s="1"/>
  <c r="D12" i="65"/>
  <c r="B12" i="65"/>
  <c r="N11" i="65"/>
  <c r="L11" i="65"/>
  <c r="L10" i="65" s="1"/>
  <c r="L20" i="65" s="1"/>
  <c r="J11" i="65"/>
  <c r="J10" i="65" s="1"/>
  <c r="J20" i="65" s="1"/>
  <c r="J21" i="65" s="1"/>
  <c r="H11" i="65"/>
  <c r="F11" i="65"/>
  <c r="D11" i="65"/>
  <c r="D10" i="65" s="1"/>
  <c r="D20" i="65" s="1"/>
  <c r="B11" i="65"/>
  <c r="R10" i="65"/>
  <c r="R20" i="65" s="1"/>
  <c r="R21" i="65" s="1"/>
  <c r="P10" i="65"/>
  <c r="P20" i="65" s="1"/>
  <c r="N10" i="65"/>
  <c r="D4" i="65"/>
  <c r="N189" i="64"/>
  <c r="L189" i="64"/>
  <c r="L188" i="64" s="1"/>
  <c r="J189" i="64"/>
  <c r="J188" i="64" s="1"/>
  <c r="H189" i="64"/>
  <c r="F189" i="64"/>
  <c r="D189" i="64"/>
  <c r="D188" i="64" s="1"/>
  <c r="B189" i="64"/>
  <c r="R188" i="64"/>
  <c r="P188" i="64"/>
  <c r="N188" i="64"/>
  <c r="H188" i="64"/>
  <c r="F188" i="64"/>
  <c r="B186" i="64"/>
  <c r="R185" i="64"/>
  <c r="P185" i="64"/>
  <c r="N185" i="64"/>
  <c r="L185" i="64"/>
  <c r="J185" i="64"/>
  <c r="H185" i="64"/>
  <c r="F185" i="64"/>
  <c r="D185" i="64"/>
  <c r="B185" i="64"/>
  <c r="B184" i="64"/>
  <c r="R183" i="64"/>
  <c r="P183" i="64"/>
  <c r="N183" i="64"/>
  <c r="L183" i="64"/>
  <c r="J183" i="64"/>
  <c r="H183" i="64"/>
  <c r="F183" i="64"/>
  <c r="D183" i="64"/>
  <c r="B183" i="64"/>
  <c r="B182" i="64"/>
  <c r="B181" i="64"/>
  <c r="R180" i="64"/>
  <c r="P180" i="64"/>
  <c r="N180" i="64"/>
  <c r="L180" i="64"/>
  <c r="J180" i="64"/>
  <c r="H180" i="64"/>
  <c r="F180" i="64"/>
  <c r="D180" i="64"/>
  <c r="B180" i="64"/>
  <c r="B179" i="64"/>
  <c r="B178" i="64"/>
  <c r="B177" i="64"/>
  <c r="B176" i="64"/>
  <c r="B175" i="64"/>
  <c r="B174" i="64"/>
  <c r="R173" i="64"/>
  <c r="P173" i="64"/>
  <c r="N173" i="64"/>
  <c r="L173" i="64"/>
  <c r="J173" i="64"/>
  <c r="H173" i="64"/>
  <c r="F173" i="64"/>
  <c r="D173" i="64"/>
  <c r="B173" i="64"/>
  <c r="B172" i="64"/>
  <c r="R171" i="64"/>
  <c r="P171" i="64"/>
  <c r="N171" i="64"/>
  <c r="L171" i="64"/>
  <c r="J171" i="64"/>
  <c r="H171" i="64"/>
  <c r="F171" i="64"/>
  <c r="D171" i="64"/>
  <c r="B171" i="64"/>
  <c r="B170" i="64"/>
  <c r="B169" i="64"/>
  <c r="R168" i="64"/>
  <c r="P168" i="64"/>
  <c r="N168" i="64"/>
  <c r="L168" i="64"/>
  <c r="J168" i="64"/>
  <c r="H168" i="64"/>
  <c r="F168" i="64"/>
  <c r="D168" i="64"/>
  <c r="B168" i="64"/>
  <c r="B167" i="64"/>
  <c r="B166" i="64"/>
  <c r="R165" i="64"/>
  <c r="P165" i="64"/>
  <c r="N165" i="64"/>
  <c r="L165" i="64"/>
  <c r="J165" i="64"/>
  <c r="H165" i="64"/>
  <c r="F165" i="64"/>
  <c r="D165" i="64"/>
  <c r="B165" i="64"/>
  <c r="B164" i="64"/>
  <c r="R163" i="64"/>
  <c r="P163" i="64"/>
  <c r="N163" i="64"/>
  <c r="L163" i="64"/>
  <c r="J163" i="64"/>
  <c r="H163" i="64"/>
  <c r="F163" i="64"/>
  <c r="D163" i="64"/>
  <c r="B163" i="64"/>
  <c r="B162" i="64"/>
  <c r="R161" i="64"/>
  <c r="P161" i="64"/>
  <c r="N161" i="64"/>
  <c r="L161" i="64"/>
  <c r="J161" i="64"/>
  <c r="H161" i="64"/>
  <c r="F161" i="64"/>
  <c r="D161" i="64"/>
  <c r="B161" i="64"/>
  <c r="B160" i="64"/>
  <c r="B159" i="64"/>
  <c r="B158" i="64"/>
  <c r="B157" i="64"/>
  <c r="B156" i="64"/>
  <c r="B155" i="64"/>
  <c r="B154" i="64"/>
  <c r="B153" i="64"/>
  <c r="B152" i="64"/>
  <c r="B151" i="64"/>
  <c r="B150" i="64"/>
  <c r="B149" i="64"/>
  <c r="B148" i="64"/>
  <c r="B147" i="64"/>
  <c r="B146" i="64"/>
  <c r="B145" i="64"/>
  <c r="B144" i="64"/>
  <c r="B143" i="64"/>
  <c r="B142" i="64"/>
  <c r="B141" i="64"/>
  <c r="B140" i="64"/>
  <c r="B139" i="64"/>
  <c r="B138" i="64"/>
  <c r="B137" i="64"/>
  <c r="R136" i="64"/>
  <c r="P136" i="64"/>
  <c r="N136" i="64"/>
  <c r="L136" i="64"/>
  <c r="J136" i="64"/>
  <c r="H136" i="64"/>
  <c r="F136" i="64"/>
  <c r="D136" i="64"/>
  <c r="B136" i="64"/>
  <c r="B135" i="64"/>
  <c r="R134" i="64"/>
  <c r="P134" i="64"/>
  <c r="N134" i="64"/>
  <c r="L134" i="64"/>
  <c r="J134" i="64"/>
  <c r="H134" i="64"/>
  <c r="F134" i="64"/>
  <c r="D134" i="64"/>
  <c r="B134" i="64"/>
  <c r="B133" i="64"/>
  <c r="B132" i="64"/>
  <c r="R131" i="64"/>
  <c r="P131" i="64"/>
  <c r="N131" i="64"/>
  <c r="L131" i="64"/>
  <c r="J131" i="64"/>
  <c r="H131" i="64"/>
  <c r="F131" i="64"/>
  <c r="D131" i="64"/>
  <c r="B131" i="64"/>
  <c r="B130" i="64"/>
  <c r="R129" i="64"/>
  <c r="P129" i="64"/>
  <c r="N129" i="64"/>
  <c r="L129" i="64"/>
  <c r="J129" i="64"/>
  <c r="H129" i="64"/>
  <c r="F129" i="64"/>
  <c r="D129" i="64"/>
  <c r="B129" i="64"/>
  <c r="B128" i="64"/>
  <c r="B127" i="64"/>
  <c r="R126" i="64"/>
  <c r="P126" i="64"/>
  <c r="N126" i="64"/>
  <c r="L126" i="64"/>
  <c r="J126" i="64"/>
  <c r="H126" i="64"/>
  <c r="F126" i="64"/>
  <c r="D126" i="64"/>
  <c r="B126" i="64"/>
  <c r="B125" i="64"/>
  <c r="R124" i="64"/>
  <c r="P124" i="64"/>
  <c r="N124" i="64"/>
  <c r="L124" i="64"/>
  <c r="J124" i="64"/>
  <c r="H124" i="64"/>
  <c r="F124" i="64"/>
  <c r="D124" i="64"/>
  <c r="B124" i="64"/>
  <c r="B123" i="64"/>
  <c r="R122" i="64"/>
  <c r="P122" i="64"/>
  <c r="N122" i="64"/>
  <c r="L122" i="64"/>
  <c r="J122" i="64"/>
  <c r="H122" i="64"/>
  <c r="F122" i="64"/>
  <c r="D122" i="64"/>
  <c r="B122" i="64"/>
  <c r="B121" i="64"/>
  <c r="R120" i="64"/>
  <c r="P120" i="64"/>
  <c r="N120" i="64"/>
  <c r="L120" i="64"/>
  <c r="J120" i="64"/>
  <c r="H120" i="64"/>
  <c r="F120" i="64"/>
  <c r="D120" i="64"/>
  <c r="B120" i="64"/>
  <c r="B119" i="64"/>
  <c r="B118" i="64"/>
  <c r="B117" i="64"/>
  <c r="B116" i="64"/>
  <c r="B115" i="64"/>
  <c r="B114" i="64"/>
  <c r="B113" i="64"/>
  <c r="B112" i="64"/>
  <c r="B111" i="64"/>
  <c r="B110" i="64"/>
  <c r="R109" i="64"/>
  <c r="P109" i="64"/>
  <c r="N109" i="64"/>
  <c r="L109" i="64"/>
  <c r="J109" i="64"/>
  <c r="H109" i="64"/>
  <c r="F109" i="64"/>
  <c r="D109" i="64"/>
  <c r="B109" i="64"/>
  <c r="B108" i="64"/>
  <c r="B107" i="64"/>
  <c r="B106" i="64"/>
  <c r="B105" i="64"/>
  <c r="B104" i="64"/>
  <c r="B103" i="64"/>
  <c r="B102" i="64"/>
  <c r="B101" i="64"/>
  <c r="B100" i="64"/>
  <c r="R99" i="64"/>
  <c r="P99" i="64"/>
  <c r="N99" i="64"/>
  <c r="L99" i="64"/>
  <c r="J99" i="64"/>
  <c r="H99" i="64"/>
  <c r="F99" i="64"/>
  <c r="D99" i="64"/>
  <c r="B99" i="64"/>
  <c r="R98" i="64"/>
  <c r="P98" i="64"/>
  <c r="N98" i="64"/>
  <c r="L98" i="64"/>
  <c r="J98" i="64"/>
  <c r="H98" i="64"/>
  <c r="F98" i="64"/>
  <c r="D98" i="64"/>
  <c r="F96" i="64"/>
  <c r="F95" i="64"/>
  <c r="B93" i="64"/>
  <c r="B92" i="64"/>
  <c r="B91" i="64"/>
  <c r="B90" i="64"/>
  <c r="B89" i="64"/>
  <c r="B88" i="64"/>
  <c r="B87" i="64"/>
  <c r="B86" i="64"/>
  <c r="B85" i="64"/>
  <c r="B84" i="64"/>
  <c r="B83" i="64"/>
  <c r="B82" i="64"/>
  <c r="B81" i="64"/>
  <c r="B80" i="64"/>
  <c r="B79" i="64"/>
  <c r="B78" i="64"/>
  <c r="B77" i="64"/>
  <c r="B76" i="64"/>
  <c r="B75" i="64"/>
  <c r="B74" i="64"/>
  <c r="B73" i="64"/>
  <c r="B72" i="64"/>
  <c r="B71" i="64"/>
  <c r="B70" i="64"/>
  <c r="B69" i="64"/>
  <c r="B68" i="64"/>
  <c r="B67" i="64"/>
  <c r="B66" i="64"/>
  <c r="B65" i="64"/>
  <c r="B64" i="64"/>
  <c r="B63" i="64"/>
  <c r="R62" i="64"/>
  <c r="P62" i="64"/>
  <c r="N62" i="64"/>
  <c r="L62" i="64"/>
  <c r="J62" i="64"/>
  <c r="H62" i="64"/>
  <c r="F62" i="64"/>
  <c r="D62" i="64"/>
  <c r="N60" i="64"/>
  <c r="L60" i="64"/>
  <c r="J60" i="64"/>
  <c r="H60" i="64"/>
  <c r="F60" i="64"/>
  <c r="D60" i="64"/>
  <c r="B60" i="64"/>
  <c r="N59" i="64"/>
  <c r="L59" i="64"/>
  <c r="J59" i="64"/>
  <c r="H59" i="64"/>
  <c r="F59" i="64"/>
  <c r="D59" i="64"/>
  <c r="B59" i="64"/>
  <c r="N58" i="64"/>
  <c r="L58" i="64"/>
  <c r="J58" i="64"/>
  <c r="H58" i="64"/>
  <c r="F58" i="64"/>
  <c r="D58" i="64"/>
  <c r="B58" i="64"/>
  <c r="N57" i="64"/>
  <c r="L57" i="64"/>
  <c r="J57" i="64"/>
  <c r="H57" i="64"/>
  <c r="F57" i="64"/>
  <c r="D57" i="64"/>
  <c r="B57" i="64"/>
  <c r="N56" i="64"/>
  <c r="L56" i="64"/>
  <c r="J56" i="64"/>
  <c r="H56" i="64"/>
  <c r="F56" i="64"/>
  <c r="D56" i="64"/>
  <c r="B56" i="64"/>
  <c r="N55" i="64"/>
  <c r="L55" i="64"/>
  <c r="J55" i="64"/>
  <c r="H55" i="64"/>
  <c r="F55" i="64"/>
  <c r="D55" i="64"/>
  <c r="B55" i="64"/>
  <c r="N54" i="64"/>
  <c r="L54" i="64"/>
  <c r="J54" i="64"/>
  <c r="H54" i="64"/>
  <c r="F54" i="64"/>
  <c r="D54" i="64"/>
  <c r="B54" i="64"/>
  <c r="N53" i="64"/>
  <c r="L53" i="64"/>
  <c r="J53" i="64"/>
  <c r="H53" i="64"/>
  <c r="F53" i="64"/>
  <c r="D53" i="64"/>
  <c r="B53" i="64"/>
  <c r="N52" i="64"/>
  <c r="L52" i="64"/>
  <c r="J52" i="64"/>
  <c r="H52" i="64"/>
  <c r="F52" i="64"/>
  <c r="D52" i="64"/>
  <c r="B52" i="64"/>
  <c r="N51" i="64"/>
  <c r="L51" i="64"/>
  <c r="J51" i="64"/>
  <c r="H51" i="64"/>
  <c r="F51" i="64"/>
  <c r="D51" i="64"/>
  <c r="B51" i="64"/>
  <c r="N50" i="64"/>
  <c r="L50" i="64"/>
  <c r="J50" i="64"/>
  <c r="H50" i="64"/>
  <c r="F50" i="64"/>
  <c r="D50" i="64"/>
  <c r="B50" i="64"/>
  <c r="N49" i="64"/>
  <c r="L49" i="64"/>
  <c r="J49" i="64"/>
  <c r="H49" i="64"/>
  <c r="F49" i="64"/>
  <c r="D49" i="64"/>
  <c r="B49" i="64"/>
  <c r="N48" i="64"/>
  <c r="L48" i="64"/>
  <c r="J48" i="64"/>
  <c r="H48" i="64"/>
  <c r="F48" i="64"/>
  <c r="D48" i="64"/>
  <c r="B48" i="64"/>
  <c r="N47" i="64"/>
  <c r="L47" i="64"/>
  <c r="J47" i="64"/>
  <c r="H47" i="64"/>
  <c r="F47" i="64"/>
  <c r="D47" i="64"/>
  <c r="B47" i="64"/>
  <c r="N46" i="64"/>
  <c r="L46" i="64"/>
  <c r="J46" i="64"/>
  <c r="H46" i="64"/>
  <c r="F46" i="64"/>
  <c r="D46" i="64"/>
  <c r="B46" i="64"/>
  <c r="N45" i="64"/>
  <c r="L45" i="64"/>
  <c r="J45" i="64"/>
  <c r="H45" i="64"/>
  <c r="F45" i="64"/>
  <c r="D45" i="64"/>
  <c r="B45" i="64"/>
  <c r="N44" i="64"/>
  <c r="L44" i="64"/>
  <c r="J44" i="64"/>
  <c r="H44" i="64"/>
  <c r="F44" i="64"/>
  <c r="D44" i="64"/>
  <c r="B44" i="64"/>
  <c r="N43" i="64"/>
  <c r="L43" i="64"/>
  <c r="J43" i="64"/>
  <c r="H43" i="64"/>
  <c r="F43" i="64"/>
  <c r="D43" i="64"/>
  <c r="B43" i="64"/>
  <c r="N42" i="64"/>
  <c r="L42" i="64"/>
  <c r="J42" i="64"/>
  <c r="H42" i="64"/>
  <c r="F42" i="64"/>
  <c r="D42" i="64"/>
  <c r="B42" i="64"/>
  <c r="N41" i="64"/>
  <c r="L41" i="64"/>
  <c r="J41" i="64"/>
  <c r="H41" i="64"/>
  <c r="F41" i="64"/>
  <c r="D41" i="64"/>
  <c r="B41" i="64"/>
  <c r="N40" i="64"/>
  <c r="L40" i="64"/>
  <c r="J40" i="64"/>
  <c r="H40" i="64"/>
  <c r="F40" i="64"/>
  <c r="D40" i="64"/>
  <c r="B40" i="64"/>
  <c r="N39" i="64"/>
  <c r="L39" i="64"/>
  <c r="J39" i="64"/>
  <c r="H39" i="64"/>
  <c r="F39" i="64"/>
  <c r="D39" i="64"/>
  <c r="B39" i="64"/>
  <c r="N38" i="64"/>
  <c r="L38" i="64"/>
  <c r="J38" i="64"/>
  <c r="H38" i="64"/>
  <c r="F38" i="64"/>
  <c r="D38" i="64"/>
  <c r="B38" i="64"/>
  <c r="N37" i="64"/>
  <c r="L37" i="64"/>
  <c r="J37" i="64"/>
  <c r="H37" i="64"/>
  <c r="F37" i="64"/>
  <c r="D37" i="64"/>
  <c r="B37" i="64"/>
  <c r="N36" i="64"/>
  <c r="L36" i="64"/>
  <c r="J36" i="64"/>
  <c r="H36" i="64"/>
  <c r="F36" i="64"/>
  <c r="D36" i="64"/>
  <c r="B36" i="64"/>
  <c r="N35" i="64"/>
  <c r="L35" i="64"/>
  <c r="J35" i="64"/>
  <c r="H35" i="64"/>
  <c r="F35" i="64"/>
  <c r="D35" i="64"/>
  <c r="B35" i="64"/>
  <c r="N34" i="64"/>
  <c r="L34" i="64"/>
  <c r="J34" i="64"/>
  <c r="H34" i="64"/>
  <c r="F34" i="64"/>
  <c r="D34" i="64"/>
  <c r="B34" i="64"/>
  <c r="N33" i="64"/>
  <c r="L33" i="64"/>
  <c r="J33" i="64"/>
  <c r="H33" i="64"/>
  <c r="F33" i="64"/>
  <c r="D33" i="64"/>
  <c r="B33" i="64"/>
  <c r="N32" i="64"/>
  <c r="L32" i="64"/>
  <c r="J32" i="64"/>
  <c r="H32" i="64"/>
  <c r="F32" i="64"/>
  <c r="D32" i="64"/>
  <c r="B32" i="64"/>
  <c r="N31" i="64"/>
  <c r="L31" i="64"/>
  <c r="J31" i="64"/>
  <c r="H31" i="64"/>
  <c r="F31" i="64"/>
  <c r="D31" i="64"/>
  <c r="B31" i="64"/>
  <c r="N30" i="64"/>
  <c r="L30" i="64"/>
  <c r="J30" i="64"/>
  <c r="H30" i="64"/>
  <c r="F30" i="64"/>
  <c r="D30" i="64"/>
  <c r="B30" i="64"/>
  <c r="N29" i="64"/>
  <c r="L29" i="64"/>
  <c r="J29" i="64"/>
  <c r="H29" i="64"/>
  <c r="F29" i="64"/>
  <c r="D29" i="64"/>
  <c r="B29" i="64"/>
  <c r="N28" i="64"/>
  <c r="L28" i="64"/>
  <c r="J28" i="64"/>
  <c r="H28" i="64"/>
  <c r="F28" i="64"/>
  <c r="D28" i="64"/>
  <c r="B28" i="64"/>
  <c r="N27" i="64"/>
  <c r="L27" i="64"/>
  <c r="J27" i="64"/>
  <c r="H27" i="64"/>
  <c r="F27" i="64"/>
  <c r="D27" i="64"/>
  <c r="B27" i="64"/>
  <c r="N26" i="64"/>
  <c r="L26" i="64"/>
  <c r="J26" i="64"/>
  <c r="H26" i="64"/>
  <c r="F26" i="64"/>
  <c r="D26" i="64"/>
  <c r="B26" i="64"/>
  <c r="N25" i="64"/>
  <c r="L25" i="64"/>
  <c r="J25" i="64"/>
  <c r="H25" i="64"/>
  <c r="F25" i="64"/>
  <c r="D25" i="64"/>
  <c r="B25" i="64"/>
  <c r="N24" i="64"/>
  <c r="L24" i="64"/>
  <c r="J24" i="64"/>
  <c r="H24" i="64"/>
  <c r="F24" i="64"/>
  <c r="D24" i="64"/>
  <c r="B24" i="64"/>
  <c r="N23" i="64"/>
  <c r="L23" i="64"/>
  <c r="J23" i="64"/>
  <c r="H23" i="64"/>
  <c r="F23" i="64"/>
  <c r="D23" i="64"/>
  <c r="B23" i="64"/>
  <c r="N22" i="64"/>
  <c r="L22" i="64"/>
  <c r="J22" i="64"/>
  <c r="H22" i="64"/>
  <c r="F22" i="64"/>
  <c r="D22" i="64"/>
  <c r="B22" i="64"/>
  <c r="N21" i="64"/>
  <c r="L21" i="64"/>
  <c r="J21" i="64"/>
  <c r="H21" i="64"/>
  <c r="F21" i="64"/>
  <c r="D21" i="64"/>
  <c r="B21" i="64"/>
  <c r="N20" i="64"/>
  <c r="L20" i="64"/>
  <c r="J20" i="64"/>
  <c r="H20" i="64"/>
  <c r="F20" i="64"/>
  <c r="D20" i="64"/>
  <c r="B20" i="64"/>
  <c r="N19" i="64"/>
  <c r="L19" i="64"/>
  <c r="J19" i="64"/>
  <c r="H19" i="64"/>
  <c r="F19" i="64"/>
  <c r="D19" i="64"/>
  <c r="B19" i="64"/>
  <c r="N18" i="64"/>
  <c r="L18" i="64"/>
  <c r="J18" i="64"/>
  <c r="H18" i="64"/>
  <c r="F18" i="64"/>
  <c r="D18" i="64"/>
  <c r="B18" i="64"/>
  <c r="N17" i="64"/>
  <c r="L17" i="64"/>
  <c r="J17" i="64"/>
  <c r="H17" i="64"/>
  <c r="F17" i="64"/>
  <c r="D17" i="64"/>
  <c r="B17" i="64"/>
  <c r="N16" i="64"/>
  <c r="L16" i="64"/>
  <c r="J16" i="64"/>
  <c r="H16" i="64"/>
  <c r="F16" i="64"/>
  <c r="D16" i="64"/>
  <c r="B16" i="64"/>
  <c r="N15" i="64"/>
  <c r="L15" i="64"/>
  <c r="J15" i="64"/>
  <c r="H15" i="64"/>
  <c r="F15" i="64"/>
  <c r="D15" i="64"/>
  <c r="B15" i="64"/>
  <c r="N14" i="64"/>
  <c r="L14" i="64"/>
  <c r="J14" i="64"/>
  <c r="H14" i="64"/>
  <c r="F14" i="64"/>
  <c r="D14" i="64"/>
  <c r="B14" i="64"/>
  <c r="N13" i="64"/>
  <c r="L13" i="64"/>
  <c r="J13" i="64"/>
  <c r="H13" i="64"/>
  <c r="F13" i="64"/>
  <c r="D13" i="64"/>
  <c r="B13" i="64"/>
  <c r="N12" i="64"/>
  <c r="L12" i="64"/>
  <c r="J12" i="64"/>
  <c r="H12" i="64"/>
  <c r="F12" i="64"/>
  <c r="D12" i="64"/>
  <c r="B12" i="64"/>
  <c r="N11" i="64"/>
  <c r="N10" i="64" s="1"/>
  <c r="N95" i="64" s="1"/>
  <c r="L11" i="64"/>
  <c r="L10" i="64" s="1"/>
  <c r="L95" i="64" s="1"/>
  <c r="J11" i="64"/>
  <c r="H11" i="64"/>
  <c r="H10" i="64" s="1"/>
  <c r="H95" i="64" s="1"/>
  <c r="H96" i="64" s="1"/>
  <c r="F11" i="64"/>
  <c r="F10" i="64" s="1"/>
  <c r="D11" i="64"/>
  <c r="D10" i="64" s="1"/>
  <c r="D95" i="64" s="1"/>
  <c r="B11" i="64"/>
  <c r="R10" i="64"/>
  <c r="R95" i="64" s="1"/>
  <c r="R96" i="64" s="1"/>
  <c r="P10" i="64"/>
  <c r="P95" i="64" s="1"/>
  <c r="J10" i="64"/>
  <c r="J95" i="64" s="1"/>
  <c r="D4" i="64"/>
  <c r="R69" i="63"/>
  <c r="P69" i="63"/>
  <c r="N69" i="63"/>
  <c r="L69" i="63"/>
  <c r="J69" i="63"/>
  <c r="H69" i="63"/>
  <c r="F69" i="63"/>
  <c r="D69" i="63"/>
  <c r="B67" i="63"/>
  <c r="R66" i="63"/>
  <c r="P66" i="63"/>
  <c r="N66" i="63"/>
  <c r="L66" i="63"/>
  <c r="J66" i="63"/>
  <c r="H66" i="63"/>
  <c r="F66" i="63"/>
  <c r="D66" i="63"/>
  <c r="B66" i="63"/>
  <c r="B65" i="63"/>
  <c r="R64" i="63"/>
  <c r="P64" i="63"/>
  <c r="N64" i="63"/>
  <c r="L64" i="63"/>
  <c r="J64" i="63"/>
  <c r="H64" i="63"/>
  <c r="F64" i="63"/>
  <c r="D64" i="63"/>
  <c r="B64" i="63"/>
  <c r="B63" i="63"/>
  <c r="R62" i="63"/>
  <c r="P62" i="63"/>
  <c r="N62" i="63"/>
  <c r="L62" i="63"/>
  <c r="J62" i="63"/>
  <c r="H62" i="63"/>
  <c r="F62" i="63"/>
  <c r="D62" i="63"/>
  <c r="B62" i="63"/>
  <c r="B61" i="63"/>
  <c r="R60" i="63"/>
  <c r="P60" i="63"/>
  <c r="N60" i="63"/>
  <c r="L60" i="63"/>
  <c r="J60" i="63"/>
  <c r="H60" i="63"/>
  <c r="F60" i="63"/>
  <c r="D60" i="63"/>
  <c r="B60" i="63"/>
  <c r="B59" i="63"/>
  <c r="B58" i="63"/>
  <c r="B57" i="63"/>
  <c r="B56" i="63"/>
  <c r="B55" i="63"/>
  <c r="R54" i="63"/>
  <c r="P54" i="63"/>
  <c r="N54" i="63"/>
  <c r="L54" i="63"/>
  <c r="J54" i="63"/>
  <c r="H54" i="63"/>
  <c r="F54" i="63"/>
  <c r="D54" i="63"/>
  <c r="B54" i="63"/>
  <c r="B53" i="63"/>
  <c r="B52" i="63"/>
  <c r="R51" i="63"/>
  <c r="P51" i="63"/>
  <c r="N51" i="63"/>
  <c r="L51" i="63"/>
  <c r="J51" i="63"/>
  <c r="H51" i="63"/>
  <c r="F51" i="63"/>
  <c r="D51" i="63"/>
  <c r="B51" i="63"/>
  <c r="B50" i="63"/>
  <c r="R49" i="63"/>
  <c r="P49" i="63"/>
  <c r="N49" i="63"/>
  <c r="L49" i="63"/>
  <c r="J49" i="63"/>
  <c r="H49" i="63"/>
  <c r="F49" i="63"/>
  <c r="D49" i="63"/>
  <c r="B49" i="63"/>
  <c r="B48" i="63"/>
  <c r="B47" i="63"/>
  <c r="R46" i="63"/>
  <c r="P46" i="63"/>
  <c r="N46" i="63"/>
  <c r="L46" i="63"/>
  <c r="J46" i="63"/>
  <c r="H46" i="63"/>
  <c r="F46" i="63"/>
  <c r="D46" i="63"/>
  <c r="B46" i="63"/>
  <c r="B45" i="63"/>
  <c r="R44" i="63"/>
  <c r="P44" i="63"/>
  <c r="N44" i="63"/>
  <c r="L44" i="63"/>
  <c r="J44" i="63"/>
  <c r="H44" i="63"/>
  <c r="F44" i="63"/>
  <c r="D44" i="63"/>
  <c r="B44" i="63"/>
  <c r="B43" i="63"/>
  <c r="R42" i="63"/>
  <c r="P42" i="63"/>
  <c r="N42" i="63"/>
  <c r="L42" i="63"/>
  <c r="J42" i="63"/>
  <c r="H42" i="63"/>
  <c r="F42" i="63"/>
  <c r="D42" i="63"/>
  <c r="B42" i="63"/>
  <c r="B41" i="63"/>
  <c r="R40" i="63"/>
  <c r="P40" i="63"/>
  <c r="N40" i="63"/>
  <c r="L40" i="63"/>
  <c r="J40" i="63"/>
  <c r="H40" i="63"/>
  <c r="F40" i="63"/>
  <c r="D40" i="63"/>
  <c r="B40" i="63"/>
  <c r="B39" i="63"/>
  <c r="B38" i="63"/>
  <c r="B37" i="63"/>
  <c r="B36" i="63"/>
  <c r="B35" i="63"/>
  <c r="B34" i="63"/>
  <c r="B33" i="63"/>
  <c r="B32" i="63"/>
  <c r="B31" i="63"/>
  <c r="B30" i="63"/>
  <c r="R29" i="63"/>
  <c r="P29" i="63"/>
  <c r="N29" i="63"/>
  <c r="L29" i="63"/>
  <c r="J29" i="63"/>
  <c r="H29" i="63"/>
  <c r="F29" i="63"/>
  <c r="D29" i="63"/>
  <c r="B29" i="63"/>
  <c r="B28" i="63"/>
  <c r="B27" i="63"/>
  <c r="B26" i="63"/>
  <c r="B25" i="63"/>
  <c r="B24" i="63"/>
  <c r="B23" i="63"/>
  <c r="B22" i="63"/>
  <c r="B21" i="63"/>
  <c r="B20" i="63"/>
  <c r="B19" i="63"/>
  <c r="R18" i="63"/>
  <c r="P18" i="63"/>
  <c r="N18" i="63"/>
  <c r="L18" i="63"/>
  <c r="J18" i="63"/>
  <c r="H18" i="63"/>
  <c r="F18" i="63"/>
  <c r="D18" i="63"/>
  <c r="B18" i="63"/>
  <c r="R17" i="63"/>
  <c r="P17" i="63"/>
  <c r="N17" i="63"/>
  <c r="L17" i="63"/>
  <c r="J17" i="63"/>
  <c r="H17" i="63"/>
  <c r="F17" i="63"/>
  <c r="D17" i="63"/>
  <c r="N15" i="63"/>
  <c r="D15" i="63"/>
  <c r="N14" i="63"/>
  <c r="N71" i="63" s="1"/>
  <c r="R12" i="63"/>
  <c r="P12" i="63"/>
  <c r="N12" i="63"/>
  <c r="L12" i="63"/>
  <c r="J12" i="63"/>
  <c r="H12" i="63"/>
  <c r="F12" i="63"/>
  <c r="D12" i="63"/>
  <c r="R10" i="63"/>
  <c r="R14" i="63" s="1"/>
  <c r="R15" i="63" s="1"/>
  <c r="P10" i="63"/>
  <c r="P14" i="63" s="1"/>
  <c r="P15" i="63" s="1"/>
  <c r="N10" i="63"/>
  <c r="L10" i="63"/>
  <c r="L14" i="63" s="1"/>
  <c r="J10" i="63"/>
  <c r="J14" i="63" s="1"/>
  <c r="J15" i="63" s="1"/>
  <c r="H10" i="63"/>
  <c r="H14" i="63" s="1"/>
  <c r="F10" i="63"/>
  <c r="F14" i="63" s="1"/>
  <c r="D10" i="63"/>
  <c r="D14" i="63" s="1"/>
  <c r="D71" i="63" s="1"/>
  <c r="D4" i="63"/>
  <c r="N114" i="62"/>
  <c r="L114" i="62"/>
  <c r="J114" i="62"/>
  <c r="H114" i="62"/>
  <c r="F114" i="62"/>
  <c r="D114" i="62"/>
  <c r="B114" i="62"/>
  <c r="N113" i="62"/>
  <c r="L113" i="62"/>
  <c r="L111" i="62" s="1"/>
  <c r="J113" i="62"/>
  <c r="H113" i="62"/>
  <c r="F113" i="62"/>
  <c r="D113" i="62"/>
  <c r="B113" i="62"/>
  <c r="N112" i="62"/>
  <c r="L112" i="62"/>
  <c r="J112" i="62"/>
  <c r="J111" i="62" s="1"/>
  <c r="H112" i="62"/>
  <c r="F112" i="62"/>
  <c r="D112" i="62"/>
  <c r="B112" i="62"/>
  <c r="R111" i="62"/>
  <c r="P111" i="62"/>
  <c r="H111" i="62"/>
  <c r="D111" i="62"/>
  <c r="B109" i="62"/>
  <c r="R108" i="62"/>
  <c r="P108" i="62"/>
  <c r="N108" i="62"/>
  <c r="L108" i="62"/>
  <c r="J108" i="62"/>
  <c r="H108" i="62"/>
  <c r="F108" i="62"/>
  <c r="D108" i="62"/>
  <c r="B108" i="62"/>
  <c r="B107" i="62"/>
  <c r="B106" i="62"/>
  <c r="B105" i="62"/>
  <c r="R104" i="62"/>
  <c r="P104" i="62"/>
  <c r="N104" i="62"/>
  <c r="L104" i="62"/>
  <c r="J104" i="62"/>
  <c r="H104" i="62"/>
  <c r="F104" i="62"/>
  <c r="D104" i="62"/>
  <c r="B104" i="62"/>
  <c r="B103" i="62"/>
  <c r="R102" i="62"/>
  <c r="P102" i="62"/>
  <c r="N102" i="62"/>
  <c r="L102" i="62"/>
  <c r="J102" i="62"/>
  <c r="H102" i="62"/>
  <c r="F102" i="62"/>
  <c r="D102" i="62"/>
  <c r="B102" i="62"/>
  <c r="B101" i="62"/>
  <c r="B100" i="62"/>
  <c r="R99" i="62"/>
  <c r="P99" i="62"/>
  <c r="N99" i="62"/>
  <c r="L99" i="62"/>
  <c r="J99" i="62"/>
  <c r="H99" i="62"/>
  <c r="F99" i="62"/>
  <c r="D99" i="62"/>
  <c r="B99" i="62"/>
  <c r="B98" i="62"/>
  <c r="B97" i="62"/>
  <c r="B96" i="62"/>
  <c r="B95" i="62"/>
  <c r="B94" i="62"/>
  <c r="B93" i="62"/>
  <c r="B92" i="62"/>
  <c r="R91" i="62"/>
  <c r="P91" i="62"/>
  <c r="N91" i="62"/>
  <c r="L91" i="62"/>
  <c r="J91" i="62"/>
  <c r="H91" i="62"/>
  <c r="F91" i="62"/>
  <c r="D91" i="62"/>
  <c r="B91" i="62"/>
  <c r="B90" i="62"/>
  <c r="B89" i="62"/>
  <c r="R88" i="62"/>
  <c r="P88" i="62"/>
  <c r="N88" i="62"/>
  <c r="L88" i="62"/>
  <c r="J88" i="62"/>
  <c r="H88" i="62"/>
  <c r="F88" i="62"/>
  <c r="D88" i="62"/>
  <c r="B88" i="62"/>
  <c r="B87" i="62"/>
  <c r="B86" i="62"/>
  <c r="B85" i="62"/>
  <c r="B84" i="62"/>
  <c r="R83" i="62"/>
  <c r="P83" i="62"/>
  <c r="N83" i="62"/>
  <c r="L83" i="62"/>
  <c r="J83" i="62"/>
  <c r="H83" i="62"/>
  <c r="F83" i="62"/>
  <c r="D83" i="62"/>
  <c r="B83" i="62"/>
  <c r="B82" i="62"/>
  <c r="R81" i="62"/>
  <c r="P81" i="62"/>
  <c r="N81" i="62"/>
  <c r="L81" i="62"/>
  <c r="J81" i="62"/>
  <c r="H81" i="62"/>
  <c r="F81" i="62"/>
  <c r="D81" i="62"/>
  <c r="B81" i="62"/>
  <c r="B80" i="62"/>
  <c r="B79" i="62"/>
  <c r="B78" i="62"/>
  <c r="B77" i="62"/>
  <c r="R76" i="62"/>
  <c r="P76" i="62"/>
  <c r="N76" i="62"/>
  <c r="L76" i="62"/>
  <c r="J76" i="62"/>
  <c r="H76" i="62"/>
  <c r="F76" i="62"/>
  <c r="D76" i="62"/>
  <c r="B76" i="62"/>
  <c r="B75" i="62"/>
  <c r="R74" i="62"/>
  <c r="P74" i="62"/>
  <c r="N74" i="62"/>
  <c r="L74" i="62"/>
  <c r="J74" i="62"/>
  <c r="H74" i="62"/>
  <c r="F74" i="62"/>
  <c r="D74" i="62"/>
  <c r="B74" i="62"/>
  <c r="B73" i="62"/>
  <c r="B72" i="62"/>
  <c r="R71" i="62"/>
  <c r="P71" i="62"/>
  <c r="N71" i="62"/>
  <c r="L71" i="62"/>
  <c r="J71" i="62"/>
  <c r="H71" i="62"/>
  <c r="F71" i="62"/>
  <c r="D71" i="62"/>
  <c r="B71" i="62"/>
  <c r="B70" i="62"/>
  <c r="B69" i="62"/>
  <c r="R68" i="62"/>
  <c r="P68" i="62"/>
  <c r="N68" i="62"/>
  <c r="L68" i="62"/>
  <c r="J68" i="62"/>
  <c r="H68" i="62"/>
  <c r="F68" i="62"/>
  <c r="D68" i="62"/>
  <c r="B68" i="62"/>
  <c r="B67" i="62"/>
  <c r="R66" i="62"/>
  <c r="P66" i="62"/>
  <c r="N66" i="62"/>
  <c r="L66" i="62"/>
  <c r="J66" i="62"/>
  <c r="H66" i="62"/>
  <c r="F66" i="62"/>
  <c r="D66" i="62"/>
  <c r="B66" i="62"/>
  <c r="B65" i="62"/>
  <c r="R64" i="62"/>
  <c r="P64" i="62"/>
  <c r="N64" i="62"/>
  <c r="L64" i="62"/>
  <c r="J64" i="62"/>
  <c r="H64" i="62"/>
  <c r="F64" i="62"/>
  <c r="D64" i="62"/>
  <c r="B64" i="62"/>
  <c r="B63" i="62"/>
  <c r="R62" i="62"/>
  <c r="P62" i="62"/>
  <c r="N62" i="62"/>
  <c r="L62" i="62"/>
  <c r="J62" i="62"/>
  <c r="H62" i="62"/>
  <c r="F62" i="62"/>
  <c r="D62" i="62"/>
  <c r="B62" i="62"/>
  <c r="B61" i="62"/>
  <c r="R60" i="62"/>
  <c r="P60" i="62"/>
  <c r="N60" i="62"/>
  <c r="L60" i="62"/>
  <c r="J60" i="62"/>
  <c r="H60" i="62"/>
  <c r="F60" i="62"/>
  <c r="D60" i="62"/>
  <c r="B60" i="62"/>
  <c r="B59" i="62"/>
  <c r="R58" i="62"/>
  <c r="P58" i="62"/>
  <c r="N58" i="62"/>
  <c r="L58" i="62"/>
  <c r="J58" i="62"/>
  <c r="H58" i="62"/>
  <c r="F58" i="62"/>
  <c r="D58" i="62"/>
  <c r="B58" i="62"/>
  <c r="B57" i="62"/>
  <c r="R56" i="62"/>
  <c r="P56" i="62"/>
  <c r="N56" i="62"/>
  <c r="L56" i="62"/>
  <c r="J56" i="62"/>
  <c r="H56" i="62"/>
  <c r="F56" i="62"/>
  <c r="D56" i="62"/>
  <c r="B56" i="62"/>
  <c r="B55" i="62"/>
  <c r="B54" i="62"/>
  <c r="R53" i="62"/>
  <c r="P53" i="62"/>
  <c r="N53" i="62"/>
  <c r="L53" i="62"/>
  <c r="J53" i="62"/>
  <c r="H53" i="62"/>
  <c r="F53" i="62"/>
  <c r="D53" i="62"/>
  <c r="B53" i="62"/>
  <c r="B52" i="62"/>
  <c r="B51" i="62"/>
  <c r="B50" i="62"/>
  <c r="B49" i="62"/>
  <c r="R48" i="62"/>
  <c r="P48" i="62"/>
  <c r="N48" i="62"/>
  <c r="L48" i="62"/>
  <c r="J48" i="62"/>
  <c r="H48" i="62"/>
  <c r="F48" i="62"/>
  <c r="D48" i="62"/>
  <c r="B48" i="62"/>
  <c r="B47" i="62"/>
  <c r="R46" i="62"/>
  <c r="P46" i="62"/>
  <c r="N46" i="62"/>
  <c r="L46" i="62"/>
  <c r="J46" i="62"/>
  <c r="H46" i="62"/>
  <c r="F46" i="62"/>
  <c r="D46" i="62"/>
  <c r="B46" i="62"/>
  <c r="B45" i="62"/>
  <c r="B44" i="62"/>
  <c r="B43" i="62"/>
  <c r="R42" i="62"/>
  <c r="P42" i="62"/>
  <c r="N42" i="62"/>
  <c r="L42" i="62"/>
  <c r="J42" i="62"/>
  <c r="H42" i="62"/>
  <c r="F42" i="62"/>
  <c r="D42" i="62"/>
  <c r="B42" i="62"/>
  <c r="B41" i="62"/>
  <c r="R40" i="62"/>
  <c r="P40" i="62"/>
  <c r="N40" i="62"/>
  <c r="L40" i="62"/>
  <c r="J40" i="62"/>
  <c r="H40" i="62"/>
  <c r="F40" i="62"/>
  <c r="D40" i="62"/>
  <c r="B40" i="62"/>
  <c r="B39" i="62"/>
  <c r="B38" i="62"/>
  <c r="B37" i="62"/>
  <c r="B36" i="62"/>
  <c r="B35" i="62"/>
  <c r="B34" i="62"/>
  <c r="B33" i="62"/>
  <c r="B32" i="62"/>
  <c r="B31" i="62"/>
  <c r="B30" i="62"/>
  <c r="R29" i="62"/>
  <c r="P29" i="62"/>
  <c r="N29" i="62"/>
  <c r="L29" i="62"/>
  <c r="J29" i="62"/>
  <c r="H29" i="62"/>
  <c r="F29" i="62"/>
  <c r="D29" i="62"/>
  <c r="B29" i="62"/>
  <c r="B28" i="62"/>
  <c r="B27" i="62"/>
  <c r="B26" i="62"/>
  <c r="B25" i="62"/>
  <c r="B24" i="62"/>
  <c r="B23" i="62"/>
  <c r="B22" i="62"/>
  <c r="B21" i="62"/>
  <c r="B20" i="62"/>
  <c r="R19" i="62"/>
  <c r="P19" i="62"/>
  <c r="N19" i="62"/>
  <c r="L19" i="62"/>
  <c r="J19" i="62"/>
  <c r="H19" i="62"/>
  <c r="F19" i="62"/>
  <c r="D19" i="62"/>
  <c r="B19" i="62"/>
  <c r="R18" i="62"/>
  <c r="R116" i="62" s="1"/>
  <c r="P18" i="62"/>
  <c r="N18" i="62"/>
  <c r="L18" i="62"/>
  <c r="J18" i="62"/>
  <c r="H18" i="62"/>
  <c r="F18" i="62"/>
  <c r="D18" i="62"/>
  <c r="R16" i="62"/>
  <c r="R15" i="62"/>
  <c r="N15" i="62"/>
  <c r="J15" i="62"/>
  <c r="F15" i="62"/>
  <c r="B13" i="62"/>
  <c r="R12" i="62"/>
  <c r="P12" i="62"/>
  <c r="N12" i="62"/>
  <c r="L12" i="62"/>
  <c r="J12" i="62"/>
  <c r="H12" i="62"/>
  <c r="F12" i="62"/>
  <c r="D12" i="62"/>
  <c r="R10" i="62"/>
  <c r="P10" i="62"/>
  <c r="P15" i="62" s="1"/>
  <c r="N10" i="62"/>
  <c r="L10" i="62"/>
  <c r="L15" i="62" s="1"/>
  <c r="J10" i="62"/>
  <c r="H10" i="62"/>
  <c r="H15" i="62" s="1"/>
  <c r="F10" i="62"/>
  <c r="D10" i="62"/>
  <c r="D15" i="62" s="1"/>
  <c r="D4" i="62"/>
  <c r="N75" i="61"/>
  <c r="R67" i="61"/>
  <c r="P67" i="61"/>
  <c r="N67" i="61"/>
  <c r="L67" i="61"/>
  <c r="J67" i="61"/>
  <c r="H67" i="61"/>
  <c r="F67" i="61"/>
  <c r="D67" i="61"/>
  <c r="B65" i="61"/>
  <c r="B64" i="61"/>
  <c r="R63" i="61"/>
  <c r="P63" i="61"/>
  <c r="N63" i="61"/>
  <c r="L63" i="61"/>
  <c r="J63" i="61"/>
  <c r="H63" i="61"/>
  <c r="F63" i="61"/>
  <c r="D63" i="61"/>
  <c r="B63" i="61"/>
  <c r="B62" i="61"/>
  <c r="R61" i="61"/>
  <c r="P61" i="61"/>
  <c r="N61" i="61"/>
  <c r="L61" i="61"/>
  <c r="J61" i="61"/>
  <c r="H61" i="61"/>
  <c r="F61" i="61"/>
  <c r="D61" i="61"/>
  <c r="B61" i="61"/>
  <c r="B60" i="61"/>
  <c r="B59" i="61"/>
  <c r="R58" i="61"/>
  <c r="P58" i="61"/>
  <c r="N58" i="61"/>
  <c r="L58" i="61"/>
  <c r="J58" i="61"/>
  <c r="H58" i="61"/>
  <c r="F58" i="61"/>
  <c r="D58" i="61"/>
  <c r="B58" i="61"/>
  <c r="B57" i="61"/>
  <c r="B56" i="61"/>
  <c r="R55" i="61"/>
  <c r="P55" i="61"/>
  <c r="N55" i="61"/>
  <c r="L55" i="61"/>
  <c r="J55" i="61"/>
  <c r="H55" i="61"/>
  <c r="F55" i="61"/>
  <c r="D55" i="61"/>
  <c r="B55" i="61"/>
  <c r="B54" i="61"/>
  <c r="R53" i="61"/>
  <c r="P53" i="61"/>
  <c r="N53" i="61"/>
  <c r="L53" i="61"/>
  <c r="J53" i="61"/>
  <c r="H53" i="61"/>
  <c r="F53" i="61"/>
  <c r="D53" i="61"/>
  <c r="B53" i="61"/>
  <c r="B52" i="61"/>
  <c r="B51" i="61"/>
  <c r="B50" i="61"/>
  <c r="R49" i="61"/>
  <c r="P49" i="61"/>
  <c r="N49" i="61"/>
  <c r="L49" i="61"/>
  <c r="J49" i="61"/>
  <c r="H49" i="61"/>
  <c r="F49" i="61"/>
  <c r="D49" i="61"/>
  <c r="B49" i="61"/>
  <c r="B48" i="61"/>
  <c r="R47" i="61"/>
  <c r="P47" i="61"/>
  <c r="N47" i="61"/>
  <c r="L47" i="61"/>
  <c r="J47" i="61"/>
  <c r="H47" i="61"/>
  <c r="F47" i="61"/>
  <c r="D47" i="61"/>
  <c r="B47" i="61"/>
  <c r="B46" i="61"/>
  <c r="R45" i="61"/>
  <c r="P45" i="61"/>
  <c r="N45" i="61"/>
  <c r="L45" i="61"/>
  <c r="J45" i="61"/>
  <c r="H45" i="61"/>
  <c r="F45" i="61"/>
  <c r="D45" i="61"/>
  <c r="B45" i="61"/>
  <c r="B44" i="61"/>
  <c r="R43" i="61"/>
  <c r="P43" i="61"/>
  <c r="N43" i="61"/>
  <c r="L43" i="61"/>
  <c r="J43" i="61"/>
  <c r="H43" i="61"/>
  <c r="F43" i="61"/>
  <c r="D43" i="61"/>
  <c r="B43" i="61"/>
  <c r="B42" i="61"/>
  <c r="R41" i="61"/>
  <c r="P41" i="61"/>
  <c r="N41" i="61"/>
  <c r="L41" i="61"/>
  <c r="J41" i="61"/>
  <c r="H41" i="61"/>
  <c r="F41" i="61"/>
  <c r="D41" i="61"/>
  <c r="B41" i="61"/>
  <c r="B40" i="61"/>
  <c r="R39" i="61"/>
  <c r="P39" i="61"/>
  <c r="N39" i="61"/>
  <c r="L39" i="61"/>
  <c r="J39" i="61"/>
  <c r="H39" i="61"/>
  <c r="F39" i="61"/>
  <c r="D39" i="61"/>
  <c r="B39" i="61"/>
  <c r="B38" i="61"/>
  <c r="B37" i="61"/>
  <c r="B36" i="61"/>
  <c r="B35" i="61"/>
  <c r="B34" i="61"/>
  <c r="B33" i="61"/>
  <c r="B32" i="61"/>
  <c r="B31" i="61"/>
  <c r="B30" i="61"/>
  <c r="B29" i="61"/>
  <c r="R28" i="61"/>
  <c r="P28" i="61"/>
  <c r="N28" i="61"/>
  <c r="L28" i="61"/>
  <c r="J28" i="61"/>
  <c r="H28" i="61"/>
  <c r="F28" i="61"/>
  <c r="D28" i="61"/>
  <c r="B28" i="61"/>
  <c r="B27" i="61"/>
  <c r="B26" i="61"/>
  <c r="B25" i="61"/>
  <c r="B24" i="61"/>
  <c r="B23" i="61"/>
  <c r="B22" i="61"/>
  <c r="B21" i="61"/>
  <c r="B20" i="61"/>
  <c r="B19" i="61"/>
  <c r="R18" i="61"/>
  <c r="P18" i="61"/>
  <c r="N18" i="61"/>
  <c r="L18" i="61"/>
  <c r="J18" i="61"/>
  <c r="H18" i="61"/>
  <c r="F18" i="61"/>
  <c r="D18" i="61"/>
  <c r="B18" i="61"/>
  <c r="R17" i="61"/>
  <c r="P17" i="61"/>
  <c r="N17" i="61"/>
  <c r="L17" i="61"/>
  <c r="J17" i="61"/>
  <c r="H17" i="61"/>
  <c r="F17" i="61"/>
  <c r="D17" i="61"/>
  <c r="F14" i="61"/>
  <c r="F15" i="61" s="1"/>
  <c r="R12" i="61"/>
  <c r="P12" i="61"/>
  <c r="N12" i="61"/>
  <c r="L12" i="61"/>
  <c r="J12" i="61"/>
  <c r="H12" i="61"/>
  <c r="F12" i="61"/>
  <c r="D12" i="61"/>
  <c r="R10" i="61"/>
  <c r="R14" i="61" s="1"/>
  <c r="P10" i="61"/>
  <c r="P14" i="61" s="1"/>
  <c r="N10" i="61"/>
  <c r="N14" i="61" s="1"/>
  <c r="N69" i="61" s="1"/>
  <c r="N74" i="61" s="1"/>
  <c r="L10" i="61"/>
  <c r="L14" i="61" s="1"/>
  <c r="J10" i="61"/>
  <c r="J14" i="61" s="1"/>
  <c r="H10" i="61"/>
  <c r="H14" i="61" s="1"/>
  <c r="F10" i="61"/>
  <c r="D10" i="61"/>
  <c r="D14" i="61" s="1"/>
  <c r="D4" i="61"/>
  <c r="H61" i="60"/>
  <c r="R59" i="60"/>
  <c r="P59" i="60"/>
  <c r="N59" i="60"/>
  <c r="L59" i="60"/>
  <c r="J59" i="60"/>
  <c r="H59" i="60"/>
  <c r="F59" i="60"/>
  <c r="D59" i="60"/>
  <c r="B57" i="60"/>
  <c r="R56" i="60"/>
  <c r="P56" i="60"/>
  <c r="N56" i="60"/>
  <c r="L56" i="60"/>
  <c r="J56" i="60"/>
  <c r="H56" i="60"/>
  <c r="F56" i="60"/>
  <c r="D56" i="60"/>
  <c r="B56" i="60"/>
  <c r="B55" i="60"/>
  <c r="R54" i="60"/>
  <c r="P54" i="60"/>
  <c r="N54" i="60"/>
  <c r="L54" i="60"/>
  <c r="J54" i="60"/>
  <c r="H54" i="60"/>
  <c r="F54" i="60"/>
  <c r="D54" i="60"/>
  <c r="B54" i="60"/>
  <c r="B53" i="60"/>
  <c r="B52" i="60"/>
  <c r="B51" i="60"/>
  <c r="B50" i="60"/>
  <c r="R49" i="60"/>
  <c r="P49" i="60"/>
  <c r="N49" i="60"/>
  <c r="L49" i="60"/>
  <c r="J49" i="60"/>
  <c r="H49" i="60"/>
  <c r="F49" i="60"/>
  <c r="D49" i="60"/>
  <c r="B49" i="60"/>
  <c r="B48" i="60"/>
  <c r="R47" i="60"/>
  <c r="P47" i="60"/>
  <c r="N47" i="60"/>
  <c r="L47" i="60"/>
  <c r="J47" i="60"/>
  <c r="H47" i="60"/>
  <c r="F47" i="60"/>
  <c r="D47" i="60"/>
  <c r="B47" i="60"/>
  <c r="B46" i="60"/>
  <c r="B45" i="60"/>
  <c r="B44" i="60"/>
  <c r="R43" i="60"/>
  <c r="P43" i="60"/>
  <c r="N43" i="60"/>
  <c r="L43" i="60"/>
  <c r="J43" i="60"/>
  <c r="H43" i="60"/>
  <c r="F43" i="60"/>
  <c r="D43" i="60"/>
  <c r="B43" i="60"/>
  <c r="B42" i="60"/>
  <c r="R41" i="60"/>
  <c r="P41" i="60"/>
  <c r="N41" i="60"/>
  <c r="L41" i="60"/>
  <c r="J41" i="60"/>
  <c r="H41" i="60"/>
  <c r="F41" i="60"/>
  <c r="D41" i="60"/>
  <c r="B41" i="60"/>
  <c r="B40" i="60"/>
  <c r="R39" i="60"/>
  <c r="P39" i="60"/>
  <c r="N39" i="60"/>
  <c r="L39" i="60"/>
  <c r="J39" i="60"/>
  <c r="H39" i="60"/>
  <c r="F39" i="60"/>
  <c r="D39" i="60"/>
  <c r="B39" i="60"/>
  <c r="B38" i="60"/>
  <c r="B37" i="60"/>
  <c r="B36" i="60"/>
  <c r="B35" i="60"/>
  <c r="B34" i="60"/>
  <c r="B33" i="60"/>
  <c r="B32" i="60"/>
  <c r="B31" i="60"/>
  <c r="B30" i="60"/>
  <c r="B29" i="60"/>
  <c r="R28" i="60"/>
  <c r="P28" i="60"/>
  <c r="N28" i="60"/>
  <c r="L28" i="60"/>
  <c r="J28" i="60"/>
  <c r="H28" i="60"/>
  <c r="F28" i="60"/>
  <c r="D28" i="60"/>
  <c r="B28" i="60"/>
  <c r="B27" i="60"/>
  <c r="B26" i="60"/>
  <c r="B25" i="60"/>
  <c r="B24" i="60"/>
  <c r="B23" i="60"/>
  <c r="B22" i="60"/>
  <c r="B21" i="60"/>
  <c r="B20" i="60"/>
  <c r="B19" i="60"/>
  <c r="R18" i="60"/>
  <c r="P18" i="60"/>
  <c r="N18" i="60"/>
  <c r="L18" i="60"/>
  <c r="J18" i="60"/>
  <c r="H18" i="60"/>
  <c r="F18" i="60"/>
  <c r="D18" i="60"/>
  <c r="B18" i="60"/>
  <c r="R17" i="60"/>
  <c r="P17" i="60"/>
  <c r="N17" i="60"/>
  <c r="L17" i="60"/>
  <c r="J17" i="60"/>
  <c r="H17" i="60"/>
  <c r="F17" i="60"/>
  <c r="D17" i="60"/>
  <c r="P14" i="60"/>
  <c r="P15" i="60" s="1"/>
  <c r="H14" i="60"/>
  <c r="H15" i="60" s="1"/>
  <c r="R12" i="60"/>
  <c r="P12" i="60"/>
  <c r="N12" i="60"/>
  <c r="L12" i="60"/>
  <c r="J12" i="60"/>
  <c r="H12" i="60"/>
  <c r="F12" i="60"/>
  <c r="D12" i="60"/>
  <c r="R10" i="60"/>
  <c r="R14" i="60" s="1"/>
  <c r="P10" i="60"/>
  <c r="N10" i="60"/>
  <c r="N14" i="60" s="1"/>
  <c r="L10" i="60"/>
  <c r="L14" i="60" s="1"/>
  <c r="J10" i="60"/>
  <c r="J14" i="60" s="1"/>
  <c r="H10" i="60"/>
  <c r="F10" i="60"/>
  <c r="F14" i="60" s="1"/>
  <c r="D10" i="60"/>
  <c r="D14" i="60" s="1"/>
  <c r="D4" i="60"/>
  <c r="R87" i="59"/>
  <c r="R88" i="59" s="1"/>
  <c r="R83" i="59"/>
  <c r="R84" i="59" s="1"/>
  <c r="R78" i="59"/>
  <c r="R79" i="59" s="1"/>
  <c r="R76" i="59"/>
  <c r="P76" i="59"/>
  <c r="N76" i="59"/>
  <c r="L76" i="59"/>
  <c r="J76" i="59"/>
  <c r="H76" i="59"/>
  <c r="F76" i="59"/>
  <c r="D76" i="59"/>
  <c r="B74" i="59"/>
  <c r="B73" i="59"/>
  <c r="R72" i="59"/>
  <c r="P72" i="59"/>
  <c r="N72" i="59"/>
  <c r="L72" i="59"/>
  <c r="J72" i="59"/>
  <c r="H72" i="59"/>
  <c r="F72" i="59"/>
  <c r="D72" i="59"/>
  <c r="B72" i="59"/>
  <c r="B71" i="59"/>
  <c r="R70" i="59"/>
  <c r="P70" i="59"/>
  <c r="N70" i="59"/>
  <c r="L70" i="59"/>
  <c r="J70" i="59"/>
  <c r="H70" i="59"/>
  <c r="F70" i="59"/>
  <c r="D70" i="59"/>
  <c r="B70" i="59"/>
  <c r="B69" i="59"/>
  <c r="B68" i="59"/>
  <c r="R67" i="59"/>
  <c r="P67" i="59"/>
  <c r="N67" i="59"/>
  <c r="L67" i="59"/>
  <c r="J67" i="59"/>
  <c r="H67" i="59"/>
  <c r="F67" i="59"/>
  <c r="D67" i="59"/>
  <c r="B67" i="59"/>
  <c r="B66" i="59"/>
  <c r="B65" i="59"/>
  <c r="B64" i="59"/>
  <c r="B63" i="59"/>
  <c r="R62" i="59"/>
  <c r="P62" i="59"/>
  <c r="N62" i="59"/>
  <c r="L62" i="59"/>
  <c r="J62" i="59"/>
  <c r="H62" i="59"/>
  <c r="F62" i="59"/>
  <c r="D62" i="59"/>
  <c r="B62" i="59"/>
  <c r="B61" i="59"/>
  <c r="B60" i="59"/>
  <c r="R59" i="59"/>
  <c r="P59" i="59"/>
  <c r="N59" i="59"/>
  <c r="L59" i="59"/>
  <c r="J59" i="59"/>
  <c r="H59" i="59"/>
  <c r="F59" i="59"/>
  <c r="D59" i="59"/>
  <c r="B59" i="59"/>
  <c r="B58" i="59"/>
  <c r="B57" i="59"/>
  <c r="B56" i="59"/>
  <c r="B55" i="59"/>
  <c r="R54" i="59"/>
  <c r="P54" i="59"/>
  <c r="N54" i="59"/>
  <c r="L54" i="59"/>
  <c r="J54" i="59"/>
  <c r="H54" i="59"/>
  <c r="F54" i="59"/>
  <c r="D54" i="59"/>
  <c r="B54" i="59"/>
  <c r="B53" i="59"/>
  <c r="R52" i="59"/>
  <c r="P52" i="59"/>
  <c r="N52" i="59"/>
  <c r="L52" i="59"/>
  <c r="J52" i="59"/>
  <c r="H52" i="59"/>
  <c r="F52" i="59"/>
  <c r="D52" i="59"/>
  <c r="B52" i="59"/>
  <c r="B51" i="59"/>
  <c r="R50" i="59"/>
  <c r="P50" i="59"/>
  <c r="N50" i="59"/>
  <c r="L50" i="59"/>
  <c r="J50" i="59"/>
  <c r="H50" i="59"/>
  <c r="F50" i="59"/>
  <c r="D50" i="59"/>
  <c r="B50" i="59"/>
  <c r="B49" i="59"/>
  <c r="B48" i="59"/>
  <c r="R47" i="59"/>
  <c r="P47" i="59"/>
  <c r="N47" i="59"/>
  <c r="L47" i="59"/>
  <c r="J47" i="59"/>
  <c r="H47" i="59"/>
  <c r="F47" i="59"/>
  <c r="D47" i="59"/>
  <c r="B47" i="59"/>
  <c r="B46" i="59"/>
  <c r="R45" i="59"/>
  <c r="P45" i="59"/>
  <c r="N45" i="59"/>
  <c r="L45" i="59"/>
  <c r="J45" i="59"/>
  <c r="H45" i="59"/>
  <c r="F45" i="59"/>
  <c r="D45" i="59"/>
  <c r="B45" i="59"/>
  <c r="B44" i="59"/>
  <c r="B43" i="59"/>
  <c r="R42" i="59"/>
  <c r="P42" i="59"/>
  <c r="N42" i="59"/>
  <c r="L42" i="59"/>
  <c r="J42" i="59"/>
  <c r="H42" i="59"/>
  <c r="F42" i="59"/>
  <c r="D42" i="59"/>
  <c r="B42" i="59"/>
  <c r="B41" i="59"/>
  <c r="R40" i="59"/>
  <c r="P40" i="59"/>
  <c r="N40" i="59"/>
  <c r="L40" i="59"/>
  <c r="J40" i="59"/>
  <c r="H40" i="59"/>
  <c r="F40" i="59"/>
  <c r="D40" i="59"/>
  <c r="B40" i="59"/>
  <c r="B39" i="59"/>
  <c r="B38" i="59"/>
  <c r="B37" i="59"/>
  <c r="B36" i="59"/>
  <c r="B35" i="59"/>
  <c r="B34" i="59"/>
  <c r="B33" i="59"/>
  <c r="B32" i="59"/>
  <c r="B31" i="59"/>
  <c r="B30" i="59"/>
  <c r="R29" i="59"/>
  <c r="P29" i="59"/>
  <c r="N29" i="59"/>
  <c r="L29" i="59"/>
  <c r="J29" i="59"/>
  <c r="H29" i="59"/>
  <c r="F29" i="59"/>
  <c r="D29" i="59"/>
  <c r="B29" i="59"/>
  <c r="B28" i="59"/>
  <c r="B27" i="59"/>
  <c r="B26" i="59"/>
  <c r="B25" i="59"/>
  <c r="B24" i="59"/>
  <c r="B23" i="59"/>
  <c r="B22" i="59"/>
  <c r="B21" i="59"/>
  <c r="B20" i="59"/>
  <c r="B19" i="59"/>
  <c r="R18" i="59"/>
  <c r="P18" i="59"/>
  <c r="N18" i="59"/>
  <c r="L18" i="59"/>
  <c r="J18" i="59"/>
  <c r="H18" i="59"/>
  <c r="F18" i="59"/>
  <c r="D18" i="59"/>
  <c r="B18" i="59"/>
  <c r="R17" i="59"/>
  <c r="P17" i="59"/>
  <c r="N17" i="59"/>
  <c r="L17" i="59"/>
  <c r="J17" i="59"/>
  <c r="H17" i="59"/>
  <c r="F17" i="59"/>
  <c r="D17" i="59"/>
  <c r="R12" i="59"/>
  <c r="P12" i="59"/>
  <c r="N12" i="59"/>
  <c r="L12" i="59"/>
  <c r="J12" i="59"/>
  <c r="H12" i="59"/>
  <c r="F12" i="59"/>
  <c r="D12" i="59"/>
  <c r="R10" i="59"/>
  <c r="R14" i="59" s="1"/>
  <c r="R15" i="59" s="1"/>
  <c r="P10" i="59"/>
  <c r="P14" i="59" s="1"/>
  <c r="N10" i="59"/>
  <c r="N14" i="59" s="1"/>
  <c r="L10" i="59"/>
  <c r="L14" i="59" s="1"/>
  <c r="J10" i="59"/>
  <c r="J14" i="59" s="1"/>
  <c r="J15" i="59" s="1"/>
  <c r="H10" i="59"/>
  <c r="H14" i="59" s="1"/>
  <c r="F10" i="59"/>
  <c r="F14" i="59" s="1"/>
  <c r="D10" i="59"/>
  <c r="D14" i="59" s="1"/>
  <c r="D78" i="59" s="1"/>
  <c r="D4" i="59"/>
  <c r="N83" i="58"/>
  <c r="R80" i="58"/>
  <c r="P80" i="58"/>
  <c r="N80" i="58"/>
  <c r="N82" i="58" s="1"/>
  <c r="N87" i="58" s="1"/>
  <c r="L80" i="58"/>
  <c r="J80" i="58"/>
  <c r="H80" i="58"/>
  <c r="F80" i="58"/>
  <c r="D80" i="58"/>
  <c r="B78" i="58"/>
  <c r="B77" i="58"/>
  <c r="R76" i="58"/>
  <c r="P76" i="58"/>
  <c r="N76" i="58"/>
  <c r="L76" i="58"/>
  <c r="J76" i="58"/>
  <c r="H76" i="58"/>
  <c r="F76" i="58"/>
  <c r="D76" i="58"/>
  <c r="B76" i="58"/>
  <c r="B75" i="58"/>
  <c r="R74" i="58"/>
  <c r="P74" i="58"/>
  <c r="N74" i="58"/>
  <c r="L74" i="58"/>
  <c r="J74" i="58"/>
  <c r="H74" i="58"/>
  <c r="F74" i="58"/>
  <c r="D74" i="58"/>
  <c r="B74" i="58"/>
  <c r="B73" i="58"/>
  <c r="R72" i="58"/>
  <c r="P72" i="58"/>
  <c r="N72" i="58"/>
  <c r="L72" i="58"/>
  <c r="J72" i="58"/>
  <c r="H72" i="58"/>
  <c r="F72" i="58"/>
  <c r="D72" i="58"/>
  <c r="B72" i="58"/>
  <c r="B71" i="58"/>
  <c r="B70" i="58"/>
  <c r="B69" i="58"/>
  <c r="B68" i="58"/>
  <c r="B67" i="58"/>
  <c r="R66" i="58"/>
  <c r="P66" i="58"/>
  <c r="N66" i="58"/>
  <c r="L66" i="58"/>
  <c r="J66" i="58"/>
  <c r="H66" i="58"/>
  <c r="F66" i="58"/>
  <c r="D66" i="58"/>
  <c r="B66" i="58"/>
  <c r="B65" i="58"/>
  <c r="B64" i="58"/>
  <c r="R63" i="58"/>
  <c r="P63" i="58"/>
  <c r="N63" i="58"/>
  <c r="L63" i="58"/>
  <c r="J63" i="58"/>
  <c r="H63" i="58"/>
  <c r="F63" i="58"/>
  <c r="D63" i="58"/>
  <c r="B63" i="58"/>
  <c r="B62" i="58"/>
  <c r="B61" i="58"/>
  <c r="B60" i="58"/>
  <c r="R59" i="58"/>
  <c r="P59" i="58"/>
  <c r="N59" i="58"/>
  <c r="L59" i="58"/>
  <c r="J59" i="58"/>
  <c r="H59" i="58"/>
  <c r="F59" i="58"/>
  <c r="D59" i="58"/>
  <c r="B59" i="58"/>
  <c r="B58" i="58"/>
  <c r="B57" i="58"/>
  <c r="B56" i="58"/>
  <c r="R55" i="58"/>
  <c r="P55" i="58"/>
  <c r="N55" i="58"/>
  <c r="L55" i="58"/>
  <c r="J55" i="58"/>
  <c r="H55" i="58"/>
  <c r="F55" i="58"/>
  <c r="D55" i="58"/>
  <c r="B55" i="58"/>
  <c r="B54" i="58"/>
  <c r="B53" i="58"/>
  <c r="R52" i="58"/>
  <c r="P52" i="58"/>
  <c r="N52" i="58"/>
  <c r="L52" i="58"/>
  <c r="J52" i="58"/>
  <c r="H52" i="58"/>
  <c r="F52" i="58"/>
  <c r="D52" i="58"/>
  <c r="B52" i="58"/>
  <c r="B51" i="58"/>
  <c r="R50" i="58"/>
  <c r="P50" i="58"/>
  <c r="N50" i="58"/>
  <c r="L50" i="58"/>
  <c r="J50" i="58"/>
  <c r="H50" i="58"/>
  <c r="F50" i="58"/>
  <c r="D50" i="58"/>
  <c r="B50" i="58"/>
  <c r="B49" i="58"/>
  <c r="R48" i="58"/>
  <c r="P48" i="58"/>
  <c r="N48" i="58"/>
  <c r="L48" i="58"/>
  <c r="J48" i="58"/>
  <c r="H48" i="58"/>
  <c r="F48" i="58"/>
  <c r="D48" i="58"/>
  <c r="B48" i="58"/>
  <c r="B47" i="58"/>
  <c r="R46" i="58"/>
  <c r="P46" i="58"/>
  <c r="N46" i="58"/>
  <c r="L46" i="58"/>
  <c r="J46" i="58"/>
  <c r="H46" i="58"/>
  <c r="F46" i="58"/>
  <c r="D46" i="58"/>
  <c r="B46" i="58"/>
  <c r="B45" i="58"/>
  <c r="R44" i="58"/>
  <c r="P44" i="58"/>
  <c r="N44" i="58"/>
  <c r="L44" i="58"/>
  <c r="J44" i="58"/>
  <c r="H44" i="58"/>
  <c r="F44" i="58"/>
  <c r="D44" i="58"/>
  <c r="B44" i="58"/>
  <c r="B43" i="58"/>
  <c r="R42" i="58"/>
  <c r="P42" i="58"/>
  <c r="N42" i="58"/>
  <c r="L42" i="58"/>
  <c r="J42" i="58"/>
  <c r="H42" i="58"/>
  <c r="F42" i="58"/>
  <c r="D42" i="58"/>
  <c r="B42" i="58"/>
  <c r="B41" i="58"/>
  <c r="R40" i="58"/>
  <c r="P40" i="58"/>
  <c r="N40" i="58"/>
  <c r="L40" i="58"/>
  <c r="J40" i="58"/>
  <c r="H40" i="58"/>
  <c r="F40" i="58"/>
  <c r="D40" i="58"/>
  <c r="B40" i="58"/>
  <c r="B39" i="58"/>
  <c r="B38" i="58"/>
  <c r="B37" i="58"/>
  <c r="B36" i="58"/>
  <c r="B35" i="58"/>
  <c r="B34" i="58"/>
  <c r="B33" i="58"/>
  <c r="B32" i="58"/>
  <c r="B31" i="58"/>
  <c r="B30" i="58"/>
  <c r="R29" i="58"/>
  <c r="P29" i="58"/>
  <c r="N29" i="58"/>
  <c r="L29" i="58"/>
  <c r="J29" i="58"/>
  <c r="H29" i="58"/>
  <c r="F29" i="58"/>
  <c r="D29" i="58"/>
  <c r="B29" i="58"/>
  <c r="B28" i="58"/>
  <c r="B27" i="58"/>
  <c r="B26" i="58"/>
  <c r="B25" i="58"/>
  <c r="B24" i="58"/>
  <c r="B23" i="58"/>
  <c r="B22" i="58"/>
  <c r="B21" i="58"/>
  <c r="B20" i="58"/>
  <c r="B19" i="58"/>
  <c r="R18" i="58"/>
  <c r="P18" i="58"/>
  <c r="N18" i="58"/>
  <c r="L18" i="58"/>
  <c r="J18" i="58"/>
  <c r="H18" i="58"/>
  <c r="F18" i="58"/>
  <c r="D18" i="58"/>
  <c r="B18" i="58"/>
  <c r="R17" i="58"/>
  <c r="P17" i="58"/>
  <c r="N17" i="58"/>
  <c r="L17" i="58"/>
  <c r="J17" i="58"/>
  <c r="H17" i="58"/>
  <c r="F17" i="58"/>
  <c r="D17" i="58"/>
  <c r="H14" i="58"/>
  <c r="R12" i="58"/>
  <c r="P12" i="58"/>
  <c r="N12" i="58"/>
  <c r="L12" i="58"/>
  <c r="J12" i="58"/>
  <c r="H12" i="58"/>
  <c r="F12" i="58"/>
  <c r="D12" i="58"/>
  <c r="R10" i="58"/>
  <c r="R14" i="58" s="1"/>
  <c r="P10" i="58"/>
  <c r="P14" i="58" s="1"/>
  <c r="N10" i="58"/>
  <c r="N14" i="58" s="1"/>
  <c r="N15" i="58" s="1"/>
  <c r="L10" i="58"/>
  <c r="L14" i="58" s="1"/>
  <c r="J10" i="58"/>
  <c r="J14" i="58" s="1"/>
  <c r="H10" i="58"/>
  <c r="F10" i="58"/>
  <c r="F14" i="58" s="1"/>
  <c r="F15" i="58" s="1"/>
  <c r="D10" i="58"/>
  <c r="D14" i="58" s="1"/>
  <c r="D4" i="58"/>
  <c r="R92" i="57"/>
  <c r="R93" i="57" s="1"/>
  <c r="R88" i="57"/>
  <c r="R89" i="57" s="1"/>
  <c r="R83" i="57"/>
  <c r="R84" i="57" s="1"/>
  <c r="N81" i="57"/>
  <c r="N78" i="57" s="1"/>
  <c r="L81" i="57"/>
  <c r="J81" i="57"/>
  <c r="H81" i="57"/>
  <c r="H78" i="57" s="1"/>
  <c r="F81" i="57"/>
  <c r="F78" i="57" s="1"/>
  <c r="D81" i="57"/>
  <c r="B81" i="57"/>
  <c r="N80" i="57"/>
  <c r="L80" i="57"/>
  <c r="L78" i="57" s="1"/>
  <c r="J80" i="57"/>
  <c r="H80" i="57"/>
  <c r="F80" i="57"/>
  <c r="D80" i="57"/>
  <c r="B80" i="57"/>
  <c r="N79" i="57"/>
  <c r="L79" i="57"/>
  <c r="J79" i="57"/>
  <c r="J78" i="57" s="1"/>
  <c r="H79" i="57"/>
  <c r="F79" i="57"/>
  <c r="D79" i="57"/>
  <c r="B79" i="57"/>
  <c r="R78" i="57"/>
  <c r="P78" i="57"/>
  <c r="D78" i="57"/>
  <c r="B76" i="57"/>
  <c r="B75" i="57"/>
  <c r="R74" i="57"/>
  <c r="P74" i="57"/>
  <c r="N74" i="57"/>
  <c r="L74" i="57"/>
  <c r="J74" i="57"/>
  <c r="H74" i="57"/>
  <c r="F74" i="57"/>
  <c r="D74" i="57"/>
  <c r="B74" i="57"/>
  <c r="B73" i="57"/>
  <c r="R72" i="57"/>
  <c r="P72" i="57"/>
  <c r="N72" i="57"/>
  <c r="L72" i="57"/>
  <c r="J72" i="57"/>
  <c r="H72" i="57"/>
  <c r="F72" i="57"/>
  <c r="D72" i="57"/>
  <c r="B72" i="57"/>
  <c r="B71" i="57"/>
  <c r="R70" i="57"/>
  <c r="P70" i="57"/>
  <c r="N70" i="57"/>
  <c r="L70" i="57"/>
  <c r="J70" i="57"/>
  <c r="H70" i="57"/>
  <c r="F70" i="57"/>
  <c r="D70" i="57"/>
  <c r="B70" i="57"/>
  <c r="B69" i="57"/>
  <c r="B68" i="57"/>
  <c r="B67" i="57"/>
  <c r="R66" i="57"/>
  <c r="P66" i="57"/>
  <c r="N66" i="57"/>
  <c r="L66" i="57"/>
  <c r="J66" i="57"/>
  <c r="H66" i="57"/>
  <c r="F66" i="57"/>
  <c r="D66" i="57"/>
  <c r="B66" i="57"/>
  <c r="B65" i="57"/>
  <c r="R64" i="57"/>
  <c r="P64" i="57"/>
  <c r="N64" i="57"/>
  <c r="L64" i="57"/>
  <c r="J64" i="57"/>
  <c r="H64" i="57"/>
  <c r="F64" i="57"/>
  <c r="D64" i="57"/>
  <c r="B64" i="57"/>
  <c r="B63" i="57"/>
  <c r="R62" i="57"/>
  <c r="P62" i="57"/>
  <c r="N62" i="57"/>
  <c r="L62" i="57"/>
  <c r="J62" i="57"/>
  <c r="H62" i="57"/>
  <c r="F62" i="57"/>
  <c r="D62" i="57"/>
  <c r="B62" i="57"/>
  <c r="B61" i="57"/>
  <c r="B60" i="57"/>
  <c r="B59" i="57"/>
  <c r="R58" i="57"/>
  <c r="P58" i="57"/>
  <c r="N58" i="57"/>
  <c r="L58" i="57"/>
  <c r="J58" i="57"/>
  <c r="H58" i="57"/>
  <c r="F58" i="57"/>
  <c r="D58" i="57"/>
  <c r="B58" i="57"/>
  <c r="B57" i="57"/>
  <c r="B56" i="57"/>
  <c r="R55" i="57"/>
  <c r="P55" i="57"/>
  <c r="N55" i="57"/>
  <c r="L55" i="57"/>
  <c r="J55" i="57"/>
  <c r="H55" i="57"/>
  <c r="F55" i="57"/>
  <c r="D55" i="57"/>
  <c r="B55" i="57"/>
  <c r="B54" i="57"/>
  <c r="R53" i="57"/>
  <c r="P53" i="57"/>
  <c r="N53" i="57"/>
  <c r="L53" i="57"/>
  <c r="J53" i="57"/>
  <c r="H53" i="57"/>
  <c r="F53" i="57"/>
  <c r="D53" i="57"/>
  <c r="B53" i="57"/>
  <c r="B52" i="57"/>
  <c r="R51" i="57"/>
  <c r="P51" i="57"/>
  <c r="N51" i="57"/>
  <c r="L51" i="57"/>
  <c r="J51" i="57"/>
  <c r="H51" i="57"/>
  <c r="F51" i="57"/>
  <c r="D51" i="57"/>
  <c r="B51" i="57"/>
  <c r="B50" i="57"/>
  <c r="B49" i="57"/>
  <c r="R48" i="57"/>
  <c r="P48" i="57"/>
  <c r="N48" i="57"/>
  <c r="L48" i="57"/>
  <c r="J48" i="57"/>
  <c r="H48" i="57"/>
  <c r="F48" i="57"/>
  <c r="D48" i="57"/>
  <c r="B48" i="57"/>
  <c r="B47" i="57"/>
  <c r="R46" i="57"/>
  <c r="P46" i="57"/>
  <c r="N46" i="57"/>
  <c r="L46" i="57"/>
  <c r="J46" i="57"/>
  <c r="H46" i="57"/>
  <c r="F46" i="57"/>
  <c r="D46" i="57"/>
  <c r="B46" i="57"/>
  <c r="B45" i="57"/>
  <c r="R44" i="57"/>
  <c r="P44" i="57"/>
  <c r="N44" i="57"/>
  <c r="L44" i="57"/>
  <c r="J44" i="57"/>
  <c r="H44" i="57"/>
  <c r="F44" i="57"/>
  <c r="D44" i="57"/>
  <c r="B44" i="57"/>
  <c r="B43" i="57"/>
  <c r="R42" i="57"/>
  <c r="P42" i="57"/>
  <c r="N42" i="57"/>
  <c r="L42" i="57"/>
  <c r="J42" i="57"/>
  <c r="H42" i="57"/>
  <c r="F42" i="57"/>
  <c r="D42" i="57"/>
  <c r="B42" i="57"/>
  <c r="B41" i="57"/>
  <c r="R40" i="57"/>
  <c r="P40" i="57"/>
  <c r="N40" i="57"/>
  <c r="L40" i="57"/>
  <c r="J40" i="57"/>
  <c r="H40" i="57"/>
  <c r="F40" i="57"/>
  <c r="D40" i="57"/>
  <c r="B40" i="57"/>
  <c r="B39" i="57"/>
  <c r="B38" i="57"/>
  <c r="B37" i="57"/>
  <c r="B36" i="57"/>
  <c r="B35" i="57"/>
  <c r="B34" i="57"/>
  <c r="B33" i="57"/>
  <c r="B32" i="57"/>
  <c r="B31" i="57"/>
  <c r="B30" i="57"/>
  <c r="R29" i="57"/>
  <c r="P29" i="57"/>
  <c r="N29" i="57"/>
  <c r="L29" i="57"/>
  <c r="J29" i="57"/>
  <c r="H29" i="57"/>
  <c r="F29" i="57"/>
  <c r="D29" i="57"/>
  <c r="B29" i="57"/>
  <c r="B28" i="57"/>
  <c r="B27" i="57"/>
  <c r="B26" i="57"/>
  <c r="B25" i="57"/>
  <c r="B24" i="57"/>
  <c r="B23" i="57"/>
  <c r="B22" i="57"/>
  <c r="B21" i="57"/>
  <c r="B20" i="57"/>
  <c r="R19" i="57"/>
  <c r="P19" i="57"/>
  <c r="N19" i="57"/>
  <c r="L19" i="57"/>
  <c r="J19" i="57"/>
  <c r="H19" i="57"/>
  <c r="F19" i="57"/>
  <c r="D19" i="57"/>
  <c r="B19" i="57"/>
  <c r="R18" i="57"/>
  <c r="P18" i="57"/>
  <c r="N18" i="57"/>
  <c r="L18" i="57"/>
  <c r="J18" i="57"/>
  <c r="H18" i="57"/>
  <c r="F18" i="57"/>
  <c r="D18" i="57"/>
  <c r="H15" i="57"/>
  <c r="R13" i="57"/>
  <c r="R15" i="57" s="1"/>
  <c r="R16" i="57" s="1"/>
  <c r="P13" i="57"/>
  <c r="P15" i="57" s="1"/>
  <c r="N13" i="57"/>
  <c r="L13" i="57"/>
  <c r="J13" i="57"/>
  <c r="J15" i="57" s="1"/>
  <c r="J16" i="57" s="1"/>
  <c r="H13" i="57"/>
  <c r="F13" i="57"/>
  <c r="D13" i="57"/>
  <c r="N11" i="57"/>
  <c r="L11" i="57"/>
  <c r="L10" i="57" s="1"/>
  <c r="L15" i="57" s="1"/>
  <c r="J11" i="57"/>
  <c r="H11" i="57"/>
  <c r="F11" i="57"/>
  <c r="D11" i="57"/>
  <c r="D10" i="57" s="1"/>
  <c r="D15" i="57" s="1"/>
  <c r="B11" i="57"/>
  <c r="R10" i="57"/>
  <c r="P10" i="57"/>
  <c r="N10" i="57"/>
  <c r="N15" i="57" s="1"/>
  <c r="J10" i="57"/>
  <c r="H10" i="57"/>
  <c r="F10" i="57"/>
  <c r="F15" i="57" s="1"/>
  <c r="D4" i="57"/>
  <c r="R88" i="56"/>
  <c r="P88" i="56"/>
  <c r="N88" i="56"/>
  <c r="L88" i="56"/>
  <c r="J88" i="56"/>
  <c r="H88" i="56"/>
  <c r="F88" i="56"/>
  <c r="D88" i="56"/>
  <c r="B86" i="56"/>
  <c r="B85" i="56"/>
  <c r="R84" i="56"/>
  <c r="P84" i="56"/>
  <c r="N84" i="56"/>
  <c r="L84" i="56"/>
  <c r="J84" i="56"/>
  <c r="H84" i="56"/>
  <c r="F84" i="56"/>
  <c r="D84" i="56"/>
  <c r="B84" i="56"/>
  <c r="B83" i="56"/>
  <c r="R82" i="56"/>
  <c r="P82" i="56"/>
  <c r="N82" i="56"/>
  <c r="L82" i="56"/>
  <c r="J82" i="56"/>
  <c r="H82" i="56"/>
  <c r="F82" i="56"/>
  <c r="D82" i="56"/>
  <c r="B82" i="56"/>
  <c r="B81" i="56"/>
  <c r="B80" i="56"/>
  <c r="R79" i="56"/>
  <c r="P79" i="56"/>
  <c r="N79" i="56"/>
  <c r="L79" i="56"/>
  <c r="J79" i="56"/>
  <c r="H79" i="56"/>
  <c r="F79" i="56"/>
  <c r="D79" i="56"/>
  <c r="B79" i="56"/>
  <c r="B78" i="56"/>
  <c r="B77" i="56"/>
  <c r="B76" i="56"/>
  <c r="B75" i="56"/>
  <c r="R74" i="56"/>
  <c r="P74" i="56"/>
  <c r="N74" i="56"/>
  <c r="L74" i="56"/>
  <c r="J74" i="56"/>
  <c r="H74" i="56"/>
  <c r="F74" i="56"/>
  <c r="D74" i="56"/>
  <c r="B74" i="56"/>
  <c r="B73" i="56"/>
  <c r="R72" i="56"/>
  <c r="P72" i="56"/>
  <c r="N72" i="56"/>
  <c r="L72" i="56"/>
  <c r="J72" i="56"/>
  <c r="H72" i="56"/>
  <c r="F72" i="56"/>
  <c r="D72" i="56"/>
  <c r="B72" i="56"/>
  <c r="B71" i="56"/>
  <c r="B70" i="56"/>
  <c r="B69" i="56"/>
  <c r="R68" i="56"/>
  <c r="P68" i="56"/>
  <c r="N68" i="56"/>
  <c r="L68" i="56"/>
  <c r="J68" i="56"/>
  <c r="H68" i="56"/>
  <c r="F68" i="56"/>
  <c r="D68" i="56"/>
  <c r="B68" i="56"/>
  <c r="B67" i="56"/>
  <c r="B66" i="56"/>
  <c r="B65" i="56"/>
  <c r="B64" i="56"/>
  <c r="R63" i="56"/>
  <c r="P63" i="56"/>
  <c r="N63" i="56"/>
  <c r="L63" i="56"/>
  <c r="J63" i="56"/>
  <c r="H63" i="56"/>
  <c r="F63" i="56"/>
  <c r="D63" i="56"/>
  <c r="B63" i="56"/>
  <c r="B62" i="56"/>
  <c r="R61" i="56"/>
  <c r="P61" i="56"/>
  <c r="N61" i="56"/>
  <c r="L61" i="56"/>
  <c r="J61" i="56"/>
  <c r="H61" i="56"/>
  <c r="F61" i="56"/>
  <c r="D61" i="56"/>
  <c r="B61" i="56"/>
  <c r="B60" i="56"/>
  <c r="R59" i="56"/>
  <c r="P59" i="56"/>
  <c r="N59" i="56"/>
  <c r="L59" i="56"/>
  <c r="J59" i="56"/>
  <c r="H59" i="56"/>
  <c r="F59" i="56"/>
  <c r="D59" i="56"/>
  <c r="B59" i="56"/>
  <c r="B58" i="56"/>
  <c r="R57" i="56"/>
  <c r="P57" i="56"/>
  <c r="N57" i="56"/>
  <c r="L57" i="56"/>
  <c r="J57" i="56"/>
  <c r="H57" i="56"/>
  <c r="F57" i="56"/>
  <c r="D57" i="56"/>
  <c r="B57" i="56"/>
  <c r="B56" i="56"/>
  <c r="R55" i="56"/>
  <c r="P55" i="56"/>
  <c r="N55" i="56"/>
  <c r="L55" i="56"/>
  <c r="J55" i="56"/>
  <c r="H55" i="56"/>
  <c r="F55" i="56"/>
  <c r="D55" i="56"/>
  <c r="B55" i="56"/>
  <c r="B54" i="56"/>
  <c r="R53" i="56"/>
  <c r="P53" i="56"/>
  <c r="N53" i="56"/>
  <c r="L53" i="56"/>
  <c r="J53" i="56"/>
  <c r="H53" i="56"/>
  <c r="F53" i="56"/>
  <c r="D53" i="56"/>
  <c r="B53" i="56"/>
  <c r="B52" i="56"/>
  <c r="R51" i="56"/>
  <c r="P51" i="56"/>
  <c r="N51" i="56"/>
  <c r="L51" i="56"/>
  <c r="J51" i="56"/>
  <c r="H51" i="56"/>
  <c r="F51" i="56"/>
  <c r="D51" i="56"/>
  <c r="B51" i="56"/>
  <c r="B50" i="56"/>
  <c r="B49" i="56"/>
  <c r="R48" i="56"/>
  <c r="P48" i="56"/>
  <c r="N48" i="56"/>
  <c r="L48" i="56"/>
  <c r="J48" i="56"/>
  <c r="H48" i="56"/>
  <c r="F48" i="56"/>
  <c r="D48" i="56"/>
  <c r="B48" i="56"/>
  <c r="B47" i="56"/>
  <c r="R46" i="56"/>
  <c r="P46" i="56"/>
  <c r="N46" i="56"/>
  <c r="L46" i="56"/>
  <c r="J46" i="56"/>
  <c r="H46" i="56"/>
  <c r="F46" i="56"/>
  <c r="D46" i="56"/>
  <c r="B46" i="56"/>
  <c r="B45" i="56"/>
  <c r="R44" i="56"/>
  <c r="P44" i="56"/>
  <c r="N44" i="56"/>
  <c r="L44" i="56"/>
  <c r="J44" i="56"/>
  <c r="H44" i="56"/>
  <c r="F44" i="56"/>
  <c r="D44" i="56"/>
  <c r="B44" i="56"/>
  <c r="B43" i="56"/>
  <c r="R42" i="56"/>
  <c r="P42" i="56"/>
  <c r="N42" i="56"/>
  <c r="L42" i="56"/>
  <c r="J42" i="56"/>
  <c r="H42" i="56"/>
  <c r="F42" i="56"/>
  <c r="D42" i="56"/>
  <c r="B42" i="56"/>
  <c r="B41" i="56"/>
  <c r="R40" i="56"/>
  <c r="P40" i="56"/>
  <c r="N40" i="56"/>
  <c r="L40" i="56"/>
  <c r="J40" i="56"/>
  <c r="H40" i="56"/>
  <c r="F40" i="56"/>
  <c r="D40" i="56"/>
  <c r="B40" i="56"/>
  <c r="B39" i="56"/>
  <c r="B38" i="56"/>
  <c r="B37" i="56"/>
  <c r="B36" i="56"/>
  <c r="B35" i="56"/>
  <c r="B34" i="56"/>
  <c r="B33" i="56"/>
  <c r="B32" i="56"/>
  <c r="B31" i="56"/>
  <c r="B30" i="56"/>
  <c r="R29" i="56"/>
  <c r="P29" i="56"/>
  <c r="N29" i="56"/>
  <c r="L29" i="56"/>
  <c r="J29" i="56"/>
  <c r="H29" i="56"/>
  <c r="F29" i="56"/>
  <c r="D29" i="56"/>
  <c r="B29" i="56"/>
  <c r="B28" i="56"/>
  <c r="B27" i="56"/>
  <c r="B26" i="56"/>
  <c r="B25" i="56"/>
  <c r="B24" i="56"/>
  <c r="B23" i="56"/>
  <c r="B22" i="56"/>
  <c r="B21" i="56"/>
  <c r="B20" i="56"/>
  <c r="R19" i="56"/>
  <c r="P19" i="56"/>
  <c r="N19" i="56"/>
  <c r="L19" i="56"/>
  <c r="J19" i="56"/>
  <c r="H19" i="56"/>
  <c r="F19" i="56"/>
  <c r="D19" i="56"/>
  <c r="B19" i="56"/>
  <c r="R18" i="56"/>
  <c r="P18" i="56"/>
  <c r="N18" i="56"/>
  <c r="L18" i="56"/>
  <c r="J18" i="56"/>
  <c r="H18" i="56"/>
  <c r="F18" i="56"/>
  <c r="D18" i="56"/>
  <c r="R13" i="56"/>
  <c r="R15" i="56" s="1"/>
  <c r="P13" i="56"/>
  <c r="P15" i="56" s="1"/>
  <c r="N13" i="56"/>
  <c r="L13" i="56"/>
  <c r="J13" i="56"/>
  <c r="J15" i="56" s="1"/>
  <c r="H13" i="56"/>
  <c r="H15" i="56" s="1"/>
  <c r="H16" i="56" s="1"/>
  <c r="F13" i="56"/>
  <c r="D13" i="56"/>
  <c r="N11" i="56"/>
  <c r="L11" i="56"/>
  <c r="L10" i="56" s="1"/>
  <c r="L15" i="56" s="1"/>
  <c r="J11" i="56"/>
  <c r="H11" i="56"/>
  <c r="F11" i="56"/>
  <c r="D11" i="56"/>
  <c r="D10" i="56" s="1"/>
  <c r="D15" i="56" s="1"/>
  <c r="B11" i="56"/>
  <c r="R10" i="56"/>
  <c r="P10" i="56"/>
  <c r="N10" i="56"/>
  <c r="N15" i="56" s="1"/>
  <c r="J10" i="56"/>
  <c r="H10" i="56"/>
  <c r="F10" i="56"/>
  <c r="F15" i="56" s="1"/>
  <c r="D4" i="56"/>
  <c r="H35" i="55"/>
  <c r="R33" i="55"/>
  <c r="P33" i="55"/>
  <c r="N33" i="55"/>
  <c r="L33" i="55"/>
  <c r="J33" i="55"/>
  <c r="H33" i="55"/>
  <c r="F33" i="55"/>
  <c r="D33" i="55"/>
  <c r="B31" i="55"/>
  <c r="B30" i="55"/>
  <c r="R29" i="55"/>
  <c r="P29" i="55"/>
  <c r="N29" i="55"/>
  <c r="L29" i="55"/>
  <c r="J29" i="55"/>
  <c r="H29" i="55"/>
  <c r="F29" i="55"/>
  <c r="D29" i="55"/>
  <c r="B29" i="55"/>
  <c r="B28" i="55"/>
  <c r="R27" i="55"/>
  <c r="P27" i="55"/>
  <c r="N27" i="55"/>
  <c r="L27" i="55"/>
  <c r="J27" i="55"/>
  <c r="H27" i="55"/>
  <c r="F27" i="55"/>
  <c r="D27" i="55"/>
  <c r="B27" i="55"/>
  <c r="B26" i="55"/>
  <c r="R25" i="55"/>
  <c r="P25" i="55"/>
  <c r="N25" i="55"/>
  <c r="L25" i="55"/>
  <c r="J25" i="55"/>
  <c r="H25" i="55"/>
  <c r="F25" i="55"/>
  <c r="D25" i="55"/>
  <c r="B25" i="55"/>
  <c r="B24" i="55"/>
  <c r="R23" i="55"/>
  <c r="P23" i="55"/>
  <c r="N23" i="55"/>
  <c r="L23" i="55"/>
  <c r="J23" i="55"/>
  <c r="H23" i="55"/>
  <c r="F23" i="55"/>
  <c r="D23" i="55"/>
  <c r="B23" i="55"/>
  <c r="B22" i="55"/>
  <c r="R21" i="55"/>
  <c r="P21" i="55"/>
  <c r="N21" i="55"/>
  <c r="L21" i="55"/>
  <c r="J21" i="55"/>
  <c r="H21" i="55"/>
  <c r="F21" i="55"/>
  <c r="D21" i="55"/>
  <c r="B21" i="55"/>
  <c r="B20" i="55"/>
  <c r="B19" i="55"/>
  <c r="R18" i="55"/>
  <c r="P18" i="55"/>
  <c r="N18" i="55"/>
  <c r="L18" i="55"/>
  <c r="J18" i="55"/>
  <c r="H18" i="55"/>
  <c r="F18" i="55"/>
  <c r="D18" i="55"/>
  <c r="B18" i="55"/>
  <c r="R17" i="55"/>
  <c r="P17" i="55"/>
  <c r="N17" i="55"/>
  <c r="L17" i="55"/>
  <c r="J17" i="55"/>
  <c r="H17" i="55"/>
  <c r="F17" i="55"/>
  <c r="D17" i="55"/>
  <c r="R12" i="55"/>
  <c r="P12" i="55"/>
  <c r="N12" i="55"/>
  <c r="L12" i="55"/>
  <c r="J12" i="55"/>
  <c r="H12" i="55"/>
  <c r="F12" i="55"/>
  <c r="D12" i="55"/>
  <c r="R10" i="55"/>
  <c r="R14" i="55" s="1"/>
  <c r="P10" i="55"/>
  <c r="P14" i="55" s="1"/>
  <c r="N10" i="55"/>
  <c r="N14" i="55" s="1"/>
  <c r="L10" i="55"/>
  <c r="L14" i="55" s="1"/>
  <c r="J10" i="55"/>
  <c r="J14" i="55" s="1"/>
  <c r="H10" i="55"/>
  <c r="H14" i="55" s="1"/>
  <c r="H15" i="55" s="1"/>
  <c r="F10" i="55"/>
  <c r="F14" i="55" s="1"/>
  <c r="D10" i="55"/>
  <c r="D14" i="55" s="1"/>
  <c r="D35" i="55" s="1"/>
  <c r="D4" i="55"/>
  <c r="R30" i="54"/>
  <c r="P30" i="54"/>
  <c r="N30" i="54"/>
  <c r="L30" i="54"/>
  <c r="J30" i="54"/>
  <c r="H30" i="54"/>
  <c r="F30" i="54"/>
  <c r="D30" i="54"/>
  <c r="R29" i="54"/>
  <c r="P29" i="54"/>
  <c r="N29" i="54"/>
  <c r="L29" i="54"/>
  <c r="J29" i="54"/>
  <c r="H29" i="54"/>
  <c r="F29" i="54"/>
  <c r="D29" i="54"/>
  <c r="R19" i="54"/>
  <c r="P19" i="54"/>
  <c r="N19" i="54"/>
  <c r="L19" i="54"/>
  <c r="J19" i="54"/>
  <c r="H19" i="54"/>
  <c r="F19" i="54"/>
  <c r="D19" i="54"/>
  <c r="R17" i="54"/>
  <c r="P17" i="54"/>
  <c r="N17" i="54"/>
  <c r="L17" i="54"/>
  <c r="J17" i="54"/>
  <c r="H17" i="54"/>
  <c r="F17" i="54"/>
  <c r="D17" i="54"/>
  <c r="N15" i="54"/>
  <c r="R12" i="54"/>
  <c r="P12" i="54"/>
  <c r="N12" i="54"/>
  <c r="L12" i="54"/>
  <c r="J12" i="54"/>
  <c r="H12" i="54"/>
  <c r="F12" i="54"/>
  <c r="D12" i="54"/>
  <c r="R10" i="54"/>
  <c r="R14" i="54" s="1"/>
  <c r="P10" i="54"/>
  <c r="P14" i="54" s="1"/>
  <c r="N10" i="54"/>
  <c r="N14" i="54" s="1"/>
  <c r="N21" i="54" s="1"/>
  <c r="N26" i="54" s="1"/>
  <c r="L10" i="54"/>
  <c r="L14" i="54" s="1"/>
  <c r="J10" i="54"/>
  <c r="J14" i="54" s="1"/>
  <c r="H10" i="54"/>
  <c r="H14" i="54" s="1"/>
  <c r="F10" i="54"/>
  <c r="F14" i="54" s="1"/>
  <c r="D10" i="54"/>
  <c r="D14" i="54" s="1"/>
  <c r="D4" i="54"/>
  <c r="N133" i="51"/>
  <c r="L133" i="51"/>
  <c r="J133" i="51"/>
  <c r="H133" i="51"/>
  <c r="F133" i="51"/>
  <c r="D133" i="51"/>
  <c r="B133" i="51"/>
  <c r="N132" i="51"/>
  <c r="L132" i="51"/>
  <c r="J132" i="51"/>
  <c r="H132" i="51"/>
  <c r="F132" i="51"/>
  <c r="D132" i="51"/>
  <c r="B132" i="51"/>
  <c r="N131" i="51"/>
  <c r="L131" i="51"/>
  <c r="L127" i="51" s="1"/>
  <c r="J131" i="51"/>
  <c r="H131" i="51"/>
  <c r="F131" i="51"/>
  <c r="D131" i="51"/>
  <c r="D127" i="51" s="1"/>
  <c r="D135" i="51" s="1"/>
  <c r="D136" i="51" s="1"/>
  <c r="B131" i="51"/>
  <c r="N130" i="51"/>
  <c r="L130" i="51"/>
  <c r="J130" i="51"/>
  <c r="J127" i="51" s="1"/>
  <c r="H130" i="51"/>
  <c r="F130" i="51"/>
  <c r="D130" i="51"/>
  <c r="B130" i="51"/>
  <c r="N129" i="51"/>
  <c r="L129" i="51"/>
  <c r="J129" i="51"/>
  <c r="H129" i="51"/>
  <c r="H127" i="51" s="1"/>
  <c r="F129" i="51"/>
  <c r="D129" i="51"/>
  <c r="B129" i="51"/>
  <c r="N128" i="51"/>
  <c r="N127" i="51" s="1"/>
  <c r="L128" i="51"/>
  <c r="J128" i="51"/>
  <c r="H128" i="51"/>
  <c r="F128" i="51"/>
  <c r="F127" i="51" s="1"/>
  <c r="D128" i="51"/>
  <c r="B128" i="51"/>
  <c r="R127" i="51"/>
  <c r="P127" i="51"/>
  <c r="B125" i="51"/>
  <c r="B124" i="51"/>
  <c r="R123" i="51"/>
  <c r="P123" i="51"/>
  <c r="N123" i="51"/>
  <c r="L123" i="51"/>
  <c r="J123" i="51"/>
  <c r="H123" i="51"/>
  <c r="F123" i="51"/>
  <c r="D123" i="51"/>
  <c r="B123" i="51"/>
  <c r="B122" i="51"/>
  <c r="R121" i="51"/>
  <c r="P121" i="51"/>
  <c r="N121" i="51"/>
  <c r="L121" i="51"/>
  <c r="J121" i="51"/>
  <c r="H121" i="51"/>
  <c r="F121" i="51"/>
  <c r="D121" i="51"/>
  <c r="B121" i="51"/>
  <c r="B120" i="51"/>
  <c r="R119" i="51"/>
  <c r="P119" i="51"/>
  <c r="N119" i="51"/>
  <c r="L119" i="51"/>
  <c r="J119" i="51"/>
  <c r="H119" i="51"/>
  <c r="F119" i="51"/>
  <c r="D119" i="51"/>
  <c r="B119" i="51"/>
  <c r="B118" i="51"/>
  <c r="B117" i="51"/>
  <c r="B116" i="51"/>
  <c r="B115" i="51"/>
  <c r="R114" i="51"/>
  <c r="P114" i="51"/>
  <c r="N114" i="51"/>
  <c r="L114" i="51"/>
  <c r="J114" i="51"/>
  <c r="H114" i="51"/>
  <c r="F114" i="51"/>
  <c r="D114" i="51"/>
  <c r="B114" i="51"/>
  <c r="B113" i="51"/>
  <c r="R112" i="51"/>
  <c r="P112" i="51"/>
  <c r="N112" i="51"/>
  <c r="L112" i="51"/>
  <c r="J112" i="51"/>
  <c r="H112" i="51"/>
  <c r="F112" i="51"/>
  <c r="D112" i="51"/>
  <c r="B112" i="51"/>
  <c r="B111" i="51"/>
  <c r="B110" i="51"/>
  <c r="R109" i="51"/>
  <c r="P109" i="51"/>
  <c r="N109" i="51"/>
  <c r="L109" i="51"/>
  <c r="J109" i="51"/>
  <c r="H109" i="51"/>
  <c r="F109" i="51"/>
  <c r="D109" i="51"/>
  <c r="B109" i="51"/>
  <c r="B108" i="51"/>
  <c r="B107" i="51"/>
  <c r="B106" i="51"/>
  <c r="B105" i="51"/>
  <c r="B104" i="51"/>
  <c r="B103" i="51"/>
  <c r="B102" i="51"/>
  <c r="B101" i="51"/>
  <c r="R100" i="51"/>
  <c r="P100" i="51"/>
  <c r="N100" i="51"/>
  <c r="L100" i="51"/>
  <c r="J100" i="51"/>
  <c r="H100" i="51"/>
  <c r="F100" i="51"/>
  <c r="D100" i="51"/>
  <c r="B100" i="51"/>
  <c r="B99" i="51"/>
  <c r="R98" i="51"/>
  <c r="P98" i="51"/>
  <c r="N98" i="51"/>
  <c r="L98" i="51"/>
  <c r="J98" i="51"/>
  <c r="H98" i="51"/>
  <c r="F98" i="51"/>
  <c r="D98" i="51"/>
  <c r="B98" i="51"/>
  <c r="B97" i="51"/>
  <c r="B96" i="51"/>
  <c r="R95" i="51"/>
  <c r="P95" i="51"/>
  <c r="N95" i="51"/>
  <c r="L95" i="51"/>
  <c r="J95" i="51"/>
  <c r="H95" i="51"/>
  <c r="F95" i="51"/>
  <c r="D95" i="51"/>
  <c r="B95" i="51"/>
  <c r="B94" i="51"/>
  <c r="R93" i="51"/>
  <c r="P93" i="51"/>
  <c r="N93" i="51"/>
  <c r="L93" i="51"/>
  <c r="J93" i="51"/>
  <c r="H93" i="51"/>
  <c r="F93" i="51"/>
  <c r="D93" i="51"/>
  <c r="B93" i="51"/>
  <c r="B92" i="51"/>
  <c r="R91" i="51"/>
  <c r="P91" i="51"/>
  <c r="N91" i="51"/>
  <c r="L91" i="51"/>
  <c r="J91" i="51"/>
  <c r="H91" i="51"/>
  <c r="F91" i="51"/>
  <c r="D91" i="51"/>
  <c r="B91" i="51"/>
  <c r="B90" i="51"/>
  <c r="B89" i="51"/>
  <c r="R88" i="51"/>
  <c r="P88" i="51"/>
  <c r="N88" i="51"/>
  <c r="L88" i="51"/>
  <c r="J88" i="51"/>
  <c r="H88" i="51"/>
  <c r="F88" i="51"/>
  <c r="D88" i="51"/>
  <c r="B88" i="51"/>
  <c r="B87" i="51"/>
  <c r="R86" i="51"/>
  <c r="P86" i="51"/>
  <c r="N86" i="51"/>
  <c r="L86" i="51"/>
  <c r="J86" i="51"/>
  <c r="H86" i="51"/>
  <c r="F86" i="51"/>
  <c r="D86" i="51"/>
  <c r="B86" i="51"/>
  <c r="B85" i="51"/>
  <c r="R84" i="51"/>
  <c r="P84" i="51"/>
  <c r="N84" i="51"/>
  <c r="L84" i="51"/>
  <c r="J84" i="51"/>
  <c r="H84" i="51"/>
  <c r="F84" i="51"/>
  <c r="D84" i="51"/>
  <c r="B84" i="51"/>
  <c r="B83" i="51"/>
  <c r="B82" i="51"/>
  <c r="B81" i="51"/>
  <c r="B80" i="51"/>
  <c r="B79" i="51"/>
  <c r="B78" i="51"/>
  <c r="B77" i="51"/>
  <c r="B76" i="51"/>
  <c r="B75" i="51"/>
  <c r="B74" i="51"/>
  <c r="R73" i="51"/>
  <c r="P73" i="51"/>
  <c r="N73" i="51"/>
  <c r="L73" i="51"/>
  <c r="J73" i="51"/>
  <c r="H73" i="51"/>
  <c r="F73" i="51"/>
  <c r="D73" i="51"/>
  <c r="B73" i="51"/>
  <c r="B72" i="51"/>
  <c r="B71" i="51"/>
  <c r="B70" i="51"/>
  <c r="B69" i="51"/>
  <c r="B68" i="51"/>
  <c r="B67" i="51"/>
  <c r="B66" i="51"/>
  <c r="B65" i="51"/>
  <c r="B64" i="51"/>
  <c r="B63" i="51"/>
  <c r="R62" i="51"/>
  <c r="P62" i="51"/>
  <c r="N62" i="51"/>
  <c r="L62" i="51"/>
  <c r="J62" i="51"/>
  <c r="H62" i="51"/>
  <c r="F62" i="51"/>
  <c r="D62" i="51"/>
  <c r="B62" i="51"/>
  <c r="R61" i="51"/>
  <c r="P61" i="51"/>
  <c r="N61" i="51"/>
  <c r="L61" i="51"/>
  <c r="J61" i="51"/>
  <c r="H61" i="51"/>
  <c r="F61" i="51"/>
  <c r="D61" i="51"/>
  <c r="P58" i="51"/>
  <c r="B56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1" i="51"/>
  <c r="R40" i="51"/>
  <c r="P40" i="51"/>
  <c r="N40" i="51"/>
  <c r="L40" i="51"/>
  <c r="J40" i="51"/>
  <c r="H40" i="51"/>
  <c r="F40" i="51"/>
  <c r="D40" i="51"/>
  <c r="N38" i="51"/>
  <c r="L38" i="51"/>
  <c r="J38" i="51"/>
  <c r="H38" i="51"/>
  <c r="F38" i="51"/>
  <c r="D38" i="51"/>
  <c r="B38" i="51"/>
  <c r="N37" i="51"/>
  <c r="L37" i="51"/>
  <c r="J37" i="51"/>
  <c r="H37" i="51"/>
  <c r="F37" i="51"/>
  <c r="D37" i="51"/>
  <c r="B37" i="51"/>
  <c r="N36" i="51"/>
  <c r="L36" i="51"/>
  <c r="J36" i="51"/>
  <c r="H36" i="51"/>
  <c r="F36" i="51"/>
  <c r="D36" i="51"/>
  <c r="B36" i="51"/>
  <c r="N35" i="51"/>
  <c r="L35" i="51"/>
  <c r="J35" i="51"/>
  <c r="H35" i="51"/>
  <c r="F35" i="51"/>
  <c r="D35" i="51"/>
  <c r="B35" i="51"/>
  <c r="N34" i="51"/>
  <c r="L34" i="51"/>
  <c r="J34" i="51"/>
  <c r="H34" i="51"/>
  <c r="F34" i="51"/>
  <c r="D34" i="51"/>
  <c r="B34" i="51"/>
  <c r="N33" i="51"/>
  <c r="L33" i="51"/>
  <c r="J33" i="51"/>
  <c r="H33" i="51"/>
  <c r="F33" i="51"/>
  <c r="D33" i="51"/>
  <c r="B33" i="51"/>
  <c r="N32" i="51"/>
  <c r="L32" i="51"/>
  <c r="J32" i="51"/>
  <c r="H32" i="51"/>
  <c r="F32" i="51"/>
  <c r="D32" i="51"/>
  <c r="B32" i="51"/>
  <c r="N31" i="51"/>
  <c r="L31" i="51"/>
  <c r="J31" i="51"/>
  <c r="H31" i="51"/>
  <c r="F31" i="51"/>
  <c r="D31" i="51"/>
  <c r="B31" i="51"/>
  <c r="N30" i="51"/>
  <c r="L30" i="51"/>
  <c r="J30" i="51"/>
  <c r="H30" i="51"/>
  <c r="F30" i="51"/>
  <c r="D30" i="51"/>
  <c r="B30" i="51"/>
  <c r="N29" i="51"/>
  <c r="L29" i="51"/>
  <c r="J29" i="51"/>
  <c r="H29" i="51"/>
  <c r="F29" i="51"/>
  <c r="D29" i="51"/>
  <c r="B29" i="51"/>
  <c r="N28" i="51"/>
  <c r="L28" i="51"/>
  <c r="J28" i="51"/>
  <c r="H28" i="51"/>
  <c r="F28" i="51"/>
  <c r="D28" i="51"/>
  <c r="B28" i="51"/>
  <c r="N27" i="51"/>
  <c r="L27" i="51"/>
  <c r="J27" i="51"/>
  <c r="H27" i="51"/>
  <c r="F27" i="51"/>
  <c r="D27" i="51"/>
  <c r="B27" i="51"/>
  <c r="N26" i="51"/>
  <c r="L26" i="51"/>
  <c r="J26" i="51"/>
  <c r="H26" i="51"/>
  <c r="F26" i="51"/>
  <c r="D26" i="51"/>
  <c r="B26" i="51"/>
  <c r="N25" i="51"/>
  <c r="L25" i="51"/>
  <c r="J25" i="51"/>
  <c r="H25" i="51"/>
  <c r="F25" i="51"/>
  <c r="D25" i="51"/>
  <c r="B25" i="51"/>
  <c r="N24" i="51"/>
  <c r="L24" i="51"/>
  <c r="J24" i="51"/>
  <c r="H24" i="51"/>
  <c r="F24" i="51"/>
  <c r="D24" i="51"/>
  <c r="B24" i="51"/>
  <c r="N23" i="51"/>
  <c r="L23" i="51"/>
  <c r="J23" i="51"/>
  <c r="H23" i="51"/>
  <c r="F23" i="51"/>
  <c r="D23" i="51"/>
  <c r="B23" i="51"/>
  <c r="N22" i="51"/>
  <c r="L22" i="51"/>
  <c r="J22" i="51"/>
  <c r="H22" i="51"/>
  <c r="F22" i="51"/>
  <c r="D22" i="51"/>
  <c r="B22" i="51"/>
  <c r="N21" i="51"/>
  <c r="L21" i="51"/>
  <c r="J21" i="51"/>
  <c r="H21" i="51"/>
  <c r="F21" i="51"/>
  <c r="D21" i="51"/>
  <c r="B21" i="51"/>
  <c r="N20" i="51"/>
  <c r="L20" i="51"/>
  <c r="J20" i="51"/>
  <c r="H20" i="51"/>
  <c r="F20" i="51"/>
  <c r="D20" i="51"/>
  <c r="B20" i="51"/>
  <c r="N19" i="51"/>
  <c r="L19" i="51"/>
  <c r="J19" i="51"/>
  <c r="H19" i="51"/>
  <c r="F19" i="51"/>
  <c r="D19" i="51"/>
  <c r="B19" i="51"/>
  <c r="N18" i="51"/>
  <c r="L18" i="51"/>
  <c r="J18" i="51"/>
  <c r="H18" i="51"/>
  <c r="F18" i="51"/>
  <c r="D18" i="51"/>
  <c r="B18" i="51"/>
  <c r="N17" i="51"/>
  <c r="L17" i="51"/>
  <c r="J17" i="51"/>
  <c r="H17" i="51"/>
  <c r="F17" i="51"/>
  <c r="D17" i="51"/>
  <c r="B17" i="51"/>
  <c r="N16" i="51"/>
  <c r="L16" i="51"/>
  <c r="J16" i="51"/>
  <c r="H16" i="51"/>
  <c r="F16" i="51"/>
  <c r="D16" i="51"/>
  <c r="B16" i="51"/>
  <c r="N15" i="51"/>
  <c r="L15" i="51"/>
  <c r="J15" i="51"/>
  <c r="H15" i="51"/>
  <c r="F15" i="51"/>
  <c r="D15" i="51"/>
  <c r="B15" i="51"/>
  <c r="N14" i="51"/>
  <c r="L14" i="51"/>
  <c r="J14" i="51"/>
  <c r="H14" i="51"/>
  <c r="F14" i="51"/>
  <c r="D14" i="51"/>
  <c r="B14" i="51"/>
  <c r="N13" i="51"/>
  <c r="L13" i="51"/>
  <c r="J13" i="51"/>
  <c r="J10" i="51" s="1"/>
  <c r="J58" i="51" s="1"/>
  <c r="H13" i="51"/>
  <c r="F13" i="51"/>
  <c r="D13" i="51"/>
  <c r="B13" i="51"/>
  <c r="N12" i="51"/>
  <c r="L12" i="51"/>
  <c r="J12" i="51"/>
  <c r="H12" i="51"/>
  <c r="H10" i="51" s="1"/>
  <c r="H58" i="51" s="1"/>
  <c r="F12" i="51"/>
  <c r="D12" i="51"/>
  <c r="B12" i="51"/>
  <c r="N11" i="51"/>
  <c r="N10" i="51" s="1"/>
  <c r="N58" i="51" s="1"/>
  <c r="L11" i="51"/>
  <c r="J11" i="51"/>
  <c r="H11" i="51"/>
  <c r="F11" i="51"/>
  <c r="F10" i="51" s="1"/>
  <c r="F58" i="51" s="1"/>
  <c r="D11" i="51"/>
  <c r="B11" i="51"/>
  <c r="R10" i="51"/>
  <c r="R58" i="51" s="1"/>
  <c r="P10" i="51"/>
  <c r="L10" i="51"/>
  <c r="L58" i="51" s="1"/>
  <c r="D10" i="51"/>
  <c r="D58" i="51" s="1"/>
  <c r="D59" i="51" s="1"/>
  <c r="J93" i="48"/>
  <c r="J94" i="48" s="1"/>
  <c r="J89" i="48"/>
  <c r="J90" i="48" s="1"/>
  <c r="J84" i="48"/>
  <c r="J85" i="48" s="1"/>
  <c r="N82" i="48"/>
  <c r="L82" i="48"/>
  <c r="J82" i="48"/>
  <c r="H82" i="48"/>
  <c r="F82" i="48"/>
  <c r="D82" i="48"/>
  <c r="B82" i="48"/>
  <c r="N81" i="48"/>
  <c r="L81" i="48"/>
  <c r="J81" i="48"/>
  <c r="H81" i="48"/>
  <c r="F81" i="48"/>
  <c r="D81" i="48"/>
  <c r="D79" i="48" s="1"/>
  <c r="B81" i="48"/>
  <c r="N80" i="48"/>
  <c r="L80" i="48"/>
  <c r="J80" i="48"/>
  <c r="J79" i="48" s="1"/>
  <c r="H80" i="48"/>
  <c r="F80" i="48"/>
  <c r="D80" i="48"/>
  <c r="B80" i="48"/>
  <c r="R79" i="48"/>
  <c r="P79" i="48"/>
  <c r="L79" i="48"/>
  <c r="H79" i="48"/>
  <c r="B77" i="48"/>
  <c r="R76" i="48"/>
  <c r="P76" i="48"/>
  <c r="N76" i="48"/>
  <c r="L76" i="48"/>
  <c r="J76" i="48"/>
  <c r="H76" i="48"/>
  <c r="F76" i="48"/>
  <c r="D76" i="48"/>
  <c r="B76" i="48"/>
  <c r="B75" i="48"/>
  <c r="R74" i="48"/>
  <c r="P74" i="48"/>
  <c r="N74" i="48"/>
  <c r="L74" i="48"/>
  <c r="J74" i="48"/>
  <c r="H74" i="48"/>
  <c r="F74" i="48"/>
  <c r="D74" i="48"/>
  <c r="B74" i="48"/>
  <c r="B73" i="48"/>
  <c r="R72" i="48"/>
  <c r="P72" i="48"/>
  <c r="N72" i="48"/>
  <c r="L72" i="48"/>
  <c r="J72" i="48"/>
  <c r="H72" i="48"/>
  <c r="F72" i="48"/>
  <c r="D72" i="48"/>
  <c r="B72" i="48"/>
  <c r="B71" i="48"/>
  <c r="B70" i="48"/>
  <c r="B69" i="48"/>
  <c r="B68" i="48"/>
  <c r="R67" i="48"/>
  <c r="P67" i="48"/>
  <c r="N67" i="48"/>
  <c r="L67" i="48"/>
  <c r="J67" i="48"/>
  <c r="H67" i="48"/>
  <c r="F67" i="48"/>
  <c r="D67" i="48"/>
  <c r="B67" i="48"/>
  <c r="B66" i="48"/>
  <c r="R65" i="48"/>
  <c r="P65" i="48"/>
  <c r="N65" i="48"/>
  <c r="L65" i="48"/>
  <c r="J65" i="48"/>
  <c r="H65" i="48"/>
  <c r="F65" i="48"/>
  <c r="D65" i="48"/>
  <c r="B65" i="48"/>
  <c r="B64" i="48"/>
  <c r="B63" i="48"/>
  <c r="B62" i="48"/>
  <c r="B61" i="48"/>
  <c r="R60" i="48"/>
  <c r="P60" i="48"/>
  <c r="N60" i="48"/>
  <c r="L60" i="48"/>
  <c r="J60" i="48"/>
  <c r="H60" i="48"/>
  <c r="F60" i="48"/>
  <c r="D60" i="48"/>
  <c r="B60" i="48"/>
  <c r="B59" i="48"/>
  <c r="R58" i="48"/>
  <c r="P58" i="48"/>
  <c r="N58" i="48"/>
  <c r="L58" i="48"/>
  <c r="J58" i="48"/>
  <c r="H58" i="48"/>
  <c r="F58" i="48"/>
  <c r="D58" i="48"/>
  <c r="B58" i="48"/>
  <c r="B57" i="48"/>
  <c r="R56" i="48"/>
  <c r="P56" i="48"/>
  <c r="N56" i="48"/>
  <c r="L56" i="48"/>
  <c r="J56" i="48"/>
  <c r="H56" i="48"/>
  <c r="F56" i="48"/>
  <c r="D56" i="48"/>
  <c r="B56" i="48"/>
  <c r="B55" i="48"/>
  <c r="R54" i="48"/>
  <c r="P54" i="48"/>
  <c r="N54" i="48"/>
  <c r="L54" i="48"/>
  <c r="J54" i="48"/>
  <c r="H54" i="48"/>
  <c r="F54" i="48"/>
  <c r="D54" i="48"/>
  <c r="B54" i="48"/>
  <c r="B53" i="48"/>
  <c r="R52" i="48"/>
  <c r="P52" i="48"/>
  <c r="N52" i="48"/>
  <c r="L52" i="48"/>
  <c r="J52" i="48"/>
  <c r="H52" i="48"/>
  <c r="F52" i="48"/>
  <c r="D52" i="48"/>
  <c r="B52" i="48"/>
  <c r="B51" i="48"/>
  <c r="B50" i="48"/>
  <c r="R49" i="48"/>
  <c r="P49" i="48"/>
  <c r="N49" i="48"/>
  <c r="L49" i="48"/>
  <c r="J49" i="48"/>
  <c r="H49" i="48"/>
  <c r="F49" i="48"/>
  <c r="D49" i="48"/>
  <c r="B49" i="48"/>
  <c r="B48" i="48"/>
  <c r="R47" i="48"/>
  <c r="P47" i="48"/>
  <c r="N47" i="48"/>
  <c r="L47" i="48"/>
  <c r="J47" i="48"/>
  <c r="H47" i="48"/>
  <c r="F47" i="48"/>
  <c r="D47" i="48"/>
  <c r="B47" i="48"/>
  <c r="B46" i="48"/>
  <c r="R45" i="48"/>
  <c r="P45" i="48"/>
  <c r="N45" i="48"/>
  <c r="L45" i="48"/>
  <c r="J45" i="48"/>
  <c r="H45" i="48"/>
  <c r="F45" i="48"/>
  <c r="D45" i="48"/>
  <c r="B45" i="48"/>
  <c r="B44" i="48"/>
  <c r="R43" i="48"/>
  <c r="P43" i="48"/>
  <c r="N43" i="48"/>
  <c r="L43" i="48"/>
  <c r="J43" i="48"/>
  <c r="H43" i="48"/>
  <c r="F43" i="48"/>
  <c r="D43" i="48"/>
  <c r="B43" i="48"/>
  <c r="B42" i="48"/>
  <c r="R41" i="48"/>
  <c r="P41" i="48"/>
  <c r="N41" i="48"/>
  <c r="L41" i="48"/>
  <c r="J41" i="48"/>
  <c r="H41" i="48"/>
  <c r="F41" i="48"/>
  <c r="D41" i="48"/>
  <c r="B41" i="48"/>
  <c r="B40" i="48"/>
  <c r="B39" i="48"/>
  <c r="B38" i="48"/>
  <c r="B37" i="48"/>
  <c r="B36" i="48"/>
  <c r="B35" i="48"/>
  <c r="B34" i="48"/>
  <c r="B33" i="48"/>
  <c r="B32" i="48"/>
  <c r="B31" i="48"/>
  <c r="R30" i="48"/>
  <c r="P30" i="48"/>
  <c r="N30" i="48"/>
  <c r="L30" i="48"/>
  <c r="J30" i="48"/>
  <c r="H30" i="48"/>
  <c r="F30" i="48"/>
  <c r="D30" i="48"/>
  <c r="B30" i="48"/>
  <c r="B29" i="48"/>
  <c r="B28" i="48"/>
  <c r="B27" i="48"/>
  <c r="B26" i="48"/>
  <c r="B25" i="48"/>
  <c r="B24" i="48"/>
  <c r="B23" i="48"/>
  <c r="B22" i="48"/>
  <c r="B21" i="48"/>
  <c r="R20" i="48"/>
  <c r="P20" i="48"/>
  <c r="N20" i="48"/>
  <c r="L20" i="48"/>
  <c r="J20" i="48"/>
  <c r="H20" i="48"/>
  <c r="F20" i="48"/>
  <c r="D20" i="48"/>
  <c r="B20" i="48"/>
  <c r="R19" i="48"/>
  <c r="P19" i="48"/>
  <c r="N19" i="48"/>
  <c r="L19" i="48"/>
  <c r="J19" i="48"/>
  <c r="H19" i="48"/>
  <c r="F19" i="48"/>
  <c r="D19" i="48"/>
  <c r="H16" i="48"/>
  <c r="R14" i="48"/>
  <c r="R16" i="48" s="1"/>
  <c r="R17" i="48" s="1"/>
  <c r="P14" i="48"/>
  <c r="P16" i="48" s="1"/>
  <c r="N14" i="48"/>
  <c r="L14" i="48"/>
  <c r="J14" i="48"/>
  <c r="H14" i="48"/>
  <c r="F14" i="48"/>
  <c r="D14" i="48"/>
  <c r="N12" i="48"/>
  <c r="L12" i="48"/>
  <c r="J12" i="48"/>
  <c r="H12" i="48"/>
  <c r="F12" i="48"/>
  <c r="D12" i="48"/>
  <c r="D10" i="48" s="1"/>
  <c r="D16" i="48" s="1"/>
  <c r="B12" i="48"/>
  <c r="N11" i="48"/>
  <c r="N10" i="48" s="1"/>
  <c r="N16" i="48" s="1"/>
  <c r="L11" i="48"/>
  <c r="J11" i="48"/>
  <c r="J10" i="48" s="1"/>
  <c r="J16" i="48" s="1"/>
  <c r="J17" i="48" s="1"/>
  <c r="H11" i="48"/>
  <c r="F11" i="48"/>
  <c r="F10" i="48" s="1"/>
  <c r="F16" i="48" s="1"/>
  <c r="D11" i="48"/>
  <c r="B11" i="48"/>
  <c r="R10" i="48"/>
  <c r="P10" i="48"/>
  <c r="L10" i="48"/>
  <c r="L16" i="48" s="1"/>
  <c r="H10" i="48"/>
  <c r="R115" i="45"/>
  <c r="P115" i="45"/>
  <c r="N115" i="45"/>
  <c r="L115" i="45"/>
  <c r="J115" i="45"/>
  <c r="H115" i="45"/>
  <c r="F115" i="45"/>
  <c r="D115" i="45"/>
  <c r="B113" i="45"/>
  <c r="R112" i="45"/>
  <c r="P112" i="45"/>
  <c r="N112" i="45"/>
  <c r="L112" i="45"/>
  <c r="J112" i="45"/>
  <c r="H112" i="45"/>
  <c r="F112" i="45"/>
  <c r="D112" i="45"/>
  <c r="B112" i="45"/>
  <c r="B111" i="45"/>
  <c r="B110" i="45"/>
  <c r="B109" i="45"/>
  <c r="R108" i="45"/>
  <c r="P108" i="45"/>
  <c r="N108" i="45"/>
  <c r="L108" i="45"/>
  <c r="J108" i="45"/>
  <c r="H108" i="45"/>
  <c r="F108" i="45"/>
  <c r="D108" i="45"/>
  <c r="B108" i="45"/>
  <c r="B107" i="45"/>
  <c r="R106" i="45"/>
  <c r="P106" i="45"/>
  <c r="N106" i="45"/>
  <c r="L106" i="45"/>
  <c r="J106" i="45"/>
  <c r="H106" i="45"/>
  <c r="F106" i="45"/>
  <c r="D106" i="45"/>
  <c r="B106" i="45"/>
  <c r="B105" i="45"/>
  <c r="B104" i="45"/>
  <c r="R103" i="45"/>
  <c r="P103" i="45"/>
  <c r="N103" i="45"/>
  <c r="L103" i="45"/>
  <c r="J103" i="45"/>
  <c r="H103" i="45"/>
  <c r="F103" i="45"/>
  <c r="D103" i="45"/>
  <c r="B103" i="45"/>
  <c r="B102" i="45"/>
  <c r="B101" i="45"/>
  <c r="B100" i="45"/>
  <c r="B99" i="45"/>
  <c r="B98" i="45"/>
  <c r="B97" i="45"/>
  <c r="B96" i="45"/>
  <c r="B95" i="45"/>
  <c r="B94" i="45"/>
  <c r="B93" i="45"/>
  <c r="R92" i="45"/>
  <c r="P92" i="45"/>
  <c r="N92" i="45"/>
  <c r="L92" i="45"/>
  <c r="J92" i="45"/>
  <c r="H92" i="45"/>
  <c r="F92" i="45"/>
  <c r="D92" i="45"/>
  <c r="B92" i="45"/>
  <c r="B91" i="45"/>
  <c r="B90" i="45"/>
  <c r="R89" i="45"/>
  <c r="P89" i="45"/>
  <c r="N89" i="45"/>
  <c r="L89" i="45"/>
  <c r="J89" i="45"/>
  <c r="H89" i="45"/>
  <c r="F89" i="45"/>
  <c r="D89" i="45"/>
  <c r="B89" i="45"/>
  <c r="B88" i="45"/>
  <c r="B87" i="45"/>
  <c r="B86" i="45"/>
  <c r="B85" i="45"/>
  <c r="R84" i="45"/>
  <c r="P84" i="45"/>
  <c r="N84" i="45"/>
  <c r="L84" i="45"/>
  <c r="J84" i="45"/>
  <c r="H84" i="45"/>
  <c r="F84" i="45"/>
  <c r="D84" i="45"/>
  <c r="B84" i="45"/>
  <c r="B83" i="45"/>
  <c r="B82" i="45"/>
  <c r="B81" i="45"/>
  <c r="B80" i="45"/>
  <c r="R79" i="45"/>
  <c r="P79" i="45"/>
  <c r="N79" i="45"/>
  <c r="L79" i="45"/>
  <c r="J79" i="45"/>
  <c r="H79" i="45"/>
  <c r="F79" i="45"/>
  <c r="D79" i="45"/>
  <c r="B79" i="45"/>
  <c r="B78" i="45"/>
  <c r="R77" i="45"/>
  <c r="P77" i="45"/>
  <c r="N77" i="45"/>
  <c r="L77" i="45"/>
  <c r="J77" i="45"/>
  <c r="H77" i="45"/>
  <c r="F77" i="45"/>
  <c r="D77" i="45"/>
  <c r="B77" i="45"/>
  <c r="B76" i="45"/>
  <c r="B75" i="45"/>
  <c r="R74" i="45"/>
  <c r="P74" i="45"/>
  <c r="N74" i="45"/>
  <c r="L74" i="45"/>
  <c r="J74" i="45"/>
  <c r="H74" i="45"/>
  <c r="F74" i="45"/>
  <c r="D74" i="45"/>
  <c r="B74" i="45"/>
  <c r="B73" i="45"/>
  <c r="R72" i="45"/>
  <c r="P72" i="45"/>
  <c r="N72" i="45"/>
  <c r="L72" i="45"/>
  <c r="J72" i="45"/>
  <c r="H72" i="45"/>
  <c r="F72" i="45"/>
  <c r="D72" i="45"/>
  <c r="B72" i="45"/>
  <c r="B71" i="45"/>
  <c r="R70" i="45"/>
  <c r="P70" i="45"/>
  <c r="N70" i="45"/>
  <c r="L70" i="45"/>
  <c r="J70" i="45"/>
  <c r="H70" i="45"/>
  <c r="F70" i="45"/>
  <c r="D70" i="45"/>
  <c r="B70" i="45"/>
  <c r="B69" i="45"/>
  <c r="R68" i="45"/>
  <c r="P68" i="45"/>
  <c r="N68" i="45"/>
  <c r="L68" i="45"/>
  <c r="J68" i="45"/>
  <c r="H68" i="45"/>
  <c r="F68" i="45"/>
  <c r="D68" i="45"/>
  <c r="B68" i="45"/>
  <c r="B67" i="45"/>
  <c r="R66" i="45"/>
  <c r="P66" i="45"/>
  <c r="N66" i="45"/>
  <c r="L66" i="45"/>
  <c r="J66" i="45"/>
  <c r="H66" i="45"/>
  <c r="F66" i="45"/>
  <c r="D66" i="45"/>
  <c r="B66" i="45"/>
  <c r="B65" i="45"/>
  <c r="R64" i="45"/>
  <c r="P64" i="45"/>
  <c r="N64" i="45"/>
  <c r="L64" i="45"/>
  <c r="J64" i="45"/>
  <c r="H64" i="45"/>
  <c r="F64" i="45"/>
  <c r="D64" i="45"/>
  <c r="B64" i="45"/>
  <c r="B63" i="45"/>
  <c r="R62" i="45"/>
  <c r="P62" i="45"/>
  <c r="N62" i="45"/>
  <c r="L62" i="45"/>
  <c r="J62" i="45"/>
  <c r="H62" i="45"/>
  <c r="F62" i="45"/>
  <c r="D62" i="45"/>
  <c r="B62" i="45"/>
  <c r="B61" i="45"/>
  <c r="R60" i="45"/>
  <c r="P60" i="45"/>
  <c r="N60" i="45"/>
  <c r="L60" i="45"/>
  <c r="J60" i="45"/>
  <c r="H60" i="45"/>
  <c r="F60" i="45"/>
  <c r="D60" i="45"/>
  <c r="B60" i="45"/>
  <c r="B59" i="45"/>
  <c r="B58" i="45"/>
  <c r="R57" i="45"/>
  <c r="P57" i="45"/>
  <c r="N57" i="45"/>
  <c r="L57" i="45"/>
  <c r="J57" i="45"/>
  <c r="H57" i="45"/>
  <c r="F57" i="45"/>
  <c r="D57" i="45"/>
  <c r="B57" i="45"/>
  <c r="B56" i="45"/>
  <c r="R55" i="45"/>
  <c r="P55" i="45"/>
  <c r="N55" i="45"/>
  <c r="L55" i="45"/>
  <c r="J55" i="45"/>
  <c r="H55" i="45"/>
  <c r="F55" i="45"/>
  <c r="D55" i="45"/>
  <c r="B55" i="45"/>
  <c r="B54" i="45"/>
  <c r="R53" i="45"/>
  <c r="P53" i="45"/>
  <c r="N53" i="45"/>
  <c r="L53" i="45"/>
  <c r="J53" i="45"/>
  <c r="H53" i="45"/>
  <c r="F53" i="45"/>
  <c r="D53" i="45"/>
  <c r="B53" i="45"/>
  <c r="B52" i="45"/>
  <c r="R51" i="45"/>
  <c r="P51" i="45"/>
  <c r="N51" i="45"/>
  <c r="L51" i="45"/>
  <c r="J51" i="45"/>
  <c r="H51" i="45"/>
  <c r="F51" i="45"/>
  <c r="D51" i="45"/>
  <c r="B51" i="45"/>
  <c r="B50" i="45"/>
  <c r="B49" i="45"/>
  <c r="B48" i="45"/>
  <c r="B47" i="45"/>
  <c r="B46" i="45"/>
  <c r="B45" i="45"/>
  <c r="B44" i="45"/>
  <c r="B43" i="45"/>
  <c r="B42" i="45"/>
  <c r="B41" i="45"/>
  <c r="R40" i="45"/>
  <c r="P40" i="45"/>
  <c r="N40" i="45"/>
  <c r="L40" i="45"/>
  <c r="J40" i="45"/>
  <c r="H40" i="45"/>
  <c r="F40" i="45"/>
  <c r="D40" i="45"/>
  <c r="B40" i="45"/>
  <c r="B39" i="45"/>
  <c r="B38" i="45"/>
  <c r="B37" i="45"/>
  <c r="B36" i="45"/>
  <c r="B35" i="45"/>
  <c r="B34" i="45"/>
  <c r="B33" i="45"/>
  <c r="B32" i="45"/>
  <c r="B31" i="45"/>
  <c r="B30" i="45"/>
  <c r="R29" i="45"/>
  <c r="P29" i="45"/>
  <c r="N29" i="45"/>
  <c r="L29" i="45"/>
  <c r="J29" i="45"/>
  <c r="H29" i="45"/>
  <c r="F29" i="45"/>
  <c r="D29" i="45"/>
  <c r="B29" i="45"/>
  <c r="R28" i="45"/>
  <c r="P28" i="45"/>
  <c r="N28" i="45"/>
  <c r="L28" i="45"/>
  <c r="J28" i="45"/>
  <c r="H28" i="45"/>
  <c r="F28" i="45"/>
  <c r="D28" i="45"/>
  <c r="R26" i="45"/>
  <c r="R25" i="45"/>
  <c r="B23" i="45"/>
  <c r="B22" i="45"/>
  <c r="B21" i="45"/>
  <c r="R20" i="45"/>
  <c r="P20" i="45"/>
  <c r="N20" i="45"/>
  <c r="L20" i="45"/>
  <c r="J20" i="45"/>
  <c r="H20" i="45"/>
  <c r="F20" i="45"/>
  <c r="D20" i="45"/>
  <c r="N18" i="45"/>
  <c r="L18" i="45"/>
  <c r="J18" i="45"/>
  <c r="H18" i="45"/>
  <c r="F18" i="45"/>
  <c r="D18" i="45"/>
  <c r="B18" i="45"/>
  <c r="N17" i="45"/>
  <c r="L17" i="45"/>
  <c r="J17" i="45"/>
  <c r="H17" i="45"/>
  <c r="F17" i="45"/>
  <c r="D17" i="45"/>
  <c r="B17" i="45"/>
  <c r="N16" i="45"/>
  <c r="L16" i="45"/>
  <c r="J16" i="45"/>
  <c r="H16" i="45"/>
  <c r="F16" i="45"/>
  <c r="D16" i="45"/>
  <c r="B16" i="45"/>
  <c r="N15" i="45"/>
  <c r="L15" i="45"/>
  <c r="J15" i="45"/>
  <c r="H15" i="45"/>
  <c r="F15" i="45"/>
  <c r="D15" i="45"/>
  <c r="B15" i="45"/>
  <c r="N14" i="45"/>
  <c r="L14" i="45"/>
  <c r="L10" i="45" s="1"/>
  <c r="L25" i="45" s="1"/>
  <c r="J14" i="45"/>
  <c r="H14" i="45"/>
  <c r="F14" i="45"/>
  <c r="D14" i="45"/>
  <c r="D10" i="45" s="1"/>
  <c r="D25" i="45" s="1"/>
  <c r="B14" i="45"/>
  <c r="N13" i="45"/>
  <c r="L13" i="45"/>
  <c r="J13" i="45"/>
  <c r="H13" i="45"/>
  <c r="F13" i="45"/>
  <c r="D13" i="45"/>
  <c r="B13" i="45"/>
  <c r="N12" i="45"/>
  <c r="L12" i="45"/>
  <c r="J12" i="45"/>
  <c r="H12" i="45"/>
  <c r="H10" i="45" s="1"/>
  <c r="H25" i="45" s="1"/>
  <c r="F12" i="45"/>
  <c r="D12" i="45"/>
  <c r="B12" i="45"/>
  <c r="N11" i="45"/>
  <c r="N10" i="45" s="1"/>
  <c r="N25" i="45" s="1"/>
  <c r="L11" i="45"/>
  <c r="J11" i="45"/>
  <c r="H11" i="45"/>
  <c r="F11" i="45"/>
  <c r="F10" i="45" s="1"/>
  <c r="F25" i="45" s="1"/>
  <c r="D11" i="45"/>
  <c r="B11" i="45"/>
  <c r="R10" i="45"/>
  <c r="P10" i="45"/>
  <c r="P25" i="45" s="1"/>
  <c r="L141" i="42"/>
  <c r="L142" i="42" s="1"/>
  <c r="N139" i="42"/>
  <c r="L139" i="42"/>
  <c r="J139" i="42"/>
  <c r="H139" i="42"/>
  <c r="H135" i="42" s="1"/>
  <c r="F139" i="42"/>
  <c r="D139" i="42"/>
  <c r="B139" i="42"/>
  <c r="N138" i="42"/>
  <c r="L138" i="42"/>
  <c r="J138" i="42"/>
  <c r="H138" i="42"/>
  <c r="F138" i="42"/>
  <c r="D138" i="42"/>
  <c r="B138" i="42"/>
  <c r="N137" i="42"/>
  <c r="L137" i="42"/>
  <c r="J137" i="42"/>
  <c r="H137" i="42"/>
  <c r="F137" i="42"/>
  <c r="D137" i="42"/>
  <c r="B137" i="42"/>
  <c r="N136" i="42"/>
  <c r="L136" i="42"/>
  <c r="J136" i="42"/>
  <c r="J135" i="42" s="1"/>
  <c r="H136" i="42"/>
  <c r="F136" i="42"/>
  <c r="D136" i="42"/>
  <c r="B136" i="42"/>
  <c r="R135" i="42"/>
  <c r="P135" i="42"/>
  <c r="L135" i="42"/>
  <c r="D135" i="42"/>
  <c r="B133" i="42"/>
  <c r="R132" i="42"/>
  <c r="P132" i="42"/>
  <c r="N132" i="42"/>
  <c r="L132" i="42"/>
  <c r="J132" i="42"/>
  <c r="H132" i="42"/>
  <c r="F132" i="42"/>
  <c r="D132" i="42"/>
  <c r="B132" i="42"/>
  <c r="B131" i="42"/>
  <c r="B130" i="42"/>
  <c r="B129" i="42"/>
  <c r="R128" i="42"/>
  <c r="P128" i="42"/>
  <c r="N128" i="42"/>
  <c r="L128" i="42"/>
  <c r="J128" i="42"/>
  <c r="H128" i="42"/>
  <c r="F128" i="42"/>
  <c r="D128" i="42"/>
  <c r="B128" i="42"/>
  <c r="B127" i="42"/>
  <c r="R126" i="42"/>
  <c r="P126" i="42"/>
  <c r="N126" i="42"/>
  <c r="L126" i="42"/>
  <c r="J126" i="42"/>
  <c r="H126" i="42"/>
  <c r="F126" i="42"/>
  <c r="D126" i="42"/>
  <c r="B126" i="42"/>
  <c r="B125" i="42"/>
  <c r="B124" i="42"/>
  <c r="R123" i="42"/>
  <c r="P123" i="42"/>
  <c r="N123" i="42"/>
  <c r="L123" i="42"/>
  <c r="J123" i="42"/>
  <c r="H123" i="42"/>
  <c r="F123" i="42"/>
  <c r="D123" i="42"/>
  <c r="B123" i="42"/>
  <c r="B122" i="42"/>
  <c r="B121" i="42"/>
  <c r="B120" i="42"/>
  <c r="B119" i="42"/>
  <c r="B118" i="42"/>
  <c r="B117" i="42"/>
  <c r="B116" i="42"/>
  <c r="B115" i="42"/>
  <c r="B114" i="42"/>
  <c r="B113" i="42"/>
  <c r="B112" i="42"/>
  <c r="R111" i="42"/>
  <c r="P111" i="42"/>
  <c r="N111" i="42"/>
  <c r="L111" i="42"/>
  <c r="J111" i="42"/>
  <c r="H111" i="42"/>
  <c r="F111" i="42"/>
  <c r="D111" i="42"/>
  <c r="B111" i="42"/>
  <c r="B110" i="42"/>
  <c r="B109" i="42"/>
  <c r="R108" i="42"/>
  <c r="P108" i="42"/>
  <c r="N108" i="42"/>
  <c r="L108" i="42"/>
  <c r="J108" i="42"/>
  <c r="H108" i="42"/>
  <c r="F108" i="42"/>
  <c r="D108" i="42"/>
  <c r="B108" i="42"/>
  <c r="B107" i="42"/>
  <c r="B106" i="42"/>
  <c r="B105" i="42"/>
  <c r="B104" i="42"/>
  <c r="B103" i="42"/>
  <c r="R102" i="42"/>
  <c r="P102" i="42"/>
  <c r="N102" i="42"/>
  <c r="L102" i="42"/>
  <c r="J102" i="42"/>
  <c r="H102" i="42"/>
  <c r="F102" i="42"/>
  <c r="D102" i="42"/>
  <c r="B102" i="42"/>
  <c r="B101" i="42"/>
  <c r="B100" i="42"/>
  <c r="R99" i="42"/>
  <c r="P99" i="42"/>
  <c r="N99" i="42"/>
  <c r="L99" i="42"/>
  <c r="J99" i="42"/>
  <c r="H99" i="42"/>
  <c r="F99" i="42"/>
  <c r="D99" i="42"/>
  <c r="B99" i="42"/>
  <c r="B98" i="42"/>
  <c r="B97" i="42"/>
  <c r="B96" i="42"/>
  <c r="B95" i="42"/>
  <c r="R94" i="42"/>
  <c r="P94" i="42"/>
  <c r="N94" i="42"/>
  <c r="L94" i="42"/>
  <c r="J94" i="42"/>
  <c r="H94" i="42"/>
  <c r="F94" i="42"/>
  <c r="D94" i="42"/>
  <c r="B94" i="42"/>
  <c r="B93" i="42"/>
  <c r="R92" i="42"/>
  <c r="P92" i="42"/>
  <c r="N92" i="42"/>
  <c r="L92" i="42"/>
  <c r="J92" i="42"/>
  <c r="H92" i="42"/>
  <c r="F92" i="42"/>
  <c r="D92" i="42"/>
  <c r="B92" i="42"/>
  <c r="B91" i="42"/>
  <c r="R90" i="42"/>
  <c r="P90" i="42"/>
  <c r="N90" i="42"/>
  <c r="L90" i="42"/>
  <c r="J90" i="42"/>
  <c r="H90" i="42"/>
  <c r="F90" i="42"/>
  <c r="D90" i="42"/>
  <c r="B90" i="42"/>
  <c r="B89" i="42"/>
  <c r="R88" i="42"/>
  <c r="P88" i="42"/>
  <c r="N88" i="42"/>
  <c r="L88" i="42"/>
  <c r="J88" i="42"/>
  <c r="H88" i="42"/>
  <c r="F88" i="42"/>
  <c r="D88" i="42"/>
  <c r="B88" i="42"/>
  <c r="B87" i="42"/>
  <c r="R86" i="42"/>
  <c r="P86" i="42"/>
  <c r="N86" i="42"/>
  <c r="L86" i="42"/>
  <c r="J86" i="42"/>
  <c r="H86" i="42"/>
  <c r="F86" i="42"/>
  <c r="D86" i="42"/>
  <c r="B86" i="42"/>
  <c r="B85" i="42"/>
  <c r="R84" i="42"/>
  <c r="P84" i="42"/>
  <c r="N84" i="42"/>
  <c r="L84" i="42"/>
  <c r="J84" i="42"/>
  <c r="H84" i="42"/>
  <c r="F84" i="42"/>
  <c r="D84" i="42"/>
  <c r="B84" i="42"/>
  <c r="B83" i="42"/>
  <c r="B82" i="42"/>
  <c r="R81" i="42"/>
  <c r="P81" i="42"/>
  <c r="N81" i="42"/>
  <c r="L81" i="42"/>
  <c r="J81" i="42"/>
  <c r="H81" i="42"/>
  <c r="F81" i="42"/>
  <c r="D81" i="42"/>
  <c r="B81" i="42"/>
  <c r="B80" i="42"/>
  <c r="R79" i="42"/>
  <c r="P79" i="42"/>
  <c r="N79" i="42"/>
  <c r="L79" i="42"/>
  <c r="J79" i="42"/>
  <c r="H79" i="42"/>
  <c r="F79" i="42"/>
  <c r="D79" i="42"/>
  <c r="B79" i="42"/>
  <c r="B78" i="42"/>
  <c r="R77" i="42"/>
  <c r="P77" i="42"/>
  <c r="N77" i="42"/>
  <c r="L77" i="42"/>
  <c r="J77" i="42"/>
  <c r="H77" i="42"/>
  <c r="F77" i="42"/>
  <c r="D77" i="42"/>
  <c r="B77" i="42"/>
  <c r="B76" i="42"/>
  <c r="R75" i="42"/>
  <c r="P75" i="42"/>
  <c r="N75" i="42"/>
  <c r="L75" i="42"/>
  <c r="J75" i="42"/>
  <c r="H75" i="42"/>
  <c r="F75" i="42"/>
  <c r="D75" i="42"/>
  <c r="B75" i="42"/>
  <c r="B74" i="42"/>
  <c r="R73" i="42"/>
  <c r="P73" i="42"/>
  <c r="N73" i="42"/>
  <c r="L73" i="42"/>
  <c r="J73" i="42"/>
  <c r="H73" i="42"/>
  <c r="F73" i="42"/>
  <c r="D73" i="42"/>
  <c r="B73" i="42"/>
  <c r="B72" i="42"/>
  <c r="B71" i="42"/>
  <c r="R70" i="42"/>
  <c r="P70" i="42"/>
  <c r="N70" i="42"/>
  <c r="L70" i="42"/>
  <c r="J70" i="42"/>
  <c r="H70" i="42"/>
  <c r="F70" i="42"/>
  <c r="D70" i="42"/>
  <c r="B70" i="42"/>
  <c r="B69" i="42"/>
  <c r="B68" i="42"/>
  <c r="B67" i="42"/>
  <c r="B66" i="42"/>
  <c r="R65" i="42"/>
  <c r="P65" i="42"/>
  <c r="N65" i="42"/>
  <c r="L65" i="42"/>
  <c r="J65" i="42"/>
  <c r="H65" i="42"/>
  <c r="F65" i="42"/>
  <c r="D65" i="42"/>
  <c r="B65" i="42"/>
  <c r="B64" i="42"/>
  <c r="R63" i="42"/>
  <c r="P63" i="42"/>
  <c r="N63" i="42"/>
  <c r="L63" i="42"/>
  <c r="J63" i="42"/>
  <c r="H63" i="42"/>
  <c r="F63" i="42"/>
  <c r="D63" i="42"/>
  <c r="B63" i="42"/>
  <c r="B62" i="42"/>
  <c r="B61" i="42"/>
  <c r="R60" i="42"/>
  <c r="P60" i="42"/>
  <c r="N60" i="42"/>
  <c r="L60" i="42"/>
  <c r="J60" i="42"/>
  <c r="H60" i="42"/>
  <c r="F60" i="42"/>
  <c r="D60" i="42"/>
  <c r="B60" i="42"/>
  <c r="B59" i="42"/>
  <c r="R58" i="42"/>
  <c r="P58" i="42"/>
  <c r="N58" i="42"/>
  <c r="L58" i="42"/>
  <c r="J58" i="42"/>
  <c r="H58" i="42"/>
  <c r="F58" i="42"/>
  <c r="D58" i="42"/>
  <c r="B58" i="42"/>
  <c r="B57" i="42"/>
  <c r="B56" i="42"/>
  <c r="B55" i="42"/>
  <c r="B54" i="42"/>
  <c r="B53" i="42"/>
  <c r="B52" i="42"/>
  <c r="B51" i="42"/>
  <c r="B50" i="42"/>
  <c r="B49" i="42"/>
  <c r="B48" i="42"/>
  <c r="R47" i="42"/>
  <c r="P47" i="42"/>
  <c r="N47" i="42"/>
  <c r="L47" i="42"/>
  <c r="J47" i="42"/>
  <c r="H47" i="42"/>
  <c r="F47" i="42"/>
  <c r="D47" i="42"/>
  <c r="B47" i="42"/>
  <c r="B46" i="42"/>
  <c r="B45" i="42"/>
  <c r="B44" i="42"/>
  <c r="B43" i="42"/>
  <c r="B42" i="42"/>
  <c r="B41" i="42"/>
  <c r="B40" i="42"/>
  <c r="B39" i="42"/>
  <c r="B38" i="42"/>
  <c r="B37" i="42"/>
  <c r="R36" i="42"/>
  <c r="P36" i="42"/>
  <c r="N36" i="42"/>
  <c r="L36" i="42"/>
  <c r="J36" i="42"/>
  <c r="H36" i="42"/>
  <c r="F36" i="42"/>
  <c r="D36" i="42"/>
  <c r="B36" i="42"/>
  <c r="R35" i="42"/>
  <c r="P35" i="42"/>
  <c r="N35" i="42"/>
  <c r="L35" i="42"/>
  <c r="J35" i="42"/>
  <c r="H35" i="42"/>
  <c r="F35" i="42"/>
  <c r="D35" i="42"/>
  <c r="P32" i="42"/>
  <c r="P141" i="42" s="1"/>
  <c r="B30" i="42"/>
  <c r="B29" i="42"/>
  <c r="B28" i="42"/>
  <c r="B27" i="42"/>
  <c r="R26" i="42"/>
  <c r="R32" i="42" s="1"/>
  <c r="P26" i="42"/>
  <c r="N26" i="42"/>
  <c r="L26" i="42"/>
  <c r="J26" i="42"/>
  <c r="H26" i="42"/>
  <c r="F26" i="42"/>
  <c r="D26" i="42"/>
  <c r="N24" i="42"/>
  <c r="L24" i="42"/>
  <c r="J24" i="42"/>
  <c r="H24" i="42"/>
  <c r="F24" i="42"/>
  <c r="D24" i="42"/>
  <c r="B24" i="42"/>
  <c r="N23" i="42"/>
  <c r="L23" i="42"/>
  <c r="J23" i="42"/>
  <c r="H23" i="42"/>
  <c r="F23" i="42"/>
  <c r="D23" i="42"/>
  <c r="B23" i="42"/>
  <c r="N22" i="42"/>
  <c r="L22" i="42"/>
  <c r="J22" i="42"/>
  <c r="H22" i="42"/>
  <c r="F22" i="42"/>
  <c r="D22" i="42"/>
  <c r="B22" i="42"/>
  <c r="N21" i="42"/>
  <c r="L21" i="42"/>
  <c r="J21" i="42"/>
  <c r="H21" i="42"/>
  <c r="F21" i="42"/>
  <c r="D21" i="42"/>
  <c r="B21" i="42"/>
  <c r="N20" i="42"/>
  <c r="L20" i="42"/>
  <c r="J20" i="42"/>
  <c r="H20" i="42"/>
  <c r="F20" i="42"/>
  <c r="D20" i="42"/>
  <c r="B20" i="42"/>
  <c r="N19" i="42"/>
  <c r="L19" i="42"/>
  <c r="J19" i="42"/>
  <c r="H19" i="42"/>
  <c r="F19" i="42"/>
  <c r="D19" i="42"/>
  <c r="B19" i="42"/>
  <c r="N18" i="42"/>
  <c r="L18" i="42"/>
  <c r="J18" i="42"/>
  <c r="H18" i="42"/>
  <c r="F18" i="42"/>
  <c r="D18" i="42"/>
  <c r="B18" i="42"/>
  <c r="N17" i="42"/>
  <c r="L17" i="42"/>
  <c r="J17" i="42"/>
  <c r="H17" i="42"/>
  <c r="F17" i="42"/>
  <c r="D17" i="42"/>
  <c r="B17" i="42"/>
  <c r="N16" i="42"/>
  <c r="L16" i="42"/>
  <c r="J16" i="42"/>
  <c r="H16" i="42"/>
  <c r="F16" i="42"/>
  <c r="D16" i="42"/>
  <c r="B16" i="42"/>
  <c r="N15" i="42"/>
  <c r="L15" i="42"/>
  <c r="J15" i="42"/>
  <c r="H15" i="42"/>
  <c r="F15" i="42"/>
  <c r="D15" i="42"/>
  <c r="B15" i="42"/>
  <c r="N14" i="42"/>
  <c r="L14" i="42"/>
  <c r="J14" i="42"/>
  <c r="H14" i="42"/>
  <c r="F14" i="42"/>
  <c r="D14" i="42"/>
  <c r="B14" i="42"/>
  <c r="N13" i="42"/>
  <c r="L13" i="42"/>
  <c r="J13" i="42"/>
  <c r="H13" i="42"/>
  <c r="F13" i="42"/>
  <c r="D13" i="42"/>
  <c r="B13" i="42"/>
  <c r="N12" i="42"/>
  <c r="L12" i="42"/>
  <c r="J12" i="42"/>
  <c r="H12" i="42"/>
  <c r="F12" i="42"/>
  <c r="D12" i="42"/>
  <c r="D10" i="42" s="1"/>
  <c r="D32" i="42" s="1"/>
  <c r="B12" i="42"/>
  <c r="N11" i="42"/>
  <c r="L11" i="42"/>
  <c r="J11" i="42"/>
  <c r="J10" i="42" s="1"/>
  <c r="J32" i="42" s="1"/>
  <c r="H11" i="42"/>
  <c r="F11" i="42"/>
  <c r="D11" i="42"/>
  <c r="B11" i="42"/>
  <c r="R10" i="42"/>
  <c r="P10" i="42"/>
  <c r="L10" i="42"/>
  <c r="L32" i="42" s="1"/>
  <c r="L33" i="42" s="1"/>
  <c r="H10" i="42"/>
  <c r="H32" i="42" s="1"/>
  <c r="N153" i="39"/>
  <c r="L153" i="39"/>
  <c r="J153" i="39"/>
  <c r="H153" i="39"/>
  <c r="H149" i="39" s="1"/>
  <c r="H155" i="39" s="1"/>
  <c r="F153" i="39"/>
  <c r="D153" i="39"/>
  <c r="B153" i="39"/>
  <c r="N152" i="39"/>
  <c r="L152" i="39"/>
  <c r="J152" i="39"/>
  <c r="H152" i="39"/>
  <c r="F152" i="39"/>
  <c r="D152" i="39"/>
  <c r="B152" i="39"/>
  <c r="N151" i="39"/>
  <c r="L151" i="39"/>
  <c r="J151" i="39"/>
  <c r="H151" i="39"/>
  <c r="F151" i="39"/>
  <c r="D151" i="39"/>
  <c r="D149" i="39" s="1"/>
  <c r="B151" i="39"/>
  <c r="N150" i="39"/>
  <c r="L150" i="39"/>
  <c r="J150" i="39"/>
  <c r="H150" i="39"/>
  <c r="F150" i="39"/>
  <c r="D150" i="39"/>
  <c r="B150" i="39"/>
  <c r="R149" i="39"/>
  <c r="P149" i="39"/>
  <c r="L149" i="39"/>
  <c r="J149" i="39"/>
  <c r="B147" i="39"/>
  <c r="R146" i="39"/>
  <c r="P146" i="39"/>
  <c r="N146" i="39"/>
  <c r="L146" i="39"/>
  <c r="J146" i="39"/>
  <c r="H146" i="39"/>
  <c r="F146" i="39"/>
  <c r="D146" i="39"/>
  <c r="B146" i="39"/>
  <c r="B145" i="39"/>
  <c r="B144" i="39"/>
  <c r="B143" i="39"/>
  <c r="R142" i="39"/>
  <c r="P142" i="39"/>
  <c r="N142" i="39"/>
  <c r="L142" i="39"/>
  <c r="J142" i="39"/>
  <c r="H142" i="39"/>
  <c r="F142" i="39"/>
  <c r="D142" i="39"/>
  <c r="B142" i="39"/>
  <c r="B141" i="39"/>
  <c r="R140" i="39"/>
  <c r="P140" i="39"/>
  <c r="N140" i="39"/>
  <c r="L140" i="39"/>
  <c r="J140" i="39"/>
  <c r="H140" i="39"/>
  <c r="F140" i="39"/>
  <c r="D140" i="39"/>
  <c r="B140" i="39"/>
  <c r="B139" i="39"/>
  <c r="B138" i="39"/>
  <c r="R137" i="39"/>
  <c r="P137" i="39"/>
  <c r="N137" i="39"/>
  <c r="L137" i="39"/>
  <c r="J137" i="39"/>
  <c r="H137" i="39"/>
  <c r="F137" i="39"/>
  <c r="D137" i="39"/>
  <c r="B137" i="39"/>
  <c r="B136" i="39"/>
  <c r="B135" i="39"/>
  <c r="B134" i="39"/>
  <c r="B133" i="39"/>
  <c r="B132" i="39"/>
  <c r="B131" i="39"/>
  <c r="B130" i="39"/>
  <c r="B129" i="39"/>
  <c r="B128" i="39"/>
  <c r="B127" i="39"/>
  <c r="B126" i="39"/>
  <c r="R125" i="39"/>
  <c r="P125" i="39"/>
  <c r="N125" i="39"/>
  <c r="L125" i="39"/>
  <c r="J125" i="39"/>
  <c r="H125" i="39"/>
  <c r="F125" i="39"/>
  <c r="D125" i="39"/>
  <c r="B125" i="39"/>
  <c r="B124" i="39"/>
  <c r="B123" i="39"/>
  <c r="R122" i="39"/>
  <c r="P122" i="39"/>
  <c r="N122" i="39"/>
  <c r="L122" i="39"/>
  <c r="J122" i="39"/>
  <c r="H122" i="39"/>
  <c r="F122" i="39"/>
  <c r="D122" i="39"/>
  <c r="B122" i="39"/>
  <c r="B121" i="39"/>
  <c r="B120" i="39"/>
  <c r="B119" i="39"/>
  <c r="B118" i="39"/>
  <c r="B117" i="39"/>
  <c r="R116" i="39"/>
  <c r="P116" i="39"/>
  <c r="N116" i="39"/>
  <c r="L116" i="39"/>
  <c r="J116" i="39"/>
  <c r="H116" i="39"/>
  <c r="F116" i="39"/>
  <c r="D116" i="39"/>
  <c r="B116" i="39"/>
  <c r="B115" i="39"/>
  <c r="B114" i="39"/>
  <c r="R113" i="39"/>
  <c r="P113" i="39"/>
  <c r="N113" i="39"/>
  <c r="L113" i="39"/>
  <c r="J113" i="39"/>
  <c r="H113" i="39"/>
  <c r="F113" i="39"/>
  <c r="D113" i="39"/>
  <c r="B113" i="39"/>
  <c r="B112" i="39"/>
  <c r="B111" i="39"/>
  <c r="B110" i="39"/>
  <c r="B109" i="39"/>
  <c r="R108" i="39"/>
  <c r="P108" i="39"/>
  <c r="N108" i="39"/>
  <c r="L108" i="39"/>
  <c r="J108" i="39"/>
  <c r="H108" i="39"/>
  <c r="F108" i="39"/>
  <c r="D108" i="39"/>
  <c r="B108" i="39"/>
  <c r="B107" i="39"/>
  <c r="R106" i="39"/>
  <c r="P106" i="39"/>
  <c r="N106" i="39"/>
  <c r="L106" i="39"/>
  <c r="J106" i="39"/>
  <c r="H106" i="39"/>
  <c r="F106" i="39"/>
  <c r="D106" i="39"/>
  <c r="B106" i="39"/>
  <c r="B105" i="39"/>
  <c r="R104" i="39"/>
  <c r="P104" i="39"/>
  <c r="N104" i="39"/>
  <c r="L104" i="39"/>
  <c r="J104" i="39"/>
  <c r="H104" i="39"/>
  <c r="F104" i="39"/>
  <c r="D104" i="39"/>
  <c r="B104" i="39"/>
  <c r="B103" i="39"/>
  <c r="R102" i="39"/>
  <c r="P102" i="39"/>
  <c r="N102" i="39"/>
  <c r="L102" i="39"/>
  <c r="J102" i="39"/>
  <c r="H102" i="39"/>
  <c r="F102" i="39"/>
  <c r="D102" i="39"/>
  <c r="B102" i="39"/>
  <c r="B101" i="39"/>
  <c r="R100" i="39"/>
  <c r="P100" i="39"/>
  <c r="N100" i="39"/>
  <c r="L100" i="39"/>
  <c r="J100" i="39"/>
  <c r="H100" i="39"/>
  <c r="F100" i="39"/>
  <c r="D100" i="39"/>
  <c r="B100" i="39"/>
  <c r="B99" i="39"/>
  <c r="R98" i="39"/>
  <c r="P98" i="39"/>
  <c r="N98" i="39"/>
  <c r="L98" i="39"/>
  <c r="J98" i="39"/>
  <c r="H98" i="39"/>
  <c r="F98" i="39"/>
  <c r="D98" i="39"/>
  <c r="B98" i="39"/>
  <c r="B97" i="39"/>
  <c r="B96" i="39"/>
  <c r="B95" i="39"/>
  <c r="R94" i="39"/>
  <c r="P94" i="39"/>
  <c r="N94" i="39"/>
  <c r="L94" i="39"/>
  <c r="J94" i="39"/>
  <c r="H94" i="39"/>
  <c r="F94" i="39"/>
  <c r="D94" i="39"/>
  <c r="B94" i="39"/>
  <c r="B93" i="39"/>
  <c r="B92" i="39"/>
  <c r="R91" i="39"/>
  <c r="P91" i="39"/>
  <c r="N91" i="39"/>
  <c r="L91" i="39"/>
  <c r="J91" i="39"/>
  <c r="H91" i="39"/>
  <c r="F91" i="39"/>
  <c r="D91" i="39"/>
  <c r="B91" i="39"/>
  <c r="B90" i="39"/>
  <c r="R89" i="39"/>
  <c r="P89" i="39"/>
  <c r="N89" i="39"/>
  <c r="L89" i="39"/>
  <c r="J89" i="39"/>
  <c r="H89" i="39"/>
  <c r="F89" i="39"/>
  <c r="D89" i="39"/>
  <c r="B89" i="39"/>
  <c r="B88" i="39"/>
  <c r="R87" i="39"/>
  <c r="P87" i="39"/>
  <c r="N87" i="39"/>
  <c r="L87" i="39"/>
  <c r="J87" i="39"/>
  <c r="H87" i="39"/>
  <c r="F87" i="39"/>
  <c r="D87" i="39"/>
  <c r="B87" i="39"/>
  <c r="B86" i="39"/>
  <c r="R85" i="39"/>
  <c r="P85" i="39"/>
  <c r="N85" i="39"/>
  <c r="L85" i="39"/>
  <c r="J85" i="39"/>
  <c r="H85" i="39"/>
  <c r="F85" i="39"/>
  <c r="D85" i="39"/>
  <c r="B85" i="39"/>
  <c r="B84" i="39"/>
  <c r="B83" i="39"/>
  <c r="R82" i="39"/>
  <c r="P82" i="39"/>
  <c r="N82" i="39"/>
  <c r="L82" i="39"/>
  <c r="J82" i="39"/>
  <c r="H82" i="39"/>
  <c r="F82" i="39"/>
  <c r="D82" i="39"/>
  <c r="B82" i="39"/>
  <c r="B81" i="39"/>
  <c r="B80" i="39"/>
  <c r="B79" i="39"/>
  <c r="B78" i="39"/>
  <c r="R77" i="39"/>
  <c r="P77" i="39"/>
  <c r="N77" i="39"/>
  <c r="L77" i="39"/>
  <c r="J77" i="39"/>
  <c r="H77" i="39"/>
  <c r="F77" i="39"/>
  <c r="D77" i="39"/>
  <c r="B77" i="39"/>
  <c r="B76" i="39"/>
  <c r="R75" i="39"/>
  <c r="P75" i="39"/>
  <c r="N75" i="39"/>
  <c r="L75" i="39"/>
  <c r="J75" i="39"/>
  <c r="H75" i="39"/>
  <c r="F75" i="39"/>
  <c r="D75" i="39"/>
  <c r="B75" i="39"/>
  <c r="B74" i="39"/>
  <c r="B73" i="39"/>
  <c r="R72" i="39"/>
  <c r="P72" i="39"/>
  <c r="N72" i="39"/>
  <c r="L72" i="39"/>
  <c r="J72" i="39"/>
  <c r="H72" i="39"/>
  <c r="F72" i="39"/>
  <c r="D72" i="39"/>
  <c r="B72" i="39"/>
  <c r="B71" i="39"/>
  <c r="R70" i="39"/>
  <c r="P70" i="39"/>
  <c r="N70" i="39"/>
  <c r="L70" i="39"/>
  <c r="J70" i="39"/>
  <c r="H70" i="39"/>
  <c r="F70" i="39"/>
  <c r="D70" i="39"/>
  <c r="B70" i="39"/>
  <c r="B69" i="39"/>
  <c r="B68" i="39"/>
  <c r="B67" i="39"/>
  <c r="B66" i="39"/>
  <c r="B65" i="39"/>
  <c r="B64" i="39"/>
  <c r="B63" i="39"/>
  <c r="B62" i="39"/>
  <c r="B61" i="39"/>
  <c r="B60" i="39"/>
  <c r="R59" i="39"/>
  <c r="P59" i="39"/>
  <c r="N59" i="39"/>
  <c r="L59" i="39"/>
  <c r="J59" i="39"/>
  <c r="H59" i="39"/>
  <c r="F59" i="39"/>
  <c r="D59" i="39"/>
  <c r="B59" i="39"/>
  <c r="B58" i="39"/>
  <c r="B57" i="39"/>
  <c r="B56" i="39"/>
  <c r="B55" i="39"/>
  <c r="B54" i="39"/>
  <c r="B53" i="39"/>
  <c r="B52" i="39"/>
  <c r="B51" i="39"/>
  <c r="B50" i="39"/>
  <c r="B49" i="39"/>
  <c r="R48" i="39"/>
  <c r="P48" i="39"/>
  <c r="N48" i="39"/>
  <c r="L48" i="39"/>
  <c r="J48" i="39"/>
  <c r="H48" i="39"/>
  <c r="F48" i="39"/>
  <c r="D48" i="39"/>
  <c r="B48" i="39"/>
  <c r="R47" i="39"/>
  <c r="P47" i="39"/>
  <c r="N47" i="39"/>
  <c r="L47" i="39"/>
  <c r="J47" i="39"/>
  <c r="H47" i="39"/>
  <c r="F47" i="39"/>
  <c r="D47" i="39"/>
  <c r="B42" i="39"/>
  <c r="B41" i="39"/>
  <c r="B40" i="39"/>
  <c r="B39" i="39"/>
  <c r="R38" i="39"/>
  <c r="R44" i="39" s="1"/>
  <c r="P38" i="39"/>
  <c r="P44" i="39" s="1"/>
  <c r="N38" i="39"/>
  <c r="L38" i="39"/>
  <c r="J38" i="39"/>
  <c r="H38" i="39"/>
  <c r="F38" i="39"/>
  <c r="D38" i="39"/>
  <c r="N36" i="39"/>
  <c r="L36" i="39"/>
  <c r="J36" i="39"/>
  <c r="H36" i="39"/>
  <c r="F36" i="39"/>
  <c r="D36" i="39"/>
  <c r="B36" i="39"/>
  <c r="N35" i="39"/>
  <c r="L35" i="39"/>
  <c r="J35" i="39"/>
  <c r="H35" i="39"/>
  <c r="F35" i="39"/>
  <c r="D35" i="39"/>
  <c r="B35" i="39"/>
  <c r="N34" i="39"/>
  <c r="L34" i="39"/>
  <c r="J34" i="39"/>
  <c r="H34" i="39"/>
  <c r="F34" i="39"/>
  <c r="D34" i="39"/>
  <c r="B34" i="39"/>
  <c r="N33" i="39"/>
  <c r="L33" i="39"/>
  <c r="J33" i="39"/>
  <c r="H33" i="39"/>
  <c r="F33" i="39"/>
  <c r="D33" i="39"/>
  <c r="B33" i="39"/>
  <c r="N32" i="39"/>
  <c r="L32" i="39"/>
  <c r="J32" i="39"/>
  <c r="H32" i="39"/>
  <c r="F32" i="39"/>
  <c r="D32" i="39"/>
  <c r="B32" i="39"/>
  <c r="N31" i="39"/>
  <c r="L31" i="39"/>
  <c r="J31" i="39"/>
  <c r="H31" i="39"/>
  <c r="F31" i="39"/>
  <c r="D31" i="39"/>
  <c r="B31" i="39"/>
  <c r="N30" i="39"/>
  <c r="L30" i="39"/>
  <c r="J30" i="39"/>
  <c r="H30" i="39"/>
  <c r="F30" i="39"/>
  <c r="D30" i="39"/>
  <c r="B30" i="39"/>
  <c r="N29" i="39"/>
  <c r="L29" i="39"/>
  <c r="J29" i="39"/>
  <c r="H29" i="39"/>
  <c r="F29" i="39"/>
  <c r="D29" i="39"/>
  <c r="B29" i="39"/>
  <c r="N28" i="39"/>
  <c r="L28" i="39"/>
  <c r="J28" i="39"/>
  <c r="H28" i="39"/>
  <c r="F28" i="39"/>
  <c r="D28" i="39"/>
  <c r="B28" i="39"/>
  <c r="N27" i="39"/>
  <c r="L27" i="39"/>
  <c r="J27" i="39"/>
  <c r="H27" i="39"/>
  <c r="F27" i="39"/>
  <c r="D27" i="39"/>
  <c r="B27" i="39"/>
  <c r="N26" i="39"/>
  <c r="L26" i="39"/>
  <c r="J26" i="39"/>
  <c r="H26" i="39"/>
  <c r="F26" i="39"/>
  <c r="D26" i="39"/>
  <c r="B26" i="39"/>
  <c r="N25" i="39"/>
  <c r="L25" i="39"/>
  <c r="J25" i="39"/>
  <c r="H25" i="39"/>
  <c r="F25" i="39"/>
  <c r="D25" i="39"/>
  <c r="B25" i="39"/>
  <c r="N24" i="39"/>
  <c r="L24" i="39"/>
  <c r="J24" i="39"/>
  <c r="H24" i="39"/>
  <c r="F24" i="39"/>
  <c r="D24" i="39"/>
  <c r="B24" i="39"/>
  <c r="N23" i="39"/>
  <c r="L23" i="39"/>
  <c r="J23" i="39"/>
  <c r="H23" i="39"/>
  <c r="F23" i="39"/>
  <c r="D23" i="39"/>
  <c r="B23" i="39"/>
  <c r="N22" i="39"/>
  <c r="L22" i="39"/>
  <c r="J22" i="39"/>
  <c r="H22" i="39"/>
  <c r="F22" i="39"/>
  <c r="D22" i="39"/>
  <c r="B22" i="39"/>
  <c r="N21" i="39"/>
  <c r="L21" i="39"/>
  <c r="J21" i="39"/>
  <c r="H21" i="39"/>
  <c r="F21" i="39"/>
  <c r="D21" i="39"/>
  <c r="B21" i="39"/>
  <c r="N20" i="39"/>
  <c r="L20" i="39"/>
  <c r="J20" i="39"/>
  <c r="H20" i="39"/>
  <c r="F20" i="39"/>
  <c r="D20" i="39"/>
  <c r="B20" i="39"/>
  <c r="N19" i="39"/>
  <c r="L19" i="39"/>
  <c r="J19" i="39"/>
  <c r="H19" i="39"/>
  <c r="F19" i="39"/>
  <c r="D19" i="39"/>
  <c r="B19" i="39"/>
  <c r="N18" i="39"/>
  <c r="L18" i="39"/>
  <c r="J18" i="39"/>
  <c r="H18" i="39"/>
  <c r="F18" i="39"/>
  <c r="D18" i="39"/>
  <c r="B18" i="39"/>
  <c r="N17" i="39"/>
  <c r="L17" i="39"/>
  <c r="J17" i="39"/>
  <c r="H17" i="39"/>
  <c r="F17" i="39"/>
  <c r="D17" i="39"/>
  <c r="B17" i="39"/>
  <c r="N16" i="39"/>
  <c r="L16" i="39"/>
  <c r="J16" i="39"/>
  <c r="H16" i="39"/>
  <c r="F16" i="39"/>
  <c r="D16" i="39"/>
  <c r="B16" i="39"/>
  <c r="N15" i="39"/>
  <c r="L15" i="39"/>
  <c r="J15" i="39"/>
  <c r="H15" i="39"/>
  <c r="F15" i="39"/>
  <c r="D15" i="39"/>
  <c r="B15" i="39"/>
  <c r="N14" i="39"/>
  <c r="L14" i="39"/>
  <c r="J14" i="39"/>
  <c r="H14" i="39"/>
  <c r="F14" i="39"/>
  <c r="D14" i="39"/>
  <c r="B14" i="39"/>
  <c r="N13" i="39"/>
  <c r="L13" i="39"/>
  <c r="J13" i="39"/>
  <c r="H13" i="39"/>
  <c r="H10" i="39" s="1"/>
  <c r="H44" i="39" s="1"/>
  <c r="H45" i="39" s="1"/>
  <c r="F13" i="39"/>
  <c r="D13" i="39"/>
  <c r="B13" i="39"/>
  <c r="N12" i="39"/>
  <c r="L12" i="39"/>
  <c r="J12" i="39"/>
  <c r="H12" i="39"/>
  <c r="F12" i="39"/>
  <c r="F10" i="39" s="1"/>
  <c r="F44" i="39" s="1"/>
  <c r="D12" i="39"/>
  <c r="B12" i="39"/>
  <c r="N11" i="39"/>
  <c r="L11" i="39"/>
  <c r="L10" i="39" s="1"/>
  <c r="L44" i="39" s="1"/>
  <c r="J11" i="39"/>
  <c r="H11" i="39"/>
  <c r="F11" i="39"/>
  <c r="D11" i="39"/>
  <c r="D10" i="39" s="1"/>
  <c r="D44" i="39" s="1"/>
  <c r="B11" i="39"/>
  <c r="R10" i="39"/>
  <c r="P10" i="39"/>
  <c r="N10" i="39"/>
  <c r="N44" i="39" s="1"/>
  <c r="R135" i="36"/>
  <c r="R136" i="36" s="1"/>
  <c r="N133" i="36"/>
  <c r="L133" i="36"/>
  <c r="J133" i="36"/>
  <c r="H133" i="36"/>
  <c r="F133" i="36"/>
  <c r="D133" i="36"/>
  <c r="B133" i="36"/>
  <c r="N132" i="36"/>
  <c r="L132" i="36"/>
  <c r="J132" i="36"/>
  <c r="H132" i="36"/>
  <c r="F132" i="36"/>
  <c r="D132" i="36"/>
  <c r="B132" i="36"/>
  <c r="N131" i="36"/>
  <c r="L131" i="36"/>
  <c r="J131" i="36"/>
  <c r="H131" i="36"/>
  <c r="F131" i="36"/>
  <c r="D131" i="36"/>
  <c r="B131" i="36"/>
  <c r="N130" i="36"/>
  <c r="L130" i="36"/>
  <c r="J130" i="36"/>
  <c r="H130" i="36"/>
  <c r="F130" i="36"/>
  <c r="D130" i="36"/>
  <c r="B130" i="36"/>
  <c r="N129" i="36"/>
  <c r="L129" i="36"/>
  <c r="J129" i="36"/>
  <c r="H129" i="36"/>
  <c r="F129" i="36"/>
  <c r="D129" i="36"/>
  <c r="B129" i="36"/>
  <c r="N128" i="36"/>
  <c r="L128" i="36"/>
  <c r="J128" i="36"/>
  <c r="H128" i="36"/>
  <c r="F128" i="36"/>
  <c r="D128" i="36"/>
  <c r="B128" i="36"/>
  <c r="N127" i="36"/>
  <c r="L127" i="36"/>
  <c r="J127" i="36"/>
  <c r="H127" i="36"/>
  <c r="F127" i="36"/>
  <c r="D127" i="36"/>
  <c r="B127" i="36"/>
  <c r="N126" i="36"/>
  <c r="L126" i="36"/>
  <c r="J126" i="36"/>
  <c r="H126" i="36"/>
  <c r="F126" i="36"/>
  <c r="D126" i="36"/>
  <c r="B126" i="36"/>
  <c r="N125" i="36"/>
  <c r="L125" i="36"/>
  <c r="J125" i="36"/>
  <c r="H125" i="36"/>
  <c r="F125" i="36"/>
  <c r="D125" i="36"/>
  <c r="B125" i="36"/>
  <c r="N124" i="36"/>
  <c r="L124" i="36"/>
  <c r="J124" i="36"/>
  <c r="H124" i="36"/>
  <c r="F124" i="36"/>
  <c r="D124" i="36"/>
  <c r="B124" i="36"/>
  <c r="N123" i="36"/>
  <c r="L123" i="36"/>
  <c r="J123" i="36"/>
  <c r="J120" i="36" s="1"/>
  <c r="H123" i="36"/>
  <c r="F123" i="36"/>
  <c r="D123" i="36"/>
  <c r="B123" i="36"/>
  <c r="N122" i="36"/>
  <c r="L122" i="36"/>
  <c r="J122" i="36"/>
  <c r="H122" i="36"/>
  <c r="H120" i="36" s="1"/>
  <c r="F122" i="36"/>
  <c r="D122" i="36"/>
  <c r="B122" i="36"/>
  <c r="N121" i="36"/>
  <c r="N120" i="36" s="1"/>
  <c r="L121" i="36"/>
  <c r="J121" i="36"/>
  <c r="H121" i="36"/>
  <c r="F121" i="36"/>
  <c r="F120" i="36" s="1"/>
  <c r="D121" i="36"/>
  <c r="B121" i="36"/>
  <c r="R120" i="36"/>
  <c r="P120" i="36"/>
  <c r="B118" i="36"/>
  <c r="R117" i="36"/>
  <c r="P117" i="36"/>
  <c r="N117" i="36"/>
  <c r="L117" i="36"/>
  <c r="J117" i="36"/>
  <c r="H117" i="36"/>
  <c r="F117" i="36"/>
  <c r="D117" i="36"/>
  <c r="B117" i="36"/>
  <c r="B116" i="36"/>
  <c r="R115" i="36"/>
  <c r="P115" i="36"/>
  <c r="N115" i="36"/>
  <c r="L115" i="36"/>
  <c r="J115" i="36"/>
  <c r="H115" i="36"/>
  <c r="F115" i="36"/>
  <c r="D115" i="36"/>
  <c r="B115" i="36"/>
  <c r="B114" i="36"/>
  <c r="R113" i="36"/>
  <c r="P113" i="36"/>
  <c r="N113" i="36"/>
  <c r="L113" i="36"/>
  <c r="J113" i="36"/>
  <c r="H113" i="36"/>
  <c r="F113" i="36"/>
  <c r="D113" i="36"/>
  <c r="B113" i="36"/>
  <c r="B112" i="36"/>
  <c r="R111" i="36"/>
  <c r="P111" i="36"/>
  <c r="N111" i="36"/>
  <c r="L111" i="36"/>
  <c r="J111" i="36"/>
  <c r="H111" i="36"/>
  <c r="F111" i="36"/>
  <c r="D111" i="36"/>
  <c r="B111" i="36"/>
  <c r="B110" i="36"/>
  <c r="B109" i="36"/>
  <c r="B108" i="36"/>
  <c r="B107" i="36"/>
  <c r="B106" i="36"/>
  <c r="B105" i="36"/>
  <c r="R104" i="36"/>
  <c r="P104" i="36"/>
  <c r="N104" i="36"/>
  <c r="L104" i="36"/>
  <c r="J104" i="36"/>
  <c r="H104" i="36"/>
  <c r="F104" i="36"/>
  <c r="D104" i="36"/>
  <c r="B104" i="36"/>
  <c r="B103" i="36"/>
  <c r="B102" i="36"/>
  <c r="R101" i="36"/>
  <c r="P101" i="36"/>
  <c r="N101" i="36"/>
  <c r="L101" i="36"/>
  <c r="J101" i="36"/>
  <c r="H101" i="36"/>
  <c r="F101" i="36"/>
  <c r="D101" i="36"/>
  <c r="B101" i="36"/>
  <c r="B100" i="36"/>
  <c r="B99" i="36"/>
  <c r="B98" i="36"/>
  <c r="R97" i="36"/>
  <c r="P97" i="36"/>
  <c r="N97" i="36"/>
  <c r="L97" i="36"/>
  <c r="J97" i="36"/>
  <c r="H97" i="36"/>
  <c r="F97" i="36"/>
  <c r="D97" i="36"/>
  <c r="B97" i="36"/>
  <c r="B96" i="36"/>
  <c r="B95" i="36"/>
  <c r="B94" i="36"/>
  <c r="B93" i="36"/>
  <c r="R92" i="36"/>
  <c r="P92" i="36"/>
  <c r="N92" i="36"/>
  <c r="L92" i="36"/>
  <c r="J92" i="36"/>
  <c r="H92" i="36"/>
  <c r="F92" i="36"/>
  <c r="D92" i="36"/>
  <c r="B92" i="36"/>
  <c r="B91" i="36"/>
  <c r="R90" i="36"/>
  <c r="P90" i="36"/>
  <c r="N90" i="36"/>
  <c r="L90" i="36"/>
  <c r="J90" i="36"/>
  <c r="H90" i="36"/>
  <c r="F90" i="36"/>
  <c r="D90" i="36"/>
  <c r="B90" i="36"/>
  <c r="B89" i="36"/>
  <c r="B88" i="36"/>
  <c r="R87" i="36"/>
  <c r="P87" i="36"/>
  <c r="N87" i="36"/>
  <c r="L87" i="36"/>
  <c r="J87" i="36"/>
  <c r="H87" i="36"/>
  <c r="F87" i="36"/>
  <c r="D87" i="36"/>
  <c r="B87" i="36"/>
  <c r="B86" i="36"/>
  <c r="R85" i="36"/>
  <c r="P85" i="36"/>
  <c r="N85" i="36"/>
  <c r="L85" i="36"/>
  <c r="J85" i="36"/>
  <c r="H85" i="36"/>
  <c r="F85" i="36"/>
  <c r="D85" i="36"/>
  <c r="B85" i="36"/>
  <c r="B84" i="36"/>
  <c r="R83" i="36"/>
  <c r="P83" i="36"/>
  <c r="N83" i="36"/>
  <c r="L83" i="36"/>
  <c r="J83" i="36"/>
  <c r="H83" i="36"/>
  <c r="F83" i="36"/>
  <c r="D83" i="36"/>
  <c r="B83" i="36"/>
  <c r="B82" i="36"/>
  <c r="R81" i="36"/>
  <c r="P81" i="36"/>
  <c r="N81" i="36"/>
  <c r="L81" i="36"/>
  <c r="J81" i="36"/>
  <c r="H81" i="36"/>
  <c r="F81" i="36"/>
  <c r="D81" i="36"/>
  <c r="B81" i="36"/>
  <c r="B80" i="36"/>
  <c r="R79" i="36"/>
  <c r="P79" i="36"/>
  <c r="N79" i="36"/>
  <c r="L79" i="36"/>
  <c r="J79" i="36"/>
  <c r="H79" i="36"/>
  <c r="F79" i="36"/>
  <c r="D79" i="36"/>
  <c r="B79" i="36"/>
  <c r="B78" i="36"/>
  <c r="R77" i="36"/>
  <c r="P77" i="36"/>
  <c r="N77" i="36"/>
  <c r="L77" i="36"/>
  <c r="J77" i="36"/>
  <c r="H77" i="36"/>
  <c r="F77" i="36"/>
  <c r="D77" i="36"/>
  <c r="B77" i="36"/>
  <c r="B76" i="36"/>
  <c r="B75" i="36"/>
  <c r="B74" i="36"/>
  <c r="B73" i="36"/>
  <c r="B72" i="36"/>
  <c r="B71" i="36"/>
  <c r="B70" i="36"/>
  <c r="B69" i="36"/>
  <c r="B68" i="36"/>
  <c r="B67" i="36"/>
  <c r="R66" i="36"/>
  <c r="P66" i="36"/>
  <c r="N66" i="36"/>
  <c r="L66" i="36"/>
  <c r="J66" i="36"/>
  <c r="H66" i="36"/>
  <c r="F66" i="36"/>
  <c r="D66" i="36"/>
  <c r="B66" i="36"/>
  <c r="B65" i="36"/>
  <c r="B64" i="36"/>
  <c r="B63" i="36"/>
  <c r="B62" i="36"/>
  <c r="B61" i="36"/>
  <c r="B60" i="36"/>
  <c r="B59" i="36"/>
  <c r="B58" i="36"/>
  <c r="B57" i="36"/>
  <c r="R56" i="36"/>
  <c r="P56" i="36"/>
  <c r="N56" i="36"/>
  <c r="L56" i="36"/>
  <c r="J56" i="36"/>
  <c r="H56" i="36"/>
  <c r="F56" i="36"/>
  <c r="D56" i="36"/>
  <c r="B56" i="36"/>
  <c r="R55" i="36"/>
  <c r="P55" i="36"/>
  <c r="N55" i="36"/>
  <c r="L55" i="36"/>
  <c r="J55" i="36"/>
  <c r="H55" i="36"/>
  <c r="F55" i="36"/>
  <c r="D55" i="36"/>
  <c r="B50" i="36"/>
  <c r="B49" i="36"/>
  <c r="B48" i="36"/>
  <c r="B47" i="36"/>
  <c r="B46" i="36"/>
  <c r="B45" i="36"/>
  <c r="B44" i="36"/>
  <c r="R43" i="36"/>
  <c r="P43" i="36"/>
  <c r="N43" i="36"/>
  <c r="L43" i="36"/>
  <c r="J43" i="36"/>
  <c r="H43" i="36"/>
  <c r="F43" i="36"/>
  <c r="D43" i="36"/>
  <c r="N41" i="36"/>
  <c r="L41" i="36"/>
  <c r="J41" i="36"/>
  <c r="H41" i="36"/>
  <c r="F41" i="36"/>
  <c r="D41" i="36"/>
  <c r="B41" i="36"/>
  <c r="N40" i="36"/>
  <c r="L40" i="36"/>
  <c r="J40" i="36"/>
  <c r="H40" i="36"/>
  <c r="F40" i="36"/>
  <c r="D40" i="36"/>
  <c r="B40" i="36"/>
  <c r="N39" i="36"/>
  <c r="L39" i="36"/>
  <c r="J39" i="36"/>
  <c r="H39" i="36"/>
  <c r="F39" i="36"/>
  <c r="D39" i="36"/>
  <c r="B39" i="36"/>
  <c r="N38" i="36"/>
  <c r="L38" i="36"/>
  <c r="J38" i="36"/>
  <c r="H38" i="36"/>
  <c r="F38" i="36"/>
  <c r="D38" i="36"/>
  <c r="B38" i="36"/>
  <c r="N37" i="36"/>
  <c r="L37" i="36"/>
  <c r="J37" i="36"/>
  <c r="H37" i="36"/>
  <c r="F37" i="36"/>
  <c r="D37" i="36"/>
  <c r="B37" i="36"/>
  <c r="N36" i="36"/>
  <c r="L36" i="36"/>
  <c r="J36" i="36"/>
  <c r="H36" i="36"/>
  <c r="F36" i="36"/>
  <c r="D36" i="36"/>
  <c r="B36" i="36"/>
  <c r="N35" i="36"/>
  <c r="L35" i="36"/>
  <c r="J35" i="36"/>
  <c r="H35" i="36"/>
  <c r="F35" i="36"/>
  <c r="D35" i="36"/>
  <c r="B35" i="36"/>
  <c r="N34" i="36"/>
  <c r="L34" i="36"/>
  <c r="J34" i="36"/>
  <c r="H34" i="36"/>
  <c r="F34" i="36"/>
  <c r="D34" i="36"/>
  <c r="B34" i="36"/>
  <c r="N33" i="36"/>
  <c r="L33" i="36"/>
  <c r="J33" i="36"/>
  <c r="H33" i="36"/>
  <c r="F33" i="36"/>
  <c r="D33" i="36"/>
  <c r="B33" i="36"/>
  <c r="N32" i="36"/>
  <c r="L32" i="36"/>
  <c r="J32" i="36"/>
  <c r="H32" i="36"/>
  <c r="F32" i="36"/>
  <c r="D32" i="36"/>
  <c r="B32" i="36"/>
  <c r="N31" i="36"/>
  <c r="L31" i="36"/>
  <c r="J31" i="36"/>
  <c r="H31" i="36"/>
  <c r="F31" i="36"/>
  <c r="D31" i="36"/>
  <c r="B31" i="36"/>
  <c r="N30" i="36"/>
  <c r="L30" i="36"/>
  <c r="J30" i="36"/>
  <c r="H30" i="36"/>
  <c r="F30" i="36"/>
  <c r="D30" i="36"/>
  <c r="B30" i="36"/>
  <c r="N29" i="36"/>
  <c r="L29" i="36"/>
  <c r="J29" i="36"/>
  <c r="H29" i="36"/>
  <c r="F29" i="36"/>
  <c r="D29" i="36"/>
  <c r="B29" i="36"/>
  <c r="N28" i="36"/>
  <c r="L28" i="36"/>
  <c r="J28" i="36"/>
  <c r="H28" i="36"/>
  <c r="F28" i="36"/>
  <c r="D28" i="36"/>
  <c r="B28" i="36"/>
  <c r="N27" i="36"/>
  <c r="L27" i="36"/>
  <c r="J27" i="36"/>
  <c r="H27" i="36"/>
  <c r="F27" i="36"/>
  <c r="D27" i="36"/>
  <c r="B27" i="36"/>
  <c r="N26" i="36"/>
  <c r="L26" i="36"/>
  <c r="J26" i="36"/>
  <c r="H26" i="36"/>
  <c r="F26" i="36"/>
  <c r="D26" i="36"/>
  <c r="B26" i="36"/>
  <c r="N25" i="36"/>
  <c r="L25" i="36"/>
  <c r="J25" i="36"/>
  <c r="H25" i="36"/>
  <c r="F25" i="36"/>
  <c r="D25" i="36"/>
  <c r="B25" i="36"/>
  <c r="N24" i="36"/>
  <c r="L24" i="36"/>
  <c r="J24" i="36"/>
  <c r="H24" i="36"/>
  <c r="F24" i="36"/>
  <c r="D24" i="36"/>
  <c r="B24" i="36"/>
  <c r="N23" i="36"/>
  <c r="L23" i="36"/>
  <c r="J23" i="36"/>
  <c r="H23" i="36"/>
  <c r="F23" i="36"/>
  <c r="D23" i="36"/>
  <c r="B23" i="36"/>
  <c r="N22" i="36"/>
  <c r="L22" i="36"/>
  <c r="J22" i="36"/>
  <c r="H22" i="36"/>
  <c r="F22" i="36"/>
  <c r="D22" i="36"/>
  <c r="B22" i="36"/>
  <c r="N21" i="36"/>
  <c r="L21" i="36"/>
  <c r="J21" i="36"/>
  <c r="H21" i="36"/>
  <c r="F21" i="36"/>
  <c r="D21" i="36"/>
  <c r="B21" i="36"/>
  <c r="N20" i="36"/>
  <c r="L20" i="36"/>
  <c r="J20" i="36"/>
  <c r="H20" i="36"/>
  <c r="F20" i="36"/>
  <c r="D20" i="36"/>
  <c r="B20" i="36"/>
  <c r="N19" i="36"/>
  <c r="L19" i="36"/>
  <c r="J19" i="36"/>
  <c r="H19" i="36"/>
  <c r="F19" i="36"/>
  <c r="D19" i="36"/>
  <c r="B19" i="36"/>
  <c r="N18" i="36"/>
  <c r="L18" i="36"/>
  <c r="J18" i="36"/>
  <c r="H18" i="36"/>
  <c r="F18" i="36"/>
  <c r="D18" i="36"/>
  <c r="B18" i="36"/>
  <c r="N17" i="36"/>
  <c r="L17" i="36"/>
  <c r="J17" i="36"/>
  <c r="H17" i="36"/>
  <c r="F17" i="36"/>
  <c r="D17" i="36"/>
  <c r="B17" i="36"/>
  <c r="N16" i="36"/>
  <c r="L16" i="36"/>
  <c r="J16" i="36"/>
  <c r="H16" i="36"/>
  <c r="F16" i="36"/>
  <c r="D16" i="36"/>
  <c r="B16" i="36"/>
  <c r="N15" i="36"/>
  <c r="L15" i="36"/>
  <c r="J15" i="36"/>
  <c r="H15" i="36"/>
  <c r="F15" i="36"/>
  <c r="D15" i="36"/>
  <c r="B15" i="36"/>
  <c r="N14" i="36"/>
  <c r="L14" i="36"/>
  <c r="J14" i="36"/>
  <c r="H14" i="36"/>
  <c r="F14" i="36"/>
  <c r="D14" i="36"/>
  <c r="B14" i="36"/>
  <c r="N13" i="36"/>
  <c r="L13" i="36"/>
  <c r="J13" i="36"/>
  <c r="H13" i="36"/>
  <c r="H10" i="36" s="1"/>
  <c r="H52" i="36" s="1"/>
  <c r="F13" i="36"/>
  <c r="D13" i="36"/>
  <c r="B13" i="36"/>
  <c r="N12" i="36"/>
  <c r="L12" i="36"/>
  <c r="J12" i="36"/>
  <c r="H12" i="36"/>
  <c r="F12" i="36"/>
  <c r="F10" i="36" s="1"/>
  <c r="F52" i="36" s="1"/>
  <c r="D12" i="36"/>
  <c r="B12" i="36"/>
  <c r="N11" i="36"/>
  <c r="L11" i="36"/>
  <c r="L10" i="36" s="1"/>
  <c r="L52" i="36" s="1"/>
  <c r="J11" i="36"/>
  <c r="H11" i="36"/>
  <c r="F11" i="36"/>
  <c r="D11" i="36"/>
  <c r="D10" i="36" s="1"/>
  <c r="D52" i="36" s="1"/>
  <c r="B11" i="36"/>
  <c r="R10" i="36"/>
  <c r="R52" i="36" s="1"/>
  <c r="R53" i="36" s="1"/>
  <c r="P10" i="36"/>
  <c r="P52" i="36" s="1"/>
  <c r="N10" i="36"/>
  <c r="N52" i="36" s="1"/>
  <c r="R216" i="33"/>
  <c r="R217" i="33" s="1"/>
  <c r="N214" i="33"/>
  <c r="L214" i="33"/>
  <c r="J214" i="33"/>
  <c r="H214" i="33"/>
  <c r="F214" i="33"/>
  <c r="D214" i="33"/>
  <c r="B214" i="33"/>
  <c r="N213" i="33"/>
  <c r="L213" i="33"/>
  <c r="J213" i="33"/>
  <c r="H213" i="33"/>
  <c r="F213" i="33"/>
  <c r="D213" i="33"/>
  <c r="B213" i="33"/>
  <c r="N212" i="33"/>
  <c r="N211" i="33" s="1"/>
  <c r="L212" i="33"/>
  <c r="J212" i="33"/>
  <c r="J211" i="33" s="1"/>
  <c r="H212" i="33"/>
  <c r="H211" i="33" s="1"/>
  <c r="F212" i="33"/>
  <c r="F211" i="33" s="1"/>
  <c r="D212" i="33"/>
  <c r="B212" i="33"/>
  <c r="R211" i="33"/>
  <c r="P211" i="33"/>
  <c r="L211" i="33"/>
  <c r="D211" i="33"/>
  <c r="B209" i="33"/>
  <c r="R208" i="33"/>
  <c r="P208" i="33"/>
  <c r="N208" i="33"/>
  <c r="L208" i="33"/>
  <c r="J208" i="33"/>
  <c r="H208" i="33"/>
  <c r="F208" i="33"/>
  <c r="D208" i="33"/>
  <c r="B208" i="33"/>
  <c r="B207" i="33"/>
  <c r="B206" i="33"/>
  <c r="B205" i="33"/>
  <c r="R204" i="33"/>
  <c r="P204" i="33"/>
  <c r="N204" i="33"/>
  <c r="L204" i="33"/>
  <c r="J204" i="33"/>
  <c r="H204" i="33"/>
  <c r="F204" i="33"/>
  <c r="D204" i="33"/>
  <c r="B204" i="33"/>
  <c r="B203" i="33"/>
  <c r="R202" i="33"/>
  <c r="P202" i="33"/>
  <c r="N202" i="33"/>
  <c r="L202" i="33"/>
  <c r="J202" i="33"/>
  <c r="H202" i="33"/>
  <c r="F202" i="33"/>
  <c r="D202" i="33"/>
  <c r="B202" i="33"/>
  <c r="B201" i="33"/>
  <c r="B200" i="33"/>
  <c r="R199" i="33"/>
  <c r="P199" i="33"/>
  <c r="N199" i="33"/>
  <c r="L199" i="33"/>
  <c r="J199" i="33"/>
  <c r="H199" i="33"/>
  <c r="F199" i="33"/>
  <c r="D199" i="33"/>
  <c r="B199" i="33"/>
  <c r="B198" i="33"/>
  <c r="B197" i="33"/>
  <c r="B196" i="33"/>
  <c r="B195" i="33"/>
  <c r="B194" i="33"/>
  <c r="B193" i="33"/>
  <c r="B192" i="33"/>
  <c r="B191" i="33"/>
  <c r="B190" i="33"/>
  <c r="R189" i="33"/>
  <c r="P189" i="33"/>
  <c r="N189" i="33"/>
  <c r="L189" i="33"/>
  <c r="J189" i="33"/>
  <c r="H189" i="33"/>
  <c r="F189" i="33"/>
  <c r="D189" i="33"/>
  <c r="B189" i="33"/>
  <c r="B188" i="33"/>
  <c r="B187" i="33"/>
  <c r="R186" i="33"/>
  <c r="P186" i="33"/>
  <c r="N186" i="33"/>
  <c r="L186" i="33"/>
  <c r="J186" i="33"/>
  <c r="H186" i="33"/>
  <c r="F186" i="33"/>
  <c r="D186" i="33"/>
  <c r="B186" i="33"/>
  <c r="B185" i="33"/>
  <c r="B184" i="33"/>
  <c r="B183" i="33"/>
  <c r="R182" i="33"/>
  <c r="P182" i="33"/>
  <c r="N182" i="33"/>
  <c r="L182" i="33"/>
  <c r="J182" i="33"/>
  <c r="H182" i="33"/>
  <c r="F182" i="33"/>
  <c r="D182" i="33"/>
  <c r="B182" i="33"/>
  <c r="B181" i="33"/>
  <c r="B180" i="33"/>
  <c r="B179" i="33"/>
  <c r="R178" i="33"/>
  <c r="P178" i="33"/>
  <c r="N178" i="33"/>
  <c r="L178" i="33"/>
  <c r="J178" i="33"/>
  <c r="H178" i="33"/>
  <c r="F178" i="33"/>
  <c r="D178" i="33"/>
  <c r="B178" i="33"/>
  <c r="B177" i="33"/>
  <c r="B176" i="33"/>
  <c r="B175" i="33"/>
  <c r="B174" i="33"/>
  <c r="R173" i="33"/>
  <c r="P173" i="33"/>
  <c r="N173" i="33"/>
  <c r="L173" i="33"/>
  <c r="J173" i="33"/>
  <c r="H173" i="33"/>
  <c r="F173" i="33"/>
  <c r="D173" i="33"/>
  <c r="B173" i="33"/>
  <c r="B172" i="33"/>
  <c r="R171" i="33"/>
  <c r="P171" i="33"/>
  <c r="N171" i="33"/>
  <c r="L171" i="33"/>
  <c r="J171" i="33"/>
  <c r="H171" i="33"/>
  <c r="F171" i="33"/>
  <c r="D171" i="33"/>
  <c r="B171" i="33"/>
  <c r="B170" i="33"/>
  <c r="R169" i="33"/>
  <c r="P169" i="33"/>
  <c r="N169" i="33"/>
  <c r="L169" i="33"/>
  <c r="J169" i="33"/>
  <c r="H169" i="33"/>
  <c r="F169" i="33"/>
  <c r="D169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R147" i="33"/>
  <c r="P147" i="33"/>
  <c r="N147" i="33"/>
  <c r="L147" i="33"/>
  <c r="J147" i="33"/>
  <c r="H147" i="33"/>
  <c r="F147" i="33"/>
  <c r="D147" i="33"/>
  <c r="B147" i="33"/>
  <c r="B146" i="33"/>
  <c r="R145" i="33"/>
  <c r="P145" i="33"/>
  <c r="N145" i="33"/>
  <c r="L145" i="33"/>
  <c r="J145" i="33"/>
  <c r="H145" i="33"/>
  <c r="F145" i="33"/>
  <c r="D145" i="33"/>
  <c r="B145" i="33"/>
  <c r="B144" i="33"/>
  <c r="B143" i="33"/>
  <c r="R142" i="33"/>
  <c r="P142" i="33"/>
  <c r="N142" i="33"/>
  <c r="L142" i="33"/>
  <c r="J142" i="33"/>
  <c r="H142" i="33"/>
  <c r="F142" i="33"/>
  <c r="D142" i="33"/>
  <c r="B142" i="33"/>
  <c r="B141" i="33"/>
  <c r="B140" i="33"/>
  <c r="R139" i="33"/>
  <c r="P139" i="33"/>
  <c r="N139" i="33"/>
  <c r="L139" i="33"/>
  <c r="J139" i="33"/>
  <c r="H139" i="33"/>
  <c r="F139" i="33"/>
  <c r="D139" i="33"/>
  <c r="B139" i="33"/>
  <c r="B138" i="33"/>
  <c r="R137" i="33"/>
  <c r="P137" i="33"/>
  <c r="N137" i="33"/>
  <c r="L137" i="33"/>
  <c r="J137" i="33"/>
  <c r="H137" i="33"/>
  <c r="F137" i="33"/>
  <c r="D137" i="33"/>
  <c r="B137" i="33"/>
  <c r="B136" i="33"/>
  <c r="B135" i="33"/>
  <c r="R134" i="33"/>
  <c r="P134" i="33"/>
  <c r="N134" i="33"/>
  <c r="L134" i="33"/>
  <c r="J134" i="33"/>
  <c r="H134" i="33"/>
  <c r="F134" i="33"/>
  <c r="D134" i="33"/>
  <c r="B134" i="33"/>
  <c r="B133" i="33"/>
  <c r="B132" i="33"/>
  <c r="R131" i="33"/>
  <c r="P131" i="33"/>
  <c r="N131" i="33"/>
  <c r="L131" i="33"/>
  <c r="J131" i="33"/>
  <c r="H131" i="33"/>
  <c r="F131" i="33"/>
  <c r="D131" i="33"/>
  <c r="B131" i="33"/>
  <c r="B130" i="33"/>
  <c r="R129" i="33"/>
  <c r="P129" i="33"/>
  <c r="N129" i="33"/>
  <c r="L129" i="33"/>
  <c r="J129" i="33"/>
  <c r="H129" i="33"/>
  <c r="F129" i="33"/>
  <c r="D129" i="33"/>
  <c r="B129" i="33"/>
  <c r="B128" i="33"/>
  <c r="R127" i="33"/>
  <c r="P127" i="33"/>
  <c r="N127" i="33"/>
  <c r="L127" i="33"/>
  <c r="J127" i="33"/>
  <c r="H127" i="33"/>
  <c r="F127" i="33"/>
  <c r="D127" i="33"/>
  <c r="B127" i="33"/>
  <c r="B126" i="33"/>
  <c r="R125" i="33"/>
  <c r="P125" i="33"/>
  <c r="N125" i="33"/>
  <c r="L125" i="33"/>
  <c r="J125" i="33"/>
  <c r="H125" i="33"/>
  <c r="F125" i="33"/>
  <c r="D125" i="33"/>
  <c r="B125" i="33"/>
  <c r="B124" i="33"/>
  <c r="B123" i="33"/>
  <c r="B122" i="33"/>
  <c r="B121" i="33"/>
  <c r="B120" i="33"/>
  <c r="B119" i="33"/>
  <c r="B118" i="33"/>
  <c r="B117" i="33"/>
  <c r="B116" i="33"/>
  <c r="B115" i="33"/>
  <c r="R114" i="33"/>
  <c r="P114" i="33"/>
  <c r="N114" i="33"/>
  <c r="L114" i="33"/>
  <c r="J114" i="33"/>
  <c r="H114" i="33"/>
  <c r="F114" i="33"/>
  <c r="D114" i="33"/>
  <c r="B114" i="33"/>
  <c r="B113" i="33"/>
  <c r="B112" i="33"/>
  <c r="B111" i="33"/>
  <c r="B110" i="33"/>
  <c r="B109" i="33"/>
  <c r="B108" i="33"/>
  <c r="B107" i="33"/>
  <c r="B106" i="33"/>
  <c r="B105" i="33"/>
  <c r="R104" i="33"/>
  <c r="P104" i="33"/>
  <c r="N104" i="33"/>
  <c r="L104" i="33"/>
  <c r="J104" i="33"/>
  <c r="H104" i="33"/>
  <c r="F104" i="33"/>
  <c r="D104" i="33"/>
  <c r="B104" i="33"/>
  <c r="R103" i="33"/>
  <c r="P103" i="33"/>
  <c r="N103" i="33"/>
  <c r="L103" i="33"/>
  <c r="J103" i="33"/>
  <c r="H103" i="33"/>
  <c r="F103" i="33"/>
  <c r="D103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R63" i="33"/>
  <c r="P63" i="33"/>
  <c r="N63" i="33"/>
  <c r="L63" i="33"/>
  <c r="J63" i="33"/>
  <c r="H63" i="33"/>
  <c r="F63" i="33"/>
  <c r="D63" i="33"/>
  <c r="N61" i="33"/>
  <c r="L61" i="33"/>
  <c r="J61" i="33"/>
  <c r="H61" i="33"/>
  <c r="F61" i="33"/>
  <c r="D61" i="33"/>
  <c r="B61" i="33"/>
  <c r="N60" i="33"/>
  <c r="L60" i="33"/>
  <c r="J60" i="33"/>
  <c r="H60" i="33"/>
  <c r="F60" i="33"/>
  <c r="D60" i="33"/>
  <c r="B60" i="33"/>
  <c r="N59" i="33"/>
  <c r="L59" i="33"/>
  <c r="J59" i="33"/>
  <c r="H59" i="33"/>
  <c r="F59" i="33"/>
  <c r="D59" i="33"/>
  <c r="B59" i="33"/>
  <c r="N58" i="33"/>
  <c r="L58" i="33"/>
  <c r="J58" i="33"/>
  <c r="H58" i="33"/>
  <c r="F58" i="33"/>
  <c r="D58" i="33"/>
  <c r="B58" i="33"/>
  <c r="N57" i="33"/>
  <c r="L57" i="33"/>
  <c r="J57" i="33"/>
  <c r="H57" i="33"/>
  <c r="F57" i="33"/>
  <c r="D57" i="33"/>
  <c r="B57" i="33"/>
  <c r="N56" i="33"/>
  <c r="L56" i="33"/>
  <c r="J56" i="33"/>
  <c r="H56" i="33"/>
  <c r="F56" i="33"/>
  <c r="D56" i="33"/>
  <c r="B56" i="33"/>
  <c r="N55" i="33"/>
  <c r="L55" i="33"/>
  <c r="J55" i="33"/>
  <c r="H55" i="33"/>
  <c r="F55" i="33"/>
  <c r="D55" i="33"/>
  <c r="B55" i="33"/>
  <c r="N54" i="33"/>
  <c r="L54" i="33"/>
  <c r="J54" i="33"/>
  <c r="H54" i="33"/>
  <c r="F54" i="33"/>
  <c r="D54" i="33"/>
  <c r="B54" i="33"/>
  <c r="N53" i="33"/>
  <c r="L53" i="33"/>
  <c r="J53" i="33"/>
  <c r="H53" i="33"/>
  <c r="F53" i="33"/>
  <c r="D53" i="33"/>
  <c r="B53" i="33"/>
  <c r="N52" i="33"/>
  <c r="L52" i="33"/>
  <c r="J52" i="33"/>
  <c r="H52" i="33"/>
  <c r="F52" i="33"/>
  <c r="D52" i="33"/>
  <c r="B52" i="33"/>
  <c r="N51" i="33"/>
  <c r="L51" i="33"/>
  <c r="J51" i="33"/>
  <c r="H51" i="33"/>
  <c r="F51" i="33"/>
  <c r="D51" i="33"/>
  <c r="B51" i="33"/>
  <c r="N50" i="33"/>
  <c r="L50" i="33"/>
  <c r="J50" i="33"/>
  <c r="H50" i="33"/>
  <c r="F50" i="33"/>
  <c r="D50" i="33"/>
  <c r="B50" i="33"/>
  <c r="N49" i="33"/>
  <c r="L49" i="33"/>
  <c r="J49" i="33"/>
  <c r="H49" i="33"/>
  <c r="F49" i="33"/>
  <c r="D49" i="33"/>
  <c r="B49" i="33"/>
  <c r="N48" i="33"/>
  <c r="L48" i="33"/>
  <c r="J48" i="33"/>
  <c r="H48" i="33"/>
  <c r="F48" i="33"/>
  <c r="D48" i="33"/>
  <c r="B48" i="33"/>
  <c r="N47" i="33"/>
  <c r="L47" i="33"/>
  <c r="J47" i="33"/>
  <c r="H47" i="33"/>
  <c r="F47" i="33"/>
  <c r="D47" i="33"/>
  <c r="B47" i="33"/>
  <c r="N46" i="33"/>
  <c r="L46" i="33"/>
  <c r="J46" i="33"/>
  <c r="H46" i="33"/>
  <c r="F46" i="33"/>
  <c r="D46" i="33"/>
  <c r="B46" i="33"/>
  <c r="N45" i="33"/>
  <c r="L45" i="33"/>
  <c r="J45" i="33"/>
  <c r="H45" i="33"/>
  <c r="F45" i="33"/>
  <c r="D45" i="33"/>
  <c r="B45" i="33"/>
  <c r="N44" i="33"/>
  <c r="L44" i="33"/>
  <c r="J44" i="33"/>
  <c r="H44" i="33"/>
  <c r="F44" i="33"/>
  <c r="D44" i="33"/>
  <c r="B44" i="33"/>
  <c r="N43" i="33"/>
  <c r="L43" i="33"/>
  <c r="J43" i="33"/>
  <c r="H43" i="33"/>
  <c r="F43" i="33"/>
  <c r="D43" i="33"/>
  <c r="B43" i="33"/>
  <c r="N42" i="33"/>
  <c r="L42" i="33"/>
  <c r="J42" i="33"/>
  <c r="H42" i="33"/>
  <c r="F42" i="33"/>
  <c r="D42" i="33"/>
  <c r="B42" i="33"/>
  <c r="N41" i="33"/>
  <c r="L41" i="33"/>
  <c r="J41" i="33"/>
  <c r="H41" i="33"/>
  <c r="F41" i="33"/>
  <c r="D41" i="33"/>
  <c r="B41" i="33"/>
  <c r="N40" i="33"/>
  <c r="L40" i="33"/>
  <c r="J40" i="33"/>
  <c r="H40" i="33"/>
  <c r="F40" i="33"/>
  <c r="D40" i="33"/>
  <c r="B40" i="33"/>
  <c r="N39" i="33"/>
  <c r="L39" i="33"/>
  <c r="J39" i="33"/>
  <c r="H39" i="33"/>
  <c r="F39" i="33"/>
  <c r="D39" i="33"/>
  <c r="B39" i="33"/>
  <c r="N38" i="33"/>
  <c r="L38" i="33"/>
  <c r="J38" i="33"/>
  <c r="H38" i="33"/>
  <c r="F38" i="33"/>
  <c r="D38" i="33"/>
  <c r="B38" i="33"/>
  <c r="N37" i="33"/>
  <c r="L37" i="33"/>
  <c r="J37" i="33"/>
  <c r="H37" i="33"/>
  <c r="F37" i="33"/>
  <c r="D37" i="33"/>
  <c r="B37" i="33"/>
  <c r="N36" i="33"/>
  <c r="L36" i="33"/>
  <c r="J36" i="33"/>
  <c r="H36" i="33"/>
  <c r="F36" i="33"/>
  <c r="D36" i="33"/>
  <c r="B36" i="33"/>
  <c r="N35" i="33"/>
  <c r="L35" i="33"/>
  <c r="J35" i="33"/>
  <c r="H35" i="33"/>
  <c r="F35" i="33"/>
  <c r="D35" i="33"/>
  <c r="B35" i="33"/>
  <c r="N34" i="33"/>
  <c r="L34" i="33"/>
  <c r="J34" i="33"/>
  <c r="H34" i="33"/>
  <c r="F34" i="33"/>
  <c r="D34" i="33"/>
  <c r="B34" i="33"/>
  <c r="N33" i="33"/>
  <c r="L33" i="33"/>
  <c r="J33" i="33"/>
  <c r="H33" i="33"/>
  <c r="F33" i="33"/>
  <c r="D33" i="33"/>
  <c r="B33" i="33"/>
  <c r="N32" i="33"/>
  <c r="L32" i="33"/>
  <c r="J32" i="33"/>
  <c r="H32" i="33"/>
  <c r="F32" i="33"/>
  <c r="D32" i="33"/>
  <c r="B32" i="33"/>
  <c r="N31" i="33"/>
  <c r="L31" i="33"/>
  <c r="J31" i="33"/>
  <c r="H31" i="33"/>
  <c r="F31" i="33"/>
  <c r="D31" i="33"/>
  <c r="B31" i="33"/>
  <c r="N30" i="33"/>
  <c r="L30" i="33"/>
  <c r="J30" i="33"/>
  <c r="H30" i="33"/>
  <c r="F30" i="33"/>
  <c r="D30" i="33"/>
  <c r="B30" i="33"/>
  <c r="N29" i="33"/>
  <c r="L29" i="33"/>
  <c r="J29" i="33"/>
  <c r="H29" i="33"/>
  <c r="F29" i="33"/>
  <c r="D29" i="33"/>
  <c r="B29" i="33"/>
  <c r="N28" i="33"/>
  <c r="L28" i="33"/>
  <c r="J28" i="33"/>
  <c r="H28" i="33"/>
  <c r="F28" i="33"/>
  <c r="D28" i="33"/>
  <c r="B28" i="33"/>
  <c r="N27" i="33"/>
  <c r="L27" i="33"/>
  <c r="J27" i="33"/>
  <c r="H27" i="33"/>
  <c r="F27" i="33"/>
  <c r="D27" i="33"/>
  <c r="B27" i="33"/>
  <c r="N26" i="33"/>
  <c r="L26" i="33"/>
  <c r="J26" i="33"/>
  <c r="H26" i="33"/>
  <c r="F26" i="33"/>
  <c r="D26" i="33"/>
  <c r="B26" i="33"/>
  <c r="N25" i="33"/>
  <c r="L25" i="33"/>
  <c r="J25" i="33"/>
  <c r="H25" i="33"/>
  <c r="F25" i="33"/>
  <c r="D25" i="33"/>
  <c r="B25" i="33"/>
  <c r="N24" i="33"/>
  <c r="L24" i="33"/>
  <c r="J24" i="33"/>
  <c r="H24" i="33"/>
  <c r="F24" i="33"/>
  <c r="D24" i="33"/>
  <c r="B24" i="33"/>
  <c r="N23" i="33"/>
  <c r="L23" i="33"/>
  <c r="J23" i="33"/>
  <c r="H23" i="33"/>
  <c r="F23" i="33"/>
  <c r="D23" i="33"/>
  <c r="B23" i="33"/>
  <c r="N22" i="33"/>
  <c r="L22" i="33"/>
  <c r="J22" i="33"/>
  <c r="H22" i="33"/>
  <c r="F22" i="33"/>
  <c r="D22" i="33"/>
  <c r="B22" i="33"/>
  <c r="N21" i="33"/>
  <c r="L21" i="33"/>
  <c r="J21" i="33"/>
  <c r="H21" i="33"/>
  <c r="F21" i="33"/>
  <c r="D21" i="33"/>
  <c r="B21" i="33"/>
  <c r="N20" i="33"/>
  <c r="L20" i="33"/>
  <c r="J20" i="33"/>
  <c r="H20" i="33"/>
  <c r="F20" i="33"/>
  <c r="D20" i="33"/>
  <c r="B20" i="33"/>
  <c r="N19" i="33"/>
  <c r="L19" i="33"/>
  <c r="J19" i="33"/>
  <c r="H19" i="33"/>
  <c r="F19" i="33"/>
  <c r="D19" i="33"/>
  <c r="B19" i="33"/>
  <c r="N18" i="33"/>
  <c r="L18" i="33"/>
  <c r="J18" i="33"/>
  <c r="H18" i="33"/>
  <c r="F18" i="33"/>
  <c r="D18" i="33"/>
  <c r="B18" i="33"/>
  <c r="N17" i="33"/>
  <c r="L17" i="33"/>
  <c r="J17" i="33"/>
  <c r="H17" i="33"/>
  <c r="F17" i="33"/>
  <c r="D17" i="33"/>
  <c r="B17" i="33"/>
  <c r="N16" i="33"/>
  <c r="L16" i="33"/>
  <c r="J16" i="33"/>
  <c r="H16" i="33"/>
  <c r="F16" i="33"/>
  <c r="D16" i="33"/>
  <c r="B16" i="33"/>
  <c r="N15" i="33"/>
  <c r="L15" i="33"/>
  <c r="J15" i="33"/>
  <c r="H15" i="33"/>
  <c r="F15" i="33"/>
  <c r="D15" i="33"/>
  <c r="B15" i="33"/>
  <c r="N14" i="33"/>
  <c r="L14" i="33"/>
  <c r="J14" i="33"/>
  <c r="H14" i="33"/>
  <c r="F14" i="33"/>
  <c r="D14" i="33"/>
  <c r="B14" i="33"/>
  <c r="N13" i="33"/>
  <c r="L13" i="33"/>
  <c r="J13" i="33"/>
  <c r="H13" i="33"/>
  <c r="F13" i="33"/>
  <c r="D13" i="33"/>
  <c r="B13" i="33"/>
  <c r="N12" i="33"/>
  <c r="L12" i="33"/>
  <c r="J12" i="33"/>
  <c r="H12" i="33"/>
  <c r="H10" i="33" s="1"/>
  <c r="H100" i="33" s="1"/>
  <c r="F12" i="33"/>
  <c r="D12" i="33"/>
  <c r="B12" i="33"/>
  <c r="N11" i="33"/>
  <c r="N10" i="33" s="1"/>
  <c r="N100" i="33" s="1"/>
  <c r="L11" i="33"/>
  <c r="J11" i="33"/>
  <c r="J10" i="33" s="1"/>
  <c r="J100" i="33" s="1"/>
  <c r="J101" i="33" s="1"/>
  <c r="H11" i="33"/>
  <c r="F11" i="33"/>
  <c r="F10" i="33" s="1"/>
  <c r="F100" i="33" s="1"/>
  <c r="D11" i="33"/>
  <c r="B11" i="33"/>
  <c r="R10" i="33"/>
  <c r="R100" i="33" s="1"/>
  <c r="R101" i="33" s="1"/>
  <c r="P10" i="33"/>
  <c r="P100" i="33" s="1"/>
  <c r="N170" i="30"/>
  <c r="L170" i="30"/>
  <c r="J170" i="30"/>
  <c r="H170" i="30"/>
  <c r="F170" i="30"/>
  <c r="D170" i="30"/>
  <c r="B170" i="30"/>
  <c r="N169" i="30"/>
  <c r="L169" i="30"/>
  <c r="J169" i="30"/>
  <c r="H169" i="30"/>
  <c r="F169" i="30"/>
  <c r="D169" i="30"/>
  <c r="B169" i="30"/>
  <c r="N168" i="30"/>
  <c r="L168" i="30"/>
  <c r="J168" i="30"/>
  <c r="H168" i="30"/>
  <c r="F168" i="30"/>
  <c r="D168" i="30"/>
  <c r="B168" i="30"/>
  <c r="N167" i="30"/>
  <c r="N166" i="30" s="1"/>
  <c r="L167" i="30"/>
  <c r="J167" i="30"/>
  <c r="J166" i="30" s="1"/>
  <c r="H167" i="30"/>
  <c r="H166" i="30" s="1"/>
  <c r="F167" i="30"/>
  <c r="F166" i="30" s="1"/>
  <c r="D167" i="30"/>
  <c r="B167" i="30"/>
  <c r="R166" i="30"/>
  <c r="P166" i="30"/>
  <c r="L166" i="30"/>
  <c r="L172" i="30" s="1"/>
  <c r="L177" i="30" s="1"/>
  <c r="D166" i="30"/>
  <c r="B164" i="30"/>
  <c r="R163" i="30"/>
  <c r="P163" i="30"/>
  <c r="N163" i="30"/>
  <c r="L163" i="30"/>
  <c r="J163" i="30"/>
  <c r="H163" i="30"/>
  <c r="F163" i="30"/>
  <c r="D163" i="30"/>
  <c r="B163" i="30"/>
  <c r="B162" i="30"/>
  <c r="B161" i="30"/>
  <c r="R160" i="30"/>
  <c r="P160" i="30"/>
  <c r="N160" i="30"/>
  <c r="L160" i="30"/>
  <c r="J160" i="30"/>
  <c r="H160" i="30"/>
  <c r="F160" i="30"/>
  <c r="D160" i="30"/>
  <c r="B160" i="30"/>
  <c r="B159" i="30"/>
  <c r="R158" i="30"/>
  <c r="P158" i="30"/>
  <c r="N158" i="30"/>
  <c r="L158" i="30"/>
  <c r="J158" i="30"/>
  <c r="H158" i="30"/>
  <c r="F158" i="30"/>
  <c r="D158" i="30"/>
  <c r="B158" i="30"/>
  <c r="B157" i="30"/>
  <c r="B156" i="30"/>
  <c r="R155" i="30"/>
  <c r="P155" i="30"/>
  <c r="N155" i="30"/>
  <c r="L155" i="30"/>
  <c r="J155" i="30"/>
  <c r="H155" i="30"/>
  <c r="F155" i="30"/>
  <c r="D155" i="30"/>
  <c r="B155" i="30"/>
  <c r="B154" i="30"/>
  <c r="B153" i="30"/>
  <c r="B152" i="30"/>
  <c r="B151" i="30"/>
  <c r="R150" i="30"/>
  <c r="P150" i="30"/>
  <c r="N150" i="30"/>
  <c r="L150" i="30"/>
  <c r="J150" i="30"/>
  <c r="H150" i="30"/>
  <c r="F150" i="30"/>
  <c r="D150" i="30"/>
  <c r="B150" i="30"/>
  <c r="B149" i="30"/>
  <c r="B148" i="30"/>
  <c r="R147" i="30"/>
  <c r="P147" i="30"/>
  <c r="N147" i="30"/>
  <c r="L147" i="30"/>
  <c r="J147" i="30"/>
  <c r="H147" i="30"/>
  <c r="F147" i="30"/>
  <c r="D147" i="30"/>
  <c r="B147" i="30"/>
  <c r="B146" i="30"/>
  <c r="R145" i="30"/>
  <c r="P145" i="30"/>
  <c r="N145" i="30"/>
  <c r="L145" i="30"/>
  <c r="J145" i="30"/>
  <c r="H145" i="30"/>
  <c r="F145" i="30"/>
  <c r="D145" i="30"/>
  <c r="B145" i="30"/>
  <c r="B144" i="30"/>
  <c r="B143" i="30"/>
  <c r="B142" i="30"/>
  <c r="R141" i="30"/>
  <c r="P141" i="30"/>
  <c r="N141" i="30"/>
  <c r="L141" i="30"/>
  <c r="J141" i="30"/>
  <c r="H141" i="30"/>
  <c r="F141" i="30"/>
  <c r="D141" i="30"/>
  <c r="B141" i="30"/>
  <c r="B140" i="30"/>
  <c r="R139" i="30"/>
  <c r="P139" i="30"/>
  <c r="N139" i="30"/>
  <c r="L139" i="30"/>
  <c r="J139" i="30"/>
  <c r="H139" i="30"/>
  <c r="F139" i="30"/>
  <c r="D139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R125" i="30"/>
  <c r="P125" i="30"/>
  <c r="N125" i="30"/>
  <c r="L125" i="30"/>
  <c r="J125" i="30"/>
  <c r="H125" i="30"/>
  <c r="F125" i="30"/>
  <c r="D125" i="30"/>
  <c r="B125" i="30"/>
  <c r="B124" i="30"/>
  <c r="B123" i="30"/>
  <c r="R122" i="30"/>
  <c r="P122" i="30"/>
  <c r="N122" i="30"/>
  <c r="L122" i="30"/>
  <c r="J122" i="30"/>
  <c r="H122" i="30"/>
  <c r="F122" i="30"/>
  <c r="D122" i="30"/>
  <c r="B122" i="30"/>
  <c r="B121" i="30"/>
  <c r="B120" i="30"/>
  <c r="R119" i="30"/>
  <c r="P119" i="30"/>
  <c r="N119" i="30"/>
  <c r="L119" i="30"/>
  <c r="J119" i="30"/>
  <c r="H119" i="30"/>
  <c r="F119" i="30"/>
  <c r="D119" i="30"/>
  <c r="B119" i="30"/>
  <c r="B118" i="30"/>
  <c r="R117" i="30"/>
  <c r="P117" i="30"/>
  <c r="N117" i="30"/>
  <c r="L117" i="30"/>
  <c r="J117" i="30"/>
  <c r="H117" i="30"/>
  <c r="F117" i="30"/>
  <c r="D117" i="30"/>
  <c r="B117" i="30"/>
  <c r="B116" i="30"/>
  <c r="R115" i="30"/>
  <c r="P115" i="30"/>
  <c r="N115" i="30"/>
  <c r="L115" i="30"/>
  <c r="J115" i="30"/>
  <c r="H115" i="30"/>
  <c r="F115" i="30"/>
  <c r="D115" i="30"/>
  <c r="B115" i="30"/>
  <c r="B114" i="30"/>
  <c r="B113" i="30"/>
  <c r="R112" i="30"/>
  <c r="P112" i="30"/>
  <c r="N112" i="30"/>
  <c r="L112" i="30"/>
  <c r="J112" i="30"/>
  <c r="H112" i="30"/>
  <c r="F112" i="30"/>
  <c r="D112" i="30"/>
  <c r="B112" i="30"/>
  <c r="B111" i="30"/>
  <c r="R110" i="30"/>
  <c r="P110" i="30"/>
  <c r="N110" i="30"/>
  <c r="L110" i="30"/>
  <c r="J110" i="30"/>
  <c r="H110" i="30"/>
  <c r="F110" i="30"/>
  <c r="D110" i="30"/>
  <c r="B110" i="30"/>
  <c r="B109" i="30"/>
  <c r="B108" i="30"/>
  <c r="B107" i="30"/>
  <c r="B106" i="30"/>
  <c r="B105" i="30"/>
  <c r="B104" i="30"/>
  <c r="B103" i="30"/>
  <c r="B102" i="30"/>
  <c r="B101" i="30"/>
  <c r="B100" i="30"/>
  <c r="R99" i="30"/>
  <c r="P99" i="30"/>
  <c r="N99" i="30"/>
  <c r="L99" i="30"/>
  <c r="J99" i="30"/>
  <c r="H99" i="30"/>
  <c r="F99" i="30"/>
  <c r="D99" i="30"/>
  <c r="B99" i="30"/>
  <c r="B98" i="30"/>
  <c r="B97" i="30"/>
  <c r="B96" i="30"/>
  <c r="B95" i="30"/>
  <c r="B94" i="30"/>
  <c r="B93" i="30"/>
  <c r="B92" i="30"/>
  <c r="B91" i="30"/>
  <c r="B90" i="30"/>
  <c r="B89" i="30"/>
  <c r="R88" i="30"/>
  <c r="P88" i="30"/>
  <c r="N88" i="30"/>
  <c r="L88" i="30"/>
  <c r="J88" i="30"/>
  <c r="H88" i="30"/>
  <c r="F88" i="30"/>
  <c r="D88" i="30"/>
  <c r="B88" i="30"/>
  <c r="R87" i="30"/>
  <c r="P87" i="30"/>
  <c r="N87" i="30"/>
  <c r="L87" i="30"/>
  <c r="J87" i="30"/>
  <c r="H87" i="30"/>
  <c r="F87" i="30"/>
  <c r="D87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R56" i="30"/>
  <c r="P56" i="30"/>
  <c r="N56" i="30"/>
  <c r="L56" i="30"/>
  <c r="J56" i="30"/>
  <c r="H56" i="30"/>
  <c r="F56" i="30"/>
  <c r="D56" i="30"/>
  <c r="N54" i="30"/>
  <c r="L54" i="30"/>
  <c r="J54" i="30"/>
  <c r="H54" i="30"/>
  <c r="F54" i="30"/>
  <c r="D54" i="30"/>
  <c r="B54" i="30"/>
  <c r="N53" i="30"/>
  <c r="L53" i="30"/>
  <c r="J53" i="30"/>
  <c r="H53" i="30"/>
  <c r="F53" i="30"/>
  <c r="D53" i="30"/>
  <c r="B53" i="30"/>
  <c r="N52" i="30"/>
  <c r="L52" i="30"/>
  <c r="J52" i="30"/>
  <c r="H52" i="30"/>
  <c r="F52" i="30"/>
  <c r="D52" i="30"/>
  <c r="B52" i="30"/>
  <c r="N51" i="30"/>
  <c r="L51" i="30"/>
  <c r="J51" i="30"/>
  <c r="H51" i="30"/>
  <c r="F51" i="30"/>
  <c r="D51" i="30"/>
  <c r="B51" i="30"/>
  <c r="N50" i="30"/>
  <c r="L50" i="30"/>
  <c r="J50" i="30"/>
  <c r="H50" i="30"/>
  <c r="F50" i="30"/>
  <c r="D50" i="30"/>
  <c r="B50" i="30"/>
  <c r="N49" i="30"/>
  <c r="L49" i="30"/>
  <c r="J49" i="30"/>
  <c r="H49" i="30"/>
  <c r="F49" i="30"/>
  <c r="D49" i="30"/>
  <c r="B49" i="30"/>
  <c r="N48" i="30"/>
  <c r="L48" i="30"/>
  <c r="J48" i="30"/>
  <c r="H48" i="30"/>
  <c r="F48" i="30"/>
  <c r="D48" i="30"/>
  <c r="B48" i="30"/>
  <c r="N47" i="30"/>
  <c r="L47" i="30"/>
  <c r="J47" i="30"/>
  <c r="H47" i="30"/>
  <c r="F47" i="30"/>
  <c r="D47" i="30"/>
  <c r="B47" i="30"/>
  <c r="N46" i="30"/>
  <c r="L46" i="30"/>
  <c r="J46" i="30"/>
  <c r="H46" i="30"/>
  <c r="F46" i="30"/>
  <c r="D46" i="30"/>
  <c r="B46" i="30"/>
  <c r="N45" i="30"/>
  <c r="L45" i="30"/>
  <c r="J45" i="30"/>
  <c r="H45" i="30"/>
  <c r="F45" i="30"/>
  <c r="D45" i="30"/>
  <c r="B45" i="30"/>
  <c r="N44" i="30"/>
  <c r="L44" i="30"/>
  <c r="J44" i="30"/>
  <c r="H44" i="30"/>
  <c r="F44" i="30"/>
  <c r="D44" i="30"/>
  <c r="B44" i="30"/>
  <c r="N43" i="30"/>
  <c r="L43" i="30"/>
  <c r="J43" i="30"/>
  <c r="H43" i="30"/>
  <c r="F43" i="30"/>
  <c r="D43" i="30"/>
  <c r="B43" i="30"/>
  <c r="N42" i="30"/>
  <c r="L42" i="30"/>
  <c r="J42" i="30"/>
  <c r="H42" i="30"/>
  <c r="F42" i="30"/>
  <c r="D42" i="30"/>
  <c r="B42" i="30"/>
  <c r="N41" i="30"/>
  <c r="L41" i="30"/>
  <c r="J41" i="30"/>
  <c r="H41" i="30"/>
  <c r="F41" i="30"/>
  <c r="D41" i="30"/>
  <c r="B41" i="30"/>
  <c r="N40" i="30"/>
  <c r="L40" i="30"/>
  <c r="J40" i="30"/>
  <c r="H40" i="30"/>
  <c r="F40" i="30"/>
  <c r="D40" i="30"/>
  <c r="B40" i="30"/>
  <c r="N39" i="30"/>
  <c r="L39" i="30"/>
  <c r="J39" i="30"/>
  <c r="H39" i="30"/>
  <c r="F39" i="30"/>
  <c r="D39" i="30"/>
  <c r="B39" i="30"/>
  <c r="N38" i="30"/>
  <c r="L38" i="30"/>
  <c r="J38" i="30"/>
  <c r="H38" i="30"/>
  <c r="F38" i="30"/>
  <c r="D38" i="30"/>
  <c r="B38" i="30"/>
  <c r="N37" i="30"/>
  <c r="L37" i="30"/>
  <c r="J37" i="30"/>
  <c r="H37" i="30"/>
  <c r="F37" i="30"/>
  <c r="D37" i="30"/>
  <c r="B37" i="30"/>
  <c r="N36" i="30"/>
  <c r="L36" i="30"/>
  <c r="J36" i="30"/>
  <c r="H36" i="30"/>
  <c r="F36" i="30"/>
  <c r="D36" i="30"/>
  <c r="B36" i="30"/>
  <c r="N35" i="30"/>
  <c r="L35" i="30"/>
  <c r="J35" i="30"/>
  <c r="H35" i="30"/>
  <c r="F35" i="30"/>
  <c r="D35" i="30"/>
  <c r="B35" i="30"/>
  <c r="N34" i="30"/>
  <c r="L34" i="30"/>
  <c r="J34" i="30"/>
  <c r="H34" i="30"/>
  <c r="F34" i="30"/>
  <c r="D34" i="30"/>
  <c r="B34" i="30"/>
  <c r="N33" i="30"/>
  <c r="L33" i="30"/>
  <c r="J33" i="30"/>
  <c r="H33" i="30"/>
  <c r="F33" i="30"/>
  <c r="D33" i="30"/>
  <c r="B33" i="30"/>
  <c r="N32" i="30"/>
  <c r="L32" i="30"/>
  <c r="J32" i="30"/>
  <c r="H32" i="30"/>
  <c r="F32" i="30"/>
  <c r="D32" i="30"/>
  <c r="B32" i="30"/>
  <c r="N31" i="30"/>
  <c r="L31" i="30"/>
  <c r="J31" i="30"/>
  <c r="H31" i="30"/>
  <c r="F31" i="30"/>
  <c r="D31" i="30"/>
  <c r="B31" i="30"/>
  <c r="N30" i="30"/>
  <c r="L30" i="30"/>
  <c r="J30" i="30"/>
  <c r="H30" i="30"/>
  <c r="F30" i="30"/>
  <c r="D30" i="30"/>
  <c r="B30" i="30"/>
  <c r="N29" i="30"/>
  <c r="L29" i="30"/>
  <c r="J29" i="30"/>
  <c r="H29" i="30"/>
  <c r="F29" i="30"/>
  <c r="D29" i="30"/>
  <c r="B29" i="30"/>
  <c r="N28" i="30"/>
  <c r="L28" i="30"/>
  <c r="J28" i="30"/>
  <c r="H28" i="30"/>
  <c r="F28" i="30"/>
  <c r="D28" i="30"/>
  <c r="B28" i="30"/>
  <c r="N27" i="30"/>
  <c r="L27" i="30"/>
  <c r="J27" i="30"/>
  <c r="H27" i="30"/>
  <c r="F27" i="30"/>
  <c r="D27" i="30"/>
  <c r="B27" i="30"/>
  <c r="N26" i="30"/>
  <c r="L26" i="30"/>
  <c r="J26" i="30"/>
  <c r="H26" i="30"/>
  <c r="F26" i="30"/>
  <c r="D26" i="30"/>
  <c r="B26" i="30"/>
  <c r="N25" i="30"/>
  <c r="L25" i="30"/>
  <c r="J25" i="30"/>
  <c r="H25" i="30"/>
  <c r="F25" i="30"/>
  <c r="D25" i="30"/>
  <c r="B25" i="30"/>
  <c r="N24" i="30"/>
  <c r="L24" i="30"/>
  <c r="J24" i="30"/>
  <c r="H24" i="30"/>
  <c r="F24" i="30"/>
  <c r="D24" i="30"/>
  <c r="B24" i="30"/>
  <c r="N23" i="30"/>
  <c r="L23" i="30"/>
  <c r="J23" i="30"/>
  <c r="H23" i="30"/>
  <c r="F23" i="30"/>
  <c r="D23" i="30"/>
  <c r="B23" i="30"/>
  <c r="N22" i="30"/>
  <c r="L22" i="30"/>
  <c r="J22" i="30"/>
  <c r="H22" i="30"/>
  <c r="F22" i="30"/>
  <c r="D22" i="30"/>
  <c r="B22" i="30"/>
  <c r="N21" i="30"/>
  <c r="L21" i="30"/>
  <c r="J21" i="30"/>
  <c r="H21" i="30"/>
  <c r="F21" i="30"/>
  <c r="D21" i="30"/>
  <c r="B21" i="30"/>
  <c r="N20" i="30"/>
  <c r="L20" i="30"/>
  <c r="J20" i="30"/>
  <c r="H20" i="30"/>
  <c r="F20" i="30"/>
  <c r="D20" i="30"/>
  <c r="B20" i="30"/>
  <c r="N19" i="30"/>
  <c r="L19" i="30"/>
  <c r="J19" i="30"/>
  <c r="H19" i="30"/>
  <c r="F19" i="30"/>
  <c r="D19" i="30"/>
  <c r="B19" i="30"/>
  <c r="N18" i="30"/>
  <c r="L18" i="30"/>
  <c r="J18" i="30"/>
  <c r="H18" i="30"/>
  <c r="F18" i="30"/>
  <c r="D18" i="30"/>
  <c r="B18" i="30"/>
  <c r="N17" i="30"/>
  <c r="L17" i="30"/>
  <c r="J17" i="30"/>
  <c r="H17" i="30"/>
  <c r="F17" i="30"/>
  <c r="D17" i="30"/>
  <c r="B17" i="30"/>
  <c r="N16" i="30"/>
  <c r="L16" i="30"/>
  <c r="J16" i="30"/>
  <c r="H16" i="30"/>
  <c r="F16" i="30"/>
  <c r="D16" i="30"/>
  <c r="B16" i="30"/>
  <c r="N15" i="30"/>
  <c r="L15" i="30"/>
  <c r="J15" i="30"/>
  <c r="H15" i="30"/>
  <c r="F15" i="30"/>
  <c r="D15" i="30"/>
  <c r="B15" i="30"/>
  <c r="N14" i="30"/>
  <c r="L14" i="30"/>
  <c r="J14" i="30"/>
  <c r="H14" i="30"/>
  <c r="F14" i="30"/>
  <c r="D14" i="30"/>
  <c r="B14" i="30"/>
  <c r="N13" i="30"/>
  <c r="L13" i="30"/>
  <c r="L10" i="30" s="1"/>
  <c r="L84" i="30" s="1"/>
  <c r="L85" i="30" s="1"/>
  <c r="J13" i="30"/>
  <c r="H13" i="30"/>
  <c r="F13" i="30"/>
  <c r="D13" i="30"/>
  <c r="D10" i="30" s="1"/>
  <c r="D84" i="30" s="1"/>
  <c r="D85" i="30" s="1"/>
  <c r="B13" i="30"/>
  <c r="N12" i="30"/>
  <c r="L12" i="30"/>
  <c r="J12" i="30"/>
  <c r="H12" i="30"/>
  <c r="F12" i="30"/>
  <c r="D12" i="30"/>
  <c r="B12" i="30"/>
  <c r="N11" i="30"/>
  <c r="N10" i="30" s="1"/>
  <c r="N84" i="30" s="1"/>
  <c r="L11" i="30"/>
  <c r="J11" i="30"/>
  <c r="H11" i="30"/>
  <c r="H10" i="30" s="1"/>
  <c r="H84" i="30" s="1"/>
  <c r="F11" i="30"/>
  <c r="F10" i="30" s="1"/>
  <c r="F84" i="30" s="1"/>
  <c r="D11" i="30"/>
  <c r="B11" i="30"/>
  <c r="R10" i="30"/>
  <c r="R84" i="30" s="1"/>
  <c r="P10" i="30"/>
  <c r="P84" i="30" s="1"/>
  <c r="J10" i="30"/>
  <c r="J84" i="30" s="1"/>
  <c r="N199" i="27"/>
  <c r="L199" i="27"/>
  <c r="J199" i="27"/>
  <c r="J198" i="27" s="1"/>
  <c r="H199" i="27"/>
  <c r="H198" i="27" s="1"/>
  <c r="F199" i="27"/>
  <c r="D199" i="27"/>
  <c r="B199" i="27"/>
  <c r="R198" i="27"/>
  <c r="P198" i="27"/>
  <c r="N198" i="27"/>
  <c r="L198" i="27"/>
  <c r="F198" i="27"/>
  <c r="D198" i="27"/>
  <c r="B196" i="27"/>
  <c r="R195" i="27"/>
  <c r="P195" i="27"/>
  <c r="N195" i="27"/>
  <c r="L195" i="27"/>
  <c r="J195" i="27"/>
  <c r="H195" i="27"/>
  <c r="F195" i="27"/>
  <c r="D195" i="27"/>
  <c r="B195" i="27"/>
  <c r="B194" i="27"/>
  <c r="R193" i="27"/>
  <c r="P193" i="27"/>
  <c r="N193" i="27"/>
  <c r="L193" i="27"/>
  <c r="J193" i="27"/>
  <c r="H193" i="27"/>
  <c r="F193" i="27"/>
  <c r="D193" i="27"/>
  <c r="B193" i="27"/>
  <c r="B192" i="27"/>
  <c r="B191" i="27"/>
  <c r="R190" i="27"/>
  <c r="P190" i="27"/>
  <c r="N190" i="27"/>
  <c r="L190" i="27"/>
  <c r="J190" i="27"/>
  <c r="H190" i="27"/>
  <c r="F190" i="27"/>
  <c r="D190" i="27"/>
  <c r="B190" i="27"/>
  <c r="B189" i="27"/>
  <c r="B188" i="27"/>
  <c r="B187" i="27"/>
  <c r="B186" i="27"/>
  <c r="B185" i="27"/>
  <c r="B184" i="27"/>
  <c r="B183" i="27"/>
  <c r="R182" i="27"/>
  <c r="P182" i="27"/>
  <c r="N182" i="27"/>
  <c r="L182" i="27"/>
  <c r="J182" i="27"/>
  <c r="H182" i="27"/>
  <c r="F182" i="27"/>
  <c r="D182" i="27"/>
  <c r="B182" i="27"/>
  <c r="B181" i="27"/>
  <c r="R180" i="27"/>
  <c r="P180" i="27"/>
  <c r="N180" i="27"/>
  <c r="L180" i="27"/>
  <c r="J180" i="27"/>
  <c r="H180" i="27"/>
  <c r="F180" i="27"/>
  <c r="D180" i="27"/>
  <c r="B180" i="27"/>
  <c r="B179" i="27"/>
  <c r="B178" i="27"/>
  <c r="R177" i="27"/>
  <c r="P177" i="27"/>
  <c r="N177" i="27"/>
  <c r="L177" i="27"/>
  <c r="J177" i="27"/>
  <c r="H177" i="27"/>
  <c r="F177" i="27"/>
  <c r="D177" i="27"/>
  <c r="B177" i="27"/>
  <c r="B176" i="27"/>
  <c r="B175" i="27"/>
  <c r="R174" i="27"/>
  <c r="P174" i="27"/>
  <c r="N174" i="27"/>
  <c r="L174" i="27"/>
  <c r="J174" i="27"/>
  <c r="H174" i="27"/>
  <c r="F174" i="27"/>
  <c r="D174" i="27"/>
  <c r="B174" i="27"/>
  <c r="B173" i="27"/>
  <c r="R172" i="27"/>
  <c r="P172" i="27"/>
  <c r="N172" i="27"/>
  <c r="L172" i="27"/>
  <c r="J172" i="27"/>
  <c r="H172" i="27"/>
  <c r="F172" i="27"/>
  <c r="D172" i="27"/>
  <c r="B172" i="27"/>
  <c r="B171" i="27"/>
  <c r="R170" i="27"/>
  <c r="P170" i="27"/>
  <c r="N170" i="27"/>
  <c r="L170" i="27"/>
  <c r="J170" i="27"/>
  <c r="H170" i="27"/>
  <c r="F170" i="27"/>
  <c r="D170" i="27"/>
  <c r="B170" i="27"/>
  <c r="B169" i="27"/>
  <c r="B168" i="27"/>
  <c r="B167" i="27"/>
  <c r="B166" i="27"/>
  <c r="B165" i="27"/>
  <c r="B164" i="27"/>
  <c r="B163" i="27"/>
  <c r="B162" i="27"/>
  <c r="B161" i="27"/>
  <c r="B160" i="27"/>
  <c r="B159" i="27"/>
  <c r="B158" i="27"/>
  <c r="B157" i="27"/>
  <c r="B156" i="27"/>
  <c r="B155" i="27"/>
  <c r="B154" i="27"/>
  <c r="B153" i="27"/>
  <c r="B152" i="27"/>
  <c r="B151" i="27"/>
  <c r="B150" i="27"/>
  <c r="B149" i="27"/>
  <c r="B148" i="27"/>
  <c r="B147" i="27"/>
  <c r="B146" i="27"/>
  <c r="R145" i="27"/>
  <c r="P145" i="27"/>
  <c r="N145" i="27"/>
  <c r="L145" i="27"/>
  <c r="J145" i="27"/>
  <c r="H145" i="27"/>
  <c r="F145" i="27"/>
  <c r="D145" i="27"/>
  <c r="B145" i="27"/>
  <c r="B144" i="27"/>
  <c r="R143" i="27"/>
  <c r="P143" i="27"/>
  <c r="N143" i="27"/>
  <c r="L143" i="27"/>
  <c r="J143" i="27"/>
  <c r="H143" i="27"/>
  <c r="F143" i="27"/>
  <c r="D143" i="27"/>
  <c r="B143" i="27"/>
  <c r="B142" i="27"/>
  <c r="B141" i="27"/>
  <c r="R140" i="27"/>
  <c r="P140" i="27"/>
  <c r="N140" i="27"/>
  <c r="L140" i="27"/>
  <c r="J140" i="27"/>
  <c r="H140" i="27"/>
  <c r="F140" i="27"/>
  <c r="D140" i="27"/>
  <c r="B140" i="27"/>
  <c r="B139" i="27"/>
  <c r="R138" i="27"/>
  <c r="P138" i="27"/>
  <c r="N138" i="27"/>
  <c r="L138" i="27"/>
  <c r="J138" i="27"/>
  <c r="H138" i="27"/>
  <c r="F138" i="27"/>
  <c r="D138" i="27"/>
  <c r="B138" i="27"/>
  <c r="B137" i="27"/>
  <c r="B136" i="27"/>
  <c r="R135" i="27"/>
  <c r="P135" i="27"/>
  <c r="N135" i="27"/>
  <c r="L135" i="27"/>
  <c r="J135" i="27"/>
  <c r="H135" i="27"/>
  <c r="F135" i="27"/>
  <c r="D135" i="27"/>
  <c r="B135" i="27"/>
  <c r="B134" i="27"/>
  <c r="R133" i="27"/>
  <c r="P133" i="27"/>
  <c r="N133" i="27"/>
  <c r="L133" i="27"/>
  <c r="J133" i="27"/>
  <c r="H133" i="27"/>
  <c r="F133" i="27"/>
  <c r="D133" i="27"/>
  <c r="B133" i="27"/>
  <c r="B132" i="27"/>
  <c r="R131" i="27"/>
  <c r="P131" i="27"/>
  <c r="N131" i="27"/>
  <c r="L131" i="27"/>
  <c r="J131" i="27"/>
  <c r="H131" i="27"/>
  <c r="F131" i="27"/>
  <c r="D131" i="27"/>
  <c r="B131" i="27"/>
  <c r="B130" i="27"/>
  <c r="R129" i="27"/>
  <c r="P129" i="27"/>
  <c r="N129" i="27"/>
  <c r="L129" i="27"/>
  <c r="J129" i="27"/>
  <c r="H129" i="27"/>
  <c r="F129" i="27"/>
  <c r="D129" i="27"/>
  <c r="B129" i="27"/>
  <c r="B128" i="27"/>
  <c r="B127" i="27"/>
  <c r="B126" i="27"/>
  <c r="B125" i="27"/>
  <c r="B124" i="27"/>
  <c r="B123" i="27"/>
  <c r="B122" i="27"/>
  <c r="B121" i="27"/>
  <c r="B120" i="27"/>
  <c r="B119" i="27"/>
  <c r="R118" i="27"/>
  <c r="P118" i="27"/>
  <c r="N118" i="27"/>
  <c r="L118" i="27"/>
  <c r="J118" i="27"/>
  <c r="H118" i="27"/>
  <c r="F118" i="27"/>
  <c r="D118" i="27"/>
  <c r="B118" i="27"/>
  <c r="B117" i="27"/>
  <c r="B116" i="27"/>
  <c r="B115" i="27"/>
  <c r="B114" i="27"/>
  <c r="B113" i="27"/>
  <c r="B112" i="27"/>
  <c r="B111" i="27"/>
  <c r="B110" i="27"/>
  <c r="B109" i="27"/>
  <c r="B108" i="27"/>
  <c r="R107" i="27"/>
  <c r="P107" i="27"/>
  <c r="N107" i="27"/>
  <c r="L107" i="27"/>
  <c r="J107" i="27"/>
  <c r="H107" i="27"/>
  <c r="F107" i="27"/>
  <c r="D107" i="27"/>
  <c r="B107" i="27"/>
  <c r="R106" i="27"/>
  <c r="P106" i="27"/>
  <c r="N106" i="27"/>
  <c r="L106" i="27"/>
  <c r="J106" i="27"/>
  <c r="H106" i="27"/>
  <c r="F106" i="27"/>
  <c r="D106" i="27"/>
  <c r="P104" i="27"/>
  <c r="P103" i="27"/>
  <c r="H103" i="27"/>
  <c r="B101" i="27"/>
  <c r="B100" i="27"/>
  <c r="B99" i="27"/>
  <c r="B98" i="27"/>
  <c r="B97" i="27"/>
  <c r="B96" i="27"/>
  <c r="B95" i="27"/>
  <c r="B94" i="27"/>
  <c r="B93" i="27"/>
  <c r="B92" i="27"/>
  <c r="B91" i="27"/>
  <c r="B90" i="27"/>
  <c r="B89" i="27"/>
  <c r="B88" i="27"/>
  <c r="B87" i="27"/>
  <c r="B86" i="27"/>
  <c r="B85" i="27"/>
  <c r="B84" i="27"/>
  <c r="B83" i="27"/>
  <c r="B82" i="27"/>
  <c r="B81" i="27"/>
  <c r="B80" i="27"/>
  <c r="B79" i="27"/>
  <c r="B78" i="27"/>
  <c r="B77" i="27"/>
  <c r="B76" i="27"/>
  <c r="B75" i="27"/>
  <c r="B74" i="27"/>
  <c r="B73" i="27"/>
  <c r="B72" i="27"/>
  <c r="B71" i="27"/>
  <c r="B70" i="27"/>
  <c r="B69" i="27"/>
  <c r="R68" i="27"/>
  <c r="P68" i="27"/>
  <c r="N68" i="27"/>
  <c r="L68" i="27"/>
  <c r="J68" i="27"/>
  <c r="H68" i="27"/>
  <c r="F68" i="27"/>
  <c r="D68" i="27"/>
  <c r="N66" i="27"/>
  <c r="L66" i="27"/>
  <c r="J66" i="27"/>
  <c r="H66" i="27"/>
  <c r="F66" i="27"/>
  <c r="D66" i="27"/>
  <c r="B66" i="27"/>
  <c r="N65" i="27"/>
  <c r="L65" i="27"/>
  <c r="J65" i="27"/>
  <c r="H65" i="27"/>
  <c r="F65" i="27"/>
  <c r="D65" i="27"/>
  <c r="B65" i="27"/>
  <c r="N64" i="27"/>
  <c r="L64" i="27"/>
  <c r="J64" i="27"/>
  <c r="H64" i="27"/>
  <c r="F64" i="27"/>
  <c r="D64" i="27"/>
  <c r="B64" i="27"/>
  <c r="N63" i="27"/>
  <c r="L63" i="27"/>
  <c r="J63" i="27"/>
  <c r="H63" i="27"/>
  <c r="F63" i="27"/>
  <c r="D63" i="27"/>
  <c r="B63" i="27"/>
  <c r="N62" i="27"/>
  <c r="L62" i="27"/>
  <c r="J62" i="27"/>
  <c r="H62" i="27"/>
  <c r="F62" i="27"/>
  <c r="D62" i="27"/>
  <c r="B62" i="27"/>
  <c r="N61" i="27"/>
  <c r="L61" i="27"/>
  <c r="J61" i="27"/>
  <c r="H61" i="27"/>
  <c r="F61" i="27"/>
  <c r="D61" i="27"/>
  <c r="B61" i="27"/>
  <c r="N60" i="27"/>
  <c r="L60" i="27"/>
  <c r="J60" i="27"/>
  <c r="H60" i="27"/>
  <c r="F60" i="27"/>
  <c r="D60" i="27"/>
  <c r="B60" i="27"/>
  <c r="N59" i="27"/>
  <c r="L59" i="27"/>
  <c r="J59" i="27"/>
  <c r="H59" i="27"/>
  <c r="F59" i="27"/>
  <c r="D59" i="27"/>
  <c r="B59" i="27"/>
  <c r="N58" i="27"/>
  <c r="L58" i="27"/>
  <c r="J58" i="27"/>
  <c r="H58" i="27"/>
  <c r="F58" i="27"/>
  <c r="D58" i="27"/>
  <c r="B58" i="27"/>
  <c r="N57" i="27"/>
  <c r="L57" i="27"/>
  <c r="J57" i="27"/>
  <c r="H57" i="27"/>
  <c r="F57" i="27"/>
  <c r="D57" i="27"/>
  <c r="B57" i="27"/>
  <c r="N56" i="27"/>
  <c r="L56" i="27"/>
  <c r="J56" i="27"/>
  <c r="H56" i="27"/>
  <c r="F56" i="27"/>
  <c r="D56" i="27"/>
  <c r="B56" i="27"/>
  <c r="N55" i="27"/>
  <c r="L55" i="27"/>
  <c r="J55" i="27"/>
  <c r="H55" i="27"/>
  <c r="F55" i="27"/>
  <c r="D55" i="27"/>
  <c r="B55" i="27"/>
  <c r="N54" i="27"/>
  <c r="L54" i="27"/>
  <c r="J54" i="27"/>
  <c r="H54" i="27"/>
  <c r="F54" i="27"/>
  <c r="D54" i="27"/>
  <c r="B54" i="27"/>
  <c r="N53" i="27"/>
  <c r="L53" i="27"/>
  <c r="J53" i="27"/>
  <c r="H53" i="27"/>
  <c r="F53" i="27"/>
  <c r="D53" i="27"/>
  <c r="B53" i="27"/>
  <c r="N52" i="27"/>
  <c r="L52" i="27"/>
  <c r="J52" i="27"/>
  <c r="H52" i="27"/>
  <c r="F52" i="27"/>
  <c r="D52" i="27"/>
  <c r="B52" i="27"/>
  <c r="N51" i="27"/>
  <c r="L51" i="27"/>
  <c r="J51" i="27"/>
  <c r="H51" i="27"/>
  <c r="F51" i="27"/>
  <c r="D51" i="27"/>
  <c r="B51" i="27"/>
  <c r="N50" i="27"/>
  <c r="L50" i="27"/>
  <c r="J50" i="27"/>
  <c r="H50" i="27"/>
  <c r="F50" i="27"/>
  <c r="D50" i="27"/>
  <c r="B50" i="27"/>
  <c r="N49" i="27"/>
  <c r="L49" i="27"/>
  <c r="J49" i="27"/>
  <c r="H49" i="27"/>
  <c r="F49" i="27"/>
  <c r="D49" i="27"/>
  <c r="B49" i="27"/>
  <c r="N48" i="27"/>
  <c r="L48" i="27"/>
  <c r="J48" i="27"/>
  <c r="H48" i="27"/>
  <c r="F48" i="27"/>
  <c r="D48" i="27"/>
  <c r="B48" i="27"/>
  <c r="N47" i="27"/>
  <c r="L47" i="27"/>
  <c r="J47" i="27"/>
  <c r="H47" i="27"/>
  <c r="F47" i="27"/>
  <c r="D47" i="27"/>
  <c r="B47" i="27"/>
  <c r="N46" i="27"/>
  <c r="L46" i="27"/>
  <c r="J46" i="27"/>
  <c r="H46" i="27"/>
  <c r="F46" i="27"/>
  <c r="D46" i="27"/>
  <c r="B46" i="27"/>
  <c r="N45" i="27"/>
  <c r="L45" i="27"/>
  <c r="J45" i="27"/>
  <c r="H45" i="27"/>
  <c r="F45" i="27"/>
  <c r="D45" i="27"/>
  <c r="B45" i="27"/>
  <c r="N44" i="27"/>
  <c r="L44" i="27"/>
  <c r="J44" i="27"/>
  <c r="H44" i="27"/>
  <c r="F44" i="27"/>
  <c r="D44" i="27"/>
  <c r="B44" i="27"/>
  <c r="N43" i="27"/>
  <c r="L43" i="27"/>
  <c r="J43" i="27"/>
  <c r="H43" i="27"/>
  <c r="F43" i="27"/>
  <c r="D43" i="27"/>
  <c r="B43" i="27"/>
  <c r="N42" i="27"/>
  <c r="L42" i="27"/>
  <c r="J42" i="27"/>
  <c r="H42" i="27"/>
  <c r="F42" i="27"/>
  <c r="D42" i="27"/>
  <c r="B42" i="27"/>
  <c r="N41" i="27"/>
  <c r="L41" i="27"/>
  <c r="J41" i="27"/>
  <c r="H41" i="27"/>
  <c r="F41" i="27"/>
  <c r="D41" i="27"/>
  <c r="B41" i="27"/>
  <c r="N40" i="27"/>
  <c r="L40" i="27"/>
  <c r="J40" i="27"/>
  <c r="H40" i="27"/>
  <c r="F40" i="27"/>
  <c r="D40" i="27"/>
  <c r="B40" i="27"/>
  <c r="N39" i="27"/>
  <c r="L39" i="27"/>
  <c r="J39" i="27"/>
  <c r="H39" i="27"/>
  <c r="F39" i="27"/>
  <c r="D39" i="27"/>
  <c r="B39" i="27"/>
  <c r="N38" i="27"/>
  <c r="L38" i="27"/>
  <c r="J38" i="27"/>
  <c r="H38" i="27"/>
  <c r="F38" i="27"/>
  <c r="D38" i="27"/>
  <c r="B38" i="27"/>
  <c r="N37" i="27"/>
  <c r="L37" i="27"/>
  <c r="J37" i="27"/>
  <c r="H37" i="27"/>
  <c r="F37" i="27"/>
  <c r="D37" i="27"/>
  <c r="B37" i="27"/>
  <c r="N36" i="27"/>
  <c r="L36" i="27"/>
  <c r="J36" i="27"/>
  <c r="H36" i="27"/>
  <c r="F36" i="27"/>
  <c r="D36" i="27"/>
  <c r="B36" i="27"/>
  <c r="N35" i="27"/>
  <c r="L35" i="27"/>
  <c r="J35" i="27"/>
  <c r="H35" i="27"/>
  <c r="F35" i="27"/>
  <c r="D35" i="27"/>
  <c r="B35" i="27"/>
  <c r="N34" i="27"/>
  <c r="L34" i="27"/>
  <c r="J34" i="27"/>
  <c r="H34" i="27"/>
  <c r="F34" i="27"/>
  <c r="D34" i="27"/>
  <c r="B34" i="27"/>
  <c r="N33" i="27"/>
  <c r="L33" i="27"/>
  <c r="J33" i="27"/>
  <c r="H33" i="27"/>
  <c r="F33" i="27"/>
  <c r="D33" i="27"/>
  <c r="B33" i="27"/>
  <c r="N32" i="27"/>
  <c r="L32" i="27"/>
  <c r="J32" i="27"/>
  <c r="H32" i="27"/>
  <c r="F32" i="27"/>
  <c r="D32" i="27"/>
  <c r="B32" i="27"/>
  <c r="N31" i="27"/>
  <c r="L31" i="27"/>
  <c r="J31" i="27"/>
  <c r="H31" i="27"/>
  <c r="F31" i="27"/>
  <c r="D31" i="27"/>
  <c r="B31" i="27"/>
  <c r="N30" i="27"/>
  <c r="L30" i="27"/>
  <c r="J30" i="27"/>
  <c r="H30" i="27"/>
  <c r="F30" i="27"/>
  <c r="D30" i="27"/>
  <c r="B30" i="27"/>
  <c r="N29" i="27"/>
  <c r="L29" i="27"/>
  <c r="J29" i="27"/>
  <c r="H29" i="27"/>
  <c r="F29" i="27"/>
  <c r="D29" i="27"/>
  <c r="B29" i="27"/>
  <c r="N28" i="27"/>
  <c r="L28" i="27"/>
  <c r="J28" i="27"/>
  <c r="H28" i="27"/>
  <c r="F28" i="27"/>
  <c r="D28" i="27"/>
  <c r="B28" i="27"/>
  <c r="N27" i="27"/>
  <c r="L27" i="27"/>
  <c r="J27" i="27"/>
  <c r="H27" i="27"/>
  <c r="F27" i="27"/>
  <c r="D27" i="27"/>
  <c r="B27" i="27"/>
  <c r="N26" i="27"/>
  <c r="L26" i="27"/>
  <c r="J26" i="27"/>
  <c r="H26" i="27"/>
  <c r="F26" i="27"/>
  <c r="D26" i="27"/>
  <c r="B26" i="27"/>
  <c r="N25" i="27"/>
  <c r="L25" i="27"/>
  <c r="J25" i="27"/>
  <c r="H25" i="27"/>
  <c r="F25" i="27"/>
  <c r="D25" i="27"/>
  <c r="B25" i="27"/>
  <c r="N24" i="27"/>
  <c r="L24" i="27"/>
  <c r="J24" i="27"/>
  <c r="H24" i="27"/>
  <c r="F24" i="27"/>
  <c r="D24" i="27"/>
  <c r="B24" i="27"/>
  <c r="N23" i="27"/>
  <c r="L23" i="27"/>
  <c r="J23" i="27"/>
  <c r="H23" i="27"/>
  <c r="F23" i="27"/>
  <c r="D23" i="27"/>
  <c r="B23" i="27"/>
  <c r="N22" i="27"/>
  <c r="L22" i="27"/>
  <c r="J22" i="27"/>
  <c r="H22" i="27"/>
  <c r="F22" i="27"/>
  <c r="D22" i="27"/>
  <c r="B22" i="27"/>
  <c r="N21" i="27"/>
  <c r="L21" i="27"/>
  <c r="J21" i="27"/>
  <c r="H21" i="27"/>
  <c r="F21" i="27"/>
  <c r="D21" i="27"/>
  <c r="B21" i="27"/>
  <c r="N20" i="27"/>
  <c r="L20" i="27"/>
  <c r="J20" i="27"/>
  <c r="H20" i="27"/>
  <c r="F20" i="27"/>
  <c r="D20" i="27"/>
  <c r="B20" i="27"/>
  <c r="N19" i="27"/>
  <c r="L19" i="27"/>
  <c r="J19" i="27"/>
  <c r="H19" i="27"/>
  <c r="F19" i="27"/>
  <c r="D19" i="27"/>
  <c r="B19" i="27"/>
  <c r="N18" i="27"/>
  <c r="L18" i="27"/>
  <c r="J18" i="27"/>
  <c r="H18" i="27"/>
  <c r="F18" i="27"/>
  <c r="D18" i="27"/>
  <c r="B18" i="27"/>
  <c r="N17" i="27"/>
  <c r="L17" i="27"/>
  <c r="J17" i="27"/>
  <c r="H17" i="27"/>
  <c r="F17" i="27"/>
  <c r="D17" i="27"/>
  <c r="B17" i="27"/>
  <c r="N16" i="27"/>
  <c r="L16" i="27"/>
  <c r="J16" i="27"/>
  <c r="H16" i="27"/>
  <c r="F16" i="27"/>
  <c r="D16" i="27"/>
  <c r="B16" i="27"/>
  <c r="N15" i="27"/>
  <c r="L15" i="27"/>
  <c r="J15" i="27"/>
  <c r="H15" i="27"/>
  <c r="F15" i="27"/>
  <c r="D15" i="27"/>
  <c r="B15" i="27"/>
  <c r="N14" i="27"/>
  <c r="L14" i="27"/>
  <c r="J14" i="27"/>
  <c r="H14" i="27"/>
  <c r="F14" i="27"/>
  <c r="D14" i="27"/>
  <c r="B14" i="27"/>
  <c r="N13" i="27"/>
  <c r="L13" i="27"/>
  <c r="L10" i="27" s="1"/>
  <c r="L103" i="27" s="1"/>
  <c r="J13" i="27"/>
  <c r="H13" i="27"/>
  <c r="F13" i="27"/>
  <c r="D13" i="27"/>
  <c r="D10" i="27" s="1"/>
  <c r="D103" i="27" s="1"/>
  <c r="B13" i="27"/>
  <c r="N12" i="27"/>
  <c r="L12" i="27"/>
  <c r="J12" i="27"/>
  <c r="H12" i="27"/>
  <c r="F12" i="27"/>
  <c r="D12" i="27"/>
  <c r="B12" i="27"/>
  <c r="N11" i="27"/>
  <c r="L11" i="27"/>
  <c r="J11" i="27"/>
  <c r="H11" i="27"/>
  <c r="H10" i="27" s="1"/>
  <c r="F11" i="27"/>
  <c r="D11" i="27"/>
  <c r="B11" i="27"/>
  <c r="R10" i="27"/>
  <c r="R103" i="27" s="1"/>
  <c r="P10" i="27"/>
  <c r="J10" i="27"/>
  <c r="J103" i="27" s="1"/>
  <c r="N127" i="24"/>
  <c r="L127" i="24"/>
  <c r="J127" i="24"/>
  <c r="J126" i="24" s="1"/>
  <c r="H127" i="24"/>
  <c r="H126" i="24" s="1"/>
  <c r="F127" i="24"/>
  <c r="D127" i="24"/>
  <c r="B127" i="24"/>
  <c r="R126" i="24"/>
  <c r="P126" i="24"/>
  <c r="N126" i="24"/>
  <c r="L126" i="24"/>
  <c r="F126" i="24"/>
  <c r="D126" i="24"/>
  <c r="B124" i="24"/>
  <c r="R123" i="24"/>
  <c r="P123" i="24"/>
  <c r="N123" i="24"/>
  <c r="L123" i="24"/>
  <c r="J123" i="24"/>
  <c r="H123" i="24"/>
  <c r="F123" i="24"/>
  <c r="D123" i="24"/>
  <c r="B123" i="24"/>
  <c r="B122" i="24"/>
  <c r="B121" i="24"/>
  <c r="B120" i="24"/>
  <c r="R119" i="24"/>
  <c r="P119" i="24"/>
  <c r="N119" i="24"/>
  <c r="L119" i="24"/>
  <c r="J119" i="24"/>
  <c r="H119" i="24"/>
  <c r="F119" i="24"/>
  <c r="D119" i="24"/>
  <c r="B119" i="24"/>
  <c r="B118" i="24"/>
  <c r="R117" i="24"/>
  <c r="P117" i="24"/>
  <c r="N117" i="24"/>
  <c r="L117" i="24"/>
  <c r="J117" i="24"/>
  <c r="H117" i="24"/>
  <c r="F117" i="24"/>
  <c r="D117" i="24"/>
  <c r="B117" i="24"/>
  <c r="B116" i="24"/>
  <c r="B115" i="24"/>
  <c r="R114" i="24"/>
  <c r="P114" i="24"/>
  <c r="N114" i="24"/>
  <c r="L114" i="24"/>
  <c r="J114" i="24"/>
  <c r="H114" i="24"/>
  <c r="F114" i="24"/>
  <c r="D114" i="24"/>
  <c r="B114" i="24"/>
  <c r="B113" i="24"/>
  <c r="B112" i="24"/>
  <c r="B111" i="24"/>
  <c r="B110" i="24"/>
  <c r="B109" i="24"/>
  <c r="B108" i="24"/>
  <c r="B107" i="24"/>
  <c r="B106" i="24"/>
  <c r="B105" i="24"/>
  <c r="R104" i="24"/>
  <c r="P104" i="24"/>
  <c r="N104" i="24"/>
  <c r="L104" i="24"/>
  <c r="J104" i="24"/>
  <c r="H104" i="24"/>
  <c r="F104" i="24"/>
  <c r="D104" i="24"/>
  <c r="B104" i="24"/>
  <c r="B103" i="24"/>
  <c r="B102" i="24"/>
  <c r="R101" i="24"/>
  <c r="P101" i="24"/>
  <c r="N101" i="24"/>
  <c r="L101" i="24"/>
  <c r="J101" i="24"/>
  <c r="H101" i="24"/>
  <c r="F101" i="24"/>
  <c r="D101" i="24"/>
  <c r="B101" i="24"/>
  <c r="B100" i="24"/>
  <c r="B99" i="24"/>
  <c r="B98" i="24"/>
  <c r="B97" i="24"/>
  <c r="R96" i="24"/>
  <c r="P96" i="24"/>
  <c r="N96" i="24"/>
  <c r="L96" i="24"/>
  <c r="J96" i="24"/>
  <c r="H96" i="24"/>
  <c r="F96" i="24"/>
  <c r="D96" i="24"/>
  <c r="B96" i="24"/>
  <c r="B95" i="24"/>
  <c r="B94" i="24"/>
  <c r="R93" i="24"/>
  <c r="P93" i="24"/>
  <c r="N93" i="24"/>
  <c r="L93" i="24"/>
  <c r="J93" i="24"/>
  <c r="H93" i="24"/>
  <c r="F93" i="24"/>
  <c r="D93" i="24"/>
  <c r="B93" i="24"/>
  <c r="B92" i="24"/>
  <c r="B91" i="24"/>
  <c r="B90" i="24"/>
  <c r="B89" i="24"/>
  <c r="R88" i="24"/>
  <c r="P88" i="24"/>
  <c r="N88" i="24"/>
  <c r="L88" i="24"/>
  <c r="J88" i="24"/>
  <c r="H88" i="24"/>
  <c r="F88" i="24"/>
  <c r="D88" i="24"/>
  <c r="B88" i="24"/>
  <c r="B87" i="24"/>
  <c r="R86" i="24"/>
  <c r="P86" i="24"/>
  <c r="N86" i="24"/>
  <c r="L86" i="24"/>
  <c r="J86" i="24"/>
  <c r="H86" i="24"/>
  <c r="F86" i="24"/>
  <c r="D86" i="24"/>
  <c r="B86" i="24"/>
  <c r="B85" i="24"/>
  <c r="R84" i="24"/>
  <c r="P84" i="24"/>
  <c r="N84" i="24"/>
  <c r="L84" i="24"/>
  <c r="J84" i="24"/>
  <c r="H84" i="24"/>
  <c r="F84" i="24"/>
  <c r="D84" i="24"/>
  <c r="B84" i="24"/>
  <c r="B83" i="24"/>
  <c r="R82" i="24"/>
  <c r="P82" i="24"/>
  <c r="N82" i="24"/>
  <c r="L82" i="24"/>
  <c r="J82" i="24"/>
  <c r="H82" i="24"/>
  <c r="F82" i="24"/>
  <c r="D82" i="24"/>
  <c r="B82" i="24"/>
  <c r="B81" i="24"/>
  <c r="R80" i="24"/>
  <c r="P80" i="24"/>
  <c r="N80" i="24"/>
  <c r="L80" i="24"/>
  <c r="J80" i="24"/>
  <c r="H80" i="24"/>
  <c r="F80" i="24"/>
  <c r="D80" i="24"/>
  <c r="B80" i="24"/>
  <c r="B79" i="24"/>
  <c r="B78" i="24"/>
  <c r="R77" i="24"/>
  <c r="P77" i="24"/>
  <c r="N77" i="24"/>
  <c r="L77" i="24"/>
  <c r="J77" i="24"/>
  <c r="H77" i="24"/>
  <c r="F77" i="24"/>
  <c r="D77" i="24"/>
  <c r="B77" i="24"/>
  <c r="B76" i="24"/>
  <c r="B75" i="24"/>
  <c r="R74" i="24"/>
  <c r="P74" i="24"/>
  <c r="N74" i="24"/>
  <c r="L74" i="24"/>
  <c r="J74" i="24"/>
  <c r="H74" i="24"/>
  <c r="F74" i="24"/>
  <c r="D74" i="24"/>
  <c r="B74" i="24"/>
  <c r="B73" i="24"/>
  <c r="R72" i="24"/>
  <c r="P72" i="24"/>
  <c r="N72" i="24"/>
  <c r="L72" i="24"/>
  <c r="J72" i="24"/>
  <c r="H72" i="24"/>
  <c r="F72" i="24"/>
  <c r="D72" i="24"/>
  <c r="B72" i="24"/>
  <c r="B71" i="24"/>
  <c r="R70" i="24"/>
  <c r="P70" i="24"/>
  <c r="N70" i="24"/>
  <c r="L70" i="24"/>
  <c r="J70" i="24"/>
  <c r="H70" i="24"/>
  <c r="F70" i="24"/>
  <c r="D70" i="24"/>
  <c r="B70" i="24"/>
  <c r="B69" i="24"/>
  <c r="R68" i="24"/>
  <c r="P68" i="24"/>
  <c r="N68" i="24"/>
  <c r="L68" i="24"/>
  <c r="J68" i="24"/>
  <c r="H68" i="24"/>
  <c r="F68" i="24"/>
  <c r="D68" i="24"/>
  <c r="B68" i="24"/>
  <c r="B67" i="24"/>
  <c r="B66" i="24"/>
  <c r="R65" i="24"/>
  <c r="P65" i="24"/>
  <c r="N65" i="24"/>
  <c r="L65" i="24"/>
  <c r="J65" i="24"/>
  <c r="H65" i="24"/>
  <c r="F65" i="24"/>
  <c r="D65" i="24"/>
  <c r="B65" i="24"/>
  <c r="B64" i="24"/>
  <c r="R63" i="24"/>
  <c r="P63" i="24"/>
  <c r="N63" i="24"/>
  <c r="L63" i="24"/>
  <c r="J63" i="24"/>
  <c r="H63" i="24"/>
  <c r="F63" i="24"/>
  <c r="D63" i="24"/>
  <c r="B63" i="24"/>
  <c r="B62" i="24"/>
  <c r="R61" i="24"/>
  <c r="P61" i="24"/>
  <c r="N61" i="24"/>
  <c r="L61" i="24"/>
  <c r="J61" i="24"/>
  <c r="H61" i="24"/>
  <c r="F61" i="24"/>
  <c r="D61" i="24"/>
  <c r="B61" i="24"/>
  <c r="B60" i="24"/>
  <c r="R59" i="24"/>
  <c r="P59" i="24"/>
  <c r="N59" i="24"/>
  <c r="L59" i="24"/>
  <c r="J59" i="24"/>
  <c r="H59" i="24"/>
  <c r="F59" i="24"/>
  <c r="D59" i="24"/>
  <c r="B59" i="24"/>
  <c r="B58" i="24"/>
  <c r="B57" i="24"/>
  <c r="B56" i="24"/>
  <c r="B55" i="24"/>
  <c r="B54" i="24"/>
  <c r="B53" i="24"/>
  <c r="B52" i="24"/>
  <c r="B51" i="24"/>
  <c r="B50" i="24"/>
  <c r="B49" i="24"/>
  <c r="R48" i="24"/>
  <c r="P48" i="24"/>
  <c r="N48" i="24"/>
  <c r="L48" i="24"/>
  <c r="J48" i="24"/>
  <c r="H48" i="24"/>
  <c r="F48" i="24"/>
  <c r="D48" i="24"/>
  <c r="B48" i="24"/>
  <c r="B47" i="24"/>
  <c r="B46" i="24"/>
  <c r="B45" i="24"/>
  <c r="B44" i="24"/>
  <c r="B43" i="24"/>
  <c r="B42" i="24"/>
  <c r="B41" i="24"/>
  <c r="B40" i="24"/>
  <c r="B39" i="24"/>
  <c r="R38" i="24"/>
  <c r="P38" i="24"/>
  <c r="N38" i="24"/>
  <c r="L38" i="24"/>
  <c r="J38" i="24"/>
  <c r="H38" i="24"/>
  <c r="F38" i="24"/>
  <c r="D38" i="24"/>
  <c r="B38" i="24"/>
  <c r="R37" i="24"/>
  <c r="P37" i="24"/>
  <c r="N37" i="24"/>
  <c r="L37" i="24"/>
  <c r="J37" i="24"/>
  <c r="H37" i="24"/>
  <c r="F37" i="24"/>
  <c r="D37" i="24"/>
  <c r="R35" i="24"/>
  <c r="R34" i="24"/>
  <c r="B32" i="24"/>
  <c r="B31" i="24"/>
  <c r="B30" i="24"/>
  <c r="R29" i="24"/>
  <c r="P29" i="24"/>
  <c r="P34" i="24" s="1"/>
  <c r="N29" i="24"/>
  <c r="L29" i="24"/>
  <c r="J29" i="24"/>
  <c r="H29" i="24"/>
  <c r="F29" i="24"/>
  <c r="D29" i="24"/>
  <c r="N27" i="24"/>
  <c r="L27" i="24"/>
  <c r="J27" i="24"/>
  <c r="H27" i="24"/>
  <c r="F27" i="24"/>
  <c r="D27" i="24"/>
  <c r="B27" i="24"/>
  <c r="N26" i="24"/>
  <c r="L26" i="24"/>
  <c r="J26" i="24"/>
  <c r="H26" i="24"/>
  <c r="F26" i="24"/>
  <c r="D26" i="24"/>
  <c r="B26" i="24"/>
  <c r="N25" i="24"/>
  <c r="L25" i="24"/>
  <c r="J25" i="24"/>
  <c r="H25" i="24"/>
  <c r="F25" i="24"/>
  <c r="D25" i="24"/>
  <c r="B25" i="24"/>
  <c r="N24" i="24"/>
  <c r="L24" i="24"/>
  <c r="J24" i="24"/>
  <c r="H24" i="24"/>
  <c r="F24" i="24"/>
  <c r="D24" i="24"/>
  <c r="B24" i="24"/>
  <c r="N23" i="24"/>
  <c r="L23" i="24"/>
  <c r="J23" i="24"/>
  <c r="H23" i="24"/>
  <c r="F23" i="24"/>
  <c r="D23" i="24"/>
  <c r="B23" i="24"/>
  <c r="N22" i="24"/>
  <c r="L22" i="24"/>
  <c r="J22" i="24"/>
  <c r="H22" i="24"/>
  <c r="F22" i="24"/>
  <c r="D22" i="24"/>
  <c r="B22" i="24"/>
  <c r="N21" i="24"/>
  <c r="L21" i="24"/>
  <c r="J21" i="24"/>
  <c r="H21" i="24"/>
  <c r="F21" i="24"/>
  <c r="D21" i="24"/>
  <c r="B21" i="24"/>
  <c r="N20" i="24"/>
  <c r="L20" i="24"/>
  <c r="J20" i="24"/>
  <c r="H20" i="24"/>
  <c r="F20" i="24"/>
  <c r="D20" i="24"/>
  <c r="B20" i="24"/>
  <c r="N19" i="24"/>
  <c r="L19" i="24"/>
  <c r="J19" i="24"/>
  <c r="H19" i="24"/>
  <c r="F19" i="24"/>
  <c r="D19" i="24"/>
  <c r="B19" i="24"/>
  <c r="N18" i="24"/>
  <c r="L18" i="24"/>
  <c r="J18" i="24"/>
  <c r="H18" i="24"/>
  <c r="F18" i="24"/>
  <c r="D18" i="24"/>
  <c r="B18" i="24"/>
  <c r="N17" i="24"/>
  <c r="L17" i="24"/>
  <c r="J17" i="24"/>
  <c r="H17" i="24"/>
  <c r="F17" i="24"/>
  <c r="D17" i="24"/>
  <c r="B17" i="24"/>
  <c r="N16" i="24"/>
  <c r="L16" i="24"/>
  <c r="J16" i="24"/>
  <c r="H16" i="24"/>
  <c r="F16" i="24"/>
  <c r="D16" i="24"/>
  <c r="B16" i="24"/>
  <c r="N15" i="24"/>
  <c r="L15" i="24"/>
  <c r="J15" i="24"/>
  <c r="H15" i="24"/>
  <c r="F15" i="24"/>
  <c r="D15" i="24"/>
  <c r="B15" i="24"/>
  <c r="N14" i="24"/>
  <c r="L14" i="24"/>
  <c r="J14" i="24"/>
  <c r="H14" i="24"/>
  <c r="F14" i="24"/>
  <c r="D14" i="24"/>
  <c r="B14" i="24"/>
  <c r="N13" i="24"/>
  <c r="L13" i="24"/>
  <c r="J13" i="24"/>
  <c r="H13" i="24"/>
  <c r="H10" i="24" s="1"/>
  <c r="H34" i="24" s="1"/>
  <c r="F13" i="24"/>
  <c r="D13" i="24"/>
  <c r="B13" i="24"/>
  <c r="N12" i="24"/>
  <c r="L12" i="24"/>
  <c r="J12" i="24"/>
  <c r="H12" i="24"/>
  <c r="F12" i="24"/>
  <c r="F10" i="24" s="1"/>
  <c r="F34" i="24" s="1"/>
  <c r="F35" i="24" s="1"/>
  <c r="D12" i="24"/>
  <c r="B12" i="24"/>
  <c r="N11" i="24"/>
  <c r="L11" i="24"/>
  <c r="L10" i="24" s="1"/>
  <c r="L34" i="24" s="1"/>
  <c r="J11" i="24"/>
  <c r="H11" i="24"/>
  <c r="F11" i="24"/>
  <c r="D11" i="24"/>
  <c r="D10" i="24" s="1"/>
  <c r="D34" i="24" s="1"/>
  <c r="B11" i="24"/>
  <c r="R10" i="24"/>
  <c r="P10" i="24"/>
  <c r="N10" i="24"/>
  <c r="N34" i="24" s="1"/>
  <c r="N35" i="24" s="1"/>
  <c r="R392" i="21"/>
  <c r="R393" i="21" s="1"/>
  <c r="N390" i="21"/>
  <c r="L390" i="21"/>
  <c r="J390" i="21"/>
  <c r="H390" i="21"/>
  <c r="F390" i="21"/>
  <c r="D390" i="21"/>
  <c r="B390" i="21"/>
  <c r="N389" i="21"/>
  <c r="L389" i="21"/>
  <c r="J389" i="21"/>
  <c r="H389" i="21"/>
  <c r="F389" i="21"/>
  <c r="D389" i="21"/>
  <c r="B389" i="21"/>
  <c r="N388" i="21"/>
  <c r="L388" i="21"/>
  <c r="J388" i="21"/>
  <c r="H388" i="21"/>
  <c r="F388" i="21"/>
  <c r="D388" i="21"/>
  <c r="B388" i="21"/>
  <c r="N387" i="21"/>
  <c r="L387" i="21"/>
  <c r="J387" i="21"/>
  <c r="H387" i="21"/>
  <c r="F387" i="21"/>
  <c r="D387" i="21"/>
  <c r="B387" i="21"/>
  <c r="N386" i="21"/>
  <c r="L386" i="21"/>
  <c r="J386" i="21"/>
  <c r="H386" i="21"/>
  <c r="F386" i="21"/>
  <c r="D386" i="21"/>
  <c r="B386" i="21"/>
  <c r="N385" i="21"/>
  <c r="L385" i="21"/>
  <c r="J385" i="21"/>
  <c r="H385" i="21"/>
  <c r="F385" i="21"/>
  <c r="D385" i="21"/>
  <c r="B385" i="21"/>
  <c r="N384" i="21"/>
  <c r="L384" i="21"/>
  <c r="J384" i="21"/>
  <c r="H384" i="21"/>
  <c r="F384" i="21"/>
  <c r="D384" i="21"/>
  <c r="B384" i="21"/>
  <c r="N383" i="21"/>
  <c r="L383" i="21"/>
  <c r="J383" i="21"/>
  <c r="H383" i="21"/>
  <c r="F383" i="21"/>
  <c r="D383" i="21"/>
  <c r="B383" i="21"/>
  <c r="N382" i="21"/>
  <c r="L382" i="21"/>
  <c r="J382" i="21"/>
  <c r="H382" i="21"/>
  <c r="F382" i="21"/>
  <c r="D382" i="21"/>
  <c r="B382" i="21"/>
  <c r="N381" i="21"/>
  <c r="L381" i="21"/>
  <c r="J381" i="21"/>
  <c r="H381" i="21"/>
  <c r="F381" i="21"/>
  <c r="D381" i="21"/>
  <c r="B381" i="21"/>
  <c r="N380" i="21"/>
  <c r="L380" i="21"/>
  <c r="J380" i="21"/>
  <c r="H380" i="21"/>
  <c r="F380" i="21"/>
  <c r="D380" i="21"/>
  <c r="B380" i="21"/>
  <c r="N379" i="21"/>
  <c r="L379" i="21"/>
  <c r="J379" i="21"/>
  <c r="H379" i="21"/>
  <c r="F379" i="21"/>
  <c r="D379" i="21"/>
  <c r="B379" i="21"/>
  <c r="N378" i="21"/>
  <c r="L378" i="21"/>
  <c r="J378" i="21"/>
  <c r="H378" i="21"/>
  <c r="F378" i="21"/>
  <c r="D378" i="21"/>
  <c r="B378" i="21"/>
  <c r="N377" i="21"/>
  <c r="L377" i="21"/>
  <c r="J377" i="21"/>
  <c r="H377" i="21"/>
  <c r="F377" i="21"/>
  <c r="D377" i="21"/>
  <c r="B377" i="21"/>
  <c r="N376" i="21"/>
  <c r="L376" i="21"/>
  <c r="J376" i="21"/>
  <c r="H376" i="21"/>
  <c r="F376" i="21"/>
  <c r="D376" i="21"/>
  <c r="B376" i="21"/>
  <c r="N375" i="21"/>
  <c r="L375" i="21"/>
  <c r="J375" i="21"/>
  <c r="H375" i="21"/>
  <c r="F375" i="21"/>
  <c r="D375" i="21"/>
  <c r="B375" i="21"/>
  <c r="N374" i="21"/>
  <c r="L374" i="21"/>
  <c r="J374" i="21"/>
  <c r="H374" i="21"/>
  <c r="F374" i="21"/>
  <c r="D374" i="21"/>
  <c r="B374" i="21"/>
  <c r="N373" i="21"/>
  <c r="L373" i="21"/>
  <c r="L370" i="21" s="1"/>
  <c r="J373" i="21"/>
  <c r="H373" i="21"/>
  <c r="F373" i="21"/>
  <c r="D373" i="21"/>
  <c r="D370" i="21" s="1"/>
  <c r="B373" i="21"/>
  <c r="N372" i="21"/>
  <c r="L372" i="21"/>
  <c r="J372" i="21"/>
  <c r="H372" i="21"/>
  <c r="F372" i="21"/>
  <c r="D372" i="21"/>
  <c r="B372" i="21"/>
  <c r="N371" i="21"/>
  <c r="L371" i="21"/>
  <c r="J371" i="21"/>
  <c r="H371" i="21"/>
  <c r="H370" i="21" s="1"/>
  <c r="F371" i="21"/>
  <c r="D371" i="21"/>
  <c r="B371" i="21"/>
  <c r="R370" i="21"/>
  <c r="P370" i="21"/>
  <c r="J370" i="21"/>
  <c r="B368" i="21"/>
  <c r="R367" i="21"/>
  <c r="P367" i="21"/>
  <c r="N367" i="21"/>
  <c r="L367" i="21"/>
  <c r="J367" i="21"/>
  <c r="H367" i="21"/>
  <c r="F367" i="21"/>
  <c r="D367" i="21"/>
  <c r="B367" i="21"/>
  <c r="B366" i="21"/>
  <c r="B365" i="21"/>
  <c r="B364" i="21"/>
  <c r="R363" i="21"/>
  <c r="P363" i="21"/>
  <c r="N363" i="21"/>
  <c r="L363" i="21"/>
  <c r="J363" i="21"/>
  <c r="H363" i="21"/>
  <c r="F363" i="21"/>
  <c r="D363" i="21"/>
  <c r="B363" i="21"/>
  <c r="B362" i="21"/>
  <c r="R361" i="21"/>
  <c r="P361" i="21"/>
  <c r="N361" i="21"/>
  <c r="L361" i="21"/>
  <c r="J361" i="21"/>
  <c r="H361" i="21"/>
  <c r="F361" i="21"/>
  <c r="D361" i="21"/>
  <c r="B361" i="21"/>
  <c r="B360" i="21"/>
  <c r="B359" i="21"/>
  <c r="R358" i="21"/>
  <c r="P358" i="21"/>
  <c r="N358" i="21"/>
  <c r="L358" i="21"/>
  <c r="J358" i="21"/>
  <c r="H358" i="21"/>
  <c r="F358" i="21"/>
  <c r="D358" i="21"/>
  <c r="B358" i="21"/>
  <c r="B357" i="21"/>
  <c r="B356" i="21"/>
  <c r="B355" i="21"/>
  <c r="B354" i="21"/>
  <c r="B353" i="21"/>
  <c r="B352" i="21"/>
  <c r="B351" i="21"/>
  <c r="B350" i="21"/>
  <c r="B349" i="21"/>
  <c r="R348" i="21"/>
  <c r="P348" i="21"/>
  <c r="N348" i="21"/>
  <c r="L348" i="21"/>
  <c r="J348" i="21"/>
  <c r="H348" i="21"/>
  <c r="F348" i="21"/>
  <c r="D348" i="21"/>
  <c r="B348" i="21"/>
  <c r="B347" i="21"/>
  <c r="B346" i="21"/>
  <c r="R345" i="21"/>
  <c r="P345" i="21"/>
  <c r="N345" i="21"/>
  <c r="L345" i="21"/>
  <c r="J345" i="21"/>
  <c r="H345" i="21"/>
  <c r="F345" i="21"/>
  <c r="D345" i="21"/>
  <c r="B345" i="21"/>
  <c r="B344" i="21"/>
  <c r="B343" i="21"/>
  <c r="B342" i="21"/>
  <c r="B341" i="21"/>
  <c r="B340" i="21"/>
  <c r="R339" i="21"/>
  <c r="P339" i="21"/>
  <c r="N339" i="21"/>
  <c r="L339" i="21"/>
  <c r="J339" i="21"/>
  <c r="H339" i="21"/>
  <c r="F339" i="21"/>
  <c r="D339" i="21"/>
  <c r="B339" i="21"/>
  <c r="B338" i="21"/>
  <c r="B337" i="21"/>
  <c r="B336" i="21"/>
  <c r="B335" i="21"/>
  <c r="B334" i="21"/>
  <c r="R333" i="21"/>
  <c r="P333" i="21"/>
  <c r="N333" i="21"/>
  <c r="L333" i="21"/>
  <c r="J333" i="21"/>
  <c r="H333" i="21"/>
  <c r="F333" i="21"/>
  <c r="D333" i="21"/>
  <c r="B333" i="21"/>
  <c r="B332" i="21"/>
  <c r="B331" i="21"/>
  <c r="B330" i="21"/>
  <c r="B329" i="21"/>
  <c r="R328" i="21"/>
  <c r="P328" i="21"/>
  <c r="N328" i="21"/>
  <c r="L328" i="21"/>
  <c r="J328" i="21"/>
  <c r="H328" i="21"/>
  <c r="F328" i="21"/>
  <c r="D328" i="21"/>
  <c r="B328" i="21"/>
  <c r="B327" i="21"/>
  <c r="R326" i="21"/>
  <c r="P326" i="21"/>
  <c r="N326" i="21"/>
  <c r="L326" i="21"/>
  <c r="J326" i="21"/>
  <c r="H326" i="21"/>
  <c r="F326" i="21"/>
  <c r="D326" i="21"/>
  <c r="B326" i="21"/>
  <c r="B325" i="21"/>
  <c r="B324" i="21"/>
  <c r="R323" i="21"/>
  <c r="P323" i="21"/>
  <c r="N323" i="21"/>
  <c r="L323" i="21"/>
  <c r="J323" i="21"/>
  <c r="H323" i="21"/>
  <c r="F323" i="21"/>
  <c r="D323" i="21"/>
  <c r="B323" i="21"/>
  <c r="B322" i="21"/>
  <c r="B321" i="21"/>
  <c r="B320" i="21"/>
  <c r="B319" i="21"/>
  <c r="B318" i="21"/>
  <c r="B317" i="21"/>
  <c r="B316" i="21"/>
  <c r="B315" i="21"/>
  <c r="B314" i="21"/>
  <c r="B313" i="21"/>
  <c r="B312" i="21"/>
  <c r="B311" i="21"/>
  <c r="B310" i="21"/>
  <c r="B309" i="21"/>
  <c r="B308" i="21"/>
  <c r="B307" i="21"/>
  <c r="B306" i="21"/>
  <c r="B305" i="21"/>
  <c r="B304" i="21"/>
  <c r="B303" i="21"/>
  <c r="B302" i="21"/>
  <c r="B301" i="21"/>
  <c r="B300" i="21"/>
  <c r="B299" i="21"/>
  <c r="B298" i="21"/>
  <c r="B297" i="21"/>
  <c r="B296" i="21"/>
  <c r="B295" i="21"/>
  <c r="B294" i="21"/>
  <c r="B293" i="21"/>
  <c r="B292" i="21"/>
  <c r="B291" i="21"/>
  <c r="B290" i="21"/>
  <c r="B289" i="21"/>
  <c r="B288" i="21"/>
  <c r="B287" i="21"/>
  <c r="B286" i="21"/>
  <c r="B285" i="21"/>
  <c r="B284" i="21"/>
  <c r="B283" i="21"/>
  <c r="R282" i="21"/>
  <c r="P282" i="21"/>
  <c r="N282" i="21"/>
  <c r="L282" i="21"/>
  <c r="J282" i="21"/>
  <c r="H282" i="21"/>
  <c r="F282" i="21"/>
  <c r="D282" i="21"/>
  <c r="B282" i="21"/>
  <c r="B281" i="21"/>
  <c r="R280" i="21"/>
  <c r="P280" i="21"/>
  <c r="N280" i="21"/>
  <c r="L280" i="21"/>
  <c r="J280" i="21"/>
  <c r="H280" i="21"/>
  <c r="F280" i="21"/>
  <c r="D280" i="21"/>
  <c r="B280" i="21"/>
  <c r="B279" i="21"/>
  <c r="B278" i="21"/>
  <c r="B277" i="21"/>
  <c r="R276" i="21"/>
  <c r="P276" i="21"/>
  <c r="N276" i="21"/>
  <c r="L276" i="21"/>
  <c r="J276" i="21"/>
  <c r="H276" i="21"/>
  <c r="F276" i="21"/>
  <c r="D276" i="21"/>
  <c r="B276" i="21"/>
  <c r="B275" i="21"/>
  <c r="B274" i="21"/>
  <c r="R273" i="21"/>
  <c r="P273" i="21"/>
  <c r="N273" i="21"/>
  <c r="L273" i="21"/>
  <c r="J273" i="21"/>
  <c r="H273" i="21"/>
  <c r="F273" i="21"/>
  <c r="D273" i="21"/>
  <c r="B273" i="21"/>
  <c r="B272" i="21"/>
  <c r="R271" i="21"/>
  <c r="P271" i="21"/>
  <c r="N271" i="21"/>
  <c r="L271" i="21"/>
  <c r="J271" i="21"/>
  <c r="H271" i="21"/>
  <c r="F271" i="21"/>
  <c r="D271" i="21"/>
  <c r="B271" i="21"/>
  <c r="B270" i="21"/>
  <c r="R269" i="21"/>
  <c r="P269" i="21"/>
  <c r="N269" i="21"/>
  <c r="L269" i="21"/>
  <c r="J269" i="21"/>
  <c r="H269" i="21"/>
  <c r="F269" i="21"/>
  <c r="D269" i="21"/>
  <c r="B269" i="21"/>
  <c r="B268" i="21"/>
  <c r="B267" i="21"/>
  <c r="R266" i="21"/>
  <c r="P266" i="21"/>
  <c r="N266" i="21"/>
  <c r="L266" i="21"/>
  <c r="J266" i="21"/>
  <c r="H266" i="21"/>
  <c r="F266" i="21"/>
  <c r="D266" i="21"/>
  <c r="B266" i="21"/>
  <c r="B265" i="21"/>
  <c r="B264" i="21"/>
  <c r="R263" i="21"/>
  <c r="P263" i="21"/>
  <c r="N263" i="21"/>
  <c r="L263" i="21"/>
  <c r="J263" i="21"/>
  <c r="H263" i="21"/>
  <c r="F263" i="21"/>
  <c r="D263" i="21"/>
  <c r="B263" i="21"/>
  <c r="B262" i="21"/>
  <c r="B261" i="21"/>
  <c r="B260" i="21"/>
  <c r="B259" i="21"/>
  <c r="R258" i="21"/>
  <c r="P258" i="21"/>
  <c r="N258" i="21"/>
  <c r="L258" i="21"/>
  <c r="J258" i="21"/>
  <c r="H258" i="21"/>
  <c r="F258" i="21"/>
  <c r="D258" i="21"/>
  <c r="B258" i="21"/>
  <c r="B257" i="21"/>
  <c r="R256" i="21"/>
  <c r="P256" i="21"/>
  <c r="N256" i="21"/>
  <c r="L256" i="21"/>
  <c r="J256" i="21"/>
  <c r="H256" i="21"/>
  <c r="F256" i="21"/>
  <c r="D256" i="21"/>
  <c r="B256" i="21"/>
  <c r="B255" i="21"/>
  <c r="B254" i="21"/>
  <c r="B253" i="21"/>
  <c r="R252" i="21"/>
  <c r="P252" i="21"/>
  <c r="N252" i="21"/>
  <c r="L252" i="21"/>
  <c r="J252" i="21"/>
  <c r="H252" i="21"/>
  <c r="F252" i="21"/>
  <c r="D252" i="21"/>
  <c r="B252" i="21"/>
  <c r="B251" i="21"/>
  <c r="R250" i="21"/>
  <c r="P250" i="21"/>
  <c r="N250" i="21"/>
  <c r="L250" i="21"/>
  <c r="J250" i="21"/>
  <c r="H250" i="21"/>
  <c r="F250" i="21"/>
  <c r="D250" i="21"/>
  <c r="B250" i="21"/>
  <c r="B249" i="21"/>
  <c r="B248" i="21"/>
  <c r="B247" i="21"/>
  <c r="B246" i="21"/>
  <c r="B245" i="21"/>
  <c r="B244" i="21"/>
  <c r="B243" i="21"/>
  <c r="B242" i="21"/>
  <c r="B241" i="21"/>
  <c r="B240" i="21"/>
  <c r="R239" i="21"/>
  <c r="P239" i="21"/>
  <c r="N239" i="21"/>
  <c r="L239" i="21"/>
  <c r="J239" i="21"/>
  <c r="H239" i="21"/>
  <c r="F239" i="21"/>
  <c r="D239" i="21"/>
  <c r="B239" i="21"/>
  <c r="B238" i="21"/>
  <c r="B237" i="21"/>
  <c r="B236" i="21"/>
  <c r="B235" i="21"/>
  <c r="B234" i="21"/>
  <c r="B233" i="21"/>
  <c r="B232" i="21"/>
  <c r="B231" i="21"/>
  <c r="B230" i="21"/>
  <c r="B229" i="21"/>
  <c r="R228" i="21"/>
  <c r="P228" i="21"/>
  <c r="N228" i="21"/>
  <c r="L228" i="21"/>
  <c r="J228" i="21"/>
  <c r="H228" i="21"/>
  <c r="F228" i="21"/>
  <c r="D228" i="21"/>
  <c r="B228" i="21"/>
  <c r="R227" i="21"/>
  <c r="P227" i="21"/>
  <c r="N227" i="21"/>
  <c r="L227" i="21"/>
  <c r="J227" i="21"/>
  <c r="H227" i="21"/>
  <c r="F227" i="21"/>
  <c r="D227" i="21"/>
  <c r="B222" i="21"/>
  <c r="B221" i="21"/>
  <c r="B220" i="21"/>
  <c r="B219" i="21"/>
  <c r="B218" i="21"/>
  <c r="B217" i="21"/>
  <c r="B216" i="21"/>
  <c r="B215" i="21"/>
  <c r="B214" i="21"/>
  <c r="B213" i="21"/>
  <c r="B212" i="21"/>
  <c r="B211" i="21"/>
  <c r="B210" i="21"/>
  <c r="B209" i="21"/>
  <c r="B208" i="21"/>
  <c r="B207" i="21"/>
  <c r="B206" i="21"/>
  <c r="B205" i="21"/>
  <c r="B204" i="21"/>
  <c r="B203" i="21"/>
  <c r="B202" i="21"/>
  <c r="B201" i="2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3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R153" i="21"/>
  <c r="P153" i="21"/>
  <c r="N153" i="21"/>
  <c r="L153" i="21"/>
  <c r="J153" i="21"/>
  <c r="H153" i="21"/>
  <c r="F153" i="21"/>
  <c r="D153" i="21"/>
  <c r="N151" i="21"/>
  <c r="L151" i="21"/>
  <c r="J151" i="21"/>
  <c r="H151" i="21"/>
  <c r="F151" i="21"/>
  <c r="D151" i="21"/>
  <c r="B151" i="21"/>
  <c r="N150" i="21"/>
  <c r="L150" i="21"/>
  <c r="J150" i="21"/>
  <c r="H150" i="21"/>
  <c r="F150" i="21"/>
  <c r="D150" i="21"/>
  <c r="B150" i="21"/>
  <c r="N149" i="21"/>
  <c r="L149" i="21"/>
  <c r="J149" i="21"/>
  <c r="H149" i="21"/>
  <c r="F149" i="21"/>
  <c r="D149" i="21"/>
  <c r="B149" i="21"/>
  <c r="N148" i="21"/>
  <c r="L148" i="21"/>
  <c r="J148" i="21"/>
  <c r="H148" i="21"/>
  <c r="F148" i="21"/>
  <c r="D148" i="21"/>
  <c r="B148" i="21"/>
  <c r="N147" i="21"/>
  <c r="L147" i="21"/>
  <c r="J147" i="21"/>
  <c r="H147" i="21"/>
  <c r="F147" i="21"/>
  <c r="D147" i="21"/>
  <c r="B147" i="21"/>
  <c r="N146" i="21"/>
  <c r="L146" i="21"/>
  <c r="J146" i="21"/>
  <c r="H146" i="21"/>
  <c r="F146" i="21"/>
  <c r="D146" i="21"/>
  <c r="B146" i="21"/>
  <c r="N145" i="21"/>
  <c r="L145" i="21"/>
  <c r="J145" i="21"/>
  <c r="H145" i="21"/>
  <c r="F145" i="21"/>
  <c r="D145" i="21"/>
  <c r="B145" i="21"/>
  <c r="N144" i="21"/>
  <c r="L144" i="21"/>
  <c r="J144" i="21"/>
  <c r="H144" i="21"/>
  <c r="F144" i="21"/>
  <c r="D144" i="21"/>
  <c r="B144" i="21"/>
  <c r="N143" i="21"/>
  <c r="L143" i="21"/>
  <c r="J143" i="21"/>
  <c r="H143" i="21"/>
  <c r="F143" i="21"/>
  <c r="D143" i="21"/>
  <c r="B143" i="21"/>
  <c r="N142" i="21"/>
  <c r="L142" i="21"/>
  <c r="J142" i="21"/>
  <c r="H142" i="21"/>
  <c r="F142" i="21"/>
  <c r="D142" i="21"/>
  <c r="B142" i="21"/>
  <c r="N141" i="21"/>
  <c r="L141" i="21"/>
  <c r="J141" i="21"/>
  <c r="H141" i="21"/>
  <c r="F141" i="21"/>
  <c r="D141" i="21"/>
  <c r="B141" i="21"/>
  <c r="N140" i="21"/>
  <c r="L140" i="21"/>
  <c r="J140" i="21"/>
  <c r="H140" i="21"/>
  <c r="F140" i="21"/>
  <c r="D140" i="21"/>
  <c r="B140" i="21"/>
  <c r="N139" i="21"/>
  <c r="L139" i="21"/>
  <c r="J139" i="21"/>
  <c r="H139" i="21"/>
  <c r="F139" i="21"/>
  <c r="D139" i="21"/>
  <c r="B139" i="21"/>
  <c r="N138" i="21"/>
  <c r="L138" i="21"/>
  <c r="J138" i="21"/>
  <c r="H138" i="21"/>
  <c r="F138" i="21"/>
  <c r="D138" i="21"/>
  <c r="B138" i="21"/>
  <c r="N137" i="21"/>
  <c r="L137" i="21"/>
  <c r="J137" i="21"/>
  <c r="H137" i="21"/>
  <c r="F137" i="21"/>
  <c r="D137" i="21"/>
  <c r="B137" i="21"/>
  <c r="N136" i="21"/>
  <c r="L136" i="21"/>
  <c r="J136" i="21"/>
  <c r="H136" i="21"/>
  <c r="F136" i="21"/>
  <c r="D136" i="21"/>
  <c r="B136" i="21"/>
  <c r="N135" i="21"/>
  <c r="L135" i="21"/>
  <c r="J135" i="21"/>
  <c r="H135" i="21"/>
  <c r="F135" i="21"/>
  <c r="D135" i="21"/>
  <c r="B135" i="21"/>
  <c r="N134" i="21"/>
  <c r="L134" i="21"/>
  <c r="J134" i="21"/>
  <c r="H134" i="21"/>
  <c r="F134" i="21"/>
  <c r="D134" i="21"/>
  <c r="B134" i="21"/>
  <c r="N133" i="21"/>
  <c r="L133" i="21"/>
  <c r="J133" i="21"/>
  <c r="H133" i="21"/>
  <c r="F133" i="21"/>
  <c r="D133" i="21"/>
  <c r="B133" i="21"/>
  <c r="N132" i="21"/>
  <c r="L132" i="21"/>
  <c r="J132" i="21"/>
  <c r="H132" i="21"/>
  <c r="F132" i="21"/>
  <c r="D132" i="21"/>
  <c r="B132" i="21"/>
  <c r="N131" i="21"/>
  <c r="L131" i="21"/>
  <c r="J131" i="21"/>
  <c r="H131" i="21"/>
  <c r="F131" i="21"/>
  <c r="D131" i="21"/>
  <c r="B131" i="21"/>
  <c r="N130" i="21"/>
  <c r="L130" i="21"/>
  <c r="J130" i="21"/>
  <c r="H130" i="21"/>
  <c r="F130" i="21"/>
  <c r="D130" i="21"/>
  <c r="B130" i="21"/>
  <c r="N129" i="21"/>
  <c r="L129" i="21"/>
  <c r="J129" i="21"/>
  <c r="H129" i="21"/>
  <c r="F129" i="21"/>
  <c r="D129" i="21"/>
  <c r="B129" i="21"/>
  <c r="N128" i="21"/>
  <c r="L128" i="21"/>
  <c r="J128" i="21"/>
  <c r="H128" i="21"/>
  <c r="F128" i="21"/>
  <c r="D128" i="21"/>
  <c r="B128" i="21"/>
  <c r="N127" i="21"/>
  <c r="L127" i="21"/>
  <c r="J127" i="21"/>
  <c r="H127" i="21"/>
  <c r="F127" i="21"/>
  <c r="D127" i="21"/>
  <c r="B127" i="21"/>
  <c r="N126" i="21"/>
  <c r="L126" i="21"/>
  <c r="J126" i="21"/>
  <c r="H126" i="21"/>
  <c r="F126" i="21"/>
  <c r="D126" i="21"/>
  <c r="B126" i="21"/>
  <c r="N125" i="21"/>
  <c r="L125" i="21"/>
  <c r="J125" i="21"/>
  <c r="H125" i="21"/>
  <c r="F125" i="21"/>
  <c r="D125" i="21"/>
  <c r="B125" i="21"/>
  <c r="N124" i="21"/>
  <c r="L124" i="21"/>
  <c r="J124" i="21"/>
  <c r="H124" i="21"/>
  <c r="F124" i="21"/>
  <c r="D124" i="21"/>
  <c r="B124" i="21"/>
  <c r="N123" i="21"/>
  <c r="L123" i="21"/>
  <c r="J123" i="21"/>
  <c r="H123" i="21"/>
  <c r="F123" i="21"/>
  <c r="D123" i="21"/>
  <c r="B123" i="21"/>
  <c r="N122" i="21"/>
  <c r="L122" i="21"/>
  <c r="J122" i="21"/>
  <c r="H122" i="21"/>
  <c r="F122" i="21"/>
  <c r="D122" i="21"/>
  <c r="B122" i="21"/>
  <c r="N121" i="21"/>
  <c r="L121" i="21"/>
  <c r="J121" i="21"/>
  <c r="H121" i="21"/>
  <c r="F121" i="21"/>
  <c r="D121" i="21"/>
  <c r="B121" i="21"/>
  <c r="N120" i="21"/>
  <c r="L120" i="21"/>
  <c r="J120" i="21"/>
  <c r="H120" i="21"/>
  <c r="F120" i="21"/>
  <c r="D120" i="21"/>
  <c r="B120" i="21"/>
  <c r="N119" i="21"/>
  <c r="L119" i="21"/>
  <c r="J119" i="21"/>
  <c r="H119" i="21"/>
  <c r="F119" i="21"/>
  <c r="D119" i="21"/>
  <c r="B119" i="21"/>
  <c r="N118" i="21"/>
  <c r="L118" i="21"/>
  <c r="J118" i="21"/>
  <c r="H118" i="21"/>
  <c r="F118" i="21"/>
  <c r="D118" i="21"/>
  <c r="B118" i="21"/>
  <c r="N117" i="21"/>
  <c r="L117" i="21"/>
  <c r="J117" i="21"/>
  <c r="H117" i="21"/>
  <c r="F117" i="21"/>
  <c r="D117" i="21"/>
  <c r="B117" i="21"/>
  <c r="N116" i="21"/>
  <c r="L116" i="21"/>
  <c r="J116" i="21"/>
  <c r="H116" i="21"/>
  <c r="F116" i="21"/>
  <c r="D116" i="21"/>
  <c r="B116" i="21"/>
  <c r="N115" i="21"/>
  <c r="L115" i="21"/>
  <c r="J115" i="21"/>
  <c r="H115" i="21"/>
  <c r="F115" i="21"/>
  <c r="D115" i="21"/>
  <c r="B115" i="21"/>
  <c r="N114" i="21"/>
  <c r="L114" i="21"/>
  <c r="J114" i="21"/>
  <c r="H114" i="21"/>
  <c r="F114" i="21"/>
  <c r="D114" i="21"/>
  <c r="B114" i="21"/>
  <c r="N113" i="21"/>
  <c r="L113" i="21"/>
  <c r="J113" i="21"/>
  <c r="H113" i="21"/>
  <c r="F113" i="21"/>
  <c r="D113" i="21"/>
  <c r="B113" i="21"/>
  <c r="N112" i="21"/>
  <c r="L112" i="21"/>
  <c r="J112" i="21"/>
  <c r="H112" i="21"/>
  <c r="F112" i="21"/>
  <c r="D112" i="21"/>
  <c r="B112" i="21"/>
  <c r="N111" i="21"/>
  <c r="L111" i="21"/>
  <c r="J111" i="21"/>
  <c r="H111" i="21"/>
  <c r="F111" i="21"/>
  <c r="D111" i="21"/>
  <c r="B111" i="21"/>
  <c r="N110" i="21"/>
  <c r="L110" i="21"/>
  <c r="J110" i="21"/>
  <c r="H110" i="21"/>
  <c r="F110" i="21"/>
  <c r="D110" i="21"/>
  <c r="B110" i="21"/>
  <c r="N109" i="21"/>
  <c r="L109" i="21"/>
  <c r="J109" i="21"/>
  <c r="H109" i="21"/>
  <c r="F109" i="21"/>
  <c r="D109" i="21"/>
  <c r="B109" i="21"/>
  <c r="N108" i="21"/>
  <c r="L108" i="21"/>
  <c r="J108" i="21"/>
  <c r="H108" i="21"/>
  <c r="F108" i="21"/>
  <c r="D108" i="21"/>
  <c r="B108" i="21"/>
  <c r="N107" i="21"/>
  <c r="L107" i="21"/>
  <c r="J107" i="21"/>
  <c r="H107" i="21"/>
  <c r="F107" i="21"/>
  <c r="D107" i="21"/>
  <c r="B107" i="21"/>
  <c r="N106" i="21"/>
  <c r="L106" i="21"/>
  <c r="J106" i="21"/>
  <c r="H106" i="21"/>
  <c r="F106" i="21"/>
  <c r="D106" i="21"/>
  <c r="B106" i="21"/>
  <c r="N105" i="21"/>
  <c r="L105" i="21"/>
  <c r="J105" i="21"/>
  <c r="H105" i="21"/>
  <c r="F105" i="21"/>
  <c r="D105" i="21"/>
  <c r="B105" i="21"/>
  <c r="N104" i="21"/>
  <c r="L104" i="21"/>
  <c r="J104" i="21"/>
  <c r="H104" i="21"/>
  <c r="F104" i="21"/>
  <c r="D104" i="21"/>
  <c r="B104" i="21"/>
  <c r="N103" i="21"/>
  <c r="L103" i="21"/>
  <c r="J103" i="21"/>
  <c r="H103" i="21"/>
  <c r="F103" i="21"/>
  <c r="D103" i="21"/>
  <c r="B103" i="21"/>
  <c r="N102" i="21"/>
  <c r="L102" i="21"/>
  <c r="J102" i="21"/>
  <c r="H102" i="21"/>
  <c r="F102" i="21"/>
  <c r="D102" i="21"/>
  <c r="B102" i="21"/>
  <c r="N101" i="21"/>
  <c r="L101" i="21"/>
  <c r="J101" i="21"/>
  <c r="H101" i="21"/>
  <c r="F101" i="21"/>
  <c r="D101" i="21"/>
  <c r="B101" i="21"/>
  <c r="N100" i="21"/>
  <c r="L100" i="21"/>
  <c r="J100" i="21"/>
  <c r="H100" i="21"/>
  <c r="F100" i="21"/>
  <c r="D100" i="21"/>
  <c r="B100" i="21"/>
  <c r="N99" i="21"/>
  <c r="L99" i="21"/>
  <c r="J99" i="21"/>
  <c r="H99" i="21"/>
  <c r="F99" i="21"/>
  <c r="D99" i="21"/>
  <c r="B99" i="21"/>
  <c r="N98" i="21"/>
  <c r="L98" i="21"/>
  <c r="J98" i="21"/>
  <c r="H98" i="21"/>
  <c r="F98" i="21"/>
  <c r="D98" i="21"/>
  <c r="B98" i="21"/>
  <c r="N97" i="21"/>
  <c r="L97" i="21"/>
  <c r="J97" i="21"/>
  <c r="H97" i="21"/>
  <c r="F97" i="21"/>
  <c r="D97" i="21"/>
  <c r="B97" i="21"/>
  <c r="N96" i="21"/>
  <c r="L96" i="21"/>
  <c r="J96" i="21"/>
  <c r="H96" i="21"/>
  <c r="F96" i="21"/>
  <c r="D96" i="21"/>
  <c r="B96" i="21"/>
  <c r="N95" i="21"/>
  <c r="L95" i="21"/>
  <c r="J95" i="21"/>
  <c r="H95" i="21"/>
  <c r="F95" i="21"/>
  <c r="D95" i="21"/>
  <c r="B95" i="21"/>
  <c r="N94" i="21"/>
  <c r="L94" i="21"/>
  <c r="J94" i="21"/>
  <c r="H94" i="21"/>
  <c r="F94" i="21"/>
  <c r="D94" i="21"/>
  <c r="B94" i="21"/>
  <c r="N93" i="21"/>
  <c r="L93" i="21"/>
  <c r="J93" i="21"/>
  <c r="H93" i="21"/>
  <c r="F93" i="21"/>
  <c r="D93" i="21"/>
  <c r="B93" i="21"/>
  <c r="N92" i="21"/>
  <c r="L92" i="21"/>
  <c r="J92" i="21"/>
  <c r="H92" i="21"/>
  <c r="F92" i="21"/>
  <c r="D92" i="21"/>
  <c r="B92" i="21"/>
  <c r="N91" i="21"/>
  <c r="L91" i="21"/>
  <c r="J91" i="21"/>
  <c r="H91" i="21"/>
  <c r="F91" i="21"/>
  <c r="D91" i="21"/>
  <c r="B91" i="21"/>
  <c r="N90" i="21"/>
  <c r="L90" i="21"/>
  <c r="J90" i="21"/>
  <c r="H90" i="21"/>
  <c r="F90" i="21"/>
  <c r="D90" i="21"/>
  <c r="B90" i="21"/>
  <c r="N89" i="21"/>
  <c r="L89" i="21"/>
  <c r="J89" i="21"/>
  <c r="H89" i="21"/>
  <c r="F89" i="21"/>
  <c r="D89" i="21"/>
  <c r="B89" i="21"/>
  <c r="N88" i="21"/>
  <c r="L88" i="21"/>
  <c r="J88" i="21"/>
  <c r="H88" i="21"/>
  <c r="F88" i="21"/>
  <c r="D88" i="21"/>
  <c r="B88" i="21"/>
  <c r="N87" i="21"/>
  <c r="L87" i="21"/>
  <c r="J87" i="21"/>
  <c r="H87" i="21"/>
  <c r="F87" i="21"/>
  <c r="D87" i="21"/>
  <c r="B87" i="21"/>
  <c r="N86" i="21"/>
  <c r="L86" i="21"/>
  <c r="J86" i="21"/>
  <c r="H86" i="21"/>
  <c r="F86" i="21"/>
  <c r="D86" i="21"/>
  <c r="B86" i="21"/>
  <c r="N85" i="21"/>
  <c r="L85" i="21"/>
  <c r="J85" i="21"/>
  <c r="H85" i="21"/>
  <c r="F85" i="21"/>
  <c r="D85" i="21"/>
  <c r="B85" i="21"/>
  <c r="N84" i="21"/>
  <c r="L84" i="21"/>
  <c r="J84" i="21"/>
  <c r="H84" i="21"/>
  <c r="F84" i="21"/>
  <c r="D84" i="21"/>
  <c r="B84" i="21"/>
  <c r="N83" i="21"/>
  <c r="L83" i="21"/>
  <c r="J83" i="21"/>
  <c r="H83" i="21"/>
  <c r="F83" i="21"/>
  <c r="D83" i="21"/>
  <c r="B83" i="21"/>
  <c r="N82" i="21"/>
  <c r="L82" i="21"/>
  <c r="J82" i="21"/>
  <c r="H82" i="21"/>
  <c r="F82" i="21"/>
  <c r="D82" i="21"/>
  <c r="B82" i="21"/>
  <c r="N81" i="21"/>
  <c r="L81" i="21"/>
  <c r="J81" i="21"/>
  <c r="H81" i="21"/>
  <c r="F81" i="21"/>
  <c r="D81" i="21"/>
  <c r="B81" i="21"/>
  <c r="N80" i="21"/>
  <c r="L80" i="21"/>
  <c r="J80" i="21"/>
  <c r="H80" i="21"/>
  <c r="F80" i="21"/>
  <c r="D80" i="21"/>
  <c r="B80" i="21"/>
  <c r="N79" i="21"/>
  <c r="L79" i="21"/>
  <c r="J79" i="21"/>
  <c r="H79" i="21"/>
  <c r="F79" i="21"/>
  <c r="D79" i="21"/>
  <c r="B79" i="21"/>
  <c r="N78" i="21"/>
  <c r="L78" i="21"/>
  <c r="J78" i="21"/>
  <c r="H78" i="21"/>
  <c r="F78" i="21"/>
  <c r="D78" i="21"/>
  <c r="B78" i="21"/>
  <c r="N77" i="21"/>
  <c r="L77" i="21"/>
  <c r="J77" i="21"/>
  <c r="H77" i="21"/>
  <c r="F77" i="21"/>
  <c r="D77" i="21"/>
  <c r="B77" i="21"/>
  <c r="N76" i="21"/>
  <c r="L76" i="21"/>
  <c r="J76" i="21"/>
  <c r="H76" i="21"/>
  <c r="F76" i="21"/>
  <c r="D76" i="21"/>
  <c r="B76" i="21"/>
  <c r="N75" i="21"/>
  <c r="L75" i="21"/>
  <c r="J75" i="21"/>
  <c r="H75" i="21"/>
  <c r="F75" i="21"/>
  <c r="D75" i="21"/>
  <c r="B75" i="21"/>
  <c r="N74" i="21"/>
  <c r="L74" i="21"/>
  <c r="J74" i="21"/>
  <c r="H74" i="21"/>
  <c r="F74" i="21"/>
  <c r="D74" i="21"/>
  <c r="B74" i="21"/>
  <c r="N73" i="21"/>
  <c r="L73" i="21"/>
  <c r="J73" i="21"/>
  <c r="H73" i="21"/>
  <c r="F73" i="21"/>
  <c r="D73" i="21"/>
  <c r="B73" i="21"/>
  <c r="N72" i="21"/>
  <c r="L72" i="21"/>
  <c r="J72" i="21"/>
  <c r="H72" i="21"/>
  <c r="F72" i="21"/>
  <c r="D72" i="21"/>
  <c r="B72" i="21"/>
  <c r="N71" i="21"/>
  <c r="L71" i="21"/>
  <c r="J71" i="21"/>
  <c r="H71" i="21"/>
  <c r="F71" i="21"/>
  <c r="D71" i="21"/>
  <c r="B71" i="21"/>
  <c r="N70" i="21"/>
  <c r="L70" i="21"/>
  <c r="J70" i="21"/>
  <c r="H70" i="21"/>
  <c r="F70" i="21"/>
  <c r="D70" i="21"/>
  <c r="B70" i="21"/>
  <c r="N69" i="21"/>
  <c r="L69" i="21"/>
  <c r="J69" i="21"/>
  <c r="H69" i="21"/>
  <c r="F69" i="21"/>
  <c r="D69" i="21"/>
  <c r="B69" i="21"/>
  <c r="N68" i="21"/>
  <c r="L68" i="21"/>
  <c r="J68" i="21"/>
  <c r="H68" i="21"/>
  <c r="F68" i="21"/>
  <c r="D68" i="21"/>
  <c r="B68" i="21"/>
  <c r="N67" i="21"/>
  <c r="L67" i="21"/>
  <c r="J67" i="21"/>
  <c r="H67" i="21"/>
  <c r="F67" i="21"/>
  <c r="D67" i="21"/>
  <c r="B67" i="21"/>
  <c r="N66" i="21"/>
  <c r="L66" i="21"/>
  <c r="J66" i="21"/>
  <c r="H66" i="21"/>
  <c r="F66" i="21"/>
  <c r="D66" i="21"/>
  <c r="B66" i="21"/>
  <c r="N65" i="21"/>
  <c r="L65" i="21"/>
  <c r="J65" i="21"/>
  <c r="H65" i="21"/>
  <c r="F65" i="21"/>
  <c r="D65" i="21"/>
  <c r="B65" i="21"/>
  <c r="N64" i="21"/>
  <c r="L64" i="21"/>
  <c r="J64" i="21"/>
  <c r="H64" i="21"/>
  <c r="F64" i="21"/>
  <c r="D64" i="21"/>
  <c r="B64" i="21"/>
  <c r="N63" i="21"/>
  <c r="L63" i="21"/>
  <c r="J63" i="21"/>
  <c r="H63" i="21"/>
  <c r="F63" i="21"/>
  <c r="D63" i="21"/>
  <c r="B63" i="21"/>
  <c r="N62" i="21"/>
  <c r="L62" i="21"/>
  <c r="J62" i="21"/>
  <c r="H62" i="21"/>
  <c r="F62" i="21"/>
  <c r="D62" i="21"/>
  <c r="B62" i="21"/>
  <c r="N61" i="21"/>
  <c r="L61" i="21"/>
  <c r="J61" i="21"/>
  <c r="H61" i="21"/>
  <c r="F61" i="21"/>
  <c r="D61" i="21"/>
  <c r="B61" i="21"/>
  <c r="N60" i="21"/>
  <c r="L60" i="21"/>
  <c r="J60" i="21"/>
  <c r="H60" i="21"/>
  <c r="F60" i="21"/>
  <c r="D60" i="21"/>
  <c r="B60" i="21"/>
  <c r="N59" i="21"/>
  <c r="L59" i="21"/>
  <c r="J59" i="21"/>
  <c r="H59" i="21"/>
  <c r="F59" i="21"/>
  <c r="D59" i="21"/>
  <c r="B59" i="21"/>
  <c r="N58" i="21"/>
  <c r="L58" i="21"/>
  <c r="J58" i="21"/>
  <c r="H58" i="21"/>
  <c r="F58" i="21"/>
  <c r="D58" i="21"/>
  <c r="B58" i="21"/>
  <c r="N57" i="21"/>
  <c r="L57" i="21"/>
  <c r="J57" i="21"/>
  <c r="H57" i="21"/>
  <c r="F57" i="21"/>
  <c r="D57" i="21"/>
  <c r="B57" i="21"/>
  <c r="N56" i="21"/>
  <c r="L56" i="21"/>
  <c r="J56" i="21"/>
  <c r="H56" i="21"/>
  <c r="F56" i="21"/>
  <c r="D56" i="21"/>
  <c r="B56" i="21"/>
  <c r="N55" i="21"/>
  <c r="L55" i="21"/>
  <c r="J55" i="21"/>
  <c r="H55" i="21"/>
  <c r="F55" i="21"/>
  <c r="D55" i="21"/>
  <c r="B55" i="21"/>
  <c r="N54" i="21"/>
  <c r="L54" i="21"/>
  <c r="J54" i="21"/>
  <c r="H54" i="21"/>
  <c r="F54" i="21"/>
  <c r="D54" i="21"/>
  <c r="B54" i="21"/>
  <c r="N53" i="21"/>
  <c r="L53" i="21"/>
  <c r="J53" i="21"/>
  <c r="H53" i="21"/>
  <c r="F53" i="21"/>
  <c r="D53" i="21"/>
  <c r="B53" i="21"/>
  <c r="N52" i="21"/>
  <c r="L52" i="21"/>
  <c r="J52" i="21"/>
  <c r="H52" i="21"/>
  <c r="F52" i="21"/>
  <c r="D52" i="21"/>
  <c r="B52" i="21"/>
  <c r="N51" i="21"/>
  <c r="L51" i="21"/>
  <c r="J51" i="21"/>
  <c r="H51" i="21"/>
  <c r="F51" i="21"/>
  <c r="D51" i="21"/>
  <c r="B51" i="21"/>
  <c r="N50" i="21"/>
  <c r="L50" i="21"/>
  <c r="J50" i="21"/>
  <c r="H50" i="21"/>
  <c r="F50" i="21"/>
  <c r="D50" i="21"/>
  <c r="B50" i="21"/>
  <c r="N49" i="21"/>
  <c r="L49" i="21"/>
  <c r="J49" i="21"/>
  <c r="H49" i="21"/>
  <c r="F49" i="21"/>
  <c r="D49" i="21"/>
  <c r="B49" i="21"/>
  <c r="N48" i="21"/>
  <c r="L48" i="21"/>
  <c r="J48" i="21"/>
  <c r="H48" i="21"/>
  <c r="F48" i="21"/>
  <c r="D48" i="21"/>
  <c r="B48" i="21"/>
  <c r="N47" i="21"/>
  <c r="L47" i="21"/>
  <c r="J47" i="21"/>
  <c r="H47" i="21"/>
  <c r="F47" i="21"/>
  <c r="D47" i="21"/>
  <c r="B47" i="21"/>
  <c r="N46" i="21"/>
  <c r="L46" i="21"/>
  <c r="J46" i="21"/>
  <c r="H46" i="21"/>
  <c r="F46" i="21"/>
  <c r="D46" i="21"/>
  <c r="B46" i="21"/>
  <c r="N45" i="21"/>
  <c r="L45" i="21"/>
  <c r="J45" i="21"/>
  <c r="H45" i="21"/>
  <c r="F45" i="21"/>
  <c r="D45" i="21"/>
  <c r="B45" i="21"/>
  <c r="N44" i="21"/>
  <c r="L44" i="21"/>
  <c r="J44" i="21"/>
  <c r="H44" i="21"/>
  <c r="F44" i="21"/>
  <c r="D44" i="21"/>
  <c r="B44" i="21"/>
  <c r="N43" i="21"/>
  <c r="L43" i="21"/>
  <c r="J43" i="21"/>
  <c r="H43" i="21"/>
  <c r="F43" i="21"/>
  <c r="D43" i="21"/>
  <c r="B43" i="21"/>
  <c r="N42" i="21"/>
  <c r="L42" i="21"/>
  <c r="J42" i="21"/>
  <c r="H42" i="21"/>
  <c r="F42" i="21"/>
  <c r="D42" i="21"/>
  <c r="B42" i="21"/>
  <c r="N41" i="21"/>
  <c r="L41" i="21"/>
  <c r="J41" i="21"/>
  <c r="H41" i="21"/>
  <c r="F41" i="21"/>
  <c r="D41" i="21"/>
  <c r="B41" i="21"/>
  <c r="N40" i="21"/>
  <c r="L40" i="21"/>
  <c r="J40" i="21"/>
  <c r="H40" i="21"/>
  <c r="F40" i="21"/>
  <c r="D40" i="21"/>
  <c r="B40" i="21"/>
  <c r="N39" i="21"/>
  <c r="L39" i="21"/>
  <c r="J39" i="21"/>
  <c r="H39" i="21"/>
  <c r="F39" i="21"/>
  <c r="D39" i="21"/>
  <c r="B39" i="21"/>
  <c r="N38" i="21"/>
  <c r="L38" i="21"/>
  <c r="J38" i="21"/>
  <c r="H38" i="21"/>
  <c r="F38" i="21"/>
  <c r="D38" i="21"/>
  <c r="B38" i="21"/>
  <c r="N37" i="21"/>
  <c r="L37" i="21"/>
  <c r="J37" i="21"/>
  <c r="H37" i="21"/>
  <c r="F37" i="21"/>
  <c r="D37" i="21"/>
  <c r="B37" i="21"/>
  <c r="N36" i="21"/>
  <c r="L36" i="21"/>
  <c r="J36" i="21"/>
  <c r="H36" i="21"/>
  <c r="F36" i="21"/>
  <c r="D36" i="21"/>
  <c r="B36" i="21"/>
  <c r="N35" i="21"/>
  <c r="L35" i="21"/>
  <c r="J35" i="21"/>
  <c r="H35" i="21"/>
  <c r="F35" i="21"/>
  <c r="D35" i="21"/>
  <c r="B35" i="21"/>
  <c r="N34" i="21"/>
  <c r="L34" i="21"/>
  <c r="J34" i="21"/>
  <c r="H34" i="21"/>
  <c r="F34" i="21"/>
  <c r="D34" i="21"/>
  <c r="B34" i="21"/>
  <c r="N33" i="21"/>
  <c r="L33" i="21"/>
  <c r="J33" i="21"/>
  <c r="H33" i="21"/>
  <c r="F33" i="21"/>
  <c r="D33" i="21"/>
  <c r="B33" i="21"/>
  <c r="N32" i="21"/>
  <c r="L32" i="21"/>
  <c r="J32" i="21"/>
  <c r="H32" i="21"/>
  <c r="F32" i="21"/>
  <c r="D32" i="21"/>
  <c r="B32" i="21"/>
  <c r="N31" i="21"/>
  <c r="L31" i="21"/>
  <c r="J31" i="21"/>
  <c r="H31" i="21"/>
  <c r="F31" i="21"/>
  <c r="D31" i="21"/>
  <c r="B31" i="21"/>
  <c r="N30" i="21"/>
  <c r="L30" i="21"/>
  <c r="J30" i="21"/>
  <c r="H30" i="21"/>
  <c r="F30" i="21"/>
  <c r="D30" i="21"/>
  <c r="B30" i="21"/>
  <c r="N29" i="21"/>
  <c r="L29" i="21"/>
  <c r="J29" i="21"/>
  <c r="H29" i="21"/>
  <c r="F29" i="21"/>
  <c r="D29" i="21"/>
  <c r="B29" i="21"/>
  <c r="N28" i="21"/>
  <c r="L28" i="21"/>
  <c r="J28" i="21"/>
  <c r="H28" i="21"/>
  <c r="F28" i="21"/>
  <c r="D28" i="21"/>
  <c r="B28" i="21"/>
  <c r="N27" i="21"/>
  <c r="L27" i="21"/>
  <c r="J27" i="21"/>
  <c r="H27" i="21"/>
  <c r="F27" i="21"/>
  <c r="D27" i="21"/>
  <c r="B27" i="21"/>
  <c r="N26" i="21"/>
  <c r="L26" i="21"/>
  <c r="J26" i="21"/>
  <c r="H26" i="21"/>
  <c r="F26" i="21"/>
  <c r="D26" i="21"/>
  <c r="B26" i="21"/>
  <c r="N25" i="21"/>
  <c r="L25" i="21"/>
  <c r="J25" i="21"/>
  <c r="H25" i="21"/>
  <c r="F25" i="21"/>
  <c r="D25" i="21"/>
  <c r="B25" i="21"/>
  <c r="N24" i="21"/>
  <c r="L24" i="21"/>
  <c r="J24" i="21"/>
  <c r="H24" i="21"/>
  <c r="F24" i="21"/>
  <c r="D24" i="21"/>
  <c r="B24" i="21"/>
  <c r="N23" i="21"/>
  <c r="L23" i="21"/>
  <c r="J23" i="21"/>
  <c r="H23" i="21"/>
  <c r="F23" i="21"/>
  <c r="D23" i="21"/>
  <c r="B23" i="21"/>
  <c r="N22" i="21"/>
  <c r="L22" i="21"/>
  <c r="J22" i="21"/>
  <c r="H22" i="21"/>
  <c r="F22" i="21"/>
  <c r="D22" i="21"/>
  <c r="B22" i="21"/>
  <c r="N21" i="21"/>
  <c r="L21" i="21"/>
  <c r="J21" i="21"/>
  <c r="H21" i="21"/>
  <c r="F21" i="21"/>
  <c r="D21" i="21"/>
  <c r="B21" i="21"/>
  <c r="N20" i="21"/>
  <c r="L20" i="21"/>
  <c r="J20" i="21"/>
  <c r="H20" i="21"/>
  <c r="F20" i="21"/>
  <c r="D20" i="21"/>
  <c r="B20" i="21"/>
  <c r="N19" i="21"/>
  <c r="L19" i="21"/>
  <c r="J19" i="21"/>
  <c r="H19" i="21"/>
  <c r="F19" i="21"/>
  <c r="D19" i="21"/>
  <c r="B19" i="21"/>
  <c r="N18" i="21"/>
  <c r="L18" i="21"/>
  <c r="J18" i="21"/>
  <c r="H18" i="21"/>
  <c r="F18" i="21"/>
  <c r="D18" i="21"/>
  <c r="B18" i="21"/>
  <c r="N17" i="21"/>
  <c r="L17" i="21"/>
  <c r="J17" i="21"/>
  <c r="H17" i="21"/>
  <c r="F17" i="21"/>
  <c r="D17" i="21"/>
  <c r="B17" i="21"/>
  <c r="N16" i="21"/>
  <c r="L16" i="21"/>
  <c r="J16" i="21"/>
  <c r="H16" i="21"/>
  <c r="F16" i="21"/>
  <c r="D16" i="21"/>
  <c r="B16" i="21"/>
  <c r="N15" i="21"/>
  <c r="L15" i="21"/>
  <c r="J15" i="21"/>
  <c r="H15" i="21"/>
  <c r="F15" i="21"/>
  <c r="D15" i="21"/>
  <c r="B15" i="21"/>
  <c r="N14" i="21"/>
  <c r="L14" i="21"/>
  <c r="J14" i="21"/>
  <c r="H14" i="21"/>
  <c r="F14" i="21"/>
  <c r="D14" i="21"/>
  <c r="B14" i="21"/>
  <c r="N13" i="21"/>
  <c r="N10" i="21" s="1"/>
  <c r="N224" i="21" s="1"/>
  <c r="L13" i="21"/>
  <c r="J13" i="21"/>
  <c r="H13" i="21"/>
  <c r="F13" i="21"/>
  <c r="F10" i="21" s="1"/>
  <c r="F224" i="21" s="1"/>
  <c r="D13" i="21"/>
  <c r="B13" i="21"/>
  <c r="N12" i="21"/>
  <c r="L12" i="21"/>
  <c r="L10" i="21" s="1"/>
  <c r="L224" i="21" s="1"/>
  <c r="J12" i="21"/>
  <c r="H12" i="21"/>
  <c r="F12" i="21"/>
  <c r="D12" i="21"/>
  <c r="D10" i="21" s="1"/>
  <c r="D224" i="21" s="1"/>
  <c r="B12" i="21"/>
  <c r="N11" i="21"/>
  <c r="L11" i="21"/>
  <c r="J11" i="21"/>
  <c r="H11" i="21"/>
  <c r="F11" i="21"/>
  <c r="D11" i="21"/>
  <c r="B11" i="21"/>
  <c r="R10" i="21"/>
  <c r="R224" i="21" s="1"/>
  <c r="R225" i="21" s="1"/>
  <c r="P10" i="21"/>
  <c r="P224" i="21" s="1"/>
  <c r="J10" i="21"/>
  <c r="J224" i="21" s="1"/>
  <c r="N358" i="18"/>
  <c r="L358" i="18"/>
  <c r="J358" i="18"/>
  <c r="H358" i="18"/>
  <c r="F358" i="18"/>
  <c r="D358" i="18"/>
  <c r="B358" i="18"/>
  <c r="N357" i="18"/>
  <c r="L357" i="18"/>
  <c r="J357" i="18"/>
  <c r="H357" i="18"/>
  <c r="F357" i="18"/>
  <c r="D357" i="18"/>
  <c r="B357" i="18"/>
  <c r="N356" i="18"/>
  <c r="L356" i="18"/>
  <c r="J356" i="18"/>
  <c r="H356" i="18"/>
  <c r="F356" i="18"/>
  <c r="D356" i="18"/>
  <c r="B356" i="18"/>
  <c r="N355" i="18"/>
  <c r="L355" i="18"/>
  <c r="J355" i="18"/>
  <c r="H355" i="18"/>
  <c r="F355" i="18"/>
  <c r="D355" i="18"/>
  <c r="B355" i="18"/>
  <c r="N354" i="18"/>
  <c r="L354" i="18"/>
  <c r="J354" i="18"/>
  <c r="H354" i="18"/>
  <c r="F354" i="18"/>
  <c r="D354" i="18"/>
  <c r="B354" i="18"/>
  <c r="N353" i="18"/>
  <c r="L353" i="18"/>
  <c r="J353" i="18"/>
  <c r="H353" i="18"/>
  <c r="F353" i="18"/>
  <c r="D353" i="18"/>
  <c r="B353" i="18"/>
  <c r="N352" i="18"/>
  <c r="L352" i="18"/>
  <c r="J352" i="18"/>
  <c r="H352" i="18"/>
  <c r="F352" i="18"/>
  <c r="D352" i="18"/>
  <c r="B352" i="18"/>
  <c r="N351" i="18"/>
  <c r="L351" i="18"/>
  <c r="J351" i="18"/>
  <c r="H351" i="18"/>
  <c r="F351" i="18"/>
  <c r="D351" i="18"/>
  <c r="B351" i="18"/>
  <c r="N350" i="18"/>
  <c r="L350" i="18"/>
  <c r="J350" i="18"/>
  <c r="H350" i="18"/>
  <c r="F350" i="18"/>
  <c r="D350" i="18"/>
  <c r="B350" i="18"/>
  <c r="N349" i="18"/>
  <c r="L349" i="18"/>
  <c r="J349" i="18"/>
  <c r="H349" i="18"/>
  <c r="F349" i="18"/>
  <c r="D349" i="18"/>
  <c r="B349" i="18"/>
  <c r="N348" i="18"/>
  <c r="L348" i="18"/>
  <c r="J348" i="18"/>
  <c r="H348" i="18"/>
  <c r="F348" i="18"/>
  <c r="D348" i="18"/>
  <c r="B348" i="18"/>
  <c r="N347" i="18"/>
  <c r="L347" i="18"/>
  <c r="J347" i="18"/>
  <c r="H347" i="18"/>
  <c r="F347" i="18"/>
  <c r="D347" i="18"/>
  <c r="B347" i="18"/>
  <c r="N346" i="18"/>
  <c r="L346" i="18"/>
  <c r="J346" i="18"/>
  <c r="H346" i="18"/>
  <c r="F346" i="18"/>
  <c r="D346" i="18"/>
  <c r="B346" i="18"/>
  <c r="N345" i="18"/>
  <c r="L345" i="18"/>
  <c r="J345" i="18"/>
  <c r="H345" i="18"/>
  <c r="F345" i="18"/>
  <c r="D345" i="18"/>
  <c r="B345" i="18"/>
  <c r="N344" i="18"/>
  <c r="L344" i="18"/>
  <c r="J344" i="18"/>
  <c r="H344" i="18"/>
  <c r="F344" i="18"/>
  <c r="D344" i="18"/>
  <c r="B344" i="18"/>
  <c r="N343" i="18"/>
  <c r="L343" i="18"/>
  <c r="L342" i="18" s="1"/>
  <c r="J343" i="18"/>
  <c r="J342" i="18" s="1"/>
  <c r="H343" i="18"/>
  <c r="F343" i="18"/>
  <c r="F342" i="18" s="1"/>
  <c r="D343" i="18"/>
  <c r="D342" i="18" s="1"/>
  <c r="B343" i="18"/>
  <c r="R342" i="18"/>
  <c r="P342" i="18"/>
  <c r="N342" i="18"/>
  <c r="H342" i="18"/>
  <c r="B340" i="18"/>
  <c r="R339" i="18"/>
  <c r="P339" i="18"/>
  <c r="N339" i="18"/>
  <c r="L339" i="18"/>
  <c r="J339" i="18"/>
  <c r="H339" i="18"/>
  <c r="F339" i="18"/>
  <c r="D339" i="18"/>
  <c r="B339" i="18"/>
  <c r="B338" i="18"/>
  <c r="B337" i="18"/>
  <c r="B336" i="18"/>
  <c r="R335" i="18"/>
  <c r="P335" i="18"/>
  <c r="N335" i="18"/>
  <c r="L335" i="18"/>
  <c r="J335" i="18"/>
  <c r="H335" i="18"/>
  <c r="F335" i="18"/>
  <c r="D335" i="18"/>
  <c r="B335" i="18"/>
  <c r="B334" i="18"/>
  <c r="R333" i="18"/>
  <c r="P333" i="18"/>
  <c r="N333" i="18"/>
  <c r="L333" i="18"/>
  <c r="J333" i="18"/>
  <c r="H333" i="18"/>
  <c r="F333" i="18"/>
  <c r="D333" i="18"/>
  <c r="B333" i="18"/>
  <c r="B332" i="18"/>
  <c r="B331" i="18"/>
  <c r="R330" i="18"/>
  <c r="P330" i="18"/>
  <c r="N330" i="18"/>
  <c r="L330" i="18"/>
  <c r="J330" i="18"/>
  <c r="H330" i="18"/>
  <c r="F330" i="18"/>
  <c r="D330" i="18"/>
  <c r="B330" i="18"/>
  <c r="B329" i="18"/>
  <c r="B328" i="18"/>
  <c r="B327" i="18"/>
  <c r="B326" i="18"/>
  <c r="B325" i="18"/>
  <c r="B324" i="18"/>
  <c r="B323" i="18"/>
  <c r="B322" i="18"/>
  <c r="B321" i="18"/>
  <c r="R320" i="18"/>
  <c r="P320" i="18"/>
  <c r="N320" i="18"/>
  <c r="L320" i="18"/>
  <c r="J320" i="18"/>
  <c r="H320" i="18"/>
  <c r="F320" i="18"/>
  <c r="D320" i="18"/>
  <c r="B320" i="18"/>
  <c r="B319" i="18"/>
  <c r="B318" i="18"/>
  <c r="R317" i="18"/>
  <c r="P317" i="18"/>
  <c r="N317" i="18"/>
  <c r="L317" i="18"/>
  <c r="J317" i="18"/>
  <c r="H317" i="18"/>
  <c r="F317" i="18"/>
  <c r="D317" i="18"/>
  <c r="B317" i="18"/>
  <c r="B316" i="18"/>
  <c r="B315" i="18"/>
  <c r="B314" i="18"/>
  <c r="B313" i="18"/>
  <c r="B312" i="18"/>
  <c r="R311" i="18"/>
  <c r="P311" i="18"/>
  <c r="N311" i="18"/>
  <c r="L311" i="18"/>
  <c r="J311" i="18"/>
  <c r="H311" i="18"/>
  <c r="F311" i="18"/>
  <c r="D311" i="18"/>
  <c r="B311" i="18"/>
  <c r="B310" i="18"/>
  <c r="B309" i="18"/>
  <c r="B308" i="18"/>
  <c r="B307" i="18"/>
  <c r="B306" i="18"/>
  <c r="R305" i="18"/>
  <c r="P305" i="18"/>
  <c r="N305" i="18"/>
  <c r="L305" i="18"/>
  <c r="J305" i="18"/>
  <c r="H305" i="18"/>
  <c r="F305" i="18"/>
  <c r="D305" i="18"/>
  <c r="B305" i="18"/>
  <c r="B304" i="18"/>
  <c r="B303" i="18"/>
  <c r="B302" i="18"/>
  <c r="B301" i="18"/>
  <c r="R300" i="18"/>
  <c r="P300" i="18"/>
  <c r="N300" i="18"/>
  <c r="L300" i="18"/>
  <c r="J300" i="18"/>
  <c r="H300" i="18"/>
  <c r="F300" i="18"/>
  <c r="D300" i="18"/>
  <c r="B300" i="18"/>
  <c r="B299" i="18"/>
  <c r="R298" i="18"/>
  <c r="P298" i="18"/>
  <c r="N298" i="18"/>
  <c r="L298" i="18"/>
  <c r="J298" i="18"/>
  <c r="H298" i="18"/>
  <c r="F298" i="18"/>
  <c r="D298" i="18"/>
  <c r="B298" i="18"/>
  <c r="B297" i="18"/>
  <c r="B296" i="18"/>
  <c r="R295" i="18"/>
  <c r="P295" i="18"/>
  <c r="N295" i="18"/>
  <c r="L295" i="18"/>
  <c r="J295" i="18"/>
  <c r="H295" i="18"/>
  <c r="F295" i="18"/>
  <c r="D295" i="18"/>
  <c r="B295" i="18"/>
  <c r="B294" i="18"/>
  <c r="B293" i="18"/>
  <c r="B292" i="18"/>
  <c r="B291" i="18"/>
  <c r="B290" i="18"/>
  <c r="B289" i="18"/>
  <c r="B288" i="18"/>
  <c r="B287" i="18"/>
  <c r="B286" i="18"/>
  <c r="B285" i="18"/>
  <c r="B284" i="18"/>
  <c r="B283" i="18"/>
  <c r="B282" i="18"/>
  <c r="B281" i="18"/>
  <c r="B280" i="18"/>
  <c r="B279" i="18"/>
  <c r="B278" i="18"/>
  <c r="B277" i="18"/>
  <c r="B276" i="18"/>
  <c r="B275" i="18"/>
  <c r="B274" i="18"/>
  <c r="B273" i="18"/>
  <c r="B272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R257" i="18"/>
  <c r="P257" i="18"/>
  <c r="N257" i="18"/>
  <c r="L257" i="18"/>
  <c r="J257" i="18"/>
  <c r="H257" i="18"/>
  <c r="F257" i="18"/>
  <c r="D257" i="18"/>
  <c r="B257" i="18"/>
  <c r="B256" i="18"/>
  <c r="R255" i="18"/>
  <c r="P255" i="18"/>
  <c r="N255" i="18"/>
  <c r="L255" i="18"/>
  <c r="J255" i="18"/>
  <c r="H255" i="18"/>
  <c r="F255" i="18"/>
  <c r="D255" i="18"/>
  <c r="B255" i="18"/>
  <c r="B254" i="18"/>
  <c r="B253" i="18"/>
  <c r="B252" i="18"/>
  <c r="R251" i="18"/>
  <c r="P251" i="18"/>
  <c r="N251" i="18"/>
  <c r="L251" i="18"/>
  <c r="J251" i="18"/>
  <c r="H251" i="18"/>
  <c r="F251" i="18"/>
  <c r="D251" i="18"/>
  <c r="B251" i="18"/>
  <c r="B250" i="18"/>
  <c r="B249" i="18"/>
  <c r="R248" i="18"/>
  <c r="P248" i="18"/>
  <c r="N248" i="18"/>
  <c r="L248" i="18"/>
  <c r="J248" i="18"/>
  <c r="H248" i="18"/>
  <c r="F248" i="18"/>
  <c r="D248" i="18"/>
  <c r="B248" i="18"/>
  <c r="B247" i="18"/>
  <c r="R246" i="18"/>
  <c r="P246" i="18"/>
  <c r="N246" i="18"/>
  <c r="L246" i="18"/>
  <c r="J246" i="18"/>
  <c r="H246" i="18"/>
  <c r="F246" i="18"/>
  <c r="D246" i="18"/>
  <c r="B246" i="18"/>
  <c r="B245" i="18"/>
  <c r="R244" i="18"/>
  <c r="P244" i="18"/>
  <c r="N244" i="18"/>
  <c r="L244" i="18"/>
  <c r="J244" i="18"/>
  <c r="H244" i="18"/>
  <c r="F244" i="18"/>
  <c r="D244" i="18"/>
  <c r="B244" i="18"/>
  <c r="B243" i="18"/>
  <c r="B242" i="18"/>
  <c r="R241" i="18"/>
  <c r="P241" i="18"/>
  <c r="N241" i="18"/>
  <c r="L241" i="18"/>
  <c r="J241" i="18"/>
  <c r="H241" i="18"/>
  <c r="F241" i="18"/>
  <c r="D241" i="18"/>
  <c r="B241" i="18"/>
  <c r="B240" i="18"/>
  <c r="B239" i="18"/>
  <c r="R238" i="18"/>
  <c r="P238" i="18"/>
  <c r="N238" i="18"/>
  <c r="L238" i="18"/>
  <c r="J238" i="18"/>
  <c r="H238" i="18"/>
  <c r="F238" i="18"/>
  <c r="D238" i="18"/>
  <c r="B238" i="18"/>
  <c r="B237" i="18"/>
  <c r="B236" i="18"/>
  <c r="B235" i="18"/>
  <c r="B234" i="18"/>
  <c r="R233" i="18"/>
  <c r="P233" i="18"/>
  <c r="N233" i="18"/>
  <c r="L233" i="18"/>
  <c r="J233" i="18"/>
  <c r="H233" i="18"/>
  <c r="F233" i="18"/>
  <c r="D233" i="18"/>
  <c r="B233" i="18"/>
  <c r="B232" i="18"/>
  <c r="R231" i="18"/>
  <c r="P231" i="18"/>
  <c r="N231" i="18"/>
  <c r="L231" i="18"/>
  <c r="J231" i="18"/>
  <c r="H231" i="18"/>
  <c r="F231" i="18"/>
  <c r="D231" i="18"/>
  <c r="B231" i="18"/>
  <c r="B230" i="18"/>
  <c r="B229" i="18"/>
  <c r="B228" i="18"/>
  <c r="R227" i="18"/>
  <c r="P227" i="18"/>
  <c r="N227" i="18"/>
  <c r="L227" i="18"/>
  <c r="J227" i="18"/>
  <c r="H227" i="18"/>
  <c r="F227" i="18"/>
  <c r="D227" i="18"/>
  <c r="B227" i="18"/>
  <c r="B226" i="18"/>
  <c r="R225" i="18"/>
  <c r="P225" i="18"/>
  <c r="N225" i="18"/>
  <c r="L225" i="18"/>
  <c r="J225" i="18"/>
  <c r="H225" i="18"/>
  <c r="F225" i="18"/>
  <c r="D225" i="18"/>
  <c r="B225" i="18"/>
  <c r="B224" i="18"/>
  <c r="B223" i="18"/>
  <c r="B222" i="18"/>
  <c r="B221" i="18"/>
  <c r="B220" i="18"/>
  <c r="B219" i="18"/>
  <c r="B218" i="18"/>
  <c r="B217" i="18"/>
  <c r="B216" i="18"/>
  <c r="B215" i="18"/>
  <c r="R214" i="18"/>
  <c r="P214" i="18"/>
  <c r="N214" i="18"/>
  <c r="L214" i="18"/>
  <c r="J214" i="18"/>
  <c r="H214" i="18"/>
  <c r="F214" i="18"/>
  <c r="D214" i="18"/>
  <c r="B214" i="18"/>
  <c r="B213" i="18"/>
  <c r="B212" i="18"/>
  <c r="B211" i="18"/>
  <c r="B210" i="18"/>
  <c r="B209" i="18"/>
  <c r="B208" i="18"/>
  <c r="B207" i="18"/>
  <c r="B206" i="18"/>
  <c r="B205" i="18"/>
  <c r="B204" i="18"/>
  <c r="R203" i="18"/>
  <c r="P203" i="18"/>
  <c r="N203" i="18"/>
  <c r="L203" i="18"/>
  <c r="J203" i="18"/>
  <c r="H203" i="18"/>
  <c r="F203" i="18"/>
  <c r="D203" i="18"/>
  <c r="B203" i="18"/>
  <c r="R202" i="18"/>
  <c r="P202" i="18"/>
  <c r="N202" i="18"/>
  <c r="L202" i="18"/>
  <c r="J202" i="18"/>
  <c r="H202" i="18"/>
  <c r="F202" i="18"/>
  <c r="D202" i="18"/>
  <c r="B197" i="18"/>
  <c r="B196" i="18"/>
  <c r="B195" i="18"/>
  <c r="B194" i="18"/>
  <c r="B193" i="18"/>
  <c r="B192" i="18"/>
  <c r="B191" i="18"/>
  <c r="B190" i="18"/>
  <c r="B189" i="18"/>
  <c r="B188" i="18"/>
  <c r="B187" i="18"/>
  <c r="B186" i="18"/>
  <c r="B185" i="18"/>
  <c r="B184" i="18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156" i="18"/>
  <c r="B155" i="18"/>
  <c r="B154" i="18"/>
  <c r="B153" i="18"/>
  <c r="B152" i="18"/>
  <c r="B151" i="18"/>
  <c r="B150" i="18"/>
  <c r="B149" i="18"/>
  <c r="B148" i="18"/>
  <c r="B147" i="18"/>
  <c r="B146" i="18"/>
  <c r="B145" i="18"/>
  <c r="B144" i="18"/>
  <c r="B143" i="18"/>
  <c r="B142" i="18"/>
  <c r="B141" i="18"/>
  <c r="B140" i="18"/>
  <c r="B139" i="18"/>
  <c r="B138" i="18"/>
  <c r="B137" i="18"/>
  <c r="B136" i="18"/>
  <c r="R135" i="18"/>
  <c r="P135" i="18"/>
  <c r="N135" i="18"/>
  <c r="L135" i="18"/>
  <c r="J135" i="18"/>
  <c r="H135" i="18"/>
  <c r="F135" i="18"/>
  <c r="D135" i="18"/>
  <c r="N133" i="18"/>
  <c r="L133" i="18"/>
  <c r="J133" i="18"/>
  <c r="H133" i="18"/>
  <c r="F133" i="18"/>
  <c r="D133" i="18"/>
  <c r="B133" i="18"/>
  <c r="N132" i="18"/>
  <c r="L132" i="18"/>
  <c r="J132" i="18"/>
  <c r="H132" i="18"/>
  <c r="F132" i="18"/>
  <c r="D132" i="18"/>
  <c r="B132" i="18"/>
  <c r="N131" i="18"/>
  <c r="L131" i="18"/>
  <c r="J131" i="18"/>
  <c r="H131" i="18"/>
  <c r="F131" i="18"/>
  <c r="D131" i="18"/>
  <c r="B131" i="18"/>
  <c r="N130" i="18"/>
  <c r="L130" i="18"/>
  <c r="J130" i="18"/>
  <c r="H130" i="18"/>
  <c r="F130" i="18"/>
  <c r="D130" i="18"/>
  <c r="B130" i="18"/>
  <c r="N129" i="18"/>
  <c r="L129" i="18"/>
  <c r="J129" i="18"/>
  <c r="H129" i="18"/>
  <c r="F129" i="18"/>
  <c r="D129" i="18"/>
  <c r="B129" i="18"/>
  <c r="N128" i="18"/>
  <c r="L128" i="18"/>
  <c r="J128" i="18"/>
  <c r="H128" i="18"/>
  <c r="F128" i="18"/>
  <c r="D128" i="18"/>
  <c r="B128" i="18"/>
  <c r="N127" i="18"/>
  <c r="L127" i="18"/>
  <c r="J127" i="18"/>
  <c r="H127" i="18"/>
  <c r="F127" i="18"/>
  <c r="D127" i="18"/>
  <c r="B127" i="18"/>
  <c r="N126" i="18"/>
  <c r="L126" i="18"/>
  <c r="J126" i="18"/>
  <c r="H126" i="18"/>
  <c r="F126" i="18"/>
  <c r="D126" i="18"/>
  <c r="B126" i="18"/>
  <c r="N125" i="18"/>
  <c r="L125" i="18"/>
  <c r="J125" i="18"/>
  <c r="H125" i="18"/>
  <c r="F125" i="18"/>
  <c r="D125" i="18"/>
  <c r="B125" i="18"/>
  <c r="N124" i="18"/>
  <c r="L124" i="18"/>
  <c r="J124" i="18"/>
  <c r="H124" i="18"/>
  <c r="F124" i="18"/>
  <c r="D124" i="18"/>
  <c r="B124" i="18"/>
  <c r="N123" i="18"/>
  <c r="L123" i="18"/>
  <c r="J123" i="18"/>
  <c r="H123" i="18"/>
  <c r="F123" i="18"/>
  <c r="D123" i="18"/>
  <c r="B123" i="18"/>
  <c r="N122" i="18"/>
  <c r="L122" i="18"/>
  <c r="J122" i="18"/>
  <c r="H122" i="18"/>
  <c r="F122" i="18"/>
  <c r="D122" i="18"/>
  <c r="B122" i="18"/>
  <c r="N121" i="18"/>
  <c r="L121" i="18"/>
  <c r="J121" i="18"/>
  <c r="H121" i="18"/>
  <c r="F121" i="18"/>
  <c r="D121" i="18"/>
  <c r="B121" i="18"/>
  <c r="N120" i="18"/>
  <c r="L120" i="18"/>
  <c r="J120" i="18"/>
  <c r="H120" i="18"/>
  <c r="F120" i="18"/>
  <c r="D120" i="18"/>
  <c r="B120" i="18"/>
  <c r="N119" i="18"/>
  <c r="L119" i="18"/>
  <c r="J119" i="18"/>
  <c r="H119" i="18"/>
  <c r="F119" i="18"/>
  <c r="D119" i="18"/>
  <c r="B119" i="18"/>
  <c r="N118" i="18"/>
  <c r="L118" i="18"/>
  <c r="J118" i="18"/>
  <c r="H118" i="18"/>
  <c r="F118" i="18"/>
  <c r="D118" i="18"/>
  <c r="B118" i="18"/>
  <c r="N117" i="18"/>
  <c r="L117" i="18"/>
  <c r="J117" i="18"/>
  <c r="H117" i="18"/>
  <c r="F117" i="18"/>
  <c r="D117" i="18"/>
  <c r="B117" i="18"/>
  <c r="N116" i="18"/>
  <c r="L116" i="18"/>
  <c r="J116" i="18"/>
  <c r="H116" i="18"/>
  <c r="F116" i="18"/>
  <c r="D116" i="18"/>
  <c r="B116" i="18"/>
  <c r="N115" i="18"/>
  <c r="L115" i="18"/>
  <c r="J115" i="18"/>
  <c r="H115" i="18"/>
  <c r="F115" i="18"/>
  <c r="D115" i="18"/>
  <c r="B115" i="18"/>
  <c r="N114" i="18"/>
  <c r="L114" i="18"/>
  <c r="J114" i="18"/>
  <c r="H114" i="18"/>
  <c r="F114" i="18"/>
  <c r="D114" i="18"/>
  <c r="B114" i="18"/>
  <c r="N113" i="18"/>
  <c r="L113" i="18"/>
  <c r="J113" i="18"/>
  <c r="H113" i="18"/>
  <c r="F113" i="18"/>
  <c r="D113" i="18"/>
  <c r="B113" i="18"/>
  <c r="N112" i="18"/>
  <c r="L112" i="18"/>
  <c r="J112" i="18"/>
  <c r="H112" i="18"/>
  <c r="F112" i="18"/>
  <c r="D112" i="18"/>
  <c r="B112" i="18"/>
  <c r="N111" i="18"/>
  <c r="L111" i="18"/>
  <c r="J111" i="18"/>
  <c r="H111" i="18"/>
  <c r="F111" i="18"/>
  <c r="D111" i="18"/>
  <c r="B111" i="18"/>
  <c r="N110" i="18"/>
  <c r="L110" i="18"/>
  <c r="J110" i="18"/>
  <c r="H110" i="18"/>
  <c r="F110" i="18"/>
  <c r="D110" i="18"/>
  <c r="B110" i="18"/>
  <c r="N109" i="18"/>
  <c r="L109" i="18"/>
  <c r="J109" i="18"/>
  <c r="H109" i="18"/>
  <c r="F109" i="18"/>
  <c r="D109" i="18"/>
  <c r="B109" i="18"/>
  <c r="N108" i="18"/>
  <c r="L108" i="18"/>
  <c r="J108" i="18"/>
  <c r="H108" i="18"/>
  <c r="F108" i="18"/>
  <c r="D108" i="18"/>
  <c r="B108" i="18"/>
  <c r="N107" i="18"/>
  <c r="L107" i="18"/>
  <c r="J107" i="18"/>
  <c r="H107" i="18"/>
  <c r="F107" i="18"/>
  <c r="D107" i="18"/>
  <c r="B107" i="18"/>
  <c r="N106" i="18"/>
  <c r="L106" i="18"/>
  <c r="J106" i="18"/>
  <c r="H106" i="18"/>
  <c r="F106" i="18"/>
  <c r="D106" i="18"/>
  <c r="B106" i="18"/>
  <c r="N105" i="18"/>
  <c r="L105" i="18"/>
  <c r="J105" i="18"/>
  <c r="H105" i="18"/>
  <c r="F105" i="18"/>
  <c r="D105" i="18"/>
  <c r="B105" i="18"/>
  <c r="N104" i="18"/>
  <c r="L104" i="18"/>
  <c r="J104" i="18"/>
  <c r="H104" i="18"/>
  <c r="F104" i="18"/>
  <c r="D104" i="18"/>
  <c r="B104" i="18"/>
  <c r="N103" i="18"/>
  <c r="L103" i="18"/>
  <c r="J103" i="18"/>
  <c r="H103" i="18"/>
  <c r="F103" i="18"/>
  <c r="D103" i="18"/>
  <c r="B103" i="18"/>
  <c r="N102" i="18"/>
  <c r="L102" i="18"/>
  <c r="J102" i="18"/>
  <c r="H102" i="18"/>
  <c r="F102" i="18"/>
  <c r="D102" i="18"/>
  <c r="B102" i="18"/>
  <c r="N101" i="18"/>
  <c r="L101" i="18"/>
  <c r="J101" i="18"/>
  <c r="H101" i="18"/>
  <c r="F101" i="18"/>
  <c r="D101" i="18"/>
  <c r="B101" i="18"/>
  <c r="N100" i="18"/>
  <c r="L100" i="18"/>
  <c r="J100" i="18"/>
  <c r="H100" i="18"/>
  <c r="F100" i="18"/>
  <c r="D100" i="18"/>
  <c r="B100" i="18"/>
  <c r="N99" i="18"/>
  <c r="L99" i="18"/>
  <c r="J99" i="18"/>
  <c r="H99" i="18"/>
  <c r="F99" i="18"/>
  <c r="D99" i="18"/>
  <c r="B99" i="18"/>
  <c r="N98" i="18"/>
  <c r="L98" i="18"/>
  <c r="J98" i="18"/>
  <c r="H98" i="18"/>
  <c r="F98" i="18"/>
  <c r="D98" i="18"/>
  <c r="B98" i="18"/>
  <c r="N97" i="18"/>
  <c r="L97" i="18"/>
  <c r="J97" i="18"/>
  <c r="H97" i="18"/>
  <c r="F97" i="18"/>
  <c r="D97" i="18"/>
  <c r="B97" i="18"/>
  <c r="N96" i="18"/>
  <c r="L96" i="18"/>
  <c r="J96" i="18"/>
  <c r="H96" i="18"/>
  <c r="F96" i="18"/>
  <c r="D96" i="18"/>
  <c r="B96" i="18"/>
  <c r="N95" i="18"/>
  <c r="L95" i="18"/>
  <c r="J95" i="18"/>
  <c r="H95" i="18"/>
  <c r="F95" i="18"/>
  <c r="D95" i="18"/>
  <c r="B95" i="18"/>
  <c r="N94" i="18"/>
  <c r="L94" i="18"/>
  <c r="J94" i="18"/>
  <c r="H94" i="18"/>
  <c r="F94" i="18"/>
  <c r="D94" i="18"/>
  <c r="B94" i="18"/>
  <c r="N93" i="18"/>
  <c r="L93" i="18"/>
  <c r="J93" i="18"/>
  <c r="H93" i="18"/>
  <c r="F93" i="18"/>
  <c r="D93" i="18"/>
  <c r="B93" i="18"/>
  <c r="N92" i="18"/>
  <c r="L92" i="18"/>
  <c r="J92" i="18"/>
  <c r="H92" i="18"/>
  <c r="F92" i="18"/>
  <c r="D92" i="18"/>
  <c r="B92" i="18"/>
  <c r="N91" i="18"/>
  <c r="L91" i="18"/>
  <c r="J91" i="18"/>
  <c r="H91" i="18"/>
  <c r="F91" i="18"/>
  <c r="D91" i="18"/>
  <c r="B91" i="18"/>
  <c r="N90" i="18"/>
  <c r="L90" i="18"/>
  <c r="J90" i="18"/>
  <c r="H90" i="18"/>
  <c r="F90" i="18"/>
  <c r="D90" i="18"/>
  <c r="B90" i="18"/>
  <c r="N89" i="18"/>
  <c r="L89" i="18"/>
  <c r="J89" i="18"/>
  <c r="H89" i="18"/>
  <c r="F89" i="18"/>
  <c r="D89" i="18"/>
  <c r="B89" i="18"/>
  <c r="N88" i="18"/>
  <c r="L88" i="18"/>
  <c r="J88" i="18"/>
  <c r="H88" i="18"/>
  <c r="F88" i="18"/>
  <c r="D88" i="18"/>
  <c r="B88" i="18"/>
  <c r="N87" i="18"/>
  <c r="L87" i="18"/>
  <c r="J87" i="18"/>
  <c r="H87" i="18"/>
  <c r="F87" i="18"/>
  <c r="D87" i="18"/>
  <c r="B87" i="18"/>
  <c r="N86" i="18"/>
  <c r="L86" i="18"/>
  <c r="J86" i="18"/>
  <c r="H86" i="18"/>
  <c r="F86" i="18"/>
  <c r="D86" i="18"/>
  <c r="B86" i="18"/>
  <c r="N85" i="18"/>
  <c r="L85" i="18"/>
  <c r="J85" i="18"/>
  <c r="H85" i="18"/>
  <c r="F85" i="18"/>
  <c r="D85" i="18"/>
  <c r="B85" i="18"/>
  <c r="N84" i="18"/>
  <c r="L84" i="18"/>
  <c r="J84" i="18"/>
  <c r="H84" i="18"/>
  <c r="F84" i="18"/>
  <c r="D84" i="18"/>
  <c r="B84" i="18"/>
  <c r="N83" i="18"/>
  <c r="L83" i="18"/>
  <c r="J83" i="18"/>
  <c r="H83" i="18"/>
  <c r="F83" i="18"/>
  <c r="D83" i="18"/>
  <c r="B83" i="18"/>
  <c r="N82" i="18"/>
  <c r="L82" i="18"/>
  <c r="J82" i="18"/>
  <c r="H82" i="18"/>
  <c r="F82" i="18"/>
  <c r="D82" i="18"/>
  <c r="B82" i="18"/>
  <c r="N81" i="18"/>
  <c r="L81" i="18"/>
  <c r="J81" i="18"/>
  <c r="H81" i="18"/>
  <c r="F81" i="18"/>
  <c r="D81" i="18"/>
  <c r="B81" i="18"/>
  <c r="N80" i="18"/>
  <c r="L80" i="18"/>
  <c r="J80" i="18"/>
  <c r="H80" i="18"/>
  <c r="F80" i="18"/>
  <c r="D80" i="18"/>
  <c r="B80" i="18"/>
  <c r="N79" i="18"/>
  <c r="L79" i="18"/>
  <c r="J79" i="18"/>
  <c r="H79" i="18"/>
  <c r="F79" i="18"/>
  <c r="D79" i="18"/>
  <c r="B79" i="18"/>
  <c r="N78" i="18"/>
  <c r="L78" i="18"/>
  <c r="J78" i="18"/>
  <c r="H78" i="18"/>
  <c r="F78" i="18"/>
  <c r="D78" i="18"/>
  <c r="B78" i="18"/>
  <c r="N77" i="18"/>
  <c r="L77" i="18"/>
  <c r="J77" i="18"/>
  <c r="H77" i="18"/>
  <c r="F77" i="18"/>
  <c r="D77" i="18"/>
  <c r="B77" i="18"/>
  <c r="N76" i="18"/>
  <c r="L76" i="18"/>
  <c r="J76" i="18"/>
  <c r="H76" i="18"/>
  <c r="F76" i="18"/>
  <c r="D76" i="18"/>
  <c r="B76" i="18"/>
  <c r="N75" i="18"/>
  <c r="L75" i="18"/>
  <c r="J75" i="18"/>
  <c r="H75" i="18"/>
  <c r="F75" i="18"/>
  <c r="D75" i="18"/>
  <c r="B75" i="18"/>
  <c r="N74" i="18"/>
  <c r="L74" i="18"/>
  <c r="J74" i="18"/>
  <c r="H74" i="18"/>
  <c r="F74" i="18"/>
  <c r="D74" i="18"/>
  <c r="B74" i="18"/>
  <c r="N73" i="18"/>
  <c r="L73" i="18"/>
  <c r="J73" i="18"/>
  <c r="H73" i="18"/>
  <c r="F73" i="18"/>
  <c r="D73" i="18"/>
  <c r="B73" i="18"/>
  <c r="N72" i="18"/>
  <c r="L72" i="18"/>
  <c r="J72" i="18"/>
  <c r="H72" i="18"/>
  <c r="F72" i="18"/>
  <c r="D72" i="18"/>
  <c r="B72" i="18"/>
  <c r="N71" i="18"/>
  <c r="L71" i="18"/>
  <c r="J71" i="18"/>
  <c r="H71" i="18"/>
  <c r="F71" i="18"/>
  <c r="D71" i="18"/>
  <c r="B71" i="18"/>
  <c r="N70" i="18"/>
  <c r="L70" i="18"/>
  <c r="J70" i="18"/>
  <c r="H70" i="18"/>
  <c r="F70" i="18"/>
  <c r="D70" i="18"/>
  <c r="B70" i="18"/>
  <c r="N69" i="18"/>
  <c r="L69" i="18"/>
  <c r="J69" i="18"/>
  <c r="H69" i="18"/>
  <c r="F69" i="18"/>
  <c r="D69" i="18"/>
  <c r="B69" i="18"/>
  <c r="N68" i="18"/>
  <c r="L68" i="18"/>
  <c r="J68" i="18"/>
  <c r="H68" i="18"/>
  <c r="F68" i="18"/>
  <c r="D68" i="18"/>
  <c r="B68" i="18"/>
  <c r="N67" i="18"/>
  <c r="L67" i="18"/>
  <c r="J67" i="18"/>
  <c r="H67" i="18"/>
  <c r="F67" i="18"/>
  <c r="D67" i="18"/>
  <c r="B67" i="18"/>
  <c r="N66" i="18"/>
  <c r="L66" i="18"/>
  <c r="J66" i="18"/>
  <c r="H66" i="18"/>
  <c r="F66" i="18"/>
  <c r="D66" i="18"/>
  <c r="B66" i="18"/>
  <c r="N65" i="18"/>
  <c r="L65" i="18"/>
  <c r="J65" i="18"/>
  <c r="H65" i="18"/>
  <c r="F65" i="18"/>
  <c r="D65" i="18"/>
  <c r="B65" i="18"/>
  <c r="N64" i="18"/>
  <c r="L64" i="18"/>
  <c r="J64" i="18"/>
  <c r="H64" i="18"/>
  <c r="F64" i="18"/>
  <c r="D64" i="18"/>
  <c r="B64" i="18"/>
  <c r="N63" i="18"/>
  <c r="L63" i="18"/>
  <c r="J63" i="18"/>
  <c r="H63" i="18"/>
  <c r="F63" i="18"/>
  <c r="D63" i="18"/>
  <c r="B63" i="18"/>
  <c r="N62" i="18"/>
  <c r="L62" i="18"/>
  <c r="J62" i="18"/>
  <c r="H62" i="18"/>
  <c r="F62" i="18"/>
  <c r="D62" i="18"/>
  <c r="B62" i="18"/>
  <c r="N61" i="18"/>
  <c r="L61" i="18"/>
  <c r="J61" i="18"/>
  <c r="H61" i="18"/>
  <c r="F61" i="18"/>
  <c r="D61" i="18"/>
  <c r="B61" i="18"/>
  <c r="N60" i="18"/>
  <c r="L60" i="18"/>
  <c r="J60" i="18"/>
  <c r="H60" i="18"/>
  <c r="F60" i="18"/>
  <c r="D60" i="18"/>
  <c r="B60" i="18"/>
  <c r="N59" i="18"/>
  <c r="L59" i="18"/>
  <c r="J59" i="18"/>
  <c r="H59" i="18"/>
  <c r="F59" i="18"/>
  <c r="D59" i="18"/>
  <c r="B59" i="18"/>
  <c r="N58" i="18"/>
  <c r="L58" i="18"/>
  <c r="J58" i="18"/>
  <c r="H58" i="18"/>
  <c r="F58" i="18"/>
  <c r="D58" i="18"/>
  <c r="B58" i="18"/>
  <c r="N57" i="18"/>
  <c r="L57" i="18"/>
  <c r="J57" i="18"/>
  <c r="H57" i="18"/>
  <c r="F57" i="18"/>
  <c r="D57" i="18"/>
  <c r="B57" i="18"/>
  <c r="N56" i="18"/>
  <c r="L56" i="18"/>
  <c r="J56" i="18"/>
  <c r="H56" i="18"/>
  <c r="F56" i="18"/>
  <c r="D56" i="18"/>
  <c r="B56" i="18"/>
  <c r="N55" i="18"/>
  <c r="L55" i="18"/>
  <c r="J55" i="18"/>
  <c r="H55" i="18"/>
  <c r="F55" i="18"/>
  <c r="D55" i="18"/>
  <c r="B55" i="18"/>
  <c r="N54" i="18"/>
  <c r="L54" i="18"/>
  <c r="J54" i="18"/>
  <c r="H54" i="18"/>
  <c r="F54" i="18"/>
  <c r="D54" i="18"/>
  <c r="B54" i="18"/>
  <c r="N53" i="18"/>
  <c r="L53" i="18"/>
  <c r="J53" i="18"/>
  <c r="H53" i="18"/>
  <c r="F53" i="18"/>
  <c r="D53" i="18"/>
  <c r="B53" i="18"/>
  <c r="N52" i="18"/>
  <c r="L52" i="18"/>
  <c r="J52" i="18"/>
  <c r="H52" i="18"/>
  <c r="F52" i="18"/>
  <c r="D52" i="18"/>
  <c r="B52" i="18"/>
  <c r="N51" i="18"/>
  <c r="L51" i="18"/>
  <c r="J51" i="18"/>
  <c r="H51" i="18"/>
  <c r="F51" i="18"/>
  <c r="D51" i="18"/>
  <c r="B51" i="18"/>
  <c r="N50" i="18"/>
  <c r="L50" i="18"/>
  <c r="J50" i="18"/>
  <c r="H50" i="18"/>
  <c r="F50" i="18"/>
  <c r="D50" i="18"/>
  <c r="B50" i="18"/>
  <c r="N49" i="18"/>
  <c r="L49" i="18"/>
  <c r="J49" i="18"/>
  <c r="H49" i="18"/>
  <c r="F49" i="18"/>
  <c r="D49" i="18"/>
  <c r="B49" i="18"/>
  <c r="N48" i="18"/>
  <c r="L48" i="18"/>
  <c r="J48" i="18"/>
  <c r="H48" i="18"/>
  <c r="F48" i="18"/>
  <c r="D48" i="18"/>
  <c r="B48" i="18"/>
  <c r="N47" i="18"/>
  <c r="L47" i="18"/>
  <c r="J47" i="18"/>
  <c r="H47" i="18"/>
  <c r="F47" i="18"/>
  <c r="D47" i="18"/>
  <c r="B47" i="18"/>
  <c r="N46" i="18"/>
  <c r="L46" i="18"/>
  <c r="J46" i="18"/>
  <c r="H46" i="18"/>
  <c r="F46" i="18"/>
  <c r="D46" i="18"/>
  <c r="B46" i="18"/>
  <c r="N45" i="18"/>
  <c r="L45" i="18"/>
  <c r="J45" i="18"/>
  <c r="H45" i="18"/>
  <c r="F45" i="18"/>
  <c r="D45" i="18"/>
  <c r="B45" i="18"/>
  <c r="N44" i="18"/>
  <c r="L44" i="18"/>
  <c r="J44" i="18"/>
  <c r="H44" i="18"/>
  <c r="F44" i="18"/>
  <c r="D44" i="18"/>
  <c r="B44" i="18"/>
  <c r="N43" i="18"/>
  <c r="L43" i="18"/>
  <c r="J43" i="18"/>
  <c r="H43" i="18"/>
  <c r="F43" i="18"/>
  <c r="D43" i="18"/>
  <c r="B43" i="18"/>
  <c r="N42" i="18"/>
  <c r="L42" i="18"/>
  <c r="J42" i="18"/>
  <c r="H42" i="18"/>
  <c r="F42" i="18"/>
  <c r="D42" i="18"/>
  <c r="B42" i="18"/>
  <c r="N41" i="18"/>
  <c r="L41" i="18"/>
  <c r="J41" i="18"/>
  <c r="H41" i="18"/>
  <c r="F41" i="18"/>
  <c r="D41" i="18"/>
  <c r="B41" i="18"/>
  <c r="N40" i="18"/>
  <c r="L40" i="18"/>
  <c r="J40" i="18"/>
  <c r="H40" i="18"/>
  <c r="F40" i="18"/>
  <c r="D40" i="18"/>
  <c r="B40" i="18"/>
  <c r="N39" i="18"/>
  <c r="L39" i="18"/>
  <c r="J39" i="18"/>
  <c r="H39" i="18"/>
  <c r="F39" i="18"/>
  <c r="D39" i="18"/>
  <c r="B39" i="18"/>
  <c r="N38" i="18"/>
  <c r="L38" i="18"/>
  <c r="J38" i="18"/>
  <c r="H38" i="18"/>
  <c r="F38" i="18"/>
  <c r="D38" i="18"/>
  <c r="B38" i="18"/>
  <c r="N37" i="18"/>
  <c r="L37" i="18"/>
  <c r="J37" i="18"/>
  <c r="H37" i="18"/>
  <c r="F37" i="18"/>
  <c r="D37" i="18"/>
  <c r="B37" i="18"/>
  <c r="N36" i="18"/>
  <c r="L36" i="18"/>
  <c r="J36" i="18"/>
  <c r="H36" i="18"/>
  <c r="F36" i="18"/>
  <c r="D36" i="18"/>
  <c r="B36" i="18"/>
  <c r="N35" i="18"/>
  <c r="L35" i="18"/>
  <c r="J35" i="18"/>
  <c r="H35" i="18"/>
  <c r="F35" i="18"/>
  <c r="D35" i="18"/>
  <c r="B35" i="18"/>
  <c r="N34" i="18"/>
  <c r="L34" i="18"/>
  <c r="J34" i="18"/>
  <c r="H34" i="18"/>
  <c r="F34" i="18"/>
  <c r="D34" i="18"/>
  <c r="B34" i="18"/>
  <c r="N33" i="18"/>
  <c r="L33" i="18"/>
  <c r="J33" i="18"/>
  <c r="H33" i="18"/>
  <c r="F33" i="18"/>
  <c r="D33" i="18"/>
  <c r="B33" i="18"/>
  <c r="N32" i="18"/>
  <c r="L32" i="18"/>
  <c r="J32" i="18"/>
  <c r="H32" i="18"/>
  <c r="F32" i="18"/>
  <c r="D32" i="18"/>
  <c r="B32" i="18"/>
  <c r="N31" i="18"/>
  <c r="L31" i="18"/>
  <c r="J31" i="18"/>
  <c r="H31" i="18"/>
  <c r="F31" i="18"/>
  <c r="D31" i="18"/>
  <c r="B31" i="18"/>
  <c r="N30" i="18"/>
  <c r="L30" i="18"/>
  <c r="J30" i="18"/>
  <c r="H30" i="18"/>
  <c r="F30" i="18"/>
  <c r="D30" i="18"/>
  <c r="B30" i="18"/>
  <c r="N29" i="18"/>
  <c r="L29" i="18"/>
  <c r="J29" i="18"/>
  <c r="H29" i="18"/>
  <c r="F29" i="18"/>
  <c r="D29" i="18"/>
  <c r="B29" i="18"/>
  <c r="N28" i="18"/>
  <c r="L28" i="18"/>
  <c r="J28" i="18"/>
  <c r="H28" i="18"/>
  <c r="F28" i="18"/>
  <c r="D28" i="18"/>
  <c r="B28" i="18"/>
  <c r="N27" i="18"/>
  <c r="L27" i="18"/>
  <c r="J27" i="18"/>
  <c r="H27" i="18"/>
  <c r="F27" i="18"/>
  <c r="D27" i="18"/>
  <c r="B27" i="18"/>
  <c r="N26" i="18"/>
  <c r="L26" i="18"/>
  <c r="J26" i="18"/>
  <c r="H26" i="18"/>
  <c r="F26" i="18"/>
  <c r="D26" i="18"/>
  <c r="B26" i="18"/>
  <c r="N25" i="18"/>
  <c r="L25" i="18"/>
  <c r="J25" i="18"/>
  <c r="H25" i="18"/>
  <c r="F25" i="18"/>
  <c r="D25" i="18"/>
  <c r="B25" i="18"/>
  <c r="N24" i="18"/>
  <c r="L24" i="18"/>
  <c r="J24" i="18"/>
  <c r="H24" i="18"/>
  <c r="F24" i="18"/>
  <c r="D24" i="18"/>
  <c r="B24" i="18"/>
  <c r="N23" i="18"/>
  <c r="L23" i="18"/>
  <c r="J23" i="18"/>
  <c r="H23" i="18"/>
  <c r="F23" i="18"/>
  <c r="D23" i="18"/>
  <c r="B23" i="18"/>
  <c r="N22" i="18"/>
  <c r="L22" i="18"/>
  <c r="J22" i="18"/>
  <c r="H22" i="18"/>
  <c r="F22" i="18"/>
  <c r="D22" i="18"/>
  <c r="B22" i="18"/>
  <c r="N21" i="18"/>
  <c r="L21" i="18"/>
  <c r="J21" i="18"/>
  <c r="H21" i="18"/>
  <c r="F21" i="18"/>
  <c r="D21" i="18"/>
  <c r="B21" i="18"/>
  <c r="N20" i="18"/>
  <c r="L20" i="18"/>
  <c r="J20" i="18"/>
  <c r="H20" i="18"/>
  <c r="F20" i="18"/>
  <c r="D20" i="18"/>
  <c r="B20" i="18"/>
  <c r="N19" i="18"/>
  <c r="L19" i="18"/>
  <c r="J19" i="18"/>
  <c r="H19" i="18"/>
  <c r="F19" i="18"/>
  <c r="D19" i="18"/>
  <c r="B19" i="18"/>
  <c r="N18" i="18"/>
  <c r="L18" i="18"/>
  <c r="J18" i="18"/>
  <c r="H18" i="18"/>
  <c r="F18" i="18"/>
  <c r="D18" i="18"/>
  <c r="B18" i="18"/>
  <c r="N17" i="18"/>
  <c r="L17" i="18"/>
  <c r="J17" i="18"/>
  <c r="H17" i="18"/>
  <c r="F17" i="18"/>
  <c r="D17" i="18"/>
  <c r="B17" i="18"/>
  <c r="N16" i="18"/>
  <c r="L16" i="18"/>
  <c r="J16" i="18"/>
  <c r="H16" i="18"/>
  <c r="F16" i="18"/>
  <c r="D16" i="18"/>
  <c r="B16" i="18"/>
  <c r="N15" i="18"/>
  <c r="L15" i="18"/>
  <c r="J15" i="18"/>
  <c r="H15" i="18"/>
  <c r="F15" i="18"/>
  <c r="D15" i="18"/>
  <c r="B15" i="18"/>
  <c r="N14" i="18"/>
  <c r="L14" i="18"/>
  <c r="J14" i="18"/>
  <c r="H14" i="18"/>
  <c r="F14" i="18"/>
  <c r="D14" i="18"/>
  <c r="B14" i="18"/>
  <c r="N13" i="18"/>
  <c r="L13" i="18"/>
  <c r="L10" i="18" s="1"/>
  <c r="L199" i="18" s="1"/>
  <c r="J13" i="18"/>
  <c r="J10" i="18" s="1"/>
  <c r="J199" i="18" s="1"/>
  <c r="H13" i="18"/>
  <c r="F13" i="18"/>
  <c r="D13" i="18"/>
  <c r="D10" i="18" s="1"/>
  <c r="D199" i="18" s="1"/>
  <c r="B13" i="18"/>
  <c r="N12" i="18"/>
  <c r="L12" i="18"/>
  <c r="J12" i="18"/>
  <c r="H12" i="18"/>
  <c r="F12" i="18"/>
  <c r="D12" i="18"/>
  <c r="B12" i="18"/>
  <c r="N11" i="18"/>
  <c r="N10" i="18" s="1"/>
  <c r="N199" i="18" s="1"/>
  <c r="L11" i="18"/>
  <c r="J11" i="18"/>
  <c r="H11" i="18"/>
  <c r="F11" i="18"/>
  <c r="F10" i="18" s="1"/>
  <c r="F199" i="18" s="1"/>
  <c r="D11" i="18"/>
  <c r="B11" i="18"/>
  <c r="R10" i="18"/>
  <c r="R199" i="18" s="1"/>
  <c r="P10" i="18"/>
  <c r="P199" i="18" s="1"/>
  <c r="P200" i="18" s="1"/>
  <c r="H10" i="18"/>
  <c r="H199" i="18" s="1"/>
  <c r="H200" i="18" s="1"/>
  <c r="N141" i="15"/>
  <c r="L141" i="15"/>
  <c r="J141" i="15"/>
  <c r="H141" i="15"/>
  <c r="F141" i="15"/>
  <c r="D141" i="15"/>
  <c r="B141" i="15"/>
  <c r="N140" i="15"/>
  <c r="N137" i="15" s="1"/>
  <c r="L140" i="15"/>
  <c r="J140" i="15"/>
  <c r="H140" i="15"/>
  <c r="H137" i="15" s="1"/>
  <c r="F140" i="15"/>
  <c r="F137" i="15" s="1"/>
  <c r="D140" i="15"/>
  <c r="B140" i="15"/>
  <c r="N139" i="15"/>
  <c r="L139" i="15"/>
  <c r="J139" i="15"/>
  <c r="H139" i="15"/>
  <c r="F139" i="15"/>
  <c r="D139" i="15"/>
  <c r="B139" i="15"/>
  <c r="N138" i="15"/>
  <c r="L138" i="15"/>
  <c r="J138" i="15"/>
  <c r="J137" i="15" s="1"/>
  <c r="H138" i="15"/>
  <c r="F138" i="15"/>
  <c r="D138" i="15"/>
  <c r="B138" i="15"/>
  <c r="R137" i="15"/>
  <c r="P137" i="15"/>
  <c r="L137" i="15"/>
  <c r="D137" i="15"/>
  <c r="B135" i="15"/>
  <c r="R134" i="15"/>
  <c r="P134" i="15"/>
  <c r="N134" i="15"/>
  <c r="L134" i="15"/>
  <c r="J134" i="15"/>
  <c r="H134" i="15"/>
  <c r="F134" i="15"/>
  <c r="D134" i="15"/>
  <c r="B134" i="15"/>
  <c r="B133" i="15"/>
  <c r="B132" i="15"/>
  <c r="B131" i="15"/>
  <c r="R130" i="15"/>
  <c r="P130" i="15"/>
  <c r="N130" i="15"/>
  <c r="L130" i="15"/>
  <c r="J130" i="15"/>
  <c r="H130" i="15"/>
  <c r="F130" i="15"/>
  <c r="D130" i="15"/>
  <c r="B130" i="15"/>
  <c r="B129" i="15"/>
  <c r="R128" i="15"/>
  <c r="P128" i="15"/>
  <c r="N128" i="15"/>
  <c r="L128" i="15"/>
  <c r="J128" i="15"/>
  <c r="H128" i="15"/>
  <c r="F128" i="15"/>
  <c r="D128" i="15"/>
  <c r="B128" i="15"/>
  <c r="B127" i="15"/>
  <c r="B126" i="15"/>
  <c r="R125" i="15"/>
  <c r="P125" i="15"/>
  <c r="N125" i="15"/>
  <c r="L125" i="15"/>
  <c r="J125" i="15"/>
  <c r="H125" i="15"/>
  <c r="F125" i="15"/>
  <c r="D125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R113" i="15"/>
  <c r="P113" i="15"/>
  <c r="N113" i="15"/>
  <c r="L113" i="15"/>
  <c r="J113" i="15"/>
  <c r="H113" i="15"/>
  <c r="F113" i="15"/>
  <c r="D113" i="15"/>
  <c r="B113" i="15"/>
  <c r="B112" i="15"/>
  <c r="B111" i="15"/>
  <c r="R110" i="15"/>
  <c r="P110" i="15"/>
  <c r="N110" i="15"/>
  <c r="L110" i="15"/>
  <c r="J110" i="15"/>
  <c r="H110" i="15"/>
  <c r="F110" i="15"/>
  <c r="D110" i="15"/>
  <c r="B110" i="15"/>
  <c r="B109" i="15"/>
  <c r="B108" i="15"/>
  <c r="B107" i="15"/>
  <c r="B106" i="15"/>
  <c r="B105" i="15"/>
  <c r="R104" i="15"/>
  <c r="P104" i="15"/>
  <c r="N104" i="15"/>
  <c r="L104" i="15"/>
  <c r="J104" i="15"/>
  <c r="H104" i="15"/>
  <c r="F104" i="15"/>
  <c r="D104" i="15"/>
  <c r="B104" i="15"/>
  <c r="B103" i="15"/>
  <c r="B102" i="15"/>
  <c r="R101" i="15"/>
  <c r="P101" i="15"/>
  <c r="N101" i="15"/>
  <c r="L101" i="15"/>
  <c r="J101" i="15"/>
  <c r="H101" i="15"/>
  <c r="F101" i="15"/>
  <c r="D101" i="15"/>
  <c r="B101" i="15"/>
  <c r="B100" i="15"/>
  <c r="B99" i="15"/>
  <c r="B98" i="15"/>
  <c r="B97" i="15"/>
  <c r="R96" i="15"/>
  <c r="P96" i="15"/>
  <c r="N96" i="15"/>
  <c r="L96" i="15"/>
  <c r="J96" i="15"/>
  <c r="H96" i="15"/>
  <c r="F96" i="15"/>
  <c r="D96" i="15"/>
  <c r="B96" i="15"/>
  <c r="B95" i="15"/>
  <c r="R94" i="15"/>
  <c r="P94" i="15"/>
  <c r="N94" i="15"/>
  <c r="L94" i="15"/>
  <c r="J94" i="15"/>
  <c r="H94" i="15"/>
  <c r="F94" i="15"/>
  <c r="D94" i="15"/>
  <c r="B94" i="15"/>
  <c r="B93" i="15"/>
  <c r="R92" i="15"/>
  <c r="P92" i="15"/>
  <c r="N92" i="15"/>
  <c r="L92" i="15"/>
  <c r="J92" i="15"/>
  <c r="H92" i="15"/>
  <c r="F92" i="15"/>
  <c r="D92" i="15"/>
  <c r="B92" i="15"/>
  <c r="B91" i="15"/>
  <c r="B90" i="15"/>
  <c r="R89" i="15"/>
  <c r="P89" i="15"/>
  <c r="N89" i="15"/>
  <c r="L89" i="15"/>
  <c r="J89" i="15"/>
  <c r="H89" i="15"/>
  <c r="F89" i="15"/>
  <c r="D89" i="15"/>
  <c r="B89" i="15"/>
  <c r="B88" i="15"/>
  <c r="R87" i="15"/>
  <c r="P87" i="15"/>
  <c r="N87" i="15"/>
  <c r="L87" i="15"/>
  <c r="J87" i="15"/>
  <c r="H87" i="15"/>
  <c r="F87" i="15"/>
  <c r="D87" i="15"/>
  <c r="B87" i="15"/>
  <c r="B86" i="15"/>
  <c r="R85" i="15"/>
  <c r="P85" i="15"/>
  <c r="N85" i="15"/>
  <c r="L85" i="15"/>
  <c r="J85" i="15"/>
  <c r="H85" i="15"/>
  <c r="F85" i="15"/>
  <c r="D85" i="15"/>
  <c r="B85" i="15"/>
  <c r="B84" i="15"/>
  <c r="B83" i="15"/>
  <c r="R82" i="15"/>
  <c r="P82" i="15"/>
  <c r="N82" i="15"/>
  <c r="L82" i="15"/>
  <c r="J82" i="15"/>
  <c r="H82" i="15"/>
  <c r="F82" i="15"/>
  <c r="D82" i="15"/>
  <c r="B82" i="15"/>
  <c r="B81" i="15"/>
  <c r="R80" i="15"/>
  <c r="P80" i="15"/>
  <c r="N80" i="15"/>
  <c r="L80" i="15"/>
  <c r="J80" i="15"/>
  <c r="H80" i="15"/>
  <c r="F80" i="15"/>
  <c r="D80" i="15"/>
  <c r="B80" i="15"/>
  <c r="B79" i="15"/>
  <c r="R78" i="15"/>
  <c r="P78" i="15"/>
  <c r="N78" i="15"/>
  <c r="L78" i="15"/>
  <c r="J78" i="15"/>
  <c r="H78" i="15"/>
  <c r="F78" i="15"/>
  <c r="D78" i="15"/>
  <c r="B78" i="15"/>
  <c r="B77" i="15"/>
  <c r="R76" i="15"/>
  <c r="P76" i="15"/>
  <c r="N76" i="15"/>
  <c r="L76" i="15"/>
  <c r="J76" i="15"/>
  <c r="H76" i="15"/>
  <c r="F76" i="15"/>
  <c r="D76" i="15"/>
  <c r="B76" i="15"/>
  <c r="B75" i="15"/>
  <c r="R74" i="15"/>
  <c r="P74" i="15"/>
  <c r="N74" i="15"/>
  <c r="L74" i="15"/>
  <c r="J74" i="15"/>
  <c r="H74" i="15"/>
  <c r="F74" i="15"/>
  <c r="D74" i="15"/>
  <c r="B74" i="15"/>
  <c r="B73" i="15"/>
  <c r="B72" i="15"/>
  <c r="R71" i="15"/>
  <c r="P71" i="15"/>
  <c r="N71" i="15"/>
  <c r="L71" i="15"/>
  <c r="J71" i="15"/>
  <c r="H71" i="15"/>
  <c r="F71" i="15"/>
  <c r="D71" i="15"/>
  <c r="B71" i="15"/>
  <c r="B70" i="15"/>
  <c r="B69" i="15"/>
  <c r="B68" i="15"/>
  <c r="B67" i="15"/>
  <c r="R66" i="15"/>
  <c r="P66" i="15"/>
  <c r="N66" i="15"/>
  <c r="L66" i="15"/>
  <c r="J66" i="15"/>
  <c r="H66" i="15"/>
  <c r="F66" i="15"/>
  <c r="D66" i="15"/>
  <c r="B66" i="15"/>
  <c r="B65" i="15"/>
  <c r="R64" i="15"/>
  <c r="P64" i="15"/>
  <c r="N64" i="15"/>
  <c r="L64" i="15"/>
  <c r="J64" i="15"/>
  <c r="H64" i="15"/>
  <c r="F64" i="15"/>
  <c r="D64" i="15"/>
  <c r="B64" i="15"/>
  <c r="B63" i="15"/>
  <c r="B62" i="15"/>
  <c r="R61" i="15"/>
  <c r="P61" i="15"/>
  <c r="N61" i="15"/>
  <c r="L61" i="15"/>
  <c r="J61" i="15"/>
  <c r="H61" i="15"/>
  <c r="F61" i="15"/>
  <c r="D61" i="15"/>
  <c r="B61" i="15"/>
  <c r="B60" i="15"/>
  <c r="R59" i="15"/>
  <c r="P59" i="15"/>
  <c r="N59" i="15"/>
  <c r="L59" i="15"/>
  <c r="J59" i="15"/>
  <c r="H59" i="15"/>
  <c r="F59" i="15"/>
  <c r="D59" i="15"/>
  <c r="B59" i="15"/>
  <c r="B58" i="15"/>
  <c r="B57" i="15"/>
  <c r="B56" i="15"/>
  <c r="B55" i="15"/>
  <c r="B54" i="15"/>
  <c r="B53" i="15"/>
  <c r="B52" i="15"/>
  <c r="B51" i="15"/>
  <c r="B50" i="15"/>
  <c r="B49" i="15"/>
  <c r="R48" i="15"/>
  <c r="P48" i="15"/>
  <c r="N48" i="15"/>
  <c r="L48" i="15"/>
  <c r="J48" i="15"/>
  <c r="H48" i="15"/>
  <c r="F48" i="15"/>
  <c r="D48" i="15"/>
  <c r="B48" i="15"/>
  <c r="B47" i="15"/>
  <c r="B46" i="15"/>
  <c r="B45" i="15"/>
  <c r="B44" i="15"/>
  <c r="B43" i="15"/>
  <c r="B42" i="15"/>
  <c r="B41" i="15"/>
  <c r="B40" i="15"/>
  <c r="B39" i="15"/>
  <c r="B38" i="15"/>
  <c r="R37" i="15"/>
  <c r="P37" i="15"/>
  <c r="N37" i="15"/>
  <c r="L37" i="15"/>
  <c r="J37" i="15"/>
  <c r="H37" i="15"/>
  <c r="F37" i="15"/>
  <c r="D37" i="15"/>
  <c r="B37" i="15"/>
  <c r="R36" i="15"/>
  <c r="P36" i="15"/>
  <c r="N36" i="15"/>
  <c r="L36" i="15"/>
  <c r="J36" i="15"/>
  <c r="H36" i="15"/>
  <c r="F36" i="15"/>
  <c r="D36" i="15"/>
  <c r="B31" i="15"/>
  <c r="B30" i="15"/>
  <c r="B29" i="15"/>
  <c r="B28" i="15"/>
  <c r="R27" i="15"/>
  <c r="R33" i="15" s="1"/>
  <c r="P27" i="15"/>
  <c r="N27" i="15"/>
  <c r="L27" i="15"/>
  <c r="J27" i="15"/>
  <c r="H27" i="15"/>
  <c r="F27" i="15"/>
  <c r="D27" i="15"/>
  <c r="N25" i="15"/>
  <c r="L25" i="15"/>
  <c r="J25" i="15"/>
  <c r="H25" i="15"/>
  <c r="F25" i="15"/>
  <c r="D25" i="15"/>
  <c r="B25" i="15"/>
  <c r="N24" i="15"/>
  <c r="L24" i="15"/>
  <c r="J24" i="15"/>
  <c r="H24" i="15"/>
  <c r="F24" i="15"/>
  <c r="D24" i="15"/>
  <c r="B24" i="15"/>
  <c r="N23" i="15"/>
  <c r="L23" i="15"/>
  <c r="J23" i="15"/>
  <c r="H23" i="15"/>
  <c r="F23" i="15"/>
  <c r="D23" i="15"/>
  <c r="B23" i="15"/>
  <c r="N22" i="15"/>
  <c r="L22" i="15"/>
  <c r="J22" i="15"/>
  <c r="H22" i="15"/>
  <c r="F22" i="15"/>
  <c r="D22" i="15"/>
  <c r="B22" i="15"/>
  <c r="N21" i="15"/>
  <c r="L21" i="15"/>
  <c r="J21" i="15"/>
  <c r="H21" i="15"/>
  <c r="F21" i="15"/>
  <c r="D21" i="15"/>
  <c r="B21" i="15"/>
  <c r="N20" i="15"/>
  <c r="L20" i="15"/>
  <c r="J20" i="15"/>
  <c r="H20" i="15"/>
  <c r="F20" i="15"/>
  <c r="D20" i="15"/>
  <c r="B20" i="15"/>
  <c r="N19" i="15"/>
  <c r="L19" i="15"/>
  <c r="J19" i="15"/>
  <c r="H19" i="15"/>
  <c r="F19" i="15"/>
  <c r="D19" i="15"/>
  <c r="B19" i="15"/>
  <c r="N18" i="15"/>
  <c r="L18" i="15"/>
  <c r="J18" i="15"/>
  <c r="H18" i="15"/>
  <c r="F18" i="15"/>
  <c r="D18" i="15"/>
  <c r="B18" i="15"/>
  <c r="N17" i="15"/>
  <c r="L17" i="15"/>
  <c r="J17" i="15"/>
  <c r="H17" i="15"/>
  <c r="F17" i="15"/>
  <c r="D17" i="15"/>
  <c r="B17" i="15"/>
  <c r="N16" i="15"/>
  <c r="L16" i="15"/>
  <c r="J16" i="15"/>
  <c r="H16" i="15"/>
  <c r="F16" i="15"/>
  <c r="D16" i="15"/>
  <c r="B16" i="15"/>
  <c r="N15" i="15"/>
  <c r="L15" i="15"/>
  <c r="J15" i="15"/>
  <c r="H15" i="15"/>
  <c r="F15" i="15"/>
  <c r="D15" i="15"/>
  <c r="B15" i="15"/>
  <c r="N14" i="15"/>
  <c r="L14" i="15"/>
  <c r="J14" i="15"/>
  <c r="H14" i="15"/>
  <c r="F14" i="15"/>
  <c r="D14" i="15"/>
  <c r="B14" i="15"/>
  <c r="N13" i="15"/>
  <c r="N10" i="15" s="1"/>
  <c r="N33" i="15" s="1"/>
  <c r="L13" i="15"/>
  <c r="J13" i="15"/>
  <c r="H13" i="15"/>
  <c r="H10" i="15" s="1"/>
  <c r="H33" i="15" s="1"/>
  <c r="F13" i="15"/>
  <c r="F10" i="15" s="1"/>
  <c r="F33" i="15" s="1"/>
  <c r="D13" i="15"/>
  <c r="B13" i="15"/>
  <c r="N12" i="15"/>
  <c r="L12" i="15"/>
  <c r="J12" i="15"/>
  <c r="H12" i="15"/>
  <c r="F12" i="15"/>
  <c r="D12" i="15"/>
  <c r="B12" i="15"/>
  <c r="N11" i="15"/>
  <c r="L11" i="15"/>
  <c r="J11" i="15"/>
  <c r="J10" i="15" s="1"/>
  <c r="J33" i="15" s="1"/>
  <c r="H11" i="15"/>
  <c r="F11" i="15"/>
  <c r="D11" i="15"/>
  <c r="B11" i="15"/>
  <c r="R10" i="15"/>
  <c r="P10" i="15"/>
  <c r="P33" i="15" s="1"/>
  <c r="L10" i="15"/>
  <c r="L33" i="15" s="1"/>
  <c r="D10" i="15"/>
  <c r="D33" i="15" s="1"/>
  <c r="N367" i="12"/>
  <c r="L367" i="12"/>
  <c r="J367" i="12"/>
  <c r="H367" i="12"/>
  <c r="F367" i="12"/>
  <c r="D367" i="12"/>
  <c r="B367" i="12"/>
  <c r="N366" i="12"/>
  <c r="L366" i="12"/>
  <c r="J366" i="12"/>
  <c r="H366" i="12"/>
  <c r="F366" i="12"/>
  <c r="D366" i="12"/>
  <c r="B366" i="12"/>
  <c r="N365" i="12"/>
  <c r="L365" i="12"/>
  <c r="J365" i="12"/>
  <c r="H365" i="12"/>
  <c r="F365" i="12"/>
  <c r="D365" i="12"/>
  <c r="B365" i="12"/>
  <c r="N364" i="12"/>
  <c r="L364" i="12"/>
  <c r="J364" i="12"/>
  <c r="H364" i="12"/>
  <c r="F364" i="12"/>
  <c r="D364" i="12"/>
  <c r="B364" i="12"/>
  <c r="N363" i="12"/>
  <c r="L363" i="12"/>
  <c r="J363" i="12"/>
  <c r="H363" i="12"/>
  <c r="F363" i="12"/>
  <c r="D363" i="12"/>
  <c r="B363" i="12"/>
  <c r="N362" i="12"/>
  <c r="L362" i="12"/>
  <c r="J362" i="12"/>
  <c r="H362" i="12"/>
  <c r="F362" i="12"/>
  <c r="D362" i="12"/>
  <c r="B362" i="12"/>
  <c r="N361" i="12"/>
  <c r="L361" i="12"/>
  <c r="J361" i="12"/>
  <c r="H361" i="12"/>
  <c r="F361" i="12"/>
  <c r="D361" i="12"/>
  <c r="B361" i="12"/>
  <c r="N360" i="12"/>
  <c r="L360" i="12"/>
  <c r="J360" i="12"/>
  <c r="H360" i="12"/>
  <c r="F360" i="12"/>
  <c r="D360" i="12"/>
  <c r="B360" i="12"/>
  <c r="N359" i="12"/>
  <c r="L359" i="12"/>
  <c r="J359" i="12"/>
  <c r="H359" i="12"/>
  <c r="F359" i="12"/>
  <c r="D359" i="12"/>
  <c r="B359" i="12"/>
  <c r="N358" i="12"/>
  <c r="L358" i="12"/>
  <c r="J358" i="12"/>
  <c r="H358" i="12"/>
  <c r="F358" i="12"/>
  <c r="D358" i="12"/>
  <c r="B358" i="12"/>
  <c r="N357" i="12"/>
  <c r="L357" i="12"/>
  <c r="J357" i="12"/>
  <c r="H357" i="12"/>
  <c r="F357" i="12"/>
  <c r="D357" i="12"/>
  <c r="B357" i="12"/>
  <c r="N356" i="12"/>
  <c r="L356" i="12"/>
  <c r="J356" i="12"/>
  <c r="H356" i="12"/>
  <c r="F356" i="12"/>
  <c r="D356" i="12"/>
  <c r="B356" i="12"/>
  <c r="N355" i="12"/>
  <c r="L355" i="12"/>
  <c r="J355" i="12"/>
  <c r="H355" i="12"/>
  <c r="F355" i="12"/>
  <c r="D355" i="12"/>
  <c r="B355" i="12"/>
  <c r="N354" i="12"/>
  <c r="L354" i="12"/>
  <c r="L351" i="12" s="1"/>
  <c r="J354" i="12"/>
  <c r="J351" i="12" s="1"/>
  <c r="H354" i="12"/>
  <c r="F354" i="12"/>
  <c r="D354" i="12"/>
  <c r="D351" i="12" s="1"/>
  <c r="B354" i="12"/>
  <c r="N353" i="12"/>
  <c r="L353" i="12"/>
  <c r="J353" i="12"/>
  <c r="H353" i="12"/>
  <c r="F353" i="12"/>
  <c r="D353" i="12"/>
  <c r="B353" i="12"/>
  <c r="N352" i="12"/>
  <c r="N351" i="12" s="1"/>
  <c r="L352" i="12"/>
  <c r="J352" i="12"/>
  <c r="H352" i="12"/>
  <c r="F352" i="12"/>
  <c r="F351" i="12" s="1"/>
  <c r="D352" i="12"/>
  <c r="B352" i="12"/>
  <c r="R351" i="12"/>
  <c r="P351" i="12"/>
  <c r="H351" i="12"/>
  <c r="B349" i="12"/>
  <c r="R348" i="12"/>
  <c r="P348" i="12"/>
  <c r="N348" i="12"/>
  <c r="L348" i="12"/>
  <c r="J348" i="12"/>
  <c r="H348" i="12"/>
  <c r="F348" i="12"/>
  <c r="D348" i="12"/>
  <c r="B348" i="12"/>
  <c r="B347" i="12"/>
  <c r="B346" i="12"/>
  <c r="B345" i="12"/>
  <c r="R344" i="12"/>
  <c r="P344" i="12"/>
  <c r="N344" i="12"/>
  <c r="L344" i="12"/>
  <c r="J344" i="12"/>
  <c r="H344" i="12"/>
  <c r="F344" i="12"/>
  <c r="D344" i="12"/>
  <c r="B344" i="12"/>
  <c r="B343" i="12"/>
  <c r="R342" i="12"/>
  <c r="P342" i="12"/>
  <c r="N342" i="12"/>
  <c r="L342" i="12"/>
  <c r="J342" i="12"/>
  <c r="H342" i="12"/>
  <c r="F342" i="12"/>
  <c r="D342" i="12"/>
  <c r="B342" i="12"/>
  <c r="B341" i="12"/>
  <c r="B340" i="12"/>
  <c r="R339" i="12"/>
  <c r="P339" i="12"/>
  <c r="N339" i="12"/>
  <c r="L339" i="12"/>
  <c r="J339" i="12"/>
  <c r="H339" i="12"/>
  <c r="F339" i="12"/>
  <c r="D339" i="12"/>
  <c r="B339" i="12"/>
  <c r="B338" i="12"/>
  <c r="B337" i="12"/>
  <c r="B336" i="12"/>
  <c r="B335" i="12"/>
  <c r="B334" i="12"/>
  <c r="B333" i="12"/>
  <c r="B332" i="12"/>
  <c r="B331" i="12"/>
  <c r="B330" i="12"/>
  <c r="B329" i="12"/>
  <c r="R328" i="12"/>
  <c r="P328" i="12"/>
  <c r="N328" i="12"/>
  <c r="L328" i="12"/>
  <c r="J328" i="12"/>
  <c r="H328" i="12"/>
  <c r="F328" i="12"/>
  <c r="D328" i="12"/>
  <c r="B328" i="12"/>
  <c r="B327" i="12"/>
  <c r="B326" i="12"/>
  <c r="R325" i="12"/>
  <c r="P325" i="12"/>
  <c r="N325" i="12"/>
  <c r="L325" i="12"/>
  <c r="J325" i="12"/>
  <c r="H325" i="12"/>
  <c r="F325" i="12"/>
  <c r="D325" i="12"/>
  <c r="B325" i="12"/>
  <c r="B324" i="12"/>
  <c r="B323" i="12"/>
  <c r="B322" i="12"/>
  <c r="B321" i="12"/>
  <c r="B320" i="12"/>
  <c r="B319" i="12"/>
  <c r="R318" i="12"/>
  <c r="P318" i="12"/>
  <c r="N318" i="12"/>
  <c r="L318" i="12"/>
  <c r="J318" i="12"/>
  <c r="H318" i="12"/>
  <c r="F318" i="12"/>
  <c r="D318" i="12"/>
  <c r="B318" i="12"/>
  <c r="B317" i="12"/>
  <c r="B316" i="12"/>
  <c r="B315" i="12"/>
  <c r="B314" i="12"/>
  <c r="B313" i="12"/>
  <c r="R312" i="12"/>
  <c r="P312" i="12"/>
  <c r="N312" i="12"/>
  <c r="L312" i="12"/>
  <c r="J312" i="12"/>
  <c r="H312" i="12"/>
  <c r="F312" i="12"/>
  <c r="D312" i="12"/>
  <c r="B312" i="12"/>
  <c r="B311" i="12"/>
  <c r="B310" i="12"/>
  <c r="B309" i="12"/>
  <c r="B308" i="12"/>
  <c r="R307" i="12"/>
  <c r="P307" i="12"/>
  <c r="N307" i="12"/>
  <c r="L307" i="12"/>
  <c r="J307" i="12"/>
  <c r="H307" i="12"/>
  <c r="F307" i="12"/>
  <c r="D307" i="12"/>
  <c r="B307" i="12"/>
  <c r="B306" i="12"/>
  <c r="R305" i="12"/>
  <c r="P305" i="12"/>
  <c r="N305" i="12"/>
  <c r="L305" i="12"/>
  <c r="J305" i="12"/>
  <c r="H305" i="12"/>
  <c r="F305" i="12"/>
  <c r="D305" i="12"/>
  <c r="B305" i="12"/>
  <c r="B304" i="12"/>
  <c r="B303" i="12"/>
  <c r="R302" i="12"/>
  <c r="P302" i="12"/>
  <c r="N302" i="12"/>
  <c r="L302" i="12"/>
  <c r="J302" i="12"/>
  <c r="H302" i="12"/>
  <c r="F302" i="12"/>
  <c r="D302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R264" i="12"/>
  <c r="P264" i="12"/>
  <c r="N264" i="12"/>
  <c r="L264" i="12"/>
  <c r="J264" i="12"/>
  <c r="H264" i="12"/>
  <c r="F264" i="12"/>
  <c r="D264" i="12"/>
  <c r="B264" i="12"/>
  <c r="B263" i="12"/>
  <c r="R262" i="12"/>
  <c r="P262" i="12"/>
  <c r="N262" i="12"/>
  <c r="L262" i="12"/>
  <c r="J262" i="12"/>
  <c r="H262" i="12"/>
  <c r="F262" i="12"/>
  <c r="D262" i="12"/>
  <c r="B262" i="12"/>
  <c r="B261" i="12"/>
  <c r="R260" i="12"/>
  <c r="P260" i="12"/>
  <c r="N260" i="12"/>
  <c r="L260" i="12"/>
  <c r="J260" i="12"/>
  <c r="H260" i="12"/>
  <c r="F260" i="12"/>
  <c r="D260" i="12"/>
  <c r="B260" i="12"/>
  <c r="B259" i="12"/>
  <c r="B258" i="12"/>
  <c r="B257" i="12"/>
  <c r="R256" i="12"/>
  <c r="P256" i="12"/>
  <c r="N256" i="12"/>
  <c r="L256" i="12"/>
  <c r="J256" i="12"/>
  <c r="H256" i="12"/>
  <c r="F256" i="12"/>
  <c r="D256" i="12"/>
  <c r="B256" i="12"/>
  <c r="B255" i="12"/>
  <c r="B254" i="12"/>
  <c r="R253" i="12"/>
  <c r="P253" i="12"/>
  <c r="N253" i="12"/>
  <c r="L253" i="12"/>
  <c r="J253" i="12"/>
  <c r="H253" i="12"/>
  <c r="F253" i="12"/>
  <c r="D253" i="12"/>
  <c r="B253" i="12"/>
  <c r="B252" i="12"/>
  <c r="R251" i="12"/>
  <c r="P251" i="12"/>
  <c r="N251" i="12"/>
  <c r="L251" i="12"/>
  <c r="J251" i="12"/>
  <c r="H251" i="12"/>
  <c r="F251" i="12"/>
  <c r="D251" i="12"/>
  <c r="B251" i="12"/>
  <c r="B250" i="12"/>
  <c r="R249" i="12"/>
  <c r="P249" i="12"/>
  <c r="N249" i="12"/>
  <c r="L249" i="12"/>
  <c r="J249" i="12"/>
  <c r="H249" i="12"/>
  <c r="F249" i="12"/>
  <c r="D249" i="12"/>
  <c r="B249" i="12"/>
  <c r="B248" i="12"/>
  <c r="B247" i="12"/>
  <c r="R246" i="12"/>
  <c r="P246" i="12"/>
  <c r="N246" i="12"/>
  <c r="L246" i="12"/>
  <c r="J246" i="12"/>
  <c r="H246" i="12"/>
  <c r="F246" i="12"/>
  <c r="D246" i="12"/>
  <c r="B246" i="12"/>
  <c r="B245" i="12"/>
  <c r="B244" i="12"/>
  <c r="R243" i="12"/>
  <c r="P243" i="12"/>
  <c r="N243" i="12"/>
  <c r="L243" i="12"/>
  <c r="J243" i="12"/>
  <c r="H243" i="12"/>
  <c r="F243" i="12"/>
  <c r="D243" i="12"/>
  <c r="B243" i="12"/>
  <c r="B242" i="12"/>
  <c r="B241" i="12"/>
  <c r="B240" i="12"/>
  <c r="B239" i="12"/>
  <c r="R238" i="12"/>
  <c r="P238" i="12"/>
  <c r="N238" i="12"/>
  <c r="L238" i="12"/>
  <c r="J238" i="12"/>
  <c r="H238" i="12"/>
  <c r="F238" i="12"/>
  <c r="D238" i="12"/>
  <c r="B238" i="12"/>
  <c r="B237" i="12"/>
  <c r="R236" i="12"/>
  <c r="P236" i="12"/>
  <c r="N236" i="12"/>
  <c r="L236" i="12"/>
  <c r="J236" i="12"/>
  <c r="H236" i="12"/>
  <c r="F236" i="12"/>
  <c r="D236" i="12"/>
  <c r="B236" i="12"/>
  <c r="B235" i="12"/>
  <c r="B234" i="12"/>
  <c r="B233" i="12"/>
  <c r="R232" i="12"/>
  <c r="P232" i="12"/>
  <c r="N232" i="12"/>
  <c r="L232" i="12"/>
  <c r="J232" i="12"/>
  <c r="H232" i="12"/>
  <c r="F232" i="12"/>
  <c r="D232" i="12"/>
  <c r="B232" i="12"/>
  <c r="B231" i="12"/>
  <c r="R230" i="12"/>
  <c r="P230" i="12"/>
  <c r="N230" i="12"/>
  <c r="L230" i="12"/>
  <c r="J230" i="12"/>
  <c r="H230" i="12"/>
  <c r="F230" i="12"/>
  <c r="D230" i="12"/>
  <c r="B230" i="12"/>
  <c r="B229" i="12"/>
  <c r="B228" i="12"/>
  <c r="B227" i="12"/>
  <c r="B226" i="12"/>
  <c r="B225" i="12"/>
  <c r="B224" i="12"/>
  <c r="B223" i="12"/>
  <c r="B222" i="12"/>
  <c r="B221" i="12"/>
  <c r="B220" i="12"/>
  <c r="R219" i="12"/>
  <c r="P219" i="12"/>
  <c r="N219" i="12"/>
  <c r="L219" i="12"/>
  <c r="J219" i="12"/>
  <c r="H219" i="12"/>
  <c r="F219" i="12"/>
  <c r="D219" i="12"/>
  <c r="B219" i="12"/>
  <c r="B218" i="12"/>
  <c r="B217" i="12"/>
  <c r="B216" i="12"/>
  <c r="B215" i="12"/>
  <c r="B214" i="12"/>
  <c r="B213" i="12"/>
  <c r="B212" i="12"/>
  <c r="B211" i="12"/>
  <c r="B210" i="12"/>
  <c r="B209" i="12"/>
  <c r="R208" i="12"/>
  <c r="P208" i="12"/>
  <c r="N208" i="12"/>
  <c r="L208" i="12"/>
  <c r="J208" i="12"/>
  <c r="H208" i="12"/>
  <c r="F208" i="12"/>
  <c r="D208" i="12"/>
  <c r="B208" i="12"/>
  <c r="R207" i="12"/>
  <c r="P207" i="12"/>
  <c r="N207" i="12"/>
  <c r="L207" i="12"/>
  <c r="J207" i="12"/>
  <c r="H207" i="12"/>
  <c r="F207" i="12"/>
  <c r="D207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R138" i="12"/>
  <c r="P138" i="12"/>
  <c r="N138" i="12"/>
  <c r="L138" i="12"/>
  <c r="J138" i="12"/>
  <c r="H138" i="12"/>
  <c r="F138" i="12"/>
  <c r="D138" i="12"/>
  <c r="N136" i="12"/>
  <c r="L136" i="12"/>
  <c r="J136" i="12"/>
  <c r="H136" i="12"/>
  <c r="F136" i="12"/>
  <c r="D136" i="12"/>
  <c r="B136" i="12"/>
  <c r="N135" i="12"/>
  <c r="L135" i="12"/>
  <c r="J135" i="12"/>
  <c r="H135" i="12"/>
  <c r="F135" i="12"/>
  <c r="D135" i="12"/>
  <c r="B135" i="12"/>
  <c r="N134" i="12"/>
  <c r="L134" i="12"/>
  <c r="J134" i="12"/>
  <c r="H134" i="12"/>
  <c r="F134" i="12"/>
  <c r="D134" i="12"/>
  <c r="B134" i="12"/>
  <c r="N133" i="12"/>
  <c r="L133" i="12"/>
  <c r="J133" i="12"/>
  <c r="H133" i="12"/>
  <c r="F133" i="12"/>
  <c r="D133" i="12"/>
  <c r="B133" i="12"/>
  <c r="N132" i="12"/>
  <c r="L132" i="12"/>
  <c r="J132" i="12"/>
  <c r="H132" i="12"/>
  <c r="F132" i="12"/>
  <c r="D132" i="12"/>
  <c r="B132" i="12"/>
  <c r="N131" i="12"/>
  <c r="L131" i="12"/>
  <c r="J131" i="12"/>
  <c r="H131" i="12"/>
  <c r="F131" i="12"/>
  <c r="D131" i="12"/>
  <c r="B131" i="12"/>
  <c r="N130" i="12"/>
  <c r="L130" i="12"/>
  <c r="J130" i="12"/>
  <c r="H130" i="12"/>
  <c r="F130" i="12"/>
  <c r="D130" i="12"/>
  <c r="B130" i="12"/>
  <c r="N129" i="12"/>
  <c r="L129" i="12"/>
  <c r="J129" i="12"/>
  <c r="H129" i="12"/>
  <c r="F129" i="12"/>
  <c r="D129" i="12"/>
  <c r="B129" i="12"/>
  <c r="N128" i="12"/>
  <c r="L128" i="12"/>
  <c r="J128" i="12"/>
  <c r="H128" i="12"/>
  <c r="F128" i="12"/>
  <c r="D128" i="12"/>
  <c r="B128" i="12"/>
  <c r="N127" i="12"/>
  <c r="L127" i="12"/>
  <c r="J127" i="12"/>
  <c r="H127" i="12"/>
  <c r="F127" i="12"/>
  <c r="D127" i="12"/>
  <c r="B127" i="12"/>
  <c r="N126" i="12"/>
  <c r="L126" i="12"/>
  <c r="J126" i="12"/>
  <c r="H126" i="12"/>
  <c r="F126" i="12"/>
  <c r="D126" i="12"/>
  <c r="B126" i="12"/>
  <c r="N125" i="12"/>
  <c r="L125" i="12"/>
  <c r="J125" i="12"/>
  <c r="H125" i="12"/>
  <c r="F125" i="12"/>
  <c r="D125" i="12"/>
  <c r="B125" i="12"/>
  <c r="N124" i="12"/>
  <c r="L124" i="12"/>
  <c r="J124" i="12"/>
  <c r="H124" i="12"/>
  <c r="F124" i="12"/>
  <c r="D124" i="12"/>
  <c r="B124" i="12"/>
  <c r="N123" i="12"/>
  <c r="L123" i="12"/>
  <c r="J123" i="12"/>
  <c r="H123" i="12"/>
  <c r="F123" i="12"/>
  <c r="D123" i="12"/>
  <c r="B123" i="12"/>
  <c r="N122" i="12"/>
  <c r="L122" i="12"/>
  <c r="J122" i="12"/>
  <c r="H122" i="12"/>
  <c r="F122" i="12"/>
  <c r="D122" i="12"/>
  <c r="B122" i="12"/>
  <c r="N121" i="12"/>
  <c r="L121" i="12"/>
  <c r="J121" i="12"/>
  <c r="H121" i="12"/>
  <c r="F121" i="12"/>
  <c r="D121" i="12"/>
  <c r="B121" i="12"/>
  <c r="N120" i="12"/>
  <c r="L120" i="12"/>
  <c r="J120" i="12"/>
  <c r="H120" i="12"/>
  <c r="F120" i="12"/>
  <c r="D120" i="12"/>
  <c r="B120" i="12"/>
  <c r="N119" i="12"/>
  <c r="L119" i="12"/>
  <c r="J119" i="12"/>
  <c r="H119" i="12"/>
  <c r="F119" i="12"/>
  <c r="D119" i="12"/>
  <c r="B119" i="12"/>
  <c r="N118" i="12"/>
  <c r="L118" i="12"/>
  <c r="J118" i="12"/>
  <c r="H118" i="12"/>
  <c r="F118" i="12"/>
  <c r="D118" i="12"/>
  <c r="B118" i="12"/>
  <c r="N117" i="12"/>
  <c r="L117" i="12"/>
  <c r="J117" i="12"/>
  <c r="H117" i="12"/>
  <c r="F117" i="12"/>
  <c r="D117" i="12"/>
  <c r="B117" i="12"/>
  <c r="N116" i="12"/>
  <c r="L116" i="12"/>
  <c r="J116" i="12"/>
  <c r="H116" i="12"/>
  <c r="F116" i="12"/>
  <c r="D116" i="12"/>
  <c r="B116" i="12"/>
  <c r="N115" i="12"/>
  <c r="L115" i="12"/>
  <c r="J115" i="12"/>
  <c r="H115" i="12"/>
  <c r="F115" i="12"/>
  <c r="D115" i="12"/>
  <c r="B115" i="12"/>
  <c r="N114" i="12"/>
  <c r="L114" i="12"/>
  <c r="J114" i="12"/>
  <c r="H114" i="12"/>
  <c r="F114" i="12"/>
  <c r="D114" i="12"/>
  <c r="B114" i="12"/>
  <c r="N113" i="12"/>
  <c r="L113" i="12"/>
  <c r="J113" i="12"/>
  <c r="H113" i="12"/>
  <c r="F113" i="12"/>
  <c r="D113" i="12"/>
  <c r="B113" i="12"/>
  <c r="N112" i="12"/>
  <c r="L112" i="12"/>
  <c r="J112" i="12"/>
  <c r="H112" i="12"/>
  <c r="F112" i="12"/>
  <c r="D112" i="12"/>
  <c r="B112" i="12"/>
  <c r="N111" i="12"/>
  <c r="L111" i="12"/>
  <c r="J111" i="12"/>
  <c r="H111" i="12"/>
  <c r="F111" i="12"/>
  <c r="D111" i="12"/>
  <c r="B111" i="12"/>
  <c r="N110" i="12"/>
  <c r="L110" i="12"/>
  <c r="J110" i="12"/>
  <c r="H110" i="12"/>
  <c r="F110" i="12"/>
  <c r="D110" i="12"/>
  <c r="B110" i="12"/>
  <c r="N109" i="12"/>
  <c r="L109" i="12"/>
  <c r="J109" i="12"/>
  <c r="H109" i="12"/>
  <c r="F109" i="12"/>
  <c r="D109" i="12"/>
  <c r="B109" i="12"/>
  <c r="N108" i="12"/>
  <c r="L108" i="12"/>
  <c r="J108" i="12"/>
  <c r="H108" i="12"/>
  <c r="F108" i="12"/>
  <c r="D108" i="12"/>
  <c r="B108" i="12"/>
  <c r="N107" i="12"/>
  <c r="L107" i="12"/>
  <c r="J107" i="12"/>
  <c r="H107" i="12"/>
  <c r="F107" i="12"/>
  <c r="D107" i="12"/>
  <c r="B107" i="12"/>
  <c r="N106" i="12"/>
  <c r="L106" i="12"/>
  <c r="J106" i="12"/>
  <c r="H106" i="12"/>
  <c r="F106" i="12"/>
  <c r="D106" i="12"/>
  <c r="B106" i="12"/>
  <c r="N105" i="12"/>
  <c r="L105" i="12"/>
  <c r="J105" i="12"/>
  <c r="H105" i="12"/>
  <c r="F105" i="12"/>
  <c r="D105" i="12"/>
  <c r="B105" i="12"/>
  <c r="N104" i="12"/>
  <c r="L104" i="12"/>
  <c r="J104" i="12"/>
  <c r="H104" i="12"/>
  <c r="F104" i="12"/>
  <c r="D104" i="12"/>
  <c r="B104" i="12"/>
  <c r="N103" i="12"/>
  <c r="L103" i="12"/>
  <c r="J103" i="12"/>
  <c r="H103" i="12"/>
  <c r="F103" i="12"/>
  <c r="D103" i="12"/>
  <c r="B103" i="12"/>
  <c r="N102" i="12"/>
  <c r="L102" i="12"/>
  <c r="J102" i="12"/>
  <c r="H102" i="12"/>
  <c r="F102" i="12"/>
  <c r="D102" i="12"/>
  <c r="B102" i="12"/>
  <c r="N101" i="12"/>
  <c r="L101" i="12"/>
  <c r="J101" i="12"/>
  <c r="H101" i="12"/>
  <c r="F101" i="12"/>
  <c r="D101" i="12"/>
  <c r="B101" i="12"/>
  <c r="N100" i="12"/>
  <c r="L100" i="12"/>
  <c r="J100" i="12"/>
  <c r="H100" i="12"/>
  <c r="F100" i="12"/>
  <c r="D100" i="12"/>
  <c r="B100" i="12"/>
  <c r="N99" i="12"/>
  <c r="L99" i="12"/>
  <c r="J99" i="12"/>
  <c r="H99" i="12"/>
  <c r="F99" i="12"/>
  <c r="D99" i="12"/>
  <c r="B99" i="12"/>
  <c r="N98" i="12"/>
  <c r="L98" i="12"/>
  <c r="J98" i="12"/>
  <c r="H98" i="12"/>
  <c r="F98" i="12"/>
  <c r="D98" i="12"/>
  <c r="B98" i="12"/>
  <c r="N97" i="12"/>
  <c r="L97" i="12"/>
  <c r="J97" i="12"/>
  <c r="H97" i="12"/>
  <c r="F97" i="12"/>
  <c r="D97" i="12"/>
  <c r="B97" i="12"/>
  <c r="N96" i="12"/>
  <c r="L96" i="12"/>
  <c r="J96" i="12"/>
  <c r="H96" i="12"/>
  <c r="F96" i="12"/>
  <c r="D96" i="12"/>
  <c r="B96" i="12"/>
  <c r="N95" i="12"/>
  <c r="L95" i="12"/>
  <c r="J95" i="12"/>
  <c r="H95" i="12"/>
  <c r="F95" i="12"/>
  <c r="D95" i="12"/>
  <c r="B95" i="12"/>
  <c r="N94" i="12"/>
  <c r="L94" i="12"/>
  <c r="J94" i="12"/>
  <c r="H94" i="12"/>
  <c r="F94" i="12"/>
  <c r="D94" i="12"/>
  <c r="B94" i="12"/>
  <c r="N93" i="12"/>
  <c r="L93" i="12"/>
  <c r="J93" i="12"/>
  <c r="H93" i="12"/>
  <c r="F93" i="12"/>
  <c r="D93" i="12"/>
  <c r="B93" i="12"/>
  <c r="N92" i="12"/>
  <c r="L92" i="12"/>
  <c r="J92" i="12"/>
  <c r="H92" i="12"/>
  <c r="F92" i="12"/>
  <c r="D92" i="12"/>
  <c r="B92" i="12"/>
  <c r="N91" i="12"/>
  <c r="L91" i="12"/>
  <c r="J91" i="12"/>
  <c r="H91" i="12"/>
  <c r="F91" i="12"/>
  <c r="D91" i="12"/>
  <c r="B91" i="12"/>
  <c r="N90" i="12"/>
  <c r="L90" i="12"/>
  <c r="J90" i="12"/>
  <c r="H90" i="12"/>
  <c r="F90" i="12"/>
  <c r="D90" i="12"/>
  <c r="B90" i="12"/>
  <c r="N89" i="12"/>
  <c r="L89" i="12"/>
  <c r="J89" i="12"/>
  <c r="H89" i="12"/>
  <c r="F89" i="12"/>
  <c r="D89" i="12"/>
  <c r="B89" i="12"/>
  <c r="N88" i="12"/>
  <c r="L88" i="12"/>
  <c r="J88" i="12"/>
  <c r="H88" i="12"/>
  <c r="F88" i="12"/>
  <c r="D88" i="12"/>
  <c r="B88" i="12"/>
  <c r="N87" i="12"/>
  <c r="L87" i="12"/>
  <c r="J87" i="12"/>
  <c r="H87" i="12"/>
  <c r="F87" i="12"/>
  <c r="D87" i="12"/>
  <c r="B87" i="12"/>
  <c r="N86" i="12"/>
  <c r="L86" i="12"/>
  <c r="J86" i="12"/>
  <c r="H86" i="12"/>
  <c r="F86" i="12"/>
  <c r="D86" i="12"/>
  <c r="B86" i="12"/>
  <c r="N85" i="12"/>
  <c r="L85" i="12"/>
  <c r="J85" i="12"/>
  <c r="H85" i="12"/>
  <c r="F85" i="12"/>
  <c r="D85" i="12"/>
  <c r="B85" i="12"/>
  <c r="N84" i="12"/>
  <c r="L84" i="12"/>
  <c r="J84" i="12"/>
  <c r="H84" i="12"/>
  <c r="F84" i="12"/>
  <c r="D84" i="12"/>
  <c r="B84" i="12"/>
  <c r="N83" i="12"/>
  <c r="L83" i="12"/>
  <c r="J83" i="12"/>
  <c r="H83" i="12"/>
  <c r="F83" i="12"/>
  <c r="D83" i="12"/>
  <c r="B83" i="12"/>
  <c r="N82" i="12"/>
  <c r="L82" i="12"/>
  <c r="J82" i="12"/>
  <c r="H82" i="12"/>
  <c r="F82" i="12"/>
  <c r="D82" i="12"/>
  <c r="B82" i="12"/>
  <c r="N81" i="12"/>
  <c r="L81" i="12"/>
  <c r="J81" i="12"/>
  <c r="H81" i="12"/>
  <c r="F81" i="12"/>
  <c r="D81" i="12"/>
  <c r="B81" i="12"/>
  <c r="N80" i="12"/>
  <c r="L80" i="12"/>
  <c r="J80" i="12"/>
  <c r="H80" i="12"/>
  <c r="F80" i="12"/>
  <c r="D80" i="12"/>
  <c r="B80" i="12"/>
  <c r="N79" i="12"/>
  <c r="L79" i="12"/>
  <c r="J79" i="12"/>
  <c r="H79" i="12"/>
  <c r="F79" i="12"/>
  <c r="D79" i="12"/>
  <c r="B79" i="12"/>
  <c r="N78" i="12"/>
  <c r="L78" i="12"/>
  <c r="J78" i="12"/>
  <c r="H78" i="12"/>
  <c r="F78" i="12"/>
  <c r="D78" i="12"/>
  <c r="B78" i="12"/>
  <c r="N77" i="12"/>
  <c r="L77" i="12"/>
  <c r="J77" i="12"/>
  <c r="H77" i="12"/>
  <c r="F77" i="12"/>
  <c r="D77" i="12"/>
  <c r="B77" i="12"/>
  <c r="N76" i="12"/>
  <c r="L76" i="12"/>
  <c r="J76" i="12"/>
  <c r="H76" i="12"/>
  <c r="F76" i="12"/>
  <c r="D76" i="12"/>
  <c r="B76" i="12"/>
  <c r="N75" i="12"/>
  <c r="L75" i="12"/>
  <c r="J75" i="12"/>
  <c r="H75" i="12"/>
  <c r="F75" i="12"/>
  <c r="D75" i="12"/>
  <c r="B75" i="12"/>
  <c r="N74" i="12"/>
  <c r="L74" i="12"/>
  <c r="J74" i="12"/>
  <c r="H74" i="12"/>
  <c r="F74" i="12"/>
  <c r="D74" i="12"/>
  <c r="B74" i="12"/>
  <c r="N73" i="12"/>
  <c r="L73" i="12"/>
  <c r="J73" i="12"/>
  <c r="H73" i="12"/>
  <c r="F73" i="12"/>
  <c r="D73" i="12"/>
  <c r="B73" i="12"/>
  <c r="N72" i="12"/>
  <c r="L72" i="12"/>
  <c r="J72" i="12"/>
  <c r="H72" i="12"/>
  <c r="F72" i="12"/>
  <c r="D72" i="12"/>
  <c r="B72" i="12"/>
  <c r="N71" i="12"/>
  <c r="L71" i="12"/>
  <c r="J71" i="12"/>
  <c r="H71" i="12"/>
  <c r="F71" i="12"/>
  <c r="D71" i="12"/>
  <c r="B71" i="12"/>
  <c r="N70" i="12"/>
  <c r="L70" i="12"/>
  <c r="J70" i="12"/>
  <c r="H70" i="12"/>
  <c r="F70" i="12"/>
  <c r="D70" i="12"/>
  <c r="B70" i="12"/>
  <c r="N69" i="12"/>
  <c r="L69" i="12"/>
  <c r="J69" i="12"/>
  <c r="H69" i="12"/>
  <c r="F69" i="12"/>
  <c r="D69" i="12"/>
  <c r="B69" i="12"/>
  <c r="N68" i="12"/>
  <c r="L68" i="12"/>
  <c r="J68" i="12"/>
  <c r="H68" i="12"/>
  <c r="F68" i="12"/>
  <c r="D68" i="12"/>
  <c r="B68" i="12"/>
  <c r="N67" i="12"/>
  <c r="L67" i="12"/>
  <c r="J67" i="12"/>
  <c r="H67" i="12"/>
  <c r="F67" i="12"/>
  <c r="D67" i="12"/>
  <c r="B67" i="12"/>
  <c r="N66" i="12"/>
  <c r="L66" i="12"/>
  <c r="J66" i="12"/>
  <c r="H66" i="12"/>
  <c r="F66" i="12"/>
  <c r="D66" i="12"/>
  <c r="B66" i="12"/>
  <c r="N65" i="12"/>
  <c r="L65" i="12"/>
  <c r="J65" i="12"/>
  <c r="H65" i="12"/>
  <c r="F65" i="12"/>
  <c r="D65" i="12"/>
  <c r="B65" i="12"/>
  <c r="N64" i="12"/>
  <c r="L64" i="12"/>
  <c r="J64" i="12"/>
  <c r="H64" i="12"/>
  <c r="F64" i="12"/>
  <c r="D64" i="12"/>
  <c r="B64" i="12"/>
  <c r="N63" i="12"/>
  <c r="L63" i="12"/>
  <c r="J63" i="12"/>
  <c r="H63" i="12"/>
  <c r="F63" i="12"/>
  <c r="D63" i="12"/>
  <c r="B63" i="12"/>
  <c r="N62" i="12"/>
  <c r="L62" i="12"/>
  <c r="J62" i="12"/>
  <c r="H62" i="12"/>
  <c r="F62" i="12"/>
  <c r="D62" i="12"/>
  <c r="B62" i="12"/>
  <c r="N61" i="12"/>
  <c r="L61" i="12"/>
  <c r="J61" i="12"/>
  <c r="H61" i="12"/>
  <c r="F61" i="12"/>
  <c r="D61" i="12"/>
  <c r="B61" i="12"/>
  <c r="N60" i="12"/>
  <c r="L60" i="12"/>
  <c r="J60" i="12"/>
  <c r="H60" i="12"/>
  <c r="F60" i="12"/>
  <c r="D60" i="12"/>
  <c r="B60" i="12"/>
  <c r="N59" i="12"/>
  <c r="L59" i="12"/>
  <c r="J59" i="12"/>
  <c r="H59" i="12"/>
  <c r="F59" i="12"/>
  <c r="D59" i="12"/>
  <c r="B59" i="12"/>
  <c r="N58" i="12"/>
  <c r="L58" i="12"/>
  <c r="J58" i="12"/>
  <c r="H58" i="12"/>
  <c r="F58" i="12"/>
  <c r="D58" i="12"/>
  <c r="B58" i="12"/>
  <c r="N57" i="12"/>
  <c r="L57" i="12"/>
  <c r="J57" i="12"/>
  <c r="H57" i="12"/>
  <c r="F57" i="12"/>
  <c r="D57" i="12"/>
  <c r="B57" i="12"/>
  <c r="N56" i="12"/>
  <c r="L56" i="12"/>
  <c r="J56" i="12"/>
  <c r="H56" i="12"/>
  <c r="F56" i="12"/>
  <c r="D56" i="12"/>
  <c r="B56" i="12"/>
  <c r="N55" i="12"/>
  <c r="L55" i="12"/>
  <c r="J55" i="12"/>
  <c r="H55" i="12"/>
  <c r="F55" i="12"/>
  <c r="D55" i="12"/>
  <c r="B55" i="12"/>
  <c r="N54" i="12"/>
  <c r="L54" i="12"/>
  <c r="J54" i="12"/>
  <c r="H54" i="12"/>
  <c r="F54" i="12"/>
  <c r="D54" i="12"/>
  <c r="B54" i="12"/>
  <c r="N53" i="12"/>
  <c r="L53" i="12"/>
  <c r="J53" i="12"/>
  <c r="H53" i="12"/>
  <c r="F53" i="12"/>
  <c r="D53" i="12"/>
  <c r="B53" i="12"/>
  <c r="N52" i="12"/>
  <c r="L52" i="12"/>
  <c r="J52" i="12"/>
  <c r="H52" i="12"/>
  <c r="F52" i="12"/>
  <c r="D52" i="12"/>
  <c r="B52" i="12"/>
  <c r="N51" i="12"/>
  <c r="L51" i="12"/>
  <c r="J51" i="12"/>
  <c r="H51" i="12"/>
  <c r="F51" i="12"/>
  <c r="D51" i="12"/>
  <c r="B51" i="12"/>
  <c r="N50" i="12"/>
  <c r="L50" i="12"/>
  <c r="J50" i="12"/>
  <c r="H50" i="12"/>
  <c r="F50" i="12"/>
  <c r="D50" i="12"/>
  <c r="B50" i="12"/>
  <c r="N49" i="12"/>
  <c r="L49" i="12"/>
  <c r="J49" i="12"/>
  <c r="H49" i="12"/>
  <c r="F49" i="12"/>
  <c r="D49" i="12"/>
  <c r="B49" i="12"/>
  <c r="N48" i="12"/>
  <c r="L48" i="12"/>
  <c r="J48" i="12"/>
  <c r="H48" i="12"/>
  <c r="F48" i="12"/>
  <c r="D48" i="12"/>
  <c r="B48" i="12"/>
  <c r="N47" i="12"/>
  <c r="L47" i="12"/>
  <c r="J47" i="12"/>
  <c r="H47" i="12"/>
  <c r="F47" i="12"/>
  <c r="D47" i="12"/>
  <c r="B47" i="12"/>
  <c r="N46" i="12"/>
  <c r="L46" i="12"/>
  <c r="J46" i="12"/>
  <c r="H46" i="12"/>
  <c r="F46" i="12"/>
  <c r="D46" i="12"/>
  <c r="B46" i="12"/>
  <c r="N45" i="12"/>
  <c r="L45" i="12"/>
  <c r="J45" i="12"/>
  <c r="H45" i="12"/>
  <c r="F45" i="12"/>
  <c r="D45" i="12"/>
  <c r="B45" i="12"/>
  <c r="N44" i="12"/>
  <c r="L44" i="12"/>
  <c r="J44" i="12"/>
  <c r="H44" i="12"/>
  <c r="F44" i="12"/>
  <c r="D44" i="12"/>
  <c r="B44" i="12"/>
  <c r="N43" i="12"/>
  <c r="L43" i="12"/>
  <c r="J43" i="12"/>
  <c r="H43" i="12"/>
  <c r="F43" i="12"/>
  <c r="D43" i="12"/>
  <c r="B43" i="12"/>
  <c r="N42" i="12"/>
  <c r="L42" i="12"/>
  <c r="J42" i="12"/>
  <c r="H42" i="12"/>
  <c r="F42" i="12"/>
  <c r="D42" i="12"/>
  <c r="B42" i="12"/>
  <c r="N41" i="12"/>
  <c r="L41" i="12"/>
  <c r="J41" i="12"/>
  <c r="H41" i="12"/>
  <c r="F41" i="12"/>
  <c r="D41" i="12"/>
  <c r="B41" i="12"/>
  <c r="N40" i="12"/>
  <c r="L40" i="12"/>
  <c r="J40" i="12"/>
  <c r="H40" i="12"/>
  <c r="F40" i="12"/>
  <c r="D40" i="12"/>
  <c r="B40" i="12"/>
  <c r="N39" i="12"/>
  <c r="L39" i="12"/>
  <c r="J39" i="12"/>
  <c r="H39" i="12"/>
  <c r="F39" i="12"/>
  <c r="D39" i="12"/>
  <c r="B39" i="12"/>
  <c r="N38" i="12"/>
  <c r="L38" i="12"/>
  <c r="J38" i="12"/>
  <c r="H38" i="12"/>
  <c r="F38" i="12"/>
  <c r="D38" i="12"/>
  <c r="B38" i="12"/>
  <c r="N37" i="12"/>
  <c r="L37" i="12"/>
  <c r="J37" i="12"/>
  <c r="H37" i="12"/>
  <c r="F37" i="12"/>
  <c r="D37" i="12"/>
  <c r="B37" i="12"/>
  <c r="N36" i="12"/>
  <c r="L36" i="12"/>
  <c r="J36" i="12"/>
  <c r="H36" i="12"/>
  <c r="F36" i="12"/>
  <c r="D36" i="12"/>
  <c r="B36" i="12"/>
  <c r="N35" i="12"/>
  <c r="L35" i="12"/>
  <c r="J35" i="12"/>
  <c r="H35" i="12"/>
  <c r="F35" i="12"/>
  <c r="D35" i="12"/>
  <c r="B35" i="12"/>
  <c r="N34" i="12"/>
  <c r="L34" i="12"/>
  <c r="J34" i="12"/>
  <c r="H34" i="12"/>
  <c r="F34" i="12"/>
  <c r="D34" i="12"/>
  <c r="B34" i="12"/>
  <c r="N33" i="12"/>
  <c r="L33" i="12"/>
  <c r="J33" i="12"/>
  <c r="H33" i="12"/>
  <c r="F33" i="12"/>
  <c r="D33" i="12"/>
  <c r="B33" i="12"/>
  <c r="N32" i="12"/>
  <c r="L32" i="12"/>
  <c r="J32" i="12"/>
  <c r="H32" i="12"/>
  <c r="F32" i="12"/>
  <c r="D32" i="12"/>
  <c r="B32" i="12"/>
  <c r="N31" i="12"/>
  <c r="L31" i="12"/>
  <c r="J31" i="12"/>
  <c r="H31" i="12"/>
  <c r="F31" i="12"/>
  <c r="D31" i="12"/>
  <c r="B31" i="12"/>
  <c r="N30" i="12"/>
  <c r="L30" i="12"/>
  <c r="J30" i="12"/>
  <c r="H30" i="12"/>
  <c r="F30" i="12"/>
  <c r="D30" i="12"/>
  <c r="B30" i="12"/>
  <c r="N29" i="12"/>
  <c r="L29" i="12"/>
  <c r="J29" i="12"/>
  <c r="H29" i="12"/>
  <c r="F29" i="12"/>
  <c r="D29" i="12"/>
  <c r="B29" i="12"/>
  <c r="N28" i="12"/>
  <c r="L28" i="12"/>
  <c r="J28" i="12"/>
  <c r="H28" i="12"/>
  <c r="F28" i="12"/>
  <c r="D28" i="12"/>
  <c r="B28" i="12"/>
  <c r="N27" i="12"/>
  <c r="L27" i="12"/>
  <c r="J27" i="12"/>
  <c r="H27" i="12"/>
  <c r="F27" i="12"/>
  <c r="D27" i="12"/>
  <c r="B27" i="12"/>
  <c r="N26" i="12"/>
  <c r="L26" i="12"/>
  <c r="J26" i="12"/>
  <c r="H26" i="12"/>
  <c r="F26" i="12"/>
  <c r="D26" i="12"/>
  <c r="B26" i="12"/>
  <c r="N25" i="12"/>
  <c r="L25" i="12"/>
  <c r="J25" i="12"/>
  <c r="H25" i="12"/>
  <c r="F25" i="12"/>
  <c r="D25" i="12"/>
  <c r="B25" i="12"/>
  <c r="N24" i="12"/>
  <c r="L24" i="12"/>
  <c r="J24" i="12"/>
  <c r="H24" i="12"/>
  <c r="F24" i="12"/>
  <c r="D24" i="12"/>
  <c r="B24" i="12"/>
  <c r="N23" i="12"/>
  <c r="L23" i="12"/>
  <c r="J23" i="12"/>
  <c r="H23" i="12"/>
  <c r="F23" i="12"/>
  <c r="D23" i="12"/>
  <c r="B23" i="12"/>
  <c r="N22" i="12"/>
  <c r="L22" i="12"/>
  <c r="J22" i="12"/>
  <c r="H22" i="12"/>
  <c r="F22" i="12"/>
  <c r="D22" i="12"/>
  <c r="B22" i="12"/>
  <c r="N21" i="12"/>
  <c r="L21" i="12"/>
  <c r="J21" i="12"/>
  <c r="H21" i="12"/>
  <c r="F21" i="12"/>
  <c r="D21" i="12"/>
  <c r="B21" i="12"/>
  <c r="N20" i="12"/>
  <c r="L20" i="12"/>
  <c r="J20" i="12"/>
  <c r="H20" i="12"/>
  <c r="F20" i="12"/>
  <c r="D20" i="12"/>
  <c r="B20" i="12"/>
  <c r="N19" i="12"/>
  <c r="L19" i="12"/>
  <c r="J19" i="12"/>
  <c r="H19" i="12"/>
  <c r="F19" i="12"/>
  <c r="D19" i="12"/>
  <c r="B19" i="12"/>
  <c r="N18" i="12"/>
  <c r="L18" i="12"/>
  <c r="J18" i="12"/>
  <c r="H18" i="12"/>
  <c r="F18" i="12"/>
  <c r="D18" i="12"/>
  <c r="B18" i="12"/>
  <c r="N17" i="12"/>
  <c r="L17" i="12"/>
  <c r="J17" i="12"/>
  <c r="H17" i="12"/>
  <c r="F17" i="12"/>
  <c r="D17" i="12"/>
  <c r="B17" i="12"/>
  <c r="N16" i="12"/>
  <c r="L16" i="12"/>
  <c r="J16" i="12"/>
  <c r="H16" i="12"/>
  <c r="F16" i="12"/>
  <c r="D16" i="12"/>
  <c r="B16" i="12"/>
  <c r="N15" i="12"/>
  <c r="L15" i="12"/>
  <c r="J15" i="12"/>
  <c r="H15" i="12"/>
  <c r="F15" i="12"/>
  <c r="D15" i="12"/>
  <c r="B15" i="12"/>
  <c r="N14" i="12"/>
  <c r="L14" i="12"/>
  <c r="J14" i="12"/>
  <c r="H14" i="12"/>
  <c r="F14" i="12"/>
  <c r="D14" i="12"/>
  <c r="B14" i="12"/>
  <c r="N13" i="12"/>
  <c r="L13" i="12"/>
  <c r="L10" i="12" s="1"/>
  <c r="L204" i="12" s="1"/>
  <c r="J13" i="12"/>
  <c r="J10" i="12" s="1"/>
  <c r="J204" i="12" s="1"/>
  <c r="H13" i="12"/>
  <c r="F13" i="12"/>
  <c r="D13" i="12"/>
  <c r="D10" i="12" s="1"/>
  <c r="D204" i="12" s="1"/>
  <c r="B13" i="12"/>
  <c r="N12" i="12"/>
  <c r="L12" i="12"/>
  <c r="J12" i="12"/>
  <c r="H12" i="12"/>
  <c r="F12" i="12"/>
  <c r="D12" i="12"/>
  <c r="B12" i="12"/>
  <c r="N11" i="12"/>
  <c r="N10" i="12" s="1"/>
  <c r="N204" i="12" s="1"/>
  <c r="L11" i="12"/>
  <c r="J11" i="12"/>
  <c r="H11" i="12"/>
  <c r="F11" i="12"/>
  <c r="F10" i="12" s="1"/>
  <c r="F204" i="12" s="1"/>
  <c r="D11" i="12"/>
  <c r="B11" i="12"/>
  <c r="R10" i="12"/>
  <c r="R204" i="12" s="1"/>
  <c r="P10" i="12"/>
  <c r="P204" i="12" s="1"/>
  <c r="H10" i="12"/>
  <c r="H204" i="12" s="1"/>
  <c r="N107" i="9"/>
  <c r="L107" i="9"/>
  <c r="J107" i="9"/>
  <c r="J104" i="9" s="1"/>
  <c r="H107" i="9"/>
  <c r="H104" i="9" s="1"/>
  <c r="F107" i="9"/>
  <c r="D107" i="9"/>
  <c r="B107" i="9"/>
  <c r="N106" i="9"/>
  <c r="L106" i="9"/>
  <c r="J106" i="9"/>
  <c r="H106" i="9"/>
  <c r="F106" i="9"/>
  <c r="D106" i="9"/>
  <c r="B106" i="9"/>
  <c r="N105" i="9"/>
  <c r="L105" i="9"/>
  <c r="L104" i="9" s="1"/>
  <c r="J105" i="9"/>
  <c r="H105" i="9"/>
  <c r="F105" i="9"/>
  <c r="D105" i="9"/>
  <c r="D104" i="9" s="1"/>
  <c r="B105" i="9"/>
  <c r="R104" i="9"/>
  <c r="P104" i="9"/>
  <c r="N104" i="9"/>
  <c r="F104" i="9"/>
  <c r="B102" i="9"/>
  <c r="B101" i="9"/>
  <c r="R100" i="9"/>
  <c r="P100" i="9"/>
  <c r="N100" i="9"/>
  <c r="L100" i="9"/>
  <c r="J100" i="9"/>
  <c r="H100" i="9"/>
  <c r="F100" i="9"/>
  <c r="D100" i="9"/>
  <c r="B100" i="9"/>
  <c r="B99" i="9"/>
  <c r="R98" i="9"/>
  <c r="P98" i="9"/>
  <c r="N98" i="9"/>
  <c r="L98" i="9"/>
  <c r="J98" i="9"/>
  <c r="H98" i="9"/>
  <c r="F98" i="9"/>
  <c r="D98" i="9"/>
  <c r="B98" i="9"/>
  <c r="B97" i="9"/>
  <c r="B96" i="9"/>
  <c r="R95" i="9"/>
  <c r="P95" i="9"/>
  <c r="N95" i="9"/>
  <c r="L95" i="9"/>
  <c r="J95" i="9"/>
  <c r="H95" i="9"/>
  <c r="F95" i="9"/>
  <c r="D95" i="9"/>
  <c r="B95" i="9"/>
  <c r="B94" i="9"/>
  <c r="B93" i="9"/>
  <c r="B92" i="9"/>
  <c r="B91" i="9"/>
  <c r="B90" i="9"/>
  <c r="B89" i="9"/>
  <c r="B88" i="9"/>
  <c r="R87" i="9"/>
  <c r="P87" i="9"/>
  <c r="N87" i="9"/>
  <c r="L87" i="9"/>
  <c r="J87" i="9"/>
  <c r="H87" i="9"/>
  <c r="F87" i="9"/>
  <c r="D87" i="9"/>
  <c r="B87" i="9"/>
  <c r="B86" i="9"/>
  <c r="B85" i="9"/>
  <c r="R84" i="9"/>
  <c r="P84" i="9"/>
  <c r="N84" i="9"/>
  <c r="L84" i="9"/>
  <c r="J84" i="9"/>
  <c r="H84" i="9"/>
  <c r="F84" i="9"/>
  <c r="D84" i="9"/>
  <c r="B84" i="9"/>
  <c r="B83" i="9"/>
  <c r="B82" i="9"/>
  <c r="R81" i="9"/>
  <c r="P81" i="9"/>
  <c r="N81" i="9"/>
  <c r="L81" i="9"/>
  <c r="J81" i="9"/>
  <c r="H81" i="9"/>
  <c r="F81" i="9"/>
  <c r="D81" i="9"/>
  <c r="B81" i="9"/>
  <c r="B80" i="9"/>
  <c r="B79" i="9"/>
  <c r="B78" i="9"/>
  <c r="B77" i="9"/>
  <c r="R76" i="9"/>
  <c r="P76" i="9"/>
  <c r="N76" i="9"/>
  <c r="L76" i="9"/>
  <c r="J76" i="9"/>
  <c r="H76" i="9"/>
  <c r="F76" i="9"/>
  <c r="D76" i="9"/>
  <c r="B76" i="9"/>
  <c r="B75" i="9"/>
  <c r="B74" i="9"/>
  <c r="B73" i="9"/>
  <c r="B72" i="9"/>
  <c r="R71" i="9"/>
  <c r="P71" i="9"/>
  <c r="N71" i="9"/>
  <c r="L71" i="9"/>
  <c r="J71" i="9"/>
  <c r="H71" i="9"/>
  <c r="F71" i="9"/>
  <c r="D71" i="9"/>
  <c r="B71" i="9"/>
  <c r="B70" i="9"/>
  <c r="R69" i="9"/>
  <c r="P69" i="9"/>
  <c r="N69" i="9"/>
  <c r="L69" i="9"/>
  <c r="J69" i="9"/>
  <c r="H69" i="9"/>
  <c r="F69" i="9"/>
  <c r="D69" i="9"/>
  <c r="B69" i="9"/>
  <c r="B68" i="9"/>
  <c r="B67" i="9"/>
  <c r="R66" i="9"/>
  <c r="P66" i="9"/>
  <c r="N66" i="9"/>
  <c r="L66" i="9"/>
  <c r="J66" i="9"/>
  <c r="H66" i="9"/>
  <c r="F66" i="9"/>
  <c r="D66" i="9"/>
  <c r="B66" i="9"/>
  <c r="B65" i="9"/>
  <c r="B64" i="9"/>
  <c r="R63" i="9"/>
  <c r="P63" i="9"/>
  <c r="N63" i="9"/>
  <c r="L63" i="9"/>
  <c r="J63" i="9"/>
  <c r="H63" i="9"/>
  <c r="F63" i="9"/>
  <c r="D63" i="9"/>
  <c r="B63" i="9"/>
  <c r="B62" i="9"/>
  <c r="B61" i="9"/>
  <c r="R60" i="9"/>
  <c r="P60" i="9"/>
  <c r="N60" i="9"/>
  <c r="L60" i="9"/>
  <c r="J60" i="9"/>
  <c r="H60" i="9"/>
  <c r="F60" i="9"/>
  <c r="D60" i="9"/>
  <c r="B60" i="9"/>
  <c r="B59" i="9"/>
  <c r="R58" i="9"/>
  <c r="P58" i="9"/>
  <c r="N58" i="9"/>
  <c r="L58" i="9"/>
  <c r="J58" i="9"/>
  <c r="H58" i="9"/>
  <c r="F58" i="9"/>
  <c r="D58" i="9"/>
  <c r="B58" i="9"/>
  <c r="B57" i="9"/>
  <c r="R56" i="9"/>
  <c r="P56" i="9"/>
  <c r="N56" i="9"/>
  <c r="L56" i="9"/>
  <c r="J56" i="9"/>
  <c r="H56" i="9"/>
  <c r="F56" i="9"/>
  <c r="D56" i="9"/>
  <c r="B56" i="9"/>
  <c r="B55" i="9"/>
  <c r="B54" i="9"/>
  <c r="R53" i="9"/>
  <c r="P53" i="9"/>
  <c r="N53" i="9"/>
  <c r="L53" i="9"/>
  <c r="J53" i="9"/>
  <c r="H53" i="9"/>
  <c r="F53" i="9"/>
  <c r="D53" i="9"/>
  <c r="B53" i="9"/>
  <c r="B52" i="9"/>
  <c r="B51" i="9"/>
  <c r="R50" i="9"/>
  <c r="P50" i="9"/>
  <c r="N50" i="9"/>
  <c r="L50" i="9"/>
  <c r="J50" i="9"/>
  <c r="H50" i="9"/>
  <c r="F50" i="9"/>
  <c r="D50" i="9"/>
  <c r="B50" i="9"/>
  <c r="B49" i="9"/>
  <c r="R48" i="9"/>
  <c r="P48" i="9"/>
  <c r="N48" i="9"/>
  <c r="L48" i="9"/>
  <c r="J48" i="9"/>
  <c r="H48" i="9"/>
  <c r="F48" i="9"/>
  <c r="D48" i="9"/>
  <c r="B48" i="9"/>
  <c r="B47" i="9"/>
  <c r="R46" i="9"/>
  <c r="P46" i="9"/>
  <c r="N46" i="9"/>
  <c r="L46" i="9"/>
  <c r="J46" i="9"/>
  <c r="H46" i="9"/>
  <c r="F46" i="9"/>
  <c r="D46" i="9"/>
  <c r="B46" i="9"/>
  <c r="B45" i="9"/>
  <c r="R44" i="9"/>
  <c r="P44" i="9"/>
  <c r="N44" i="9"/>
  <c r="L44" i="9"/>
  <c r="J44" i="9"/>
  <c r="H44" i="9"/>
  <c r="F44" i="9"/>
  <c r="D44" i="9"/>
  <c r="B44" i="9"/>
  <c r="B43" i="9"/>
  <c r="R42" i="9"/>
  <c r="P42" i="9"/>
  <c r="N42" i="9"/>
  <c r="L42" i="9"/>
  <c r="J42" i="9"/>
  <c r="H42" i="9"/>
  <c r="F42" i="9"/>
  <c r="D42" i="9"/>
  <c r="B42" i="9"/>
  <c r="B41" i="9"/>
  <c r="B40" i="9"/>
  <c r="B39" i="9"/>
  <c r="B38" i="9"/>
  <c r="B37" i="9"/>
  <c r="B36" i="9"/>
  <c r="B35" i="9"/>
  <c r="B34" i="9"/>
  <c r="B33" i="9"/>
  <c r="B32" i="9"/>
  <c r="R31" i="9"/>
  <c r="P31" i="9"/>
  <c r="N31" i="9"/>
  <c r="L31" i="9"/>
  <c r="J31" i="9"/>
  <c r="H31" i="9"/>
  <c r="F31" i="9"/>
  <c r="D31" i="9"/>
  <c r="B31" i="9"/>
  <c r="B30" i="9"/>
  <c r="B29" i="9"/>
  <c r="B28" i="9"/>
  <c r="B27" i="9"/>
  <c r="B26" i="9"/>
  <c r="B25" i="9"/>
  <c r="B24" i="9"/>
  <c r="B23" i="9"/>
  <c r="B22" i="9"/>
  <c r="B21" i="9"/>
  <c r="B20" i="9"/>
  <c r="R19" i="9"/>
  <c r="P19" i="9"/>
  <c r="N19" i="9"/>
  <c r="L19" i="9"/>
  <c r="J19" i="9"/>
  <c r="H19" i="9"/>
  <c r="F19" i="9"/>
  <c r="D19" i="9"/>
  <c r="B19" i="9"/>
  <c r="R18" i="9"/>
  <c r="P18" i="9"/>
  <c r="N18" i="9"/>
  <c r="L18" i="9"/>
  <c r="J18" i="9"/>
  <c r="H18" i="9"/>
  <c r="F18" i="9"/>
  <c r="D18" i="9"/>
  <c r="R13" i="9"/>
  <c r="R15" i="9" s="1"/>
  <c r="P13" i="9"/>
  <c r="P15" i="9" s="1"/>
  <c r="N13" i="9"/>
  <c r="N15" i="9" s="1"/>
  <c r="L13" i="9"/>
  <c r="J13" i="9"/>
  <c r="H13" i="9"/>
  <c r="H15" i="9" s="1"/>
  <c r="F13" i="9"/>
  <c r="F15" i="9" s="1"/>
  <c r="D13" i="9"/>
  <c r="N11" i="9"/>
  <c r="L11" i="9"/>
  <c r="J11" i="9"/>
  <c r="J10" i="9" s="1"/>
  <c r="J15" i="9" s="1"/>
  <c r="H11" i="9"/>
  <c r="F11" i="9"/>
  <c r="D11" i="9"/>
  <c r="B11" i="9"/>
  <c r="R10" i="9"/>
  <c r="P10" i="9"/>
  <c r="N10" i="9"/>
  <c r="L10" i="9"/>
  <c r="L15" i="9" s="1"/>
  <c r="H10" i="9"/>
  <c r="F10" i="9"/>
  <c r="D10" i="9"/>
  <c r="D15" i="9" s="1"/>
  <c r="R30" i="6"/>
  <c r="P30" i="6"/>
  <c r="N30" i="6"/>
  <c r="L30" i="6"/>
  <c r="J30" i="6"/>
  <c r="H30" i="6"/>
  <c r="F30" i="6"/>
  <c r="D30" i="6"/>
  <c r="R29" i="6"/>
  <c r="P29" i="6"/>
  <c r="N29" i="6"/>
  <c r="L29" i="6"/>
  <c r="J29" i="6"/>
  <c r="H29" i="6"/>
  <c r="F29" i="6"/>
  <c r="D29" i="6"/>
  <c r="R19" i="6"/>
  <c r="P19" i="6"/>
  <c r="N19" i="6"/>
  <c r="L19" i="6"/>
  <c r="J19" i="6"/>
  <c r="H19" i="6"/>
  <c r="F19" i="6"/>
  <c r="D19" i="6"/>
  <c r="R17" i="6"/>
  <c r="P17" i="6"/>
  <c r="N17" i="6"/>
  <c r="L17" i="6"/>
  <c r="J17" i="6"/>
  <c r="H17" i="6"/>
  <c r="F17" i="6"/>
  <c r="D17" i="6"/>
  <c r="R12" i="6"/>
  <c r="P12" i="6"/>
  <c r="N12" i="6"/>
  <c r="L12" i="6"/>
  <c r="J12" i="6"/>
  <c r="H12" i="6"/>
  <c r="F12" i="6"/>
  <c r="D12" i="6"/>
  <c r="R10" i="6"/>
  <c r="R14" i="6" s="1"/>
  <c r="P10" i="6"/>
  <c r="P14" i="6" s="1"/>
  <c r="N10" i="6"/>
  <c r="N14" i="6" s="1"/>
  <c r="L10" i="6"/>
  <c r="L14" i="6" s="1"/>
  <c r="J10" i="6"/>
  <c r="J14" i="6" s="1"/>
  <c r="H10" i="6"/>
  <c r="H14" i="6" s="1"/>
  <c r="F10" i="6"/>
  <c r="F14" i="6" s="1"/>
  <c r="D10" i="6"/>
  <c r="D14" i="6" s="1"/>
  <c r="R425" i="3"/>
  <c r="P425" i="3"/>
  <c r="N425" i="3"/>
  <c r="L425" i="3"/>
  <c r="J425" i="3"/>
  <c r="H425" i="3"/>
  <c r="F425" i="3"/>
  <c r="D425" i="3"/>
  <c r="R424" i="3"/>
  <c r="P424" i="3"/>
  <c r="N424" i="3"/>
  <c r="L424" i="3"/>
  <c r="J424" i="3"/>
  <c r="H424" i="3"/>
  <c r="F424" i="3"/>
  <c r="D424" i="3"/>
  <c r="N414" i="3"/>
  <c r="L414" i="3"/>
  <c r="J414" i="3"/>
  <c r="H414" i="3"/>
  <c r="F414" i="3"/>
  <c r="D414" i="3"/>
  <c r="B414" i="3"/>
  <c r="N413" i="3"/>
  <c r="L413" i="3"/>
  <c r="J413" i="3"/>
  <c r="H413" i="3"/>
  <c r="F413" i="3"/>
  <c r="D413" i="3"/>
  <c r="B413" i="3"/>
  <c r="N412" i="3"/>
  <c r="L412" i="3"/>
  <c r="J412" i="3"/>
  <c r="H412" i="3"/>
  <c r="F412" i="3"/>
  <c r="D412" i="3"/>
  <c r="B412" i="3"/>
  <c r="N411" i="3"/>
  <c r="L411" i="3"/>
  <c r="J411" i="3"/>
  <c r="H411" i="3"/>
  <c r="F411" i="3"/>
  <c r="D411" i="3"/>
  <c r="B411" i="3"/>
  <c r="N410" i="3"/>
  <c r="L410" i="3"/>
  <c r="J410" i="3"/>
  <c r="H410" i="3"/>
  <c r="F410" i="3"/>
  <c r="D410" i="3"/>
  <c r="B410" i="3"/>
  <c r="N409" i="3"/>
  <c r="L409" i="3"/>
  <c r="J409" i="3"/>
  <c r="H409" i="3"/>
  <c r="F409" i="3"/>
  <c r="D409" i="3"/>
  <c r="B409" i="3"/>
  <c r="N408" i="3"/>
  <c r="L408" i="3"/>
  <c r="J408" i="3"/>
  <c r="H408" i="3"/>
  <c r="F408" i="3"/>
  <c r="D408" i="3"/>
  <c r="B408" i="3"/>
  <c r="N407" i="3"/>
  <c r="L407" i="3"/>
  <c r="J407" i="3"/>
  <c r="H407" i="3"/>
  <c r="F407" i="3"/>
  <c r="D407" i="3"/>
  <c r="B407" i="3"/>
  <c r="N406" i="3"/>
  <c r="L406" i="3"/>
  <c r="J406" i="3"/>
  <c r="H406" i="3"/>
  <c r="F406" i="3"/>
  <c r="D406" i="3"/>
  <c r="B406" i="3"/>
  <c r="N405" i="3"/>
  <c r="L405" i="3"/>
  <c r="J405" i="3"/>
  <c r="H405" i="3"/>
  <c r="F405" i="3"/>
  <c r="D405" i="3"/>
  <c r="B405" i="3"/>
  <c r="N404" i="3"/>
  <c r="L404" i="3"/>
  <c r="J404" i="3"/>
  <c r="H404" i="3"/>
  <c r="F404" i="3"/>
  <c r="D404" i="3"/>
  <c r="B404" i="3"/>
  <c r="N403" i="3"/>
  <c r="L403" i="3"/>
  <c r="J403" i="3"/>
  <c r="H403" i="3"/>
  <c r="F403" i="3"/>
  <c r="D403" i="3"/>
  <c r="B403" i="3"/>
  <c r="N402" i="3"/>
  <c r="L402" i="3"/>
  <c r="J402" i="3"/>
  <c r="H402" i="3"/>
  <c r="F402" i="3"/>
  <c r="D402" i="3"/>
  <c r="B402" i="3"/>
  <c r="N401" i="3"/>
  <c r="L401" i="3"/>
  <c r="J401" i="3"/>
  <c r="H401" i="3"/>
  <c r="F401" i="3"/>
  <c r="D401" i="3"/>
  <c r="B401" i="3"/>
  <c r="N400" i="3"/>
  <c r="L400" i="3"/>
  <c r="J400" i="3"/>
  <c r="H400" i="3"/>
  <c r="F400" i="3"/>
  <c r="D400" i="3"/>
  <c r="B400" i="3"/>
  <c r="N399" i="3"/>
  <c r="L399" i="3"/>
  <c r="J399" i="3"/>
  <c r="H399" i="3"/>
  <c r="F399" i="3"/>
  <c r="D399" i="3"/>
  <c r="B399" i="3"/>
  <c r="N398" i="3"/>
  <c r="L398" i="3"/>
  <c r="J398" i="3"/>
  <c r="H398" i="3"/>
  <c r="F398" i="3"/>
  <c r="D398" i="3"/>
  <c r="B398" i="3"/>
  <c r="N397" i="3"/>
  <c r="L397" i="3"/>
  <c r="J397" i="3"/>
  <c r="H397" i="3"/>
  <c r="F397" i="3"/>
  <c r="D397" i="3"/>
  <c r="B397" i="3"/>
  <c r="N396" i="3"/>
  <c r="L396" i="3"/>
  <c r="J396" i="3"/>
  <c r="J393" i="3" s="1"/>
  <c r="H396" i="3"/>
  <c r="H393" i="3" s="1"/>
  <c r="F396" i="3"/>
  <c r="D396" i="3"/>
  <c r="B396" i="3"/>
  <c r="N395" i="3"/>
  <c r="L395" i="3"/>
  <c r="J395" i="3"/>
  <c r="H395" i="3"/>
  <c r="F395" i="3"/>
  <c r="D395" i="3"/>
  <c r="B395" i="3"/>
  <c r="N394" i="3"/>
  <c r="L394" i="3"/>
  <c r="L393" i="3" s="1"/>
  <c r="J394" i="3"/>
  <c r="H394" i="3"/>
  <c r="F394" i="3"/>
  <c r="D394" i="3"/>
  <c r="D393" i="3" s="1"/>
  <c r="B394" i="3"/>
  <c r="R393" i="3"/>
  <c r="P393" i="3"/>
  <c r="N393" i="3"/>
  <c r="F393" i="3"/>
  <c r="B391" i="3"/>
  <c r="R390" i="3"/>
  <c r="P390" i="3"/>
  <c r="N390" i="3"/>
  <c r="L390" i="3"/>
  <c r="J390" i="3"/>
  <c r="H390" i="3"/>
  <c r="F390" i="3"/>
  <c r="D390" i="3"/>
  <c r="B390" i="3"/>
  <c r="B389" i="3"/>
  <c r="B388" i="3"/>
  <c r="B387" i="3"/>
  <c r="R386" i="3"/>
  <c r="P386" i="3"/>
  <c r="N386" i="3"/>
  <c r="L386" i="3"/>
  <c r="J386" i="3"/>
  <c r="H386" i="3"/>
  <c r="F386" i="3"/>
  <c r="D386" i="3"/>
  <c r="B386" i="3"/>
  <c r="B385" i="3"/>
  <c r="R384" i="3"/>
  <c r="P384" i="3"/>
  <c r="N384" i="3"/>
  <c r="L384" i="3"/>
  <c r="J384" i="3"/>
  <c r="H384" i="3"/>
  <c r="F384" i="3"/>
  <c r="D384" i="3"/>
  <c r="B384" i="3"/>
  <c r="B383" i="3"/>
  <c r="B382" i="3"/>
  <c r="R381" i="3"/>
  <c r="P381" i="3"/>
  <c r="N381" i="3"/>
  <c r="L381" i="3"/>
  <c r="J381" i="3"/>
  <c r="H381" i="3"/>
  <c r="F381" i="3"/>
  <c r="D381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R369" i="3"/>
  <c r="P369" i="3"/>
  <c r="N369" i="3"/>
  <c r="L369" i="3"/>
  <c r="J369" i="3"/>
  <c r="H369" i="3"/>
  <c r="F369" i="3"/>
  <c r="D369" i="3"/>
  <c r="B369" i="3"/>
  <c r="B368" i="3"/>
  <c r="B367" i="3"/>
  <c r="R366" i="3"/>
  <c r="P366" i="3"/>
  <c r="N366" i="3"/>
  <c r="L366" i="3"/>
  <c r="J366" i="3"/>
  <c r="H366" i="3"/>
  <c r="F366" i="3"/>
  <c r="D366" i="3"/>
  <c r="B366" i="3"/>
  <c r="B365" i="3"/>
  <c r="B364" i="3"/>
  <c r="B363" i="3"/>
  <c r="B362" i="3"/>
  <c r="B361" i="3"/>
  <c r="B360" i="3"/>
  <c r="R359" i="3"/>
  <c r="P359" i="3"/>
  <c r="N359" i="3"/>
  <c r="L359" i="3"/>
  <c r="J359" i="3"/>
  <c r="H359" i="3"/>
  <c r="F359" i="3"/>
  <c r="D359" i="3"/>
  <c r="B359" i="3"/>
  <c r="B358" i="3"/>
  <c r="B357" i="3"/>
  <c r="B356" i="3"/>
  <c r="B355" i="3"/>
  <c r="B354" i="3"/>
  <c r="R353" i="3"/>
  <c r="P353" i="3"/>
  <c r="N353" i="3"/>
  <c r="L353" i="3"/>
  <c r="J353" i="3"/>
  <c r="H353" i="3"/>
  <c r="F353" i="3"/>
  <c r="D353" i="3"/>
  <c r="B353" i="3"/>
  <c r="B352" i="3"/>
  <c r="B351" i="3"/>
  <c r="B350" i="3"/>
  <c r="B349" i="3"/>
  <c r="R348" i="3"/>
  <c r="P348" i="3"/>
  <c r="N348" i="3"/>
  <c r="L348" i="3"/>
  <c r="J348" i="3"/>
  <c r="H348" i="3"/>
  <c r="F348" i="3"/>
  <c r="D348" i="3"/>
  <c r="B348" i="3"/>
  <c r="B347" i="3"/>
  <c r="R346" i="3"/>
  <c r="P346" i="3"/>
  <c r="N346" i="3"/>
  <c r="L346" i="3"/>
  <c r="J346" i="3"/>
  <c r="H346" i="3"/>
  <c r="F346" i="3"/>
  <c r="D346" i="3"/>
  <c r="B346" i="3"/>
  <c r="B345" i="3"/>
  <c r="R344" i="3"/>
  <c r="P344" i="3"/>
  <c r="N344" i="3"/>
  <c r="L344" i="3"/>
  <c r="J344" i="3"/>
  <c r="H344" i="3"/>
  <c r="F344" i="3"/>
  <c r="D344" i="3"/>
  <c r="B344" i="3"/>
  <c r="B343" i="3"/>
  <c r="B342" i="3"/>
  <c r="R341" i="3"/>
  <c r="P341" i="3"/>
  <c r="N341" i="3"/>
  <c r="L341" i="3"/>
  <c r="J341" i="3"/>
  <c r="H341" i="3"/>
  <c r="F341" i="3"/>
  <c r="D341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R300" i="3"/>
  <c r="P300" i="3"/>
  <c r="N300" i="3"/>
  <c r="L300" i="3"/>
  <c r="J300" i="3"/>
  <c r="H300" i="3"/>
  <c r="F300" i="3"/>
  <c r="D300" i="3"/>
  <c r="B300" i="3"/>
  <c r="B299" i="3"/>
  <c r="R298" i="3"/>
  <c r="P298" i="3"/>
  <c r="N298" i="3"/>
  <c r="L298" i="3"/>
  <c r="J298" i="3"/>
  <c r="H298" i="3"/>
  <c r="F298" i="3"/>
  <c r="D298" i="3"/>
  <c r="B298" i="3"/>
  <c r="B297" i="3"/>
  <c r="R296" i="3"/>
  <c r="P296" i="3"/>
  <c r="N296" i="3"/>
  <c r="L296" i="3"/>
  <c r="J296" i="3"/>
  <c r="H296" i="3"/>
  <c r="F296" i="3"/>
  <c r="D296" i="3"/>
  <c r="B296" i="3"/>
  <c r="B295" i="3"/>
  <c r="B294" i="3"/>
  <c r="B293" i="3"/>
  <c r="R292" i="3"/>
  <c r="P292" i="3"/>
  <c r="N292" i="3"/>
  <c r="L292" i="3"/>
  <c r="J292" i="3"/>
  <c r="H292" i="3"/>
  <c r="F292" i="3"/>
  <c r="D292" i="3"/>
  <c r="B292" i="3"/>
  <c r="B291" i="3"/>
  <c r="B290" i="3"/>
  <c r="R289" i="3"/>
  <c r="P289" i="3"/>
  <c r="N289" i="3"/>
  <c r="L289" i="3"/>
  <c r="J289" i="3"/>
  <c r="H289" i="3"/>
  <c r="F289" i="3"/>
  <c r="D289" i="3"/>
  <c r="B289" i="3"/>
  <c r="B288" i="3"/>
  <c r="R287" i="3"/>
  <c r="P287" i="3"/>
  <c r="N287" i="3"/>
  <c r="L287" i="3"/>
  <c r="J287" i="3"/>
  <c r="H287" i="3"/>
  <c r="F287" i="3"/>
  <c r="D287" i="3"/>
  <c r="B287" i="3"/>
  <c r="B286" i="3"/>
  <c r="R285" i="3"/>
  <c r="P285" i="3"/>
  <c r="N285" i="3"/>
  <c r="L285" i="3"/>
  <c r="J285" i="3"/>
  <c r="H285" i="3"/>
  <c r="F285" i="3"/>
  <c r="D285" i="3"/>
  <c r="B285" i="3"/>
  <c r="B284" i="3"/>
  <c r="B283" i="3"/>
  <c r="R282" i="3"/>
  <c r="P282" i="3"/>
  <c r="N282" i="3"/>
  <c r="L282" i="3"/>
  <c r="J282" i="3"/>
  <c r="H282" i="3"/>
  <c r="F282" i="3"/>
  <c r="D282" i="3"/>
  <c r="B282" i="3"/>
  <c r="B281" i="3"/>
  <c r="B280" i="3"/>
  <c r="R279" i="3"/>
  <c r="P279" i="3"/>
  <c r="N279" i="3"/>
  <c r="L279" i="3"/>
  <c r="J279" i="3"/>
  <c r="H279" i="3"/>
  <c r="F279" i="3"/>
  <c r="D279" i="3"/>
  <c r="B279" i="3"/>
  <c r="B278" i="3"/>
  <c r="B277" i="3"/>
  <c r="B276" i="3"/>
  <c r="B275" i="3"/>
  <c r="R274" i="3"/>
  <c r="P274" i="3"/>
  <c r="N274" i="3"/>
  <c r="L274" i="3"/>
  <c r="J274" i="3"/>
  <c r="H274" i="3"/>
  <c r="F274" i="3"/>
  <c r="D274" i="3"/>
  <c r="B274" i="3"/>
  <c r="B273" i="3"/>
  <c r="R272" i="3"/>
  <c r="P272" i="3"/>
  <c r="N272" i="3"/>
  <c r="L272" i="3"/>
  <c r="J272" i="3"/>
  <c r="H272" i="3"/>
  <c r="F272" i="3"/>
  <c r="D272" i="3"/>
  <c r="B272" i="3"/>
  <c r="B271" i="3"/>
  <c r="B270" i="3"/>
  <c r="B269" i="3"/>
  <c r="R268" i="3"/>
  <c r="P268" i="3"/>
  <c r="N268" i="3"/>
  <c r="L268" i="3"/>
  <c r="J268" i="3"/>
  <c r="H268" i="3"/>
  <c r="F268" i="3"/>
  <c r="D268" i="3"/>
  <c r="B268" i="3"/>
  <c r="B267" i="3"/>
  <c r="R266" i="3"/>
  <c r="P266" i="3"/>
  <c r="N266" i="3"/>
  <c r="L266" i="3"/>
  <c r="J266" i="3"/>
  <c r="H266" i="3"/>
  <c r="F266" i="3"/>
  <c r="D266" i="3"/>
  <c r="B266" i="3"/>
  <c r="B265" i="3"/>
  <c r="B264" i="3"/>
  <c r="B263" i="3"/>
  <c r="B262" i="3"/>
  <c r="B261" i="3"/>
  <c r="B260" i="3"/>
  <c r="B259" i="3"/>
  <c r="B258" i="3"/>
  <c r="B257" i="3"/>
  <c r="B256" i="3"/>
  <c r="R255" i="3"/>
  <c r="P255" i="3"/>
  <c r="N255" i="3"/>
  <c r="L255" i="3"/>
  <c r="J255" i="3"/>
  <c r="H255" i="3"/>
  <c r="F255" i="3"/>
  <c r="D255" i="3"/>
  <c r="B255" i="3"/>
  <c r="B254" i="3"/>
  <c r="B253" i="3"/>
  <c r="B252" i="3"/>
  <c r="B251" i="3"/>
  <c r="B250" i="3"/>
  <c r="B249" i="3"/>
  <c r="B248" i="3"/>
  <c r="B247" i="3"/>
  <c r="B246" i="3"/>
  <c r="B245" i="3"/>
  <c r="R244" i="3"/>
  <c r="P244" i="3"/>
  <c r="N244" i="3"/>
  <c r="L244" i="3"/>
  <c r="J244" i="3"/>
  <c r="H244" i="3"/>
  <c r="F244" i="3"/>
  <c r="D244" i="3"/>
  <c r="B244" i="3"/>
  <c r="R243" i="3"/>
  <c r="P243" i="3"/>
  <c r="N243" i="3"/>
  <c r="L243" i="3"/>
  <c r="J243" i="3"/>
  <c r="H243" i="3"/>
  <c r="F243" i="3"/>
  <c r="D243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R166" i="3"/>
  <c r="P166" i="3"/>
  <c r="N166" i="3"/>
  <c r="L166" i="3"/>
  <c r="J166" i="3"/>
  <c r="H166" i="3"/>
  <c r="F166" i="3"/>
  <c r="D166" i="3"/>
  <c r="N164" i="3"/>
  <c r="L164" i="3"/>
  <c r="J164" i="3"/>
  <c r="H164" i="3"/>
  <c r="F164" i="3"/>
  <c r="D164" i="3"/>
  <c r="B164" i="3"/>
  <c r="N163" i="3"/>
  <c r="L163" i="3"/>
  <c r="J163" i="3"/>
  <c r="H163" i="3"/>
  <c r="F163" i="3"/>
  <c r="D163" i="3"/>
  <c r="B163" i="3"/>
  <c r="N162" i="3"/>
  <c r="L162" i="3"/>
  <c r="J162" i="3"/>
  <c r="H162" i="3"/>
  <c r="F162" i="3"/>
  <c r="D162" i="3"/>
  <c r="B162" i="3"/>
  <c r="N161" i="3"/>
  <c r="L161" i="3"/>
  <c r="J161" i="3"/>
  <c r="H161" i="3"/>
  <c r="F161" i="3"/>
  <c r="D161" i="3"/>
  <c r="B161" i="3"/>
  <c r="N160" i="3"/>
  <c r="L160" i="3"/>
  <c r="J160" i="3"/>
  <c r="H160" i="3"/>
  <c r="F160" i="3"/>
  <c r="D160" i="3"/>
  <c r="B160" i="3"/>
  <c r="N159" i="3"/>
  <c r="L159" i="3"/>
  <c r="J159" i="3"/>
  <c r="H159" i="3"/>
  <c r="F159" i="3"/>
  <c r="D159" i="3"/>
  <c r="B159" i="3"/>
  <c r="N158" i="3"/>
  <c r="L158" i="3"/>
  <c r="J158" i="3"/>
  <c r="H158" i="3"/>
  <c r="F158" i="3"/>
  <c r="D158" i="3"/>
  <c r="B158" i="3"/>
  <c r="N157" i="3"/>
  <c r="L157" i="3"/>
  <c r="J157" i="3"/>
  <c r="H157" i="3"/>
  <c r="F157" i="3"/>
  <c r="D157" i="3"/>
  <c r="B157" i="3"/>
  <c r="N156" i="3"/>
  <c r="L156" i="3"/>
  <c r="J156" i="3"/>
  <c r="H156" i="3"/>
  <c r="F156" i="3"/>
  <c r="D156" i="3"/>
  <c r="B156" i="3"/>
  <c r="N155" i="3"/>
  <c r="L155" i="3"/>
  <c r="J155" i="3"/>
  <c r="H155" i="3"/>
  <c r="F155" i="3"/>
  <c r="D155" i="3"/>
  <c r="B155" i="3"/>
  <c r="N154" i="3"/>
  <c r="L154" i="3"/>
  <c r="J154" i="3"/>
  <c r="H154" i="3"/>
  <c r="F154" i="3"/>
  <c r="D154" i="3"/>
  <c r="B154" i="3"/>
  <c r="N153" i="3"/>
  <c r="L153" i="3"/>
  <c r="J153" i="3"/>
  <c r="H153" i="3"/>
  <c r="F153" i="3"/>
  <c r="D153" i="3"/>
  <c r="B153" i="3"/>
  <c r="N152" i="3"/>
  <c r="L152" i="3"/>
  <c r="J152" i="3"/>
  <c r="H152" i="3"/>
  <c r="F152" i="3"/>
  <c r="D152" i="3"/>
  <c r="B152" i="3"/>
  <c r="N151" i="3"/>
  <c r="L151" i="3"/>
  <c r="J151" i="3"/>
  <c r="H151" i="3"/>
  <c r="F151" i="3"/>
  <c r="D151" i="3"/>
  <c r="B151" i="3"/>
  <c r="N150" i="3"/>
  <c r="L150" i="3"/>
  <c r="J150" i="3"/>
  <c r="H150" i="3"/>
  <c r="F150" i="3"/>
  <c r="D150" i="3"/>
  <c r="B150" i="3"/>
  <c r="N149" i="3"/>
  <c r="L149" i="3"/>
  <c r="J149" i="3"/>
  <c r="H149" i="3"/>
  <c r="F149" i="3"/>
  <c r="D149" i="3"/>
  <c r="B149" i="3"/>
  <c r="N148" i="3"/>
  <c r="L148" i="3"/>
  <c r="J148" i="3"/>
  <c r="H148" i="3"/>
  <c r="F148" i="3"/>
  <c r="D148" i="3"/>
  <c r="B148" i="3"/>
  <c r="N147" i="3"/>
  <c r="L147" i="3"/>
  <c r="J147" i="3"/>
  <c r="H147" i="3"/>
  <c r="F147" i="3"/>
  <c r="D147" i="3"/>
  <c r="B147" i="3"/>
  <c r="N146" i="3"/>
  <c r="L146" i="3"/>
  <c r="J146" i="3"/>
  <c r="H146" i="3"/>
  <c r="F146" i="3"/>
  <c r="D146" i="3"/>
  <c r="B146" i="3"/>
  <c r="N145" i="3"/>
  <c r="L145" i="3"/>
  <c r="J145" i="3"/>
  <c r="H145" i="3"/>
  <c r="F145" i="3"/>
  <c r="D145" i="3"/>
  <c r="B145" i="3"/>
  <c r="N144" i="3"/>
  <c r="L144" i="3"/>
  <c r="J144" i="3"/>
  <c r="H144" i="3"/>
  <c r="F144" i="3"/>
  <c r="D144" i="3"/>
  <c r="B144" i="3"/>
  <c r="N143" i="3"/>
  <c r="L143" i="3"/>
  <c r="J143" i="3"/>
  <c r="H143" i="3"/>
  <c r="F143" i="3"/>
  <c r="D143" i="3"/>
  <c r="B143" i="3"/>
  <c r="N142" i="3"/>
  <c r="L142" i="3"/>
  <c r="J142" i="3"/>
  <c r="H142" i="3"/>
  <c r="F142" i="3"/>
  <c r="D142" i="3"/>
  <c r="B142" i="3"/>
  <c r="N141" i="3"/>
  <c r="L141" i="3"/>
  <c r="J141" i="3"/>
  <c r="H141" i="3"/>
  <c r="F141" i="3"/>
  <c r="D141" i="3"/>
  <c r="B141" i="3"/>
  <c r="N140" i="3"/>
  <c r="L140" i="3"/>
  <c r="J140" i="3"/>
  <c r="H140" i="3"/>
  <c r="F140" i="3"/>
  <c r="D140" i="3"/>
  <c r="B140" i="3"/>
  <c r="N139" i="3"/>
  <c r="L139" i="3"/>
  <c r="J139" i="3"/>
  <c r="H139" i="3"/>
  <c r="F139" i="3"/>
  <c r="D139" i="3"/>
  <c r="B139" i="3"/>
  <c r="N138" i="3"/>
  <c r="L138" i="3"/>
  <c r="J138" i="3"/>
  <c r="H138" i="3"/>
  <c r="F138" i="3"/>
  <c r="D138" i="3"/>
  <c r="B138" i="3"/>
  <c r="N137" i="3"/>
  <c r="L137" i="3"/>
  <c r="J137" i="3"/>
  <c r="H137" i="3"/>
  <c r="F137" i="3"/>
  <c r="D137" i="3"/>
  <c r="B137" i="3"/>
  <c r="N136" i="3"/>
  <c r="L136" i="3"/>
  <c r="J136" i="3"/>
  <c r="H136" i="3"/>
  <c r="F136" i="3"/>
  <c r="D136" i="3"/>
  <c r="B136" i="3"/>
  <c r="N135" i="3"/>
  <c r="L135" i="3"/>
  <c r="J135" i="3"/>
  <c r="H135" i="3"/>
  <c r="F135" i="3"/>
  <c r="D135" i="3"/>
  <c r="B135" i="3"/>
  <c r="N134" i="3"/>
  <c r="L134" i="3"/>
  <c r="J134" i="3"/>
  <c r="H134" i="3"/>
  <c r="F134" i="3"/>
  <c r="D134" i="3"/>
  <c r="B134" i="3"/>
  <c r="N133" i="3"/>
  <c r="L133" i="3"/>
  <c r="J133" i="3"/>
  <c r="H133" i="3"/>
  <c r="F133" i="3"/>
  <c r="D133" i="3"/>
  <c r="B133" i="3"/>
  <c r="N132" i="3"/>
  <c r="L132" i="3"/>
  <c r="J132" i="3"/>
  <c r="H132" i="3"/>
  <c r="F132" i="3"/>
  <c r="D132" i="3"/>
  <c r="B132" i="3"/>
  <c r="N131" i="3"/>
  <c r="L131" i="3"/>
  <c r="J131" i="3"/>
  <c r="H131" i="3"/>
  <c r="F131" i="3"/>
  <c r="D131" i="3"/>
  <c r="B131" i="3"/>
  <c r="N130" i="3"/>
  <c r="L130" i="3"/>
  <c r="J130" i="3"/>
  <c r="H130" i="3"/>
  <c r="F130" i="3"/>
  <c r="D130" i="3"/>
  <c r="B130" i="3"/>
  <c r="N129" i="3"/>
  <c r="L129" i="3"/>
  <c r="J129" i="3"/>
  <c r="H129" i="3"/>
  <c r="F129" i="3"/>
  <c r="D129" i="3"/>
  <c r="B129" i="3"/>
  <c r="N128" i="3"/>
  <c r="L128" i="3"/>
  <c r="J128" i="3"/>
  <c r="H128" i="3"/>
  <c r="F128" i="3"/>
  <c r="D128" i="3"/>
  <c r="B128" i="3"/>
  <c r="N127" i="3"/>
  <c r="L127" i="3"/>
  <c r="J127" i="3"/>
  <c r="H127" i="3"/>
  <c r="F127" i="3"/>
  <c r="D127" i="3"/>
  <c r="B127" i="3"/>
  <c r="N126" i="3"/>
  <c r="L126" i="3"/>
  <c r="J126" i="3"/>
  <c r="H126" i="3"/>
  <c r="F126" i="3"/>
  <c r="D126" i="3"/>
  <c r="B126" i="3"/>
  <c r="N125" i="3"/>
  <c r="L125" i="3"/>
  <c r="J125" i="3"/>
  <c r="H125" i="3"/>
  <c r="F125" i="3"/>
  <c r="D125" i="3"/>
  <c r="B125" i="3"/>
  <c r="N124" i="3"/>
  <c r="L124" i="3"/>
  <c r="J124" i="3"/>
  <c r="H124" i="3"/>
  <c r="F124" i="3"/>
  <c r="D124" i="3"/>
  <c r="B124" i="3"/>
  <c r="N123" i="3"/>
  <c r="L123" i="3"/>
  <c r="J123" i="3"/>
  <c r="H123" i="3"/>
  <c r="F123" i="3"/>
  <c r="D123" i="3"/>
  <c r="B123" i="3"/>
  <c r="N122" i="3"/>
  <c r="L122" i="3"/>
  <c r="J122" i="3"/>
  <c r="H122" i="3"/>
  <c r="F122" i="3"/>
  <c r="D122" i="3"/>
  <c r="B122" i="3"/>
  <c r="N121" i="3"/>
  <c r="L121" i="3"/>
  <c r="J121" i="3"/>
  <c r="H121" i="3"/>
  <c r="F121" i="3"/>
  <c r="D121" i="3"/>
  <c r="B121" i="3"/>
  <c r="N120" i="3"/>
  <c r="L120" i="3"/>
  <c r="J120" i="3"/>
  <c r="H120" i="3"/>
  <c r="F120" i="3"/>
  <c r="D120" i="3"/>
  <c r="B120" i="3"/>
  <c r="N119" i="3"/>
  <c r="L119" i="3"/>
  <c r="J119" i="3"/>
  <c r="H119" i="3"/>
  <c r="F119" i="3"/>
  <c r="D119" i="3"/>
  <c r="B119" i="3"/>
  <c r="N118" i="3"/>
  <c r="L118" i="3"/>
  <c r="J118" i="3"/>
  <c r="H118" i="3"/>
  <c r="F118" i="3"/>
  <c r="D118" i="3"/>
  <c r="B118" i="3"/>
  <c r="N117" i="3"/>
  <c r="L117" i="3"/>
  <c r="J117" i="3"/>
  <c r="H117" i="3"/>
  <c r="F117" i="3"/>
  <c r="D117" i="3"/>
  <c r="B117" i="3"/>
  <c r="N116" i="3"/>
  <c r="L116" i="3"/>
  <c r="J116" i="3"/>
  <c r="H116" i="3"/>
  <c r="F116" i="3"/>
  <c r="D116" i="3"/>
  <c r="B116" i="3"/>
  <c r="N115" i="3"/>
  <c r="L115" i="3"/>
  <c r="J115" i="3"/>
  <c r="H115" i="3"/>
  <c r="F115" i="3"/>
  <c r="D115" i="3"/>
  <c r="B115" i="3"/>
  <c r="N114" i="3"/>
  <c r="L114" i="3"/>
  <c r="J114" i="3"/>
  <c r="H114" i="3"/>
  <c r="F114" i="3"/>
  <c r="D114" i="3"/>
  <c r="B114" i="3"/>
  <c r="N113" i="3"/>
  <c r="L113" i="3"/>
  <c r="J113" i="3"/>
  <c r="H113" i="3"/>
  <c r="F113" i="3"/>
  <c r="D113" i="3"/>
  <c r="B113" i="3"/>
  <c r="N112" i="3"/>
  <c r="L112" i="3"/>
  <c r="J112" i="3"/>
  <c r="H112" i="3"/>
  <c r="F112" i="3"/>
  <c r="D112" i="3"/>
  <c r="B112" i="3"/>
  <c r="N111" i="3"/>
  <c r="L111" i="3"/>
  <c r="J111" i="3"/>
  <c r="H111" i="3"/>
  <c r="F111" i="3"/>
  <c r="D111" i="3"/>
  <c r="B111" i="3"/>
  <c r="N110" i="3"/>
  <c r="L110" i="3"/>
  <c r="J110" i="3"/>
  <c r="H110" i="3"/>
  <c r="F110" i="3"/>
  <c r="D110" i="3"/>
  <c r="B110" i="3"/>
  <c r="N109" i="3"/>
  <c r="L109" i="3"/>
  <c r="J109" i="3"/>
  <c r="H109" i="3"/>
  <c r="F109" i="3"/>
  <c r="D109" i="3"/>
  <c r="B109" i="3"/>
  <c r="N108" i="3"/>
  <c r="L108" i="3"/>
  <c r="J108" i="3"/>
  <c r="H108" i="3"/>
  <c r="F108" i="3"/>
  <c r="D108" i="3"/>
  <c r="B108" i="3"/>
  <c r="N107" i="3"/>
  <c r="L107" i="3"/>
  <c r="J107" i="3"/>
  <c r="H107" i="3"/>
  <c r="F107" i="3"/>
  <c r="D107" i="3"/>
  <c r="B107" i="3"/>
  <c r="N106" i="3"/>
  <c r="L106" i="3"/>
  <c r="J106" i="3"/>
  <c r="H106" i="3"/>
  <c r="F106" i="3"/>
  <c r="D106" i="3"/>
  <c r="B106" i="3"/>
  <c r="N105" i="3"/>
  <c r="L105" i="3"/>
  <c r="J105" i="3"/>
  <c r="H105" i="3"/>
  <c r="F105" i="3"/>
  <c r="D105" i="3"/>
  <c r="B105" i="3"/>
  <c r="N104" i="3"/>
  <c r="L104" i="3"/>
  <c r="J104" i="3"/>
  <c r="H104" i="3"/>
  <c r="F104" i="3"/>
  <c r="D104" i="3"/>
  <c r="B104" i="3"/>
  <c r="N103" i="3"/>
  <c r="L103" i="3"/>
  <c r="J103" i="3"/>
  <c r="H103" i="3"/>
  <c r="F103" i="3"/>
  <c r="D103" i="3"/>
  <c r="B103" i="3"/>
  <c r="N102" i="3"/>
  <c r="L102" i="3"/>
  <c r="J102" i="3"/>
  <c r="H102" i="3"/>
  <c r="F102" i="3"/>
  <c r="D102" i="3"/>
  <c r="B102" i="3"/>
  <c r="N101" i="3"/>
  <c r="L101" i="3"/>
  <c r="J101" i="3"/>
  <c r="H101" i="3"/>
  <c r="F101" i="3"/>
  <c r="D101" i="3"/>
  <c r="B101" i="3"/>
  <c r="N100" i="3"/>
  <c r="L100" i="3"/>
  <c r="J100" i="3"/>
  <c r="H100" i="3"/>
  <c r="F100" i="3"/>
  <c r="D100" i="3"/>
  <c r="B100" i="3"/>
  <c r="N99" i="3"/>
  <c r="L99" i="3"/>
  <c r="J99" i="3"/>
  <c r="H99" i="3"/>
  <c r="F99" i="3"/>
  <c r="D99" i="3"/>
  <c r="B99" i="3"/>
  <c r="N98" i="3"/>
  <c r="L98" i="3"/>
  <c r="J98" i="3"/>
  <c r="H98" i="3"/>
  <c r="F98" i="3"/>
  <c r="D98" i="3"/>
  <c r="B98" i="3"/>
  <c r="N97" i="3"/>
  <c r="L97" i="3"/>
  <c r="J97" i="3"/>
  <c r="H97" i="3"/>
  <c r="F97" i="3"/>
  <c r="D97" i="3"/>
  <c r="B97" i="3"/>
  <c r="N96" i="3"/>
  <c r="L96" i="3"/>
  <c r="J96" i="3"/>
  <c r="H96" i="3"/>
  <c r="F96" i="3"/>
  <c r="D96" i="3"/>
  <c r="B96" i="3"/>
  <c r="N95" i="3"/>
  <c r="L95" i="3"/>
  <c r="J95" i="3"/>
  <c r="H95" i="3"/>
  <c r="F95" i="3"/>
  <c r="D95" i="3"/>
  <c r="B95" i="3"/>
  <c r="N94" i="3"/>
  <c r="L94" i="3"/>
  <c r="J94" i="3"/>
  <c r="H94" i="3"/>
  <c r="F94" i="3"/>
  <c r="D94" i="3"/>
  <c r="B94" i="3"/>
  <c r="N93" i="3"/>
  <c r="L93" i="3"/>
  <c r="J93" i="3"/>
  <c r="H93" i="3"/>
  <c r="F93" i="3"/>
  <c r="D93" i="3"/>
  <c r="B93" i="3"/>
  <c r="N92" i="3"/>
  <c r="L92" i="3"/>
  <c r="J92" i="3"/>
  <c r="H92" i="3"/>
  <c r="F92" i="3"/>
  <c r="D92" i="3"/>
  <c r="B92" i="3"/>
  <c r="N91" i="3"/>
  <c r="L91" i="3"/>
  <c r="J91" i="3"/>
  <c r="H91" i="3"/>
  <c r="F91" i="3"/>
  <c r="D91" i="3"/>
  <c r="B91" i="3"/>
  <c r="N90" i="3"/>
  <c r="L90" i="3"/>
  <c r="J90" i="3"/>
  <c r="H90" i="3"/>
  <c r="F90" i="3"/>
  <c r="D90" i="3"/>
  <c r="B90" i="3"/>
  <c r="N89" i="3"/>
  <c r="L89" i="3"/>
  <c r="J89" i="3"/>
  <c r="H89" i="3"/>
  <c r="F89" i="3"/>
  <c r="D89" i="3"/>
  <c r="B89" i="3"/>
  <c r="N88" i="3"/>
  <c r="L88" i="3"/>
  <c r="J88" i="3"/>
  <c r="H88" i="3"/>
  <c r="F88" i="3"/>
  <c r="D88" i="3"/>
  <c r="B88" i="3"/>
  <c r="N87" i="3"/>
  <c r="L87" i="3"/>
  <c r="J87" i="3"/>
  <c r="H87" i="3"/>
  <c r="F87" i="3"/>
  <c r="D87" i="3"/>
  <c r="B87" i="3"/>
  <c r="N86" i="3"/>
  <c r="L86" i="3"/>
  <c r="J86" i="3"/>
  <c r="H86" i="3"/>
  <c r="F86" i="3"/>
  <c r="D86" i="3"/>
  <c r="B86" i="3"/>
  <c r="N85" i="3"/>
  <c r="L85" i="3"/>
  <c r="J85" i="3"/>
  <c r="H85" i="3"/>
  <c r="F85" i="3"/>
  <c r="D85" i="3"/>
  <c r="B85" i="3"/>
  <c r="N84" i="3"/>
  <c r="L84" i="3"/>
  <c r="J84" i="3"/>
  <c r="H84" i="3"/>
  <c r="F84" i="3"/>
  <c r="D84" i="3"/>
  <c r="B84" i="3"/>
  <c r="N83" i="3"/>
  <c r="L83" i="3"/>
  <c r="J83" i="3"/>
  <c r="H83" i="3"/>
  <c r="F83" i="3"/>
  <c r="D83" i="3"/>
  <c r="B83" i="3"/>
  <c r="N82" i="3"/>
  <c r="L82" i="3"/>
  <c r="J82" i="3"/>
  <c r="H82" i="3"/>
  <c r="F82" i="3"/>
  <c r="D82" i="3"/>
  <c r="B82" i="3"/>
  <c r="N81" i="3"/>
  <c r="L81" i="3"/>
  <c r="J81" i="3"/>
  <c r="H81" i="3"/>
  <c r="F81" i="3"/>
  <c r="D81" i="3"/>
  <c r="B81" i="3"/>
  <c r="N80" i="3"/>
  <c r="L80" i="3"/>
  <c r="J80" i="3"/>
  <c r="H80" i="3"/>
  <c r="F80" i="3"/>
  <c r="D80" i="3"/>
  <c r="B80" i="3"/>
  <c r="N79" i="3"/>
  <c r="L79" i="3"/>
  <c r="J79" i="3"/>
  <c r="H79" i="3"/>
  <c r="F79" i="3"/>
  <c r="D79" i="3"/>
  <c r="B79" i="3"/>
  <c r="N78" i="3"/>
  <c r="L78" i="3"/>
  <c r="J78" i="3"/>
  <c r="H78" i="3"/>
  <c r="F78" i="3"/>
  <c r="D78" i="3"/>
  <c r="B78" i="3"/>
  <c r="N77" i="3"/>
  <c r="L77" i="3"/>
  <c r="J77" i="3"/>
  <c r="H77" i="3"/>
  <c r="F77" i="3"/>
  <c r="D77" i="3"/>
  <c r="B77" i="3"/>
  <c r="N76" i="3"/>
  <c r="L76" i="3"/>
  <c r="J76" i="3"/>
  <c r="H76" i="3"/>
  <c r="F76" i="3"/>
  <c r="D76" i="3"/>
  <c r="B76" i="3"/>
  <c r="N75" i="3"/>
  <c r="L75" i="3"/>
  <c r="J75" i="3"/>
  <c r="H75" i="3"/>
  <c r="F75" i="3"/>
  <c r="D75" i="3"/>
  <c r="B75" i="3"/>
  <c r="N74" i="3"/>
  <c r="L74" i="3"/>
  <c r="J74" i="3"/>
  <c r="H74" i="3"/>
  <c r="F74" i="3"/>
  <c r="D74" i="3"/>
  <c r="B74" i="3"/>
  <c r="N73" i="3"/>
  <c r="L73" i="3"/>
  <c r="J73" i="3"/>
  <c r="H73" i="3"/>
  <c r="F73" i="3"/>
  <c r="D73" i="3"/>
  <c r="B73" i="3"/>
  <c r="N72" i="3"/>
  <c r="L72" i="3"/>
  <c r="J72" i="3"/>
  <c r="H72" i="3"/>
  <c r="F72" i="3"/>
  <c r="D72" i="3"/>
  <c r="B72" i="3"/>
  <c r="N71" i="3"/>
  <c r="L71" i="3"/>
  <c r="J71" i="3"/>
  <c r="H71" i="3"/>
  <c r="F71" i="3"/>
  <c r="D71" i="3"/>
  <c r="B71" i="3"/>
  <c r="N70" i="3"/>
  <c r="L70" i="3"/>
  <c r="J70" i="3"/>
  <c r="H70" i="3"/>
  <c r="F70" i="3"/>
  <c r="D70" i="3"/>
  <c r="B70" i="3"/>
  <c r="N69" i="3"/>
  <c r="L69" i="3"/>
  <c r="J69" i="3"/>
  <c r="H69" i="3"/>
  <c r="F69" i="3"/>
  <c r="D69" i="3"/>
  <c r="B69" i="3"/>
  <c r="N68" i="3"/>
  <c r="L68" i="3"/>
  <c r="J68" i="3"/>
  <c r="H68" i="3"/>
  <c r="F68" i="3"/>
  <c r="D68" i="3"/>
  <c r="B68" i="3"/>
  <c r="N67" i="3"/>
  <c r="L67" i="3"/>
  <c r="J67" i="3"/>
  <c r="H67" i="3"/>
  <c r="F67" i="3"/>
  <c r="D67" i="3"/>
  <c r="B67" i="3"/>
  <c r="N66" i="3"/>
  <c r="L66" i="3"/>
  <c r="J66" i="3"/>
  <c r="H66" i="3"/>
  <c r="F66" i="3"/>
  <c r="D66" i="3"/>
  <c r="B66" i="3"/>
  <c r="N65" i="3"/>
  <c r="L65" i="3"/>
  <c r="J65" i="3"/>
  <c r="H65" i="3"/>
  <c r="F65" i="3"/>
  <c r="D65" i="3"/>
  <c r="B65" i="3"/>
  <c r="N64" i="3"/>
  <c r="L64" i="3"/>
  <c r="J64" i="3"/>
  <c r="H64" i="3"/>
  <c r="F64" i="3"/>
  <c r="D64" i="3"/>
  <c r="B64" i="3"/>
  <c r="N63" i="3"/>
  <c r="L63" i="3"/>
  <c r="J63" i="3"/>
  <c r="H63" i="3"/>
  <c r="F63" i="3"/>
  <c r="D63" i="3"/>
  <c r="B63" i="3"/>
  <c r="N62" i="3"/>
  <c r="L62" i="3"/>
  <c r="J62" i="3"/>
  <c r="H62" i="3"/>
  <c r="F62" i="3"/>
  <c r="D62" i="3"/>
  <c r="B62" i="3"/>
  <c r="N61" i="3"/>
  <c r="L61" i="3"/>
  <c r="J61" i="3"/>
  <c r="H61" i="3"/>
  <c r="F61" i="3"/>
  <c r="D61" i="3"/>
  <c r="B61" i="3"/>
  <c r="N60" i="3"/>
  <c r="L60" i="3"/>
  <c r="J60" i="3"/>
  <c r="H60" i="3"/>
  <c r="F60" i="3"/>
  <c r="D60" i="3"/>
  <c r="B60" i="3"/>
  <c r="N59" i="3"/>
  <c r="L59" i="3"/>
  <c r="J59" i="3"/>
  <c r="H59" i="3"/>
  <c r="F59" i="3"/>
  <c r="D59" i="3"/>
  <c r="B59" i="3"/>
  <c r="N58" i="3"/>
  <c r="L58" i="3"/>
  <c r="J58" i="3"/>
  <c r="H58" i="3"/>
  <c r="F58" i="3"/>
  <c r="D58" i="3"/>
  <c r="B58" i="3"/>
  <c r="N57" i="3"/>
  <c r="L57" i="3"/>
  <c r="J57" i="3"/>
  <c r="H57" i="3"/>
  <c r="F57" i="3"/>
  <c r="D57" i="3"/>
  <c r="B57" i="3"/>
  <c r="N56" i="3"/>
  <c r="L56" i="3"/>
  <c r="J56" i="3"/>
  <c r="H56" i="3"/>
  <c r="F56" i="3"/>
  <c r="D56" i="3"/>
  <c r="B56" i="3"/>
  <c r="N55" i="3"/>
  <c r="L55" i="3"/>
  <c r="J55" i="3"/>
  <c r="H55" i="3"/>
  <c r="F55" i="3"/>
  <c r="D55" i="3"/>
  <c r="B55" i="3"/>
  <c r="N54" i="3"/>
  <c r="L54" i="3"/>
  <c r="J54" i="3"/>
  <c r="H54" i="3"/>
  <c r="F54" i="3"/>
  <c r="D54" i="3"/>
  <c r="B54" i="3"/>
  <c r="N53" i="3"/>
  <c r="L53" i="3"/>
  <c r="J53" i="3"/>
  <c r="H53" i="3"/>
  <c r="F53" i="3"/>
  <c r="D53" i="3"/>
  <c r="B53" i="3"/>
  <c r="N52" i="3"/>
  <c r="L52" i="3"/>
  <c r="J52" i="3"/>
  <c r="H52" i="3"/>
  <c r="F52" i="3"/>
  <c r="D52" i="3"/>
  <c r="B52" i="3"/>
  <c r="N51" i="3"/>
  <c r="L51" i="3"/>
  <c r="J51" i="3"/>
  <c r="H51" i="3"/>
  <c r="F51" i="3"/>
  <c r="D51" i="3"/>
  <c r="B51" i="3"/>
  <c r="N50" i="3"/>
  <c r="L50" i="3"/>
  <c r="J50" i="3"/>
  <c r="H50" i="3"/>
  <c r="F50" i="3"/>
  <c r="D50" i="3"/>
  <c r="B50" i="3"/>
  <c r="N49" i="3"/>
  <c r="L49" i="3"/>
  <c r="J49" i="3"/>
  <c r="H49" i="3"/>
  <c r="F49" i="3"/>
  <c r="D49" i="3"/>
  <c r="B49" i="3"/>
  <c r="N48" i="3"/>
  <c r="L48" i="3"/>
  <c r="J48" i="3"/>
  <c r="H48" i="3"/>
  <c r="F48" i="3"/>
  <c r="D48" i="3"/>
  <c r="B48" i="3"/>
  <c r="N47" i="3"/>
  <c r="L47" i="3"/>
  <c r="J47" i="3"/>
  <c r="H47" i="3"/>
  <c r="F47" i="3"/>
  <c r="D47" i="3"/>
  <c r="B47" i="3"/>
  <c r="N46" i="3"/>
  <c r="L46" i="3"/>
  <c r="J46" i="3"/>
  <c r="H46" i="3"/>
  <c r="F46" i="3"/>
  <c r="D46" i="3"/>
  <c r="B46" i="3"/>
  <c r="N45" i="3"/>
  <c r="L45" i="3"/>
  <c r="J45" i="3"/>
  <c r="H45" i="3"/>
  <c r="F45" i="3"/>
  <c r="D45" i="3"/>
  <c r="B45" i="3"/>
  <c r="N44" i="3"/>
  <c r="L44" i="3"/>
  <c r="J44" i="3"/>
  <c r="H44" i="3"/>
  <c r="F44" i="3"/>
  <c r="D44" i="3"/>
  <c r="B44" i="3"/>
  <c r="N43" i="3"/>
  <c r="L43" i="3"/>
  <c r="J43" i="3"/>
  <c r="H43" i="3"/>
  <c r="F43" i="3"/>
  <c r="D43" i="3"/>
  <c r="B43" i="3"/>
  <c r="N42" i="3"/>
  <c r="L42" i="3"/>
  <c r="J42" i="3"/>
  <c r="H42" i="3"/>
  <c r="F42" i="3"/>
  <c r="D42" i="3"/>
  <c r="B42" i="3"/>
  <c r="N41" i="3"/>
  <c r="L41" i="3"/>
  <c r="J41" i="3"/>
  <c r="H41" i="3"/>
  <c r="F41" i="3"/>
  <c r="D41" i="3"/>
  <c r="B41" i="3"/>
  <c r="N40" i="3"/>
  <c r="L40" i="3"/>
  <c r="J40" i="3"/>
  <c r="H40" i="3"/>
  <c r="F40" i="3"/>
  <c r="D40" i="3"/>
  <c r="B40" i="3"/>
  <c r="N39" i="3"/>
  <c r="L39" i="3"/>
  <c r="J39" i="3"/>
  <c r="H39" i="3"/>
  <c r="F39" i="3"/>
  <c r="D39" i="3"/>
  <c r="B39" i="3"/>
  <c r="N38" i="3"/>
  <c r="L38" i="3"/>
  <c r="J38" i="3"/>
  <c r="H38" i="3"/>
  <c r="F38" i="3"/>
  <c r="D38" i="3"/>
  <c r="B38" i="3"/>
  <c r="N37" i="3"/>
  <c r="L37" i="3"/>
  <c r="J37" i="3"/>
  <c r="H37" i="3"/>
  <c r="F37" i="3"/>
  <c r="D37" i="3"/>
  <c r="B37" i="3"/>
  <c r="N36" i="3"/>
  <c r="L36" i="3"/>
  <c r="J36" i="3"/>
  <c r="H36" i="3"/>
  <c r="F36" i="3"/>
  <c r="D36" i="3"/>
  <c r="B36" i="3"/>
  <c r="N35" i="3"/>
  <c r="L35" i="3"/>
  <c r="J35" i="3"/>
  <c r="H35" i="3"/>
  <c r="F35" i="3"/>
  <c r="D35" i="3"/>
  <c r="B35" i="3"/>
  <c r="N34" i="3"/>
  <c r="L34" i="3"/>
  <c r="J34" i="3"/>
  <c r="H34" i="3"/>
  <c r="F34" i="3"/>
  <c r="D34" i="3"/>
  <c r="B34" i="3"/>
  <c r="N33" i="3"/>
  <c r="L33" i="3"/>
  <c r="J33" i="3"/>
  <c r="H33" i="3"/>
  <c r="F33" i="3"/>
  <c r="D33" i="3"/>
  <c r="B33" i="3"/>
  <c r="N32" i="3"/>
  <c r="L32" i="3"/>
  <c r="J32" i="3"/>
  <c r="H32" i="3"/>
  <c r="F32" i="3"/>
  <c r="D32" i="3"/>
  <c r="B32" i="3"/>
  <c r="N31" i="3"/>
  <c r="L31" i="3"/>
  <c r="J31" i="3"/>
  <c r="H31" i="3"/>
  <c r="F31" i="3"/>
  <c r="D31" i="3"/>
  <c r="B31" i="3"/>
  <c r="N30" i="3"/>
  <c r="L30" i="3"/>
  <c r="J30" i="3"/>
  <c r="H30" i="3"/>
  <c r="F30" i="3"/>
  <c r="D30" i="3"/>
  <c r="B30" i="3"/>
  <c r="N29" i="3"/>
  <c r="L29" i="3"/>
  <c r="J29" i="3"/>
  <c r="H29" i="3"/>
  <c r="F29" i="3"/>
  <c r="D29" i="3"/>
  <c r="B29" i="3"/>
  <c r="N28" i="3"/>
  <c r="L28" i="3"/>
  <c r="J28" i="3"/>
  <c r="H28" i="3"/>
  <c r="F28" i="3"/>
  <c r="D28" i="3"/>
  <c r="B28" i="3"/>
  <c r="N27" i="3"/>
  <c r="L27" i="3"/>
  <c r="J27" i="3"/>
  <c r="H27" i="3"/>
  <c r="F27" i="3"/>
  <c r="D27" i="3"/>
  <c r="B27" i="3"/>
  <c r="N26" i="3"/>
  <c r="L26" i="3"/>
  <c r="J26" i="3"/>
  <c r="H26" i="3"/>
  <c r="F26" i="3"/>
  <c r="D26" i="3"/>
  <c r="B26" i="3"/>
  <c r="N25" i="3"/>
  <c r="L25" i="3"/>
  <c r="J25" i="3"/>
  <c r="H25" i="3"/>
  <c r="F25" i="3"/>
  <c r="D25" i="3"/>
  <c r="B25" i="3"/>
  <c r="N24" i="3"/>
  <c r="L24" i="3"/>
  <c r="J24" i="3"/>
  <c r="H24" i="3"/>
  <c r="F24" i="3"/>
  <c r="D24" i="3"/>
  <c r="B24" i="3"/>
  <c r="N23" i="3"/>
  <c r="L23" i="3"/>
  <c r="J23" i="3"/>
  <c r="H23" i="3"/>
  <c r="F23" i="3"/>
  <c r="D23" i="3"/>
  <c r="B23" i="3"/>
  <c r="N22" i="3"/>
  <c r="L22" i="3"/>
  <c r="J22" i="3"/>
  <c r="H22" i="3"/>
  <c r="F22" i="3"/>
  <c r="D22" i="3"/>
  <c r="B22" i="3"/>
  <c r="N21" i="3"/>
  <c r="L21" i="3"/>
  <c r="J21" i="3"/>
  <c r="H21" i="3"/>
  <c r="F21" i="3"/>
  <c r="D21" i="3"/>
  <c r="B21" i="3"/>
  <c r="N20" i="3"/>
  <c r="L20" i="3"/>
  <c r="J20" i="3"/>
  <c r="H20" i="3"/>
  <c r="F20" i="3"/>
  <c r="D20" i="3"/>
  <c r="B20" i="3"/>
  <c r="N19" i="3"/>
  <c r="L19" i="3"/>
  <c r="J19" i="3"/>
  <c r="H19" i="3"/>
  <c r="F19" i="3"/>
  <c r="D19" i="3"/>
  <c r="B19" i="3"/>
  <c r="N18" i="3"/>
  <c r="L18" i="3"/>
  <c r="J18" i="3"/>
  <c r="H18" i="3"/>
  <c r="F18" i="3"/>
  <c r="D18" i="3"/>
  <c r="B18" i="3"/>
  <c r="N17" i="3"/>
  <c r="L17" i="3"/>
  <c r="J17" i="3"/>
  <c r="H17" i="3"/>
  <c r="F17" i="3"/>
  <c r="D17" i="3"/>
  <c r="B17" i="3"/>
  <c r="N16" i="3"/>
  <c r="L16" i="3"/>
  <c r="J16" i="3"/>
  <c r="H16" i="3"/>
  <c r="F16" i="3"/>
  <c r="D16" i="3"/>
  <c r="B16" i="3"/>
  <c r="N15" i="3"/>
  <c r="L15" i="3"/>
  <c r="J15" i="3"/>
  <c r="H15" i="3"/>
  <c r="F15" i="3"/>
  <c r="D15" i="3"/>
  <c r="B15" i="3"/>
  <c r="N14" i="3"/>
  <c r="L14" i="3"/>
  <c r="J14" i="3"/>
  <c r="H14" i="3"/>
  <c r="F14" i="3"/>
  <c r="D14" i="3"/>
  <c r="B14" i="3"/>
  <c r="N13" i="3"/>
  <c r="L13" i="3"/>
  <c r="L10" i="3" s="1"/>
  <c r="L240" i="3" s="1"/>
  <c r="J13" i="3"/>
  <c r="H13" i="3"/>
  <c r="F13" i="3"/>
  <c r="D13" i="3"/>
  <c r="D10" i="3" s="1"/>
  <c r="D240" i="3" s="1"/>
  <c r="B13" i="3"/>
  <c r="N12" i="3"/>
  <c r="L12" i="3"/>
  <c r="J12" i="3"/>
  <c r="H12" i="3"/>
  <c r="F12" i="3"/>
  <c r="D12" i="3"/>
  <c r="B12" i="3"/>
  <c r="N11" i="3"/>
  <c r="N10" i="3" s="1"/>
  <c r="N240" i="3" s="1"/>
  <c r="L11" i="3"/>
  <c r="J11" i="3"/>
  <c r="H11" i="3"/>
  <c r="H10" i="3" s="1"/>
  <c r="H240" i="3" s="1"/>
  <c r="F11" i="3"/>
  <c r="F10" i="3" s="1"/>
  <c r="F240" i="3" s="1"/>
  <c r="D11" i="3"/>
  <c r="B11" i="3"/>
  <c r="R10" i="3"/>
  <c r="R240" i="3" s="1"/>
  <c r="P10" i="3"/>
  <c r="P240" i="3" s="1"/>
  <c r="J10" i="3"/>
  <c r="J240" i="3" s="1"/>
  <c r="D4" i="3"/>
  <c r="B40" i="105"/>
  <c r="N35" i="105"/>
  <c r="F35" i="105"/>
  <c r="N34" i="105"/>
  <c r="F34" i="105"/>
  <c r="N29" i="105"/>
  <c r="F29" i="105"/>
  <c r="N24" i="105"/>
  <c r="F24" i="105"/>
  <c r="P23" i="105"/>
  <c r="H23" i="105"/>
  <c r="P21" i="105"/>
  <c r="H21" i="105"/>
  <c r="R20" i="105"/>
  <c r="J20" i="105"/>
  <c r="B20" i="105"/>
  <c r="L19" i="105"/>
  <c r="D19" i="105"/>
  <c r="L14" i="105"/>
  <c r="D14" i="105"/>
  <c r="N13" i="105"/>
  <c r="F13" i="105"/>
  <c r="N11" i="105"/>
  <c r="F11" i="105"/>
  <c r="P10" i="105"/>
  <c r="H10" i="105"/>
  <c r="B40" i="104"/>
  <c r="N35" i="104"/>
  <c r="F35" i="104"/>
  <c r="N34" i="104"/>
  <c r="F34" i="104"/>
  <c r="N29" i="104"/>
  <c r="F29" i="104"/>
  <c r="N24" i="104"/>
  <c r="F24" i="104"/>
  <c r="P23" i="104"/>
  <c r="H23" i="104"/>
  <c r="P21" i="104"/>
  <c r="H21" i="104"/>
  <c r="R20" i="104"/>
  <c r="J20" i="104"/>
  <c r="B20" i="104"/>
  <c r="L19" i="104"/>
  <c r="D19" i="104"/>
  <c r="L14" i="104"/>
  <c r="D14" i="104"/>
  <c r="N13" i="104"/>
  <c r="F13" i="104"/>
  <c r="N11" i="104"/>
  <c r="F11" i="104"/>
  <c r="P10" i="104"/>
  <c r="H10" i="104"/>
  <c r="B40" i="103"/>
  <c r="N35" i="103"/>
  <c r="F35" i="103"/>
  <c r="N34" i="103"/>
  <c r="F34" i="103"/>
  <c r="N29" i="103"/>
  <c r="F29" i="103"/>
  <c r="N24" i="103"/>
  <c r="F24" i="103"/>
  <c r="B39" i="105"/>
  <c r="L35" i="105"/>
  <c r="D35" i="105"/>
  <c r="L34" i="105"/>
  <c r="D34" i="105"/>
  <c r="L29" i="105"/>
  <c r="D29" i="105"/>
  <c r="L24" i="105"/>
  <c r="D24" i="105"/>
  <c r="N23" i="105"/>
  <c r="F23" i="105"/>
  <c r="N21" i="105"/>
  <c r="F21" i="105"/>
  <c r="P20" i="105"/>
  <c r="H20" i="105"/>
  <c r="R19" i="105"/>
  <c r="J19" i="105"/>
  <c r="R14" i="105"/>
  <c r="J14" i="105"/>
  <c r="B14" i="105"/>
  <c r="L13" i="105"/>
  <c r="D13" i="105"/>
  <c r="L11" i="105"/>
  <c r="D11" i="105"/>
  <c r="N10" i="105"/>
  <c r="F10" i="105"/>
  <c r="B39" i="104"/>
  <c r="L35" i="104"/>
  <c r="D35" i="104"/>
  <c r="L34" i="104"/>
  <c r="D34" i="104"/>
  <c r="L29" i="104"/>
  <c r="D29" i="104"/>
  <c r="L24" i="104"/>
  <c r="D24" i="104"/>
  <c r="N23" i="104"/>
  <c r="F23" i="104"/>
  <c r="N21" i="104"/>
  <c r="F21" i="104"/>
  <c r="P20" i="104"/>
  <c r="H20" i="104"/>
  <c r="R19" i="104"/>
  <c r="J19" i="104"/>
  <c r="R14" i="104"/>
  <c r="J14" i="104"/>
  <c r="B14" i="104"/>
  <c r="L13" i="104"/>
  <c r="D13" i="104"/>
  <c r="L11" i="104"/>
  <c r="D11" i="104"/>
  <c r="N10" i="104"/>
  <c r="F10" i="104"/>
  <c r="B39" i="103"/>
  <c r="L35" i="103"/>
  <c r="D35" i="103"/>
  <c r="L34" i="103"/>
  <c r="D34" i="103"/>
  <c r="L29" i="103"/>
  <c r="D29" i="103"/>
  <c r="L24" i="103"/>
  <c r="D24" i="103"/>
  <c r="R35" i="105"/>
  <c r="J35" i="105"/>
  <c r="R34" i="105"/>
  <c r="J34" i="105"/>
  <c r="R29" i="105"/>
  <c r="J29" i="105"/>
  <c r="R24" i="105"/>
  <c r="J24" i="105"/>
  <c r="B24" i="105"/>
  <c r="L23" i="105"/>
  <c r="D23" i="105"/>
  <c r="L21" i="105"/>
  <c r="D21" i="105"/>
  <c r="N20" i="105"/>
  <c r="F20" i="105"/>
  <c r="P19" i="105"/>
  <c r="H19" i="105"/>
  <c r="P14" i="105"/>
  <c r="H14" i="105"/>
  <c r="R13" i="105"/>
  <c r="J13" i="105"/>
  <c r="R11" i="105"/>
  <c r="J11" i="105"/>
  <c r="B11" i="105"/>
  <c r="L10" i="105"/>
  <c r="D10" i="105"/>
  <c r="R35" i="104"/>
  <c r="J35" i="104"/>
  <c r="R34" i="104"/>
  <c r="J34" i="104"/>
  <c r="R29" i="104"/>
  <c r="J29" i="104"/>
  <c r="R24" i="104"/>
  <c r="J24" i="104"/>
  <c r="B24" i="104"/>
  <c r="L23" i="104"/>
  <c r="D23" i="104"/>
  <c r="L21" i="104"/>
  <c r="D21" i="104"/>
  <c r="N20" i="104"/>
  <c r="F20" i="104"/>
  <c r="P19" i="104"/>
  <c r="H19" i="104"/>
  <c r="P14" i="104"/>
  <c r="H14" i="104"/>
  <c r="R13" i="104"/>
  <c r="J13" i="104"/>
  <c r="R11" i="104"/>
  <c r="J11" i="104"/>
  <c r="B11" i="104"/>
  <c r="L10" i="104"/>
  <c r="D10" i="104"/>
  <c r="R35" i="103"/>
  <c r="J35" i="103"/>
  <c r="R34" i="103"/>
  <c r="J34" i="103"/>
  <c r="R29" i="103"/>
  <c r="J29" i="103"/>
  <c r="R24" i="103"/>
  <c r="J24" i="103"/>
  <c r="B24" i="103"/>
  <c r="P35" i="105"/>
  <c r="P29" i="105"/>
  <c r="R23" i="105"/>
  <c r="B21" i="105"/>
  <c r="F19" i="105"/>
  <c r="H13" i="105"/>
  <c r="J10" i="105"/>
  <c r="P34" i="104"/>
  <c r="P24" i="104"/>
  <c r="R21" i="104"/>
  <c r="D20" i="104"/>
  <c r="F14" i="104"/>
  <c r="H11" i="104"/>
  <c r="P35" i="103"/>
  <c r="P29" i="103"/>
  <c r="R23" i="103"/>
  <c r="J23" i="103"/>
  <c r="R21" i="103"/>
  <c r="J21" i="103"/>
  <c r="B21" i="103"/>
  <c r="L20" i="103"/>
  <c r="D20" i="103"/>
  <c r="N19" i="103"/>
  <c r="F19" i="103"/>
  <c r="N14" i="103"/>
  <c r="F14" i="103"/>
  <c r="P13" i="103"/>
  <c r="H13" i="103"/>
  <c r="P11" i="103"/>
  <c r="H11" i="103"/>
  <c r="R10" i="103"/>
  <c r="J10" i="103"/>
  <c r="D4" i="103"/>
  <c r="H35" i="105"/>
  <c r="H29" i="105"/>
  <c r="J23" i="105"/>
  <c r="L20" i="105"/>
  <c r="N14" i="105"/>
  <c r="P11" i="105"/>
  <c r="D4" i="105"/>
  <c r="H34" i="104"/>
  <c r="H24" i="104"/>
  <c r="J21" i="104"/>
  <c r="N19" i="104"/>
  <c r="P13" i="104"/>
  <c r="R10" i="104"/>
  <c r="H35" i="103"/>
  <c r="H29" i="103"/>
  <c r="P23" i="103"/>
  <c r="H23" i="103"/>
  <c r="P21" i="103"/>
  <c r="H21" i="103"/>
  <c r="R20" i="103"/>
  <c r="J20" i="103"/>
  <c r="B20" i="103"/>
  <c r="L19" i="103"/>
  <c r="D19" i="103"/>
  <c r="L14" i="103"/>
  <c r="D14" i="103"/>
  <c r="N13" i="103"/>
  <c r="F13" i="103"/>
  <c r="N11" i="103"/>
  <c r="F11" i="103"/>
  <c r="P10" i="103"/>
  <c r="H10" i="103"/>
  <c r="P34" i="105"/>
  <c r="P24" i="105"/>
  <c r="R21" i="105"/>
  <c r="D20" i="105"/>
  <c r="F14" i="105"/>
  <c r="H11" i="105"/>
  <c r="P35" i="104"/>
  <c r="P29" i="104"/>
  <c r="R23" i="104"/>
  <c r="B21" i="104"/>
  <c r="F19" i="104"/>
  <c r="H13" i="104"/>
  <c r="J10" i="104"/>
  <c r="P34" i="103"/>
  <c r="P24" i="103"/>
  <c r="N23" i="103"/>
  <c r="F23" i="103"/>
  <c r="N21" i="103"/>
  <c r="F21" i="103"/>
  <c r="P20" i="103"/>
  <c r="H20" i="103"/>
  <c r="R19" i="103"/>
  <c r="J19" i="103"/>
  <c r="R14" i="103"/>
  <c r="J14" i="103"/>
  <c r="B14" i="103"/>
  <c r="L13" i="103"/>
  <c r="D13" i="103"/>
  <c r="L11" i="103"/>
  <c r="D11" i="103"/>
  <c r="N10" i="103"/>
  <c r="F10" i="103"/>
  <c r="H24" i="105"/>
  <c r="P13" i="105"/>
  <c r="L20" i="104"/>
  <c r="D4" i="104"/>
  <c r="L21" i="103"/>
  <c r="P19" i="103"/>
  <c r="R13" i="103"/>
  <c r="B11" i="103"/>
  <c r="H34" i="105"/>
  <c r="J21" i="105"/>
  <c r="R10" i="105"/>
  <c r="H29" i="104"/>
  <c r="H24" i="103"/>
  <c r="D21" i="103"/>
  <c r="H19" i="103"/>
  <c r="J13" i="103"/>
  <c r="L10" i="103"/>
  <c r="N14" i="104"/>
  <c r="L23" i="103"/>
  <c r="R11" i="103"/>
  <c r="H35" i="104"/>
  <c r="P11" i="104"/>
  <c r="D23" i="103"/>
  <c r="J11" i="103"/>
  <c r="N19" i="105"/>
  <c r="H34" i="103"/>
  <c r="P14" i="103"/>
  <c r="H14" i="103"/>
  <c r="N20" i="103"/>
  <c r="D10" i="103"/>
  <c r="J23" i="104"/>
  <c r="F20" i="103"/>
  <c r="R35" i="53"/>
  <c r="J35" i="53"/>
  <c r="R34" i="53"/>
  <c r="J34" i="53"/>
  <c r="R29" i="53"/>
  <c r="J29" i="53"/>
  <c r="R24" i="53"/>
  <c r="J24" i="53"/>
  <c r="B24" i="53"/>
  <c r="L23" i="53"/>
  <c r="D23" i="53"/>
  <c r="L21" i="53"/>
  <c r="D21" i="53"/>
  <c r="N20" i="53"/>
  <c r="F20" i="53"/>
  <c r="P19" i="53"/>
  <c r="H19" i="53"/>
  <c r="P14" i="53"/>
  <c r="H14" i="53"/>
  <c r="R13" i="53"/>
  <c r="J13" i="53"/>
  <c r="R11" i="53"/>
  <c r="J11" i="53"/>
  <c r="B11" i="53"/>
  <c r="L10" i="53"/>
  <c r="D10" i="53"/>
  <c r="P35" i="52"/>
  <c r="H35" i="52"/>
  <c r="P34" i="52"/>
  <c r="H34" i="52"/>
  <c r="P29" i="52"/>
  <c r="H29" i="52"/>
  <c r="P24" i="52"/>
  <c r="H24" i="52"/>
  <c r="R23" i="52"/>
  <c r="J23" i="52"/>
  <c r="R21" i="52"/>
  <c r="J21" i="52"/>
  <c r="B21" i="52"/>
  <c r="L20" i="52"/>
  <c r="D20" i="52"/>
  <c r="N19" i="52"/>
  <c r="F19" i="52"/>
  <c r="N14" i="52"/>
  <c r="F14" i="52"/>
  <c r="P13" i="52"/>
  <c r="H13" i="52"/>
  <c r="P11" i="52"/>
  <c r="H11" i="52"/>
  <c r="R10" i="52"/>
  <c r="J10" i="52"/>
  <c r="P35" i="53"/>
  <c r="H35" i="53"/>
  <c r="P34" i="53"/>
  <c r="H34" i="53"/>
  <c r="P29" i="53"/>
  <c r="H29" i="53"/>
  <c r="P24" i="53"/>
  <c r="H24" i="53"/>
  <c r="R23" i="53"/>
  <c r="J23" i="53"/>
  <c r="R21" i="53"/>
  <c r="J21" i="53"/>
  <c r="B21" i="53"/>
  <c r="L20" i="53"/>
  <c r="D20" i="53"/>
  <c r="N19" i="53"/>
  <c r="F19" i="53"/>
  <c r="N14" i="53"/>
  <c r="F14" i="53"/>
  <c r="P13" i="53"/>
  <c r="H13" i="53"/>
  <c r="P11" i="53"/>
  <c r="H11" i="53"/>
  <c r="R10" i="53"/>
  <c r="J10" i="53"/>
  <c r="B40" i="52"/>
  <c r="N35" i="52"/>
  <c r="F35" i="52"/>
  <c r="N34" i="52"/>
  <c r="F34" i="52"/>
  <c r="N29" i="52"/>
  <c r="F29" i="52"/>
  <c r="N24" i="52"/>
  <c r="F24" i="52"/>
  <c r="P23" i="52"/>
  <c r="H23" i="52"/>
  <c r="P21" i="52"/>
  <c r="H21" i="52"/>
  <c r="R20" i="52"/>
  <c r="J20" i="52"/>
  <c r="B20" i="52"/>
  <c r="L19" i="52"/>
  <c r="D19" i="52"/>
  <c r="L14" i="52"/>
  <c r="D14" i="52"/>
  <c r="N13" i="52"/>
  <c r="F13" i="52"/>
  <c r="N11" i="52"/>
  <c r="F11" i="52"/>
  <c r="P10" i="52"/>
  <c r="H10" i="52"/>
  <c r="B40" i="53"/>
  <c r="N35" i="53"/>
  <c r="F35" i="53"/>
  <c r="N34" i="53"/>
  <c r="F34" i="53"/>
  <c r="N29" i="53"/>
  <c r="F29" i="53"/>
  <c r="N24" i="53"/>
  <c r="F24" i="53"/>
  <c r="P23" i="53"/>
  <c r="H23" i="53"/>
  <c r="P21" i="53"/>
  <c r="H21" i="53"/>
  <c r="R20" i="53"/>
  <c r="J20" i="53"/>
  <c r="B20" i="53"/>
  <c r="L19" i="53"/>
  <c r="D19" i="53"/>
  <c r="L14" i="53"/>
  <c r="D14" i="53"/>
  <c r="N13" i="53"/>
  <c r="F13" i="53"/>
  <c r="N11" i="53"/>
  <c r="F11" i="53"/>
  <c r="P10" i="53"/>
  <c r="H10" i="53"/>
  <c r="B39" i="52"/>
  <c r="L35" i="52"/>
  <c r="D35" i="52"/>
  <c r="L34" i="52"/>
  <c r="D34" i="52"/>
  <c r="L29" i="52"/>
  <c r="D29" i="52"/>
  <c r="L24" i="52"/>
  <c r="D24" i="52"/>
  <c r="N23" i="52"/>
  <c r="F23" i="52"/>
  <c r="N21" i="52"/>
  <c r="F21" i="52"/>
  <c r="P20" i="52"/>
  <c r="H20" i="52"/>
  <c r="R19" i="52"/>
  <c r="J19" i="52"/>
  <c r="R14" i="52"/>
  <c r="J14" i="52"/>
  <c r="B14" i="52"/>
  <c r="L13" i="52"/>
  <c r="D13" i="52"/>
  <c r="L11" i="52"/>
  <c r="D11" i="52"/>
  <c r="N10" i="52"/>
  <c r="F10" i="52"/>
  <c r="B40" i="50"/>
  <c r="B39" i="53"/>
  <c r="D34" i="53"/>
  <c r="D24" i="53"/>
  <c r="F21" i="53"/>
  <c r="J19" i="53"/>
  <c r="L13" i="53"/>
  <c r="N10" i="53"/>
  <c r="R34" i="52"/>
  <c r="R24" i="52"/>
  <c r="D23" i="52"/>
  <c r="F20" i="52"/>
  <c r="H14" i="52"/>
  <c r="J11" i="52"/>
  <c r="P35" i="50"/>
  <c r="H35" i="50"/>
  <c r="P34" i="50"/>
  <c r="H34" i="50"/>
  <c r="P29" i="50"/>
  <c r="H29" i="50"/>
  <c r="P24" i="50"/>
  <c r="H24" i="50"/>
  <c r="R23" i="50"/>
  <c r="J23" i="50"/>
  <c r="R21" i="50"/>
  <c r="J21" i="50"/>
  <c r="B21" i="50"/>
  <c r="L20" i="50"/>
  <c r="D20" i="50"/>
  <c r="N19" i="50"/>
  <c r="F19" i="50"/>
  <c r="N14" i="50"/>
  <c r="F14" i="50"/>
  <c r="P13" i="50"/>
  <c r="H13" i="50"/>
  <c r="P11" i="50"/>
  <c r="H11" i="50"/>
  <c r="R10" i="50"/>
  <c r="J10" i="50"/>
  <c r="B40" i="49"/>
  <c r="N35" i="49"/>
  <c r="F35" i="49"/>
  <c r="N34" i="49"/>
  <c r="F34" i="49"/>
  <c r="N29" i="49"/>
  <c r="F29" i="49"/>
  <c r="N24" i="49"/>
  <c r="F24" i="49"/>
  <c r="P23" i="49"/>
  <c r="H23" i="49"/>
  <c r="P21" i="49"/>
  <c r="H21" i="49"/>
  <c r="R20" i="49"/>
  <c r="J20" i="49"/>
  <c r="B20" i="49"/>
  <c r="L19" i="49"/>
  <c r="D19" i="49"/>
  <c r="L14" i="49"/>
  <c r="D14" i="49"/>
  <c r="N13" i="49"/>
  <c r="F13" i="49"/>
  <c r="N11" i="49"/>
  <c r="F11" i="49"/>
  <c r="P10" i="49"/>
  <c r="H10" i="49"/>
  <c r="B40" i="47"/>
  <c r="N35" i="47"/>
  <c r="F35" i="47"/>
  <c r="N34" i="47"/>
  <c r="F34" i="47"/>
  <c r="N29" i="47"/>
  <c r="F29" i="47"/>
  <c r="N24" i="47"/>
  <c r="F24" i="47"/>
  <c r="P23" i="47"/>
  <c r="H23" i="47"/>
  <c r="P21" i="47"/>
  <c r="H21" i="47"/>
  <c r="R20" i="47"/>
  <c r="J20" i="47"/>
  <c r="B20" i="47"/>
  <c r="L19" i="47"/>
  <c r="D19" i="47"/>
  <c r="L14" i="47"/>
  <c r="D14" i="47"/>
  <c r="N13" i="47"/>
  <c r="F13" i="47"/>
  <c r="N11" i="47"/>
  <c r="F11" i="47"/>
  <c r="P10" i="47"/>
  <c r="H10" i="47"/>
  <c r="B39" i="46"/>
  <c r="L35" i="46"/>
  <c r="D35" i="46"/>
  <c r="L34" i="46"/>
  <c r="D34" i="46"/>
  <c r="L29" i="46"/>
  <c r="D29" i="46"/>
  <c r="L24" i="46"/>
  <c r="D24" i="46"/>
  <c r="N23" i="46"/>
  <c r="F23" i="46"/>
  <c r="N21" i="46"/>
  <c r="F21" i="46"/>
  <c r="P20" i="46"/>
  <c r="H20" i="46"/>
  <c r="R19" i="46"/>
  <c r="J19" i="46"/>
  <c r="R14" i="46"/>
  <c r="J14" i="46"/>
  <c r="B14" i="46"/>
  <c r="L13" i="46"/>
  <c r="D13" i="46"/>
  <c r="L11" i="46"/>
  <c r="D11" i="46"/>
  <c r="N10" i="46"/>
  <c r="F10" i="46"/>
  <c r="R35" i="44"/>
  <c r="J35" i="44"/>
  <c r="R34" i="44"/>
  <c r="J34" i="44"/>
  <c r="R29" i="44"/>
  <c r="J29" i="44"/>
  <c r="R24" i="44"/>
  <c r="J24" i="44"/>
  <c r="B24" i="44"/>
  <c r="L23" i="44"/>
  <c r="D23" i="44"/>
  <c r="L21" i="44"/>
  <c r="D21" i="44"/>
  <c r="N20" i="44"/>
  <c r="F20" i="44"/>
  <c r="P19" i="44"/>
  <c r="H19" i="44"/>
  <c r="P14" i="44"/>
  <c r="H14" i="44"/>
  <c r="R13" i="44"/>
  <c r="J13" i="44"/>
  <c r="R11" i="44"/>
  <c r="J11" i="44"/>
  <c r="B11" i="44"/>
  <c r="L10" i="44"/>
  <c r="D10" i="44"/>
  <c r="P35" i="43"/>
  <c r="H35" i="43"/>
  <c r="P34" i="43"/>
  <c r="H34" i="43"/>
  <c r="P29" i="43"/>
  <c r="H29" i="43"/>
  <c r="P24" i="43"/>
  <c r="H24" i="43"/>
  <c r="R23" i="43"/>
  <c r="J23" i="43"/>
  <c r="R21" i="43"/>
  <c r="J21" i="43"/>
  <c r="B21" i="43"/>
  <c r="L20" i="43"/>
  <c r="D20" i="43"/>
  <c r="N19" i="43"/>
  <c r="F19" i="43"/>
  <c r="N14" i="43"/>
  <c r="F14" i="43"/>
  <c r="P13" i="43"/>
  <c r="H13" i="43"/>
  <c r="P11" i="43"/>
  <c r="H11" i="43"/>
  <c r="R10" i="43"/>
  <c r="J10" i="43"/>
  <c r="B40" i="41"/>
  <c r="N35" i="41"/>
  <c r="F35" i="41"/>
  <c r="N34" i="41"/>
  <c r="F34" i="41"/>
  <c r="N29" i="41"/>
  <c r="F29" i="41"/>
  <c r="N24" i="41"/>
  <c r="F24" i="41"/>
  <c r="P23" i="41"/>
  <c r="H23" i="41"/>
  <c r="P21" i="41"/>
  <c r="H21" i="41"/>
  <c r="R20" i="41"/>
  <c r="J20" i="41"/>
  <c r="B20" i="41"/>
  <c r="L19" i="41"/>
  <c r="D19" i="41"/>
  <c r="L14" i="41"/>
  <c r="D14" i="41"/>
  <c r="N13" i="41"/>
  <c r="F13" i="41"/>
  <c r="N11" i="41"/>
  <c r="F11" i="41"/>
  <c r="P10" i="41"/>
  <c r="H10" i="41"/>
  <c r="B39" i="40"/>
  <c r="L35" i="40"/>
  <c r="D35" i="40"/>
  <c r="L34" i="40"/>
  <c r="D34" i="40"/>
  <c r="L29" i="40"/>
  <c r="D29" i="40"/>
  <c r="L24" i="40"/>
  <c r="D24" i="40"/>
  <c r="N23" i="40"/>
  <c r="F23" i="40"/>
  <c r="N21" i="40"/>
  <c r="F21" i="40"/>
  <c r="P20" i="40"/>
  <c r="H20" i="40"/>
  <c r="R19" i="40"/>
  <c r="J19" i="40"/>
  <c r="R14" i="40"/>
  <c r="J14" i="40"/>
  <c r="B14" i="40"/>
  <c r="L13" i="40"/>
  <c r="D13" i="40"/>
  <c r="L11" i="40"/>
  <c r="D11" i="40"/>
  <c r="N10" i="40"/>
  <c r="F10" i="40"/>
  <c r="L35" i="53"/>
  <c r="L29" i="53"/>
  <c r="N23" i="53"/>
  <c r="P20" i="53"/>
  <c r="R14" i="53"/>
  <c r="D13" i="53"/>
  <c r="F10" i="53"/>
  <c r="J34" i="52"/>
  <c r="J24" i="52"/>
  <c r="L21" i="52"/>
  <c r="P19" i="52"/>
  <c r="R13" i="52"/>
  <c r="B11" i="52"/>
  <c r="N35" i="50"/>
  <c r="F35" i="50"/>
  <c r="N34" i="50"/>
  <c r="F34" i="50"/>
  <c r="N29" i="50"/>
  <c r="F29" i="50"/>
  <c r="N24" i="50"/>
  <c r="F24" i="50"/>
  <c r="P23" i="50"/>
  <c r="H23" i="50"/>
  <c r="P21" i="50"/>
  <c r="H21" i="50"/>
  <c r="R20" i="50"/>
  <c r="J20" i="50"/>
  <c r="B20" i="50"/>
  <c r="L19" i="50"/>
  <c r="D19" i="50"/>
  <c r="L14" i="50"/>
  <c r="D14" i="50"/>
  <c r="N13" i="50"/>
  <c r="F13" i="50"/>
  <c r="N11" i="50"/>
  <c r="F11" i="50"/>
  <c r="P10" i="50"/>
  <c r="H10" i="50"/>
  <c r="B39" i="49"/>
  <c r="L35" i="49"/>
  <c r="D35" i="49"/>
  <c r="L34" i="49"/>
  <c r="D34" i="49"/>
  <c r="L29" i="49"/>
  <c r="D29" i="49"/>
  <c r="L24" i="49"/>
  <c r="D24" i="49"/>
  <c r="N23" i="49"/>
  <c r="F23" i="49"/>
  <c r="N21" i="49"/>
  <c r="F21" i="49"/>
  <c r="P20" i="49"/>
  <c r="H20" i="49"/>
  <c r="R19" i="49"/>
  <c r="J19" i="49"/>
  <c r="R14" i="49"/>
  <c r="J14" i="49"/>
  <c r="B14" i="49"/>
  <c r="L13" i="49"/>
  <c r="D13" i="49"/>
  <c r="L11" i="49"/>
  <c r="D11" i="49"/>
  <c r="N10" i="49"/>
  <c r="F10" i="49"/>
  <c r="B39" i="47"/>
  <c r="L35" i="47"/>
  <c r="D35" i="47"/>
  <c r="L34" i="47"/>
  <c r="D34" i="47"/>
  <c r="L29" i="47"/>
  <c r="D29" i="47"/>
  <c r="L24" i="47"/>
  <c r="D24" i="47"/>
  <c r="N23" i="47"/>
  <c r="F23" i="47"/>
  <c r="N21" i="47"/>
  <c r="F21" i="47"/>
  <c r="P20" i="47"/>
  <c r="H20" i="47"/>
  <c r="R19" i="47"/>
  <c r="J19" i="47"/>
  <c r="R14" i="47"/>
  <c r="J14" i="47"/>
  <c r="B14" i="47"/>
  <c r="L13" i="47"/>
  <c r="D13" i="47"/>
  <c r="L11" i="47"/>
  <c r="D11" i="47"/>
  <c r="N10" i="47"/>
  <c r="F10" i="47"/>
  <c r="R35" i="46"/>
  <c r="J35" i="46"/>
  <c r="R34" i="46"/>
  <c r="J34" i="46"/>
  <c r="R29" i="46"/>
  <c r="J29" i="46"/>
  <c r="R24" i="46"/>
  <c r="J24" i="46"/>
  <c r="B24" i="46"/>
  <c r="L23" i="46"/>
  <c r="D23" i="46"/>
  <c r="L21" i="46"/>
  <c r="D21" i="46"/>
  <c r="N20" i="46"/>
  <c r="F20" i="46"/>
  <c r="P19" i="46"/>
  <c r="H19" i="46"/>
  <c r="P14" i="46"/>
  <c r="H14" i="46"/>
  <c r="R13" i="46"/>
  <c r="J13" i="46"/>
  <c r="R11" i="46"/>
  <c r="J11" i="46"/>
  <c r="B11" i="46"/>
  <c r="L10" i="46"/>
  <c r="D10" i="46"/>
  <c r="P35" i="44"/>
  <c r="H35" i="44"/>
  <c r="P34" i="44"/>
  <c r="H34" i="44"/>
  <c r="P29" i="44"/>
  <c r="H29" i="44"/>
  <c r="P24" i="44"/>
  <c r="H24" i="44"/>
  <c r="R23" i="44"/>
  <c r="J23" i="44"/>
  <c r="R21" i="44"/>
  <c r="J21" i="44"/>
  <c r="B21" i="44"/>
  <c r="L20" i="44"/>
  <c r="D20" i="44"/>
  <c r="N19" i="44"/>
  <c r="F19" i="44"/>
  <c r="N14" i="44"/>
  <c r="F14" i="44"/>
  <c r="P13" i="44"/>
  <c r="H13" i="44"/>
  <c r="P11" i="44"/>
  <c r="H11" i="44"/>
  <c r="R10" i="44"/>
  <c r="J10" i="44"/>
  <c r="B40" i="43"/>
  <c r="N35" i="43"/>
  <c r="F35" i="43"/>
  <c r="N34" i="43"/>
  <c r="F34" i="43"/>
  <c r="N29" i="43"/>
  <c r="F29" i="43"/>
  <c r="N24" i="43"/>
  <c r="F24" i="43"/>
  <c r="P23" i="43"/>
  <c r="H23" i="43"/>
  <c r="P21" i="43"/>
  <c r="H21" i="43"/>
  <c r="R20" i="43"/>
  <c r="J20" i="43"/>
  <c r="B20" i="43"/>
  <c r="L19" i="43"/>
  <c r="D19" i="43"/>
  <c r="L14" i="43"/>
  <c r="D14" i="43"/>
  <c r="N13" i="43"/>
  <c r="F13" i="43"/>
  <c r="N11" i="43"/>
  <c r="F11" i="43"/>
  <c r="P10" i="43"/>
  <c r="H10" i="43"/>
  <c r="D35" i="53"/>
  <c r="D29" i="53"/>
  <c r="F23" i="53"/>
  <c r="H20" i="53"/>
  <c r="J14" i="53"/>
  <c r="L11" i="53"/>
  <c r="R35" i="52"/>
  <c r="R29" i="52"/>
  <c r="B24" i="52"/>
  <c r="D21" i="52"/>
  <c r="H19" i="52"/>
  <c r="J13" i="52"/>
  <c r="L10" i="52"/>
  <c r="B39" i="50"/>
  <c r="L35" i="50"/>
  <c r="D35" i="50"/>
  <c r="L34" i="50"/>
  <c r="D34" i="50"/>
  <c r="L29" i="50"/>
  <c r="D29" i="50"/>
  <c r="L24" i="50"/>
  <c r="D24" i="50"/>
  <c r="N23" i="50"/>
  <c r="F23" i="50"/>
  <c r="N21" i="50"/>
  <c r="F21" i="50"/>
  <c r="P20" i="50"/>
  <c r="H20" i="50"/>
  <c r="R19" i="50"/>
  <c r="J19" i="50"/>
  <c r="R14" i="50"/>
  <c r="J14" i="50"/>
  <c r="B14" i="50"/>
  <c r="L13" i="50"/>
  <c r="D13" i="50"/>
  <c r="L11" i="50"/>
  <c r="D11" i="50"/>
  <c r="N10" i="50"/>
  <c r="F10" i="50"/>
  <c r="R35" i="49"/>
  <c r="J35" i="49"/>
  <c r="R34" i="49"/>
  <c r="J34" i="49"/>
  <c r="R29" i="49"/>
  <c r="J29" i="49"/>
  <c r="R24" i="49"/>
  <c r="J24" i="49"/>
  <c r="B24" i="49"/>
  <c r="L23" i="49"/>
  <c r="D23" i="49"/>
  <c r="L21" i="49"/>
  <c r="D21" i="49"/>
  <c r="N20" i="49"/>
  <c r="F20" i="49"/>
  <c r="P19" i="49"/>
  <c r="H19" i="49"/>
  <c r="P14" i="49"/>
  <c r="H14" i="49"/>
  <c r="R13" i="49"/>
  <c r="J13" i="49"/>
  <c r="R11" i="49"/>
  <c r="J11" i="49"/>
  <c r="B11" i="49"/>
  <c r="L10" i="49"/>
  <c r="D10" i="49"/>
  <c r="R35" i="47"/>
  <c r="J35" i="47"/>
  <c r="R34" i="47"/>
  <c r="J34" i="47"/>
  <c r="R29" i="47"/>
  <c r="J29" i="47"/>
  <c r="R24" i="47"/>
  <c r="J24" i="47"/>
  <c r="B24" i="47"/>
  <c r="L23" i="47"/>
  <c r="D23" i="47"/>
  <c r="L21" i="47"/>
  <c r="D21" i="47"/>
  <c r="N20" i="47"/>
  <c r="F20" i="47"/>
  <c r="P19" i="47"/>
  <c r="H19" i="47"/>
  <c r="P14" i="47"/>
  <c r="H14" i="47"/>
  <c r="R13" i="47"/>
  <c r="J13" i="47"/>
  <c r="R11" i="47"/>
  <c r="J11" i="47"/>
  <c r="B11" i="47"/>
  <c r="L10" i="47"/>
  <c r="D10" i="47"/>
  <c r="P35" i="46"/>
  <c r="H35" i="46"/>
  <c r="P34" i="46"/>
  <c r="H34" i="46"/>
  <c r="P29" i="46"/>
  <c r="H29" i="46"/>
  <c r="P24" i="46"/>
  <c r="H24" i="46"/>
  <c r="R23" i="46"/>
  <c r="J23" i="46"/>
  <c r="R21" i="46"/>
  <c r="J21" i="46"/>
  <c r="B21" i="46"/>
  <c r="L20" i="46"/>
  <c r="D20" i="46"/>
  <c r="N19" i="46"/>
  <c r="F19" i="46"/>
  <c r="N14" i="46"/>
  <c r="F14" i="46"/>
  <c r="P13" i="46"/>
  <c r="H13" i="46"/>
  <c r="P11" i="46"/>
  <c r="H11" i="46"/>
  <c r="R10" i="46"/>
  <c r="J10" i="46"/>
  <c r="B40" i="44"/>
  <c r="N35" i="44"/>
  <c r="F35" i="44"/>
  <c r="N34" i="44"/>
  <c r="F34" i="44"/>
  <c r="N29" i="44"/>
  <c r="F29" i="44"/>
  <c r="N24" i="44"/>
  <c r="F24" i="44"/>
  <c r="P23" i="44"/>
  <c r="H23" i="44"/>
  <c r="P21" i="44"/>
  <c r="H21" i="44"/>
  <c r="R20" i="44"/>
  <c r="J20" i="44"/>
  <c r="B20" i="44"/>
  <c r="L19" i="44"/>
  <c r="D19" i="44"/>
  <c r="L14" i="44"/>
  <c r="D14" i="44"/>
  <c r="N13" i="44"/>
  <c r="F13" i="44"/>
  <c r="N11" i="44"/>
  <c r="F11" i="44"/>
  <c r="P10" i="44"/>
  <c r="H10" i="44"/>
  <c r="B39" i="43"/>
  <c r="L35" i="43"/>
  <c r="D35" i="43"/>
  <c r="L34" i="43"/>
  <c r="D34" i="43"/>
  <c r="L29" i="43"/>
  <c r="D29" i="43"/>
  <c r="L24" i="43"/>
  <c r="D24" i="43"/>
  <c r="N23" i="43"/>
  <c r="F23" i="43"/>
  <c r="N21" i="43"/>
  <c r="F21" i="43"/>
  <c r="P20" i="43"/>
  <c r="H20" i="43"/>
  <c r="R19" i="43"/>
  <c r="J19" i="43"/>
  <c r="R14" i="43"/>
  <c r="J14" i="43"/>
  <c r="B14" i="43"/>
  <c r="L13" i="43"/>
  <c r="D13" i="43"/>
  <c r="L11" i="43"/>
  <c r="D11" i="43"/>
  <c r="N10" i="43"/>
  <c r="F10" i="43"/>
  <c r="R35" i="41"/>
  <c r="J35" i="41"/>
  <c r="R34" i="41"/>
  <c r="J35" i="52"/>
  <c r="L23" i="52"/>
  <c r="R11" i="52"/>
  <c r="J34" i="50"/>
  <c r="J24" i="50"/>
  <c r="L21" i="50"/>
  <c r="P19" i="50"/>
  <c r="R13" i="50"/>
  <c r="B11" i="50"/>
  <c r="H35" i="49"/>
  <c r="H29" i="49"/>
  <c r="J23" i="49"/>
  <c r="L20" i="49"/>
  <c r="N14" i="49"/>
  <c r="P11" i="49"/>
  <c r="H35" i="47"/>
  <c r="H29" i="47"/>
  <c r="J23" i="47"/>
  <c r="L20" i="47"/>
  <c r="N14" i="47"/>
  <c r="P11" i="47"/>
  <c r="B40" i="46"/>
  <c r="F34" i="46"/>
  <c r="F24" i="46"/>
  <c r="H21" i="46"/>
  <c r="L19" i="46"/>
  <c r="N13" i="46"/>
  <c r="P10" i="46"/>
  <c r="L34" i="44"/>
  <c r="L24" i="44"/>
  <c r="N21" i="44"/>
  <c r="R19" i="44"/>
  <c r="B14" i="44"/>
  <c r="D11" i="44"/>
  <c r="J35" i="43"/>
  <c r="J29" i="43"/>
  <c r="L23" i="43"/>
  <c r="N20" i="43"/>
  <c r="P14" i="43"/>
  <c r="R11" i="43"/>
  <c r="D10" i="43"/>
  <c r="L35" i="41"/>
  <c r="L34" i="41"/>
  <c r="R29" i="41"/>
  <c r="H29" i="41"/>
  <c r="L24" i="41"/>
  <c r="B24" i="41"/>
  <c r="J23" i="41"/>
  <c r="N21" i="41"/>
  <c r="D21" i="41"/>
  <c r="L20" i="41"/>
  <c r="R19" i="41"/>
  <c r="H19" i="41"/>
  <c r="N14" i="41"/>
  <c r="B14" i="41"/>
  <c r="J13" i="41"/>
  <c r="P11" i="41"/>
  <c r="D11" i="41"/>
  <c r="L10" i="41"/>
  <c r="B40" i="40"/>
  <c r="J35" i="40"/>
  <c r="P34" i="40"/>
  <c r="F34" i="40"/>
  <c r="J29" i="40"/>
  <c r="P24" i="40"/>
  <c r="F24" i="40"/>
  <c r="L23" i="40"/>
  <c r="R21" i="40"/>
  <c r="H21" i="40"/>
  <c r="N20" i="40"/>
  <c r="D20" i="40"/>
  <c r="L19" i="40"/>
  <c r="P14" i="40"/>
  <c r="F14" i="40"/>
  <c r="N13" i="40"/>
  <c r="R11" i="40"/>
  <c r="H11" i="40"/>
  <c r="P10" i="40"/>
  <c r="D10" i="40"/>
  <c r="P35" i="38"/>
  <c r="H35" i="38"/>
  <c r="P34" i="38"/>
  <c r="H34" i="38"/>
  <c r="P29" i="38"/>
  <c r="H29" i="38"/>
  <c r="P24" i="38"/>
  <c r="H24" i="38"/>
  <c r="R23" i="38"/>
  <c r="J23" i="38"/>
  <c r="R21" i="38"/>
  <c r="J21" i="38"/>
  <c r="B21" i="38"/>
  <c r="L20" i="38"/>
  <c r="D20" i="38"/>
  <c r="N19" i="38"/>
  <c r="F19" i="38"/>
  <c r="N14" i="38"/>
  <c r="F14" i="38"/>
  <c r="P13" i="38"/>
  <c r="H13" i="38"/>
  <c r="P11" i="38"/>
  <c r="H11" i="38"/>
  <c r="R10" i="38"/>
  <c r="J10" i="38"/>
  <c r="B40" i="37"/>
  <c r="N35" i="37"/>
  <c r="F35" i="37"/>
  <c r="N34" i="37"/>
  <c r="F34" i="37"/>
  <c r="N29" i="37"/>
  <c r="F29" i="37"/>
  <c r="N24" i="37"/>
  <c r="F24" i="37"/>
  <c r="P23" i="37"/>
  <c r="H23" i="37"/>
  <c r="P21" i="37"/>
  <c r="H21" i="37"/>
  <c r="R20" i="37"/>
  <c r="J20" i="37"/>
  <c r="B20" i="37"/>
  <c r="L19" i="37"/>
  <c r="D19" i="37"/>
  <c r="L14" i="37"/>
  <c r="D14" i="37"/>
  <c r="N13" i="37"/>
  <c r="F13" i="37"/>
  <c r="N11" i="37"/>
  <c r="F11" i="37"/>
  <c r="P10" i="37"/>
  <c r="H10" i="37"/>
  <c r="P35" i="35"/>
  <c r="H35" i="35"/>
  <c r="P34" i="35"/>
  <c r="H34" i="35"/>
  <c r="P29" i="35"/>
  <c r="H29" i="35"/>
  <c r="P24" i="35"/>
  <c r="H24" i="35"/>
  <c r="R23" i="35"/>
  <c r="J23" i="35"/>
  <c r="R21" i="35"/>
  <c r="J21" i="35"/>
  <c r="B21" i="35"/>
  <c r="L20" i="35"/>
  <c r="D20" i="35"/>
  <c r="N19" i="35"/>
  <c r="F19" i="35"/>
  <c r="N14" i="35"/>
  <c r="F14" i="35"/>
  <c r="P13" i="35"/>
  <c r="H13" i="35"/>
  <c r="P11" i="35"/>
  <c r="H11" i="35"/>
  <c r="R10" i="35"/>
  <c r="J10" i="35"/>
  <c r="B40" i="34"/>
  <c r="N35" i="34"/>
  <c r="F35" i="34"/>
  <c r="N34" i="34"/>
  <c r="F34" i="34"/>
  <c r="N29" i="34"/>
  <c r="F29" i="34"/>
  <c r="N24" i="34"/>
  <c r="F24" i="34"/>
  <c r="P23" i="34"/>
  <c r="H23" i="34"/>
  <c r="P21" i="34"/>
  <c r="H21" i="34"/>
  <c r="R20" i="34"/>
  <c r="J20" i="34"/>
  <c r="B20" i="34"/>
  <c r="L19" i="34"/>
  <c r="D19" i="34"/>
  <c r="L14" i="34"/>
  <c r="D14" i="34"/>
  <c r="N13" i="34"/>
  <c r="F13" i="34"/>
  <c r="N11" i="34"/>
  <c r="F11" i="34"/>
  <c r="P10" i="34"/>
  <c r="H10" i="34"/>
  <c r="R35" i="32"/>
  <c r="J35" i="32"/>
  <c r="R34" i="32"/>
  <c r="J34" i="32"/>
  <c r="R29" i="32"/>
  <c r="J29" i="32"/>
  <c r="R24" i="32"/>
  <c r="J24" i="32"/>
  <c r="B24" i="32"/>
  <c r="L23" i="32"/>
  <c r="D23" i="32"/>
  <c r="L21" i="32"/>
  <c r="D21" i="32"/>
  <c r="N20" i="32"/>
  <c r="F20" i="32"/>
  <c r="P19" i="32"/>
  <c r="H19" i="32"/>
  <c r="P14" i="32"/>
  <c r="H14" i="32"/>
  <c r="R13" i="32"/>
  <c r="J13" i="32"/>
  <c r="R11" i="32"/>
  <c r="J11" i="32"/>
  <c r="B11" i="32"/>
  <c r="L10" i="32"/>
  <c r="D10" i="32"/>
  <c r="P35" i="31"/>
  <c r="H35" i="31"/>
  <c r="P34" i="31"/>
  <c r="H34" i="31"/>
  <c r="P29" i="31"/>
  <c r="H29" i="31"/>
  <c r="P24" i="31"/>
  <c r="H24" i="31"/>
  <c r="R23" i="31"/>
  <c r="J23" i="31"/>
  <c r="R21" i="31"/>
  <c r="J21" i="31"/>
  <c r="B21" i="31"/>
  <c r="L20" i="31"/>
  <c r="D20" i="31"/>
  <c r="N19" i="31"/>
  <c r="F19" i="31"/>
  <c r="N14" i="31"/>
  <c r="F14" i="31"/>
  <c r="P13" i="31"/>
  <c r="H13" i="31"/>
  <c r="P11" i="31"/>
  <c r="H11" i="31"/>
  <c r="R10" i="31"/>
  <c r="J10" i="31"/>
  <c r="B39" i="29"/>
  <c r="L35" i="29"/>
  <c r="D35" i="29"/>
  <c r="L34" i="29"/>
  <c r="D34" i="29"/>
  <c r="L29" i="29"/>
  <c r="D29" i="29"/>
  <c r="L24" i="29"/>
  <c r="D24" i="29"/>
  <c r="N23" i="29"/>
  <c r="F23" i="29"/>
  <c r="N21" i="29"/>
  <c r="F21" i="29"/>
  <c r="P20" i="29"/>
  <c r="H20" i="29"/>
  <c r="R19" i="29"/>
  <c r="J19" i="29"/>
  <c r="R14" i="29"/>
  <c r="J14" i="29"/>
  <c r="B14" i="29"/>
  <c r="L13" i="29"/>
  <c r="D13" i="29"/>
  <c r="L11" i="29"/>
  <c r="D11" i="29"/>
  <c r="N10" i="29"/>
  <c r="F10" i="29"/>
  <c r="R35" i="28"/>
  <c r="J35" i="28"/>
  <c r="R34" i="28"/>
  <c r="J34" i="28"/>
  <c r="R29" i="28"/>
  <c r="J29" i="28"/>
  <c r="R24" i="28"/>
  <c r="J24" i="28"/>
  <c r="B24" i="28"/>
  <c r="L23" i="28"/>
  <c r="D23" i="28"/>
  <c r="L21" i="28"/>
  <c r="D21" i="28"/>
  <c r="N20" i="28"/>
  <c r="F20" i="28"/>
  <c r="P19" i="28"/>
  <c r="H19" i="28"/>
  <c r="P14" i="28"/>
  <c r="H14" i="28"/>
  <c r="R13" i="28"/>
  <c r="J13" i="28"/>
  <c r="R11" i="28"/>
  <c r="J11" i="28"/>
  <c r="B11" i="28"/>
  <c r="L10" i="28"/>
  <c r="D10" i="28"/>
  <c r="B39" i="26"/>
  <c r="L35" i="26"/>
  <c r="D35" i="26"/>
  <c r="L34" i="26"/>
  <c r="D34" i="26"/>
  <c r="L29" i="26"/>
  <c r="D29" i="26"/>
  <c r="L24" i="26"/>
  <c r="D24" i="26"/>
  <c r="N23" i="26"/>
  <c r="F23" i="26"/>
  <c r="N21" i="26"/>
  <c r="F21" i="26"/>
  <c r="P20" i="26"/>
  <c r="H20" i="26"/>
  <c r="R19" i="26"/>
  <c r="J19" i="26"/>
  <c r="R14" i="26"/>
  <c r="J14" i="26"/>
  <c r="B14" i="26"/>
  <c r="L13" i="26"/>
  <c r="D13" i="26"/>
  <c r="L11" i="26"/>
  <c r="D11" i="26"/>
  <c r="N10" i="26"/>
  <c r="F10" i="26"/>
  <c r="R35" i="25"/>
  <c r="J35" i="25"/>
  <c r="R34" i="25"/>
  <c r="J34" i="25"/>
  <c r="R29" i="25"/>
  <c r="J29" i="25"/>
  <c r="R24" i="25"/>
  <c r="J24" i="25"/>
  <c r="B24" i="25"/>
  <c r="L23" i="25"/>
  <c r="D23" i="25"/>
  <c r="L21" i="25"/>
  <c r="D21" i="25"/>
  <c r="N20" i="25"/>
  <c r="F20" i="25"/>
  <c r="P19" i="25"/>
  <c r="H19" i="25"/>
  <c r="P14" i="25"/>
  <c r="H14" i="25"/>
  <c r="R13" i="25"/>
  <c r="J13" i="25"/>
  <c r="R11" i="25"/>
  <c r="J11" i="25"/>
  <c r="B11" i="25"/>
  <c r="L10" i="25"/>
  <c r="D10" i="25"/>
  <c r="P35" i="23"/>
  <c r="H35" i="23"/>
  <c r="P34" i="23"/>
  <c r="H34" i="23"/>
  <c r="P29" i="23"/>
  <c r="H29" i="23"/>
  <c r="P24" i="23"/>
  <c r="H24" i="23"/>
  <c r="R23" i="23"/>
  <c r="J23" i="23"/>
  <c r="R21" i="23"/>
  <c r="J21" i="23"/>
  <c r="B21" i="23"/>
  <c r="L20" i="23"/>
  <c r="D20" i="23"/>
  <c r="N19" i="23"/>
  <c r="F19" i="23"/>
  <c r="N14" i="23"/>
  <c r="F14" i="23"/>
  <c r="P13" i="23"/>
  <c r="H13" i="23"/>
  <c r="P11" i="23"/>
  <c r="H11" i="23"/>
  <c r="R10" i="23"/>
  <c r="J10" i="23"/>
  <c r="B40" i="22"/>
  <c r="N35" i="22"/>
  <c r="F35" i="22"/>
  <c r="N34" i="22"/>
  <c r="F34" i="22"/>
  <c r="N29" i="22"/>
  <c r="F29" i="22"/>
  <c r="N24" i="22"/>
  <c r="F24" i="22"/>
  <c r="P23" i="22"/>
  <c r="H23" i="22"/>
  <c r="P21" i="22"/>
  <c r="H21" i="22"/>
  <c r="R20" i="22"/>
  <c r="J20" i="22"/>
  <c r="B20" i="22"/>
  <c r="L19" i="22"/>
  <c r="D19" i="22"/>
  <c r="L14" i="22"/>
  <c r="D14" i="22"/>
  <c r="N13" i="22"/>
  <c r="F13" i="22"/>
  <c r="N11" i="22"/>
  <c r="F11" i="22"/>
  <c r="P10" i="22"/>
  <c r="H10" i="22"/>
  <c r="L24" i="53"/>
  <c r="B14" i="53"/>
  <c r="N20" i="52"/>
  <c r="D10" i="52"/>
  <c r="R35" i="50"/>
  <c r="R29" i="50"/>
  <c r="B24" i="50"/>
  <c r="D21" i="50"/>
  <c r="H19" i="50"/>
  <c r="J13" i="50"/>
  <c r="L10" i="50"/>
  <c r="P34" i="49"/>
  <c r="P24" i="49"/>
  <c r="R21" i="49"/>
  <c r="D20" i="49"/>
  <c r="F14" i="49"/>
  <c r="H11" i="49"/>
  <c r="P34" i="47"/>
  <c r="P24" i="47"/>
  <c r="R21" i="47"/>
  <c r="D20" i="47"/>
  <c r="F14" i="47"/>
  <c r="H11" i="47"/>
  <c r="N35" i="46"/>
  <c r="N29" i="46"/>
  <c r="P23" i="46"/>
  <c r="R20" i="46"/>
  <c r="D19" i="46"/>
  <c r="F13" i="46"/>
  <c r="H10" i="46"/>
  <c r="B39" i="44"/>
  <c r="D34" i="44"/>
  <c r="D24" i="44"/>
  <c r="F21" i="44"/>
  <c r="J19" i="44"/>
  <c r="L13" i="44"/>
  <c r="N10" i="44"/>
  <c r="R34" i="43"/>
  <c r="R24" i="43"/>
  <c r="D23" i="43"/>
  <c r="F20" i="43"/>
  <c r="H14" i="43"/>
  <c r="J11" i="43"/>
  <c r="H35" i="41"/>
  <c r="J34" i="41"/>
  <c r="P29" i="41"/>
  <c r="D29" i="41"/>
  <c r="J24" i="41"/>
  <c r="R23" i="41"/>
  <c r="F23" i="41"/>
  <c r="L21" i="41"/>
  <c r="B21" i="41"/>
  <c r="H20" i="41"/>
  <c r="P19" i="41"/>
  <c r="F19" i="41"/>
  <c r="J14" i="41"/>
  <c r="R13" i="41"/>
  <c r="H13" i="41"/>
  <c r="L11" i="41"/>
  <c r="B11" i="41"/>
  <c r="J10" i="41"/>
  <c r="R35" i="40"/>
  <c r="H35" i="40"/>
  <c r="N34" i="40"/>
  <c r="R29" i="40"/>
  <c r="H29" i="40"/>
  <c r="N24" i="40"/>
  <c r="B24" i="40"/>
  <c r="J23" i="40"/>
  <c r="P21" i="40"/>
  <c r="D21" i="40"/>
  <c r="L20" i="40"/>
  <c r="B20" i="40"/>
  <c r="H19" i="40"/>
  <c r="N14" i="40"/>
  <c r="D14" i="40"/>
  <c r="J13" i="40"/>
  <c r="P11" i="40"/>
  <c r="F11" i="40"/>
  <c r="L10" i="40"/>
  <c r="B40" i="38"/>
  <c r="N35" i="38"/>
  <c r="F35" i="38"/>
  <c r="N34" i="38"/>
  <c r="F34" i="38"/>
  <c r="N29" i="38"/>
  <c r="F29" i="38"/>
  <c r="N24" i="38"/>
  <c r="F24" i="38"/>
  <c r="P23" i="38"/>
  <c r="H23" i="38"/>
  <c r="P21" i="38"/>
  <c r="H21" i="38"/>
  <c r="R20" i="38"/>
  <c r="J20" i="38"/>
  <c r="B20" i="38"/>
  <c r="L19" i="38"/>
  <c r="D19" i="38"/>
  <c r="L14" i="38"/>
  <c r="D14" i="38"/>
  <c r="N13" i="38"/>
  <c r="F13" i="38"/>
  <c r="N11" i="38"/>
  <c r="F11" i="38"/>
  <c r="P10" i="38"/>
  <c r="H10" i="38"/>
  <c r="B39" i="37"/>
  <c r="L35" i="37"/>
  <c r="D35" i="37"/>
  <c r="L34" i="37"/>
  <c r="D34" i="37"/>
  <c r="L29" i="37"/>
  <c r="D29" i="37"/>
  <c r="L24" i="37"/>
  <c r="D24" i="37"/>
  <c r="N23" i="37"/>
  <c r="F23" i="37"/>
  <c r="N21" i="37"/>
  <c r="F21" i="37"/>
  <c r="P20" i="37"/>
  <c r="H20" i="37"/>
  <c r="R19" i="37"/>
  <c r="J19" i="37"/>
  <c r="R14" i="37"/>
  <c r="J14" i="37"/>
  <c r="B14" i="37"/>
  <c r="L13" i="37"/>
  <c r="D13" i="37"/>
  <c r="L11" i="37"/>
  <c r="D11" i="37"/>
  <c r="N10" i="37"/>
  <c r="F10" i="37"/>
  <c r="B40" i="35"/>
  <c r="N35" i="35"/>
  <c r="F35" i="35"/>
  <c r="N34" i="35"/>
  <c r="F34" i="35"/>
  <c r="N29" i="35"/>
  <c r="F29" i="35"/>
  <c r="N24" i="35"/>
  <c r="F24" i="35"/>
  <c r="P23" i="35"/>
  <c r="H23" i="35"/>
  <c r="P21" i="35"/>
  <c r="H21" i="35"/>
  <c r="R20" i="35"/>
  <c r="J20" i="35"/>
  <c r="B20" i="35"/>
  <c r="L19" i="35"/>
  <c r="D19" i="35"/>
  <c r="L14" i="35"/>
  <c r="D14" i="35"/>
  <c r="N13" i="35"/>
  <c r="F13" i="35"/>
  <c r="N11" i="35"/>
  <c r="F11" i="35"/>
  <c r="P10" i="35"/>
  <c r="H10" i="35"/>
  <c r="B39" i="34"/>
  <c r="L35" i="34"/>
  <c r="D35" i="34"/>
  <c r="L34" i="34"/>
  <c r="D34" i="34"/>
  <c r="L29" i="34"/>
  <c r="D29" i="34"/>
  <c r="L24" i="34"/>
  <c r="D24" i="34"/>
  <c r="N23" i="34"/>
  <c r="F23" i="34"/>
  <c r="N21" i="34"/>
  <c r="F21" i="34"/>
  <c r="P20" i="34"/>
  <c r="H20" i="34"/>
  <c r="R19" i="34"/>
  <c r="J19" i="34"/>
  <c r="R14" i="34"/>
  <c r="J14" i="34"/>
  <c r="B14" i="34"/>
  <c r="L13" i="34"/>
  <c r="D13" i="34"/>
  <c r="L11" i="34"/>
  <c r="D11" i="34"/>
  <c r="N10" i="34"/>
  <c r="F10" i="34"/>
  <c r="P35" i="32"/>
  <c r="H35" i="32"/>
  <c r="P34" i="32"/>
  <c r="H34" i="32"/>
  <c r="P29" i="32"/>
  <c r="H29" i="32"/>
  <c r="P24" i="32"/>
  <c r="H24" i="32"/>
  <c r="R23" i="32"/>
  <c r="J23" i="32"/>
  <c r="R21" i="32"/>
  <c r="J21" i="32"/>
  <c r="B21" i="32"/>
  <c r="L20" i="32"/>
  <c r="D20" i="32"/>
  <c r="N19" i="32"/>
  <c r="F19" i="32"/>
  <c r="N14" i="32"/>
  <c r="F14" i="32"/>
  <c r="P13" i="32"/>
  <c r="H13" i="32"/>
  <c r="P11" i="32"/>
  <c r="H11" i="32"/>
  <c r="R10" i="32"/>
  <c r="J10" i="32"/>
  <c r="B40" i="31"/>
  <c r="N35" i="31"/>
  <c r="F35" i="31"/>
  <c r="N34" i="31"/>
  <c r="F34" i="31"/>
  <c r="N29" i="31"/>
  <c r="F29" i="31"/>
  <c r="N24" i="31"/>
  <c r="F24" i="31"/>
  <c r="P23" i="31"/>
  <c r="H23" i="31"/>
  <c r="P21" i="31"/>
  <c r="H21" i="31"/>
  <c r="R20" i="31"/>
  <c r="J20" i="31"/>
  <c r="B20" i="31"/>
  <c r="L19" i="31"/>
  <c r="D19" i="31"/>
  <c r="L14" i="31"/>
  <c r="D14" i="31"/>
  <c r="N13" i="31"/>
  <c r="F13" i="31"/>
  <c r="N11" i="31"/>
  <c r="F11" i="31"/>
  <c r="P10" i="31"/>
  <c r="H10" i="31"/>
  <c r="R35" i="29"/>
  <c r="J35" i="29"/>
  <c r="R34" i="29"/>
  <c r="J34" i="29"/>
  <c r="R29" i="29"/>
  <c r="J29" i="29"/>
  <c r="R24" i="29"/>
  <c r="J24" i="29"/>
  <c r="B24" i="29"/>
  <c r="L23" i="29"/>
  <c r="D23" i="29"/>
  <c r="L21" i="29"/>
  <c r="D21" i="29"/>
  <c r="N20" i="29"/>
  <c r="F20" i="29"/>
  <c r="P19" i="29"/>
  <c r="H19" i="29"/>
  <c r="P14" i="29"/>
  <c r="H14" i="29"/>
  <c r="R13" i="29"/>
  <c r="J13" i="29"/>
  <c r="R11" i="29"/>
  <c r="J11" i="29"/>
  <c r="B11" i="29"/>
  <c r="L10" i="29"/>
  <c r="D10" i="29"/>
  <c r="P35" i="28"/>
  <c r="H35" i="28"/>
  <c r="P34" i="28"/>
  <c r="H34" i="28"/>
  <c r="P29" i="28"/>
  <c r="H29" i="28"/>
  <c r="P24" i="28"/>
  <c r="H24" i="28"/>
  <c r="R23" i="28"/>
  <c r="J23" i="28"/>
  <c r="R21" i="28"/>
  <c r="J21" i="28"/>
  <c r="B21" i="28"/>
  <c r="L20" i="28"/>
  <c r="D20" i="28"/>
  <c r="N19" i="28"/>
  <c r="F19" i="28"/>
  <c r="N14" i="28"/>
  <c r="F14" i="28"/>
  <c r="P13" i="28"/>
  <c r="H13" i="28"/>
  <c r="P11" i="28"/>
  <c r="H11" i="28"/>
  <c r="R10" i="28"/>
  <c r="J10" i="28"/>
  <c r="R35" i="26"/>
  <c r="J35" i="26"/>
  <c r="R34" i="26"/>
  <c r="J34" i="26"/>
  <c r="R29" i="26"/>
  <c r="J29" i="26"/>
  <c r="R24" i="26"/>
  <c r="J24" i="26"/>
  <c r="B24" i="26"/>
  <c r="L23" i="26"/>
  <c r="D23" i="26"/>
  <c r="L21" i="26"/>
  <c r="D21" i="26"/>
  <c r="N20" i="26"/>
  <c r="F20" i="26"/>
  <c r="P19" i="26"/>
  <c r="H19" i="26"/>
  <c r="P14" i="26"/>
  <c r="H14" i="26"/>
  <c r="R13" i="26"/>
  <c r="J13" i="26"/>
  <c r="R11" i="26"/>
  <c r="J11" i="26"/>
  <c r="B11" i="26"/>
  <c r="L10" i="26"/>
  <c r="D10" i="26"/>
  <c r="P35" i="25"/>
  <c r="H35" i="25"/>
  <c r="P34" i="25"/>
  <c r="H34" i="25"/>
  <c r="P29" i="25"/>
  <c r="H29" i="25"/>
  <c r="P24" i="25"/>
  <c r="H24" i="25"/>
  <c r="R23" i="25"/>
  <c r="J23" i="25"/>
  <c r="R21" i="25"/>
  <c r="J21" i="25"/>
  <c r="B21" i="25"/>
  <c r="L20" i="25"/>
  <c r="D20" i="25"/>
  <c r="N19" i="25"/>
  <c r="F19" i="25"/>
  <c r="N14" i="25"/>
  <c r="F14" i="25"/>
  <c r="P13" i="25"/>
  <c r="H13" i="25"/>
  <c r="P11" i="25"/>
  <c r="H11" i="25"/>
  <c r="R10" i="25"/>
  <c r="J10" i="25"/>
  <c r="B40" i="23"/>
  <c r="N35" i="23"/>
  <c r="F35" i="23"/>
  <c r="N34" i="23"/>
  <c r="F34" i="23"/>
  <c r="N29" i="23"/>
  <c r="F29" i="23"/>
  <c r="N24" i="23"/>
  <c r="F24" i="23"/>
  <c r="P23" i="23"/>
  <c r="H23" i="23"/>
  <c r="P21" i="23"/>
  <c r="H21" i="23"/>
  <c r="R20" i="23"/>
  <c r="J20" i="23"/>
  <c r="B20" i="23"/>
  <c r="L19" i="23"/>
  <c r="D19" i="23"/>
  <c r="L14" i="23"/>
  <c r="D14" i="23"/>
  <c r="N13" i="23"/>
  <c r="F13" i="23"/>
  <c r="N11" i="23"/>
  <c r="F11" i="23"/>
  <c r="P10" i="23"/>
  <c r="H10" i="23"/>
  <c r="B39" i="22"/>
  <c r="L35" i="22"/>
  <c r="D35" i="22"/>
  <c r="L34" i="22"/>
  <c r="D34" i="22"/>
  <c r="L29" i="22"/>
  <c r="D29" i="22"/>
  <c r="L24" i="22"/>
  <c r="D24" i="22"/>
  <c r="N23" i="22"/>
  <c r="F23" i="22"/>
  <c r="N21" i="22"/>
  <c r="F21" i="22"/>
  <c r="P20" i="22"/>
  <c r="H20" i="22"/>
  <c r="R19" i="22"/>
  <c r="J19" i="22"/>
  <c r="R14" i="22"/>
  <c r="J14" i="22"/>
  <c r="B14" i="22"/>
  <c r="L13" i="22"/>
  <c r="D13" i="22"/>
  <c r="L11" i="22"/>
  <c r="D11" i="22"/>
  <c r="N10" i="22"/>
  <c r="F10" i="22"/>
  <c r="B39" i="20"/>
  <c r="L35" i="20"/>
  <c r="D35" i="20"/>
  <c r="L34" i="20"/>
  <c r="L34" i="53"/>
  <c r="N21" i="53"/>
  <c r="D11" i="53"/>
  <c r="J29" i="52"/>
  <c r="J35" i="50"/>
  <c r="J29" i="50"/>
  <c r="L23" i="50"/>
  <c r="N20" i="50"/>
  <c r="P14" i="50"/>
  <c r="R11" i="50"/>
  <c r="D10" i="50"/>
  <c r="H34" i="49"/>
  <c r="H24" i="49"/>
  <c r="J21" i="49"/>
  <c r="N19" i="49"/>
  <c r="P13" i="49"/>
  <c r="R10" i="49"/>
  <c r="H34" i="47"/>
  <c r="H24" i="47"/>
  <c r="J21" i="47"/>
  <c r="N19" i="47"/>
  <c r="P13" i="47"/>
  <c r="R10" i="47"/>
  <c r="F35" i="46"/>
  <c r="F29" i="46"/>
  <c r="H23" i="46"/>
  <c r="J20" i="46"/>
  <c r="L14" i="46"/>
  <c r="N11" i="46"/>
  <c r="L35" i="44"/>
  <c r="L29" i="44"/>
  <c r="N23" i="44"/>
  <c r="P20" i="44"/>
  <c r="R14" i="44"/>
  <c r="D13" i="44"/>
  <c r="F10" i="44"/>
  <c r="J34" i="43"/>
  <c r="J24" i="43"/>
  <c r="L21" i="43"/>
  <c r="P19" i="43"/>
  <c r="R13" i="43"/>
  <c r="B11" i="43"/>
  <c r="B39" i="41"/>
  <c r="D35" i="41"/>
  <c r="H34" i="41"/>
  <c r="L29" i="41"/>
  <c r="R24" i="41"/>
  <c r="H24" i="41"/>
  <c r="N23" i="41"/>
  <c r="D23" i="41"/>
  <c r="J21" i="41"/>
  <c r="P20" i="41"/>
  <c r="F20" i="41"/>
  <c r="N19" i="41"/>
  <c r="R14" i="41"/>
  <c r="H14" i="41"/>
  <c r="P13" i="41"/>
  <c r="D13" i="41"/>
  <c r="J11" i="41"/>
  <c r="R10" i="41"/>
  <c r="F10" i="41"/>
  <c r="P35" i="40"/>
  <c r="F35" i="40"/>
  <c r="J34" i="40"/>
  <c r="P29" i="40"/>
  <c r="F29" i="40"/>
  <c r="J24" i="40"/>
  <c r="R23" i="40"/>
  <c r="H23" i="40"/>
  <c r="L21" i="40"/>
  <c r="B21" i="40"/>
  <c r="J20" i="40"/>
  <c r="P19" i="40"/>
  <c r="F19" i="40"/>
  <c r="L14" i="40"/>
  <c r="R13" i="40"/>
  <c r="H13" i="40"/>
  <c r="N11" i="40"/>
  <c r="B11" i="40"/>
  <c r="J10" i="40"/>
  <c r="B39" i="38"/>
  <c r="L35" i="38"/>
  <c r="D35" i="38"/>
  <c r="L34" i="38"/>
  <c r="D34" i="38"/>
  <c r="L29" i="38"/>
  <c r="D29" i="38"/>
  <c r="L24" i="38"/>
  <c r="D24" i="38"/>
  <c r="N23" i="38"/>
  <c r="F23" i="38"/>
  <c r="N21" i="38"/>
  <c r="F21" i="38"/>
  <c r="P20" i="38"/>
  <c r="H20" i="38"/>
  <c r="R19" i="38"/>
  <c r="J19" i="38"/>
  <c r="R14" i="38"/>
  <c r="J14" i="38"/>
  <c r="B14" i="38"/>
  <c r="L13" i="38"/>
  <c r="D13" i="38"/>
  <c r="L11" i="38"/>
  <c r="D11" i="38"/>
  <c r="N10" i="38"/>
  <c r="F10" i="38"/>
  <c r="R35" i="37"/>
  <c r="J35" i="37"/>
  <c r="R34" i="37"/>
  <c r="J34" i="37"/>
  <c r="R29" i="37"/>
  <c r="J29" i="37"/>
  <c r="R24" i="37"/>
  <c r="J24" i="37"/>
  <c r="B24" i="37"/>
  <c r="L23" i="37"/>
  <c r="D23" i="37"/>
  <c r="L21" i="37"/>
  <c r="D21" i="37"/>
  <c r="N20" i="37"/>
  <c r="F20" i="37"/>
  <c r="P19" i="37"/>
  <c r="H19" i="37"/>
  <c r="P14" i="37"/>
  <c r="H14" i="37"/>
  <c r="R13" i="37"/>
  <c r="J13" i="37"/>
  <c r="R11" i="37"/>
  <c r="J11" i="37"/>
  <c r="B11" i="37"/>
  <c r="L10" i="37"/>
  <c r="D10" i="37"/>
  <c r="B39" i="35"/>
  <c r="L35" i="35"/>
  <c r="D35" i="35"/>
  <c r="L34" i="35"/>
  <c r="D34" i="35"/>
  <c r="L29" i="35"/>
  <c r="D29" i="35"/>
  <c r="L24" i="35"/>
  <c r="D24" i="35"/>
  <c r="N23" i="35"/>
  <c r="F23" i="35"/>
  <c r="N21" i="35"/>
  <c r="F21" i="35"/>
  <c r="P20" i="35"/>
  <c r="H20" i="35"/>
  <c r="R19" i="35"/>
  <c r="J19" i="35"/>
  <c r="R14" i="35"/>
  <c r="J14" i="35"/>
  <c r="B14" i="35"/>
  <c r="L13" i="35"/>
  <c r="D13" i="35"/>
  <c r="L11" i="35"/>
  <c r="D11" i="35"/>
  <c r="N10" i="35"/>
  <c r="F10" i="35"/>
  <c r="R35" i="34"/>
  <c r="J35" i="34"/>
  <c r="R34" i="34"/>
  <c r="J34" i="34"/>
  <c r="R29" i="34"/>
  <c r="J29" i="34"/>
  <c r="R24" i="34"/>
  <c r="J24" i="34"/>
  <c r="B24" i="34"/>
  <c r="L23" i="34"/>
  <c r="D23" i="34"/>
  <c r="L21" i="34"/>
  <c r="D21" i="34"/>
  <c r="N20" i="34"/>
  <c r="F20" i="34"/>
  <c r="P19" i="34"/>
  <c r="H19" i="34"/>
  <c r="P14" i="34"/>
  <c r="H14" i="34"/>
  <c r="R13" i="34"/>
  <c r="J13" i="34"/>
  <c r="R11" i="34"/>
  <c r="J11" i="34"/>
  <c r="B11" i="34"/>
  <c r="L10" i="34"/>
  <c r="D10" i="34"/>
  <c r="B40" i="32"/>
  <c r="N35" i="32"/>
  <c r="F35" i="32"/>
  <c r="N34" i="32"/>
  <c r="F34" i="32"/>
  <c r="N29" i="32"/>
  <c r="F29" i="32"/>
  <c r="N24" i="32"/>
  <c r="F24" i="32"/>
  <c r="P23" i="32"/>
  <c r="H23" i="32"/>
  <c r="P21" i="32"/>
  <c r="H21" i="32"/>
  <c r="R20" i="32"/>
  <c r="J20" i="32"/>
  <c r="B20" i="32"/>
  <c r="L19" i="32"/>
  <c r="D19" i="32"/>
  <c r="L14" i="32"/>
  <c r="D14" i="32"/>
  <c r="N13" i="32"/>
  <c r="F13" i="32"/>
  <c r="N11" i="32"/>
  <c r="F11" i="32"/>
  <c r="P10" i="32"/>
  <c r="H10" i="32"/>
  <c r="B39" i="31"/>
  <c r="L35" i="31"/>
  <c r="D35" i="31"/>
  <c r="L34" i="31"/>
  <c r="D34" i="31"/>
  <c r="L29" i="31"/>
  <c r="D29" i="31"/>
  <c r="L24" i="31"/>
  <c r="D24" i="31"/>
  <c r="N23" i="31"/>
  <c r="F23" i="31"/>
  <c r="N21" i="31"/>
  <c r="F21" i="31"/>
  <c r="P20" i="31"/>
  <c r="H20" i="31"/>
  <c r="R19" i="31"/>
  <c r="J19" i="31"/>
  <c r="R14" i="31"/>
  <c r="J14" i="31"/>
  <c r="B14" i="31"/>
  <c r="L13" i="31"/>
  <c r="D13" i="31"/>
  <c r="L11" i="31"/>
  <c r="D11" i="31"/>
  <c r="N10" i="31"/>
  <c r="F10" i="31"/>
  <c r="P35" i="29"/>
  <c r="H35" i="29"/>
  <c r="P34" i="29"/>
  <c r="H34" i="29"/>
  <c r="P29" i="29"/>
  <c r="H29" i="29"/>
  <c r="P24" i="29"/>
  <c r="H24" i="29"/>
  <c r="R23" i="29"/>
  <c r="J23" i="29"/>
  <c r="R21" i="29"/>
  <c r="J21" i="29"/>
  <c r="B21" i="29"/>
  <c r="L20" i="29"/>
  <c r="D20" i="29"/>
  <c r="N19" i="29"/>
  <c r="F19" i="29"/>
  <c r="N14" i="29"/>
  <c r="F14" i="29"/>
  <c r="P13" i="29"/>
  <c r="H13" i="29"/>
  <c r="P11" i="29"/>
  <c r="H11" i="29"/>
  <c r="R10" i="29"/>
  <c r="J10" i="29"/>
  <c r="B40" i="28"/>
  <c r="N35" i="28"/>
  <c r="F35" i="28"/>
  <c r="N34" i="28"/>
  <c r="F34" i="28"/>
  <c r="N29" i="28"/>
  <c r="F29" i="28"/>
  <c r="N24" i="28"/>
  <c r="F24" i="28"/>
  <c r="P23" i="28"/>
  <c r="H23" i="28"/>
  <c r="P21" i="28"/>
  <c r="H21" i="28"/>
  <c r="R20" i="28"/>
  <c r="J20" i="28"/>
  <c r="B20" i="28"/>
  <c r="L19" i="28"/>
  <c r="D19" i="28"/>
  <c r="L14" i="28"/>
  <c r="D14" i="28"/>
  <c r="N13" i="28"/>
  <c r="F13" i="28"/>
  <c r="N11" i="28"/>
  <c r="F11" i="28"/>
  <c r="P10" i="28"/>
  <c r="H10" i="28"/>
  <c r="P35" i="26"/>
  <c r="H35" i="26"/>
  <c r="P34" i="26"/>
  <c r="H34" i="26"/>
  <c r="P29" i="26"/>
  <c r="H29" i="26"/>
  <c r="P24" i="26"/>
  <c r="H24" i="26"/>
  <c r="R23" i="26"/>
  <c r="J23" i="26"/>
  <c r="R21" i="26"/>
  <c r="J21" i="26"/>
  <c r="B21" i="26"/>
  <c r="L20" i="26"/>
  <c r="D20" i="26"/>
  <c r="N19" i="26"/>
  <c r="F19" i="26"/>
  <c r="N14" i="26"/>
  <c r="F14" i="26"/>
  <c r="P13" i="26"/>
  <c r="H13" i="26"/>
  <c r="P11" i="26"/>
  <c r="H11" i="26"/>
  <c r="R10" i="26"/>
  <c r="J10" i="26"/>
  <c r="B40" i="25"/>
  <c r="N35" i="25"/>
  <c r="F35" i="25"/>
  <c r="N34" i="25"/>
  <c r="F34" i="25"/>
  <c r="N29" i="25"/>
  <c r="F29" i="25"/>
  <c r="N24" i="25"/>
  <c r="F24" i="25"/>
  <c r="P23" i="25"/>
  <c r="H23" i="25"/>
  <c r="P21" i="25"/>
  <c r="H21" i="25"/>
  <c r="R20" i="25"/>
  <c r="J20" i="25"/>
  <c r="B20" i="25"/>
  <c r="L19" i="25"/>
  <c r="D19" i="25"/>
  <c r="L14" i="25"/>
  <c r="D14" i="25"/>
  <c r="N13" i="25"/>
  <c r="F13" i="25"/>
  <c r="N11" i="25"/>
  <c r="F11" i="25"/>
  <c r="P10" i="25"/>
  <c r="H10" i="25"/>
  <c r="B39" i="23"/>
  <c r="L35" i="23"/>
  <c r="D35" i="23"/>
  <c r="L34" i="23"/>
  <c r="D34" i="23"/>
  <c r="L29" i="23"/>
  <c r="D29" i="23"/>
  <c r="L24" i="23"/>
  <c r="D24" i="23"/>
  <c r="N23" i="23"/>
  <c r="F23" i="23"/>
  <c r="N21" i="23"/>
  <c r="F21" i="23"/>
  <c r="P20" i="23"/>
  <c r="H20" i="23"/>
  <c r="R19" i="23"/>
  <c r="J19" i="23"/>
  <c r="R14" i="23"/>
  <c r="J14" i="23"/>
  <c r="B14" i="23"/>
  <c r="L13" i="23"/>
  <c r="D13" i="23"/>
  <c r="L11" i="23"/>
  <c r="D11" i="23"/>
  <c r="N10" i="23"/>
  <c r="F10" i="23"/>
  <c r="R35" i="22"/>
  <c r="J35" i="22"/>
  <c r="R34" i="22"/>
  <c r="J34" i="22"/>
  <c r="R29" i="22"/>
  <c r="J29" i="22"/>
  <c r="R24" i="22"/>
  <c r="J24" i="22"/>
  <c r="B24" i="22"/>
  <c r="L23" i="22"/>
  <c r="D23" i="22"/>
  <c r="L21" i="22"/>
  <c r="D21" i="22"/>
  <c r="N20" i="22"/>
  <c r="F20" i="22"/>
  <c r="P19" i="22"/>
  <c r="H19" i="22"/>
  <c r="P14" i="22"/>
  <c r="H14" i="22"/>
  <c r="R13" i="22"/>
  <c r="J13" i="22"/>
  <c r="R11" i="22"/>
  <c r="J11" i="22"/>
  <c r="B11" i="22"/>
  <c r="L10" i="22"/>
  <c r="D10" i="22"/>
  <c r="R35" i="20"/>
  <c r="J35" i="20"/>
  <c r="R34" i="20"/>
  <c r="J34" i="20"/>
  <c r="R29" i="20"/>
  <c r="J29" i="20"/>
  <c r="R19" i="53"/>
  <c r="F20" i="50"/>
  <c r="N34" i="46"/>
  <c r="P21" i="46"/>
  <c r="F11" i="46"/>
  <c r="J14" i="44"/>
  <c r="D21" i="43"/>
  <c r="L10" i="43"/>
  <c r="P35" i="41"/>
  <c r="L23" i="41"/>
  <c r="D20" i="41"/>
  <c r="R11" i="41"/>
  <c r="R34" i="40"/>
  <c r="D23" i="40"/>
  <c r="N19" i="40"/>
  <c r="J11" i="40"/>
  <c r="R34" i="38"/>
  <c r="R24" i="38"/>
  <c r="D23" i="38"/>
  <c r="F20" i="38"/>
  <c r="H14" i="38"/>
  <c r="J11" i="38"/>
  <c r="P35" i="37"/>
  <c r="P29" i="37"/>
  <c r="R23" i="37"/>
  <c r="B21" i="37"/>
  <c r="F19" i="37"/>
  <c r="H13" i="37"/>
  <c r="J10" i="37"/>
  <c r="R34" i="35"/>
  <c r="R24" i="35"/>
  <c r="D23" i="35"/>
  <c r="F20" i="35"/>
  <c r="H14" i="35"/>
  <c r="J11" i="35"/>
  <c r="P35" i="34"/>
  <c r="P29" i="34"/>
  <c r="R23" i="34"/>
  <c r="B21" i="34"/>
  <c r="F19" i="34"/>
  <c r="H13" i="34"/>
  <c r="J10" i="34"/>
  <c r="L35" i="32"/>
  <c r="L29" i="32"/>
  <c r="N23" i="32"/>
  <c r="P20" i="32"/>
  <c r="R14" i="32"/>
  <c r="D13" i="32"/>
  <c r="F10" i="32"/>
  <c r="J34" i="31"/>
  <c r="J24" i="31"/>
  <c r="L21" i="31"/>
  <c r="P19" i="31"/>
  <c r="R13" i="31"/>
  <c r="B11" i="31"/>
  <c r="N34" i="29"/>
  <c r="N24" i="29"/>
  <c r="P21" i="29"/>
  <c r="B20" i="29"/>
  <c r="D14" i="29"/>
  <c r="F11" i="29"/>
  <c r="L35" i="28"/>
  <c r="L29" i="28"/>
  <c r="N23" i="28"/>
  <c r="P20" i="28"/>
  <c r="R14" i="28"/>
  <c r="D13" i="28"/>
  <c r="F10" i="28"/>
  <c r="B40" i="26"/>
  <c r="F34" i="26"/>
  <c r="F24" i="26"/>
  <c r="H21" i="26"/>
  <c r="L19" i="26"/>
  <c r="N13" i="26"/>
  <c r="P10" i="26"/>
  <c r="D35" i="25"/>
  <c r="D29" i="25"/>
  <c r="F23" i="25"/>
  <c r="H20" i="25"/>
  <c r="J14" i="25"/>
  <c r="L11" i="25"/>
  <c r="R34" i="23"/>
  <c r="R24" i="23"/>
  <c r="D23" i="23"/>
  <c r="F20" i="23"/>
  <c r="H14" i="23"/>
  <c r="J11" i="23"/>
  <c r="P35" i="22"/>
  <c r="P29" i="22"/>
  <c r="R23" i="22"/>
  <c r="B21" i="22"/>
  <c r="F19" i="22"/>
  <c r="H13" i="22"/>
  <c r="J10" i="22"/>
  <c r="P35" i="49"/>
  <c r="R23" i="49"/>
  <c r="H13" i="49"/>
  <c r="P35" i="47"/>
  <c r="R23" i="47"/>
  <c r="H13" i="47"/>
  <c r="B20" i="46"/>
  <c r="D35" i="44"/>
  <c r="F23" i="44"/>
  <c r="L11" i="44"/>
  <c r="R29" i="43"/>
  <c r="H19" i="43"/>
  <c r="P34" i="41"/>
  <c r="R21" i="41"/>
  <c r="J19" i="41"/>
  <c r="P14" i="41"/>
  <c r="H11" i="41"/>
  <c r="H34" i="40"/>
  <c r="N29" i="40"/>
  <c r="R24" i="40"/>
  <c r="J21" i="40"/>
  <c r="D19" i="40"/>
  <c r="H14" i="40"/>
  <c r="R10" i="40"/>
  <c r="J34" i="38"/>
  <c r="J24" i="38"/>
  <c r="L21" i="38"/>
  <c r="P19" i="38"/>
  <c r="R13" i="38"/>
  <c r="B11" i="38"/>
  <c r="H35" i="37"/>
  <c r="H29" i="37"/>
  <c r="J23" i="37"/>
  <c r="L20" i="37"/>
  <c r="N14" i="37"/>
  <c r="P11" i="37"/>
  <c r="J34" i="35"/>
  <c r="J24" i="35"/>
  <c r="L21" i="35"/>
  <c r="P19" i="35"/>
  <c r="R13" i="35"/>
  <c r="B11" i="35"/>
  <c r="H35" i="34"/>
  <c r="H29" i="34"/>
  <c r="J23" i="34"/>
  <c r="L20" i="34"/>
  <c r="N14" i="34"/>
  <c r="P11" i="34"/>
  <c r="D35" i="32"/>
  <c r="D29" i="32"/>
  <c r="F23" i="32"/>
  <c r="H20" i="32"/>
  <c r="J14" i="32"/>
  <c r="L11" i="32"/>
  <c r="R35" i="31"/>
  <c r="R29" i="31"/>
  <c r="B24" i="31"/>
  <c r="D21" i="31"/>
  <c r="H19" i="31"/>
  <c r="J13" i="31"/>
  <c r="L10" i="31"/>
  <c r="B40" i="29"/>
  <c r="F34" i="29"/>
  <c r="F24" i="29"/>
  <c r="H21" i="29"/>
  <c r="L19" i="29"/>
  <c r="N13" i="29"/>
  <c r="P10" i="29"/>
  <c r="D35" i="28"/>
  <c r="D29" i="28"/>
  <c r="F23" i="28"/>
  <c r="H20" i="28"/>
  <c r="J14" i="28"/>
  <c r="L11" i="28"/>
  <c r="N35" i="26"/>
  <c r="N29" i="26"/>
  <c r="P23" i="26"/>
  <c r="R20" i="26"/>
  <c r="D19" i="26"/>
  <c r="F13" i="26"/>
  <c r="H10" i="26"/>
  <c r="L34" i="25"/>
  <c r="L24" i="25"/>
  <c r="N21" i="25"/>
  <c r="R19" i="25"/>
  <c r="B14" i="25"/>
  <c r="D11" i="25"/>
  <c r="J34" i="23"/>
  <c r="J24" i="23"/>
  <c r="L21" i="23"/>
  <c r="P19" i="23"/>
  <c r="R13" i="23"/>
  <c r="B11" i="23"/>
  <c r="H35" i="22"/>
  <c r="H29" i="22"/>
  <c r="J23" i="22"/>
  <c r="L20" i="22"/>
  <c r="N14" i="22"/>
  <c r="P11" i="22"/>
  <c r="H35" i="20"/>
  <c r="H34" i="20"/>
  <c r="N29" i="20"/>
  <c r="D29" i="20"/>
  <c r="L24" i="20"/>
  <c r="D24" i="20"/>
  <c r="N23" i="20"/>
  <c r="F23" i="20"/>
  <c r="N21" i="20"/>
  <c r="F21" i="20"/>
  <c r="P20" i="20"/>
  <c r="H20" i="20"/>
  <c r="R19" i="20"/>
  <c r="J19" i="20"/>
  <c r="R14" i="20"/>
  <c r="J14" i="20"/>
  <c r="B14" i="20"/>
  <c r="L13" i="20"/>
  <c r="D13" i="20"/>
  <c r="L11" i="20"/>
  <c r="D11" i="20"/>
  <c r="N10" i="20"/>
  <c r="F10" i="20"/>
  <c r="R35" i="19"/>
  <c r="J35" i="19"/>
  <c r="R34" i="19"/>
  <c r="J34" i="19"/>
  <c r="R29" i="19"/>
  <c r="J29" i="19"/>
  <c r="R24" i="19"/>
  <c r="J24" i="19"/>
  <c r="B24" i="19"/>
  <c r="L23" i="19"/>
  <c r="D23" i="19"/>
  <c r="L21" i="19"/>
  <c r="D21" i="19"/>
  <c r="N20" i="19"/>
  <c r="F20" i="19"/>
  <c r="P19" i="19"/>
  <c r="H19" i="19"/>
  <c r="P14" i="19"/>
  <c r="H14" i="19"/>
  <c r="R13" i="19"/>
  <c r="J13" i="19"/>
  <c r="R11" i="19"/>
  <c r="J11" i="19"/>
  <c r="B11" i="19"/>
  <c r="L10" i="19"/>
  <c r="D10" i="19"/>
  <c r="R24" i="50"/>
  <c r="H14" i="50"/>
  <c r="B21" i="49"/>
  <c r="J10" i="49"/>
  <c r="B21" i="47"/>
  <c r="J10" i="47"/>
  <c r="H20" i="44"/>
  <c r="D34" i="41"/>
  <c r="J29" i="41"/>
  <c r="P24" i="41"/>
  <c r="F21" i="41"/>
  <c r="F14" i="41"/>
  <c r="N10" i="41"/>
  <c r="H24" i="40"/>
  <c r="R20" i="40"/>
  <c r="P13" i="40"/>
  <c r="H10" i="40"/>
  <c r="R35" i="38"/>
  <c r="R29" i="38"/>
  <c r="B24" i="38"/>
  <c r="D21" i="38"/>
  <c r="H19" i="38"/>
  <c r="J13" i="38"/>
  <c r="L10" i="38"/>
  <c r="P34" i="37"/>
  <c r="P24" i="37"/>
  <c r="R21" i="37"/>
  <c r="D20" i="37"/>
  <c r="F14" i="37"/>
  <c r="H11" i="37"/>
  <c r="R35" i="35"/>
  <c r="R29" i="35"/>
  <c r="B24" i="35"/>
  <c r="D21" i="35"/>
  <c r="H19" i="35"/>
  <c r="J13" i="35"/>
  <c r="L10" i="35"/>
  <c r="P34" i="34"/>
  <c r="P24" i="34"/>
  <c r="R21" i="34"/>
  <c r="D20" i="34"/>
  <c r="F14" i="34"/>
  <c r="H11" i="34"/>
  <c r="L34" i="32"/>
  <c r="L24" i="32"/>
  <c r="N21" i="32"/>
  <c r="R19" i="32"/>
  <c r="B14" i="32"/>
  <c r="D11" i="32"/>
  <c r="J35" i="31"/>
  <c r="J29" i="31"/>
  <c r="L23" i="31"/>
  <c r="N20" i="31"/>
  <c r="P14" i="31"/>
  <c r="R11" i="31"/>
  <c r="D10" i="31"/>
  <c r="N35" i="29"/>
  <c r="N29" i="29"/>
  <c r="P23" i="29"/>
  <c r="R20" i="29"/>
  <c r="D19" i="29"/>
  <c r="F13" i="29"/>
  <c r="H10" i="29"/>
  <c r="L34" i="28"/>
  <c r="L24" i="28"/>
  <c r="N21" i="28"/>
  <c r="R19" i="28"/>
  <c r="B14" i="28"/>
  <c r="D11" i="28"/>
  <c r="F35" i="26"/>
  <c r="F29" i="26"/>
  <c r="H23" i="26"/>
  <c r="J20" i="26"/>
  <c r="L14" i="26"/>
  <c r="N11" i="26"/>
  <c r="B39" i="25"/>
  <c r="D34" i="25"/>
  <c r="D24" i="25"/>
  <c r="F21" i="25"/>
  <c r="J19" i="25"/>
  <c r="L13" i="25"/>
  <c r="N10" i="25"/>
  <c r="R35" i="23"/>
  <c r="R29" i="23"/>
  <c r="B24" i="23"/>
  <c r="D21" i="23"/>
  <c r="H19" i="23"/>
  <c r="J13" i="23"/>
  <c r="L10" i="23"/>
  <c r="P34" i="22"/>
  <c r="P24" i="22"/>
  <c r="R21" i="22"/>
  <c r="D20" i="22"/>
  <c r="F14" i="22"/>
  <c r="H11" i="22"/>
  <c r="B40" i="20"/>
  <c r="F35" i="20"/>
  <c r="F34" i="20"/>
  <c r="L29" i="20"/>
  <c r="R24" i="20"/>
  <c r="J24" i="20"/>
  <c r="B24" i="20"/>
  <c r="L23" i="20"/>
  <c r="D23" i="20"/>
  <c r="L21" i="20"/>
  <c r="D21" i="20"/>
  <c r="N20" i="20"/>
  <c r="F20" i="20"/>
  <c r="P19" i="20"/>
  <c r="H19" i="20"/>
  <c r="P14" i="20"/>
  <c r="H14" i="20"/>
  <c r="R13" i="20"/>
  <c r="J13" i="20"/>
  <c r="R11" i="20"/>
  <c r="J11" i="20"/>
  <c r="B11" i="20"/>
  <c r="L10" i="20"/>
  <c r="D10" i="20"/>
  <c r="P35" i="19"/>
  <c r="H35" i="19"/>
  <c r="P34" i="19"/>
  <c r="H34" i="19"/>
  <c r="P29" i="19"/>
  <c r="H29" i="19"/>
  <c r="P24" i="19"/>
  <c r="H24" i="19"/>
  <c r="R23" i="19"/>
  <c r="J23" i="19"/>
  <c r="R21" i="19"/>
  <c r="J21" i="19"/>
  <c r="B21" i="19"/>
  <c r="L20" i="19"/>
  <c r="D20" i="19"/>
  <c r="N19" i="19"/>
  <c r="F19" i="19"/>
  <c r="N14" i="19"/>
  <c r="F14" i="19"/>
  <c r="P13" i="19"/>
  <c r="H13" i="19"/>
  <c r="P11" i="19"/>
  <c r="H11" i="19"/>
  <c r="R10" i="19"/>
  <c r="J10" i="19"/>
  <c r="P14" i="52"/>
  <c r="R34" i="50"/>
  <c r="D23" i="50"/>
  <c r="J11" i="50"/>
  <c r="P29" i="49"/>
  <c r="F19" i="49"/>
  <c r="P29" i="47"/>
  <c r="F19" i="47"/>
  <c r="N24" i="46"/>
  <c r="D14" i="46"/>
  <c r="D29" i="44"/>
  <c r="R35" i="43"/>
  <c r="B24" i="43"/>
  <c r="J13" i="43"/>
  <c r="D24" i="41"/>
  <c r="N20" i="41"/>
  <c r="L13" i="41"/>
  <c r="D10" i="41"/>
  <c r="N35" i="40"/>
  <c r="P23" i="40"/>
  <c r="F20" i="40"/>
  <c r="F13" i="40"/>
  <c r="J35" i="38"/>
  <c r="J29" i="38"/>
  <c r="L23" i="38"/>
  <c r="N20" i="38"/>
  <c r="P14" i="38"/>
  <c r="R11" i="38"/>
  <c r="D10" i="38"/>
  <c r="H34" i="37"/>
  <c r="H24" i="37"/>
  <c r="J21" i="37"/>
  <c r="N19" i="37"/>
  <c r="P13" i="37"/>
  <c r="R10" i="37"/>
  <c r="J35" i="35"/>
  <c r="J29" i="35"/>
  <c r="L23" i="35"/>
  <c r="N20" i="35"/>
  <c r="P14" i="35"/>
  <c r="R11" i="35"/>
  <c r="D10" i="35"/>
  <c r="H34" i="34"/>
  <c r="H24" i="34"/>
  <c r="J21" i="34"/>
  <c r="N19" i="34"/>
  <c r="P13" i="34"/>
  <c r="R10" i="34"/>
  <c r="B39" i="32"/>
  <c r="D34" i="32"/>
  <c r="D24" i="32"/>
  <c r="F21" i="32"/>
  <c r="J19" i="32"/>
  <c r="L13" i="32"/>
  <c r="N10" i="32"/>
  <c r="R34" i="31"/>
  <c r="F29" i="29"/>
  <c r="D24" i="28"/>
  <c r="L13" i="28"/>
  <c r="N34" i="26"/>
  <c r="P21" i="26"/>
  <c r="F11" i="26"/>
  <c r="L29" i="25"/>
  <c r="J35" i="23"/>
  <c r="L23" i="23"/>
  <c r="R11" i="23"/>
  <c r="N19" i="22"/>
  <c r="P35" i="20"/>
  <c r="D34" i="20"/>
  <c r="H29" i="20"/>
  <c r="H24" i="20"/>
  <c r="J23" i="20"/>
  <c r="J21" i="20"/>
  <c r="L20" i="20"/>
  <c r="N19" i="20"/>
  <c r="N14" i="20"/>
  <c r="P13" i="20"/>
  <c r="P11" i="20"/>
  <c r="R10" i="20"/>
  <c r="B40" i="19"/>
  <c r="F35" i="19"/>
  <c r="F34" i="19"/>
  <c r="F29" i="19"/>
  <c r="F24" i="19"/>
  <c r="H23" i="19"/>
  <c r="H21" i="19"/>
  <c r="J20" i="19"/>
  <c r="L19" i="19"/>
  <c r="L14" i="19"/>
  <c r="N13" i="19"/>
  <c r="N11" i="19"/>
  <c r="P10" i="19"/>
  <c r="R35" i="17"/>
  <c r="J35" i="17"/>
  <c r="R34" i="17"/>
  <c r="J34" i="17"/>
  <c r="R29" i="17"/>
  <c r="J29" i="17"/>
  <c r="R24" i="17"/>
  <c r="J24" i="17"/>
  <c r="B24" i="17"/>
  <c r="L23" i="17"/>
  <c r="D23" i="17"/>
  <c r="L21" i="17"/>
  <c r="D21" i="17"/>
  <c r="N20" i="17"/>
  <c r="F20" i="17"/>
  <c r="P19" i="17"/>
  <c r="H19" i="17"/>
  <c r="P14" i="17"/>
  <c r="H14" i="17"/>
  <c r="R13" i="17"/>
  <c r="J13" i="17"/>
  <c r="R11" i="17"/>
  <c r="J11" i="17"/>
  <c r="B11" i="17"/>
  <c r="L10" i="17"/>
  <c r="D10" i="17"/>
  <c r="P35" i="16"/>
  <c r="H35" i="16"/>
  <c r="P34" i="16"/>
  <c r="H34" i="16"/>
  <c r="P29" i="16"/>
  <c r="H29" i="16"/>
  <c r="P24" i="16"/>
  <c r="H24" i="16"/>
  <c r="R23" i="16"/>
  <c r="J23" i="16"/>
  <c r="R21" i="16"/>
  <c r="J21" i="16"/>
  <c r="B21" i="16"/>
  <c r="L20" i="16"/>
  <c r="D20" i="16"/>
  <c r="N19" i="16"/>
  <c r="F19" i="16"/>
  <c r="N14" i="16"/>
  <c r="F14" i="16"/>
  <c r="P13" i="16"/>
  <c r="H13" i="16"/>
  <c r="P11" i="16"/>
  <c r="H11" i="16"/>
  <c r="R10" i="16"/>
  <c r="J10" i="16"/>
  <c r="B40" i="14"/>
  <c r="N35" i="14"/>
  <c r="F35" i="14"/>
  <c r="N34" i="14"/>
  <c r="F34" i="14"/>
  <c r="N29" i="14"/>
  <c r="F29" i="14"/>
  <c r="N24" i="14"/>
  <c r="F24" i="14"/>
  <c r="P23" i="14"/>
  <c r="H23" i="14"/>
  <c r="P21" i="14"/>
  <c r="H21" i="14"/>
  <c r="R20" i="14"/>
  <c r="J20" i="14"/>
  <c r="B20" i="14"/>
  <c r="L19" i="14"/>
  <c r="D19" i="14"/>
  <c r="L14" i="14"/>
  <c r="D14" i="14"/>
  <c r="N13" i="14"/>
  <c r="F13" i="14"/>
  <c r="N11" i="14"/>
  <c r="F11" i="14"/>
  <c r="P10" i="14"/>
  <c r="H10" i="14"/>
  <c r="B39" i="13"/>
  <c r="L35" i="13"/>
  <c r="D35" i="13"/>
  <c r="L34" i="13"/>
  <c r="D34" i="13"/>
  <c r="L29" i="13"/>
  <c r="D29" i="13"/>
  <c r="L24" i="13"/>
  <c r="D24" i="13"/>
  <c r="N23" i="13"/>
  <c r="F23" i="13"/>
  <c r="N21" i="13"/>
  <c r="F21" i="13"/>
  <c r="P20" i="13"/>
  <c r="H20" i="13"/>
  <c r="R19" i="13"/>
  <c r="J19" i="13"/>
  <c r="R14" i="13"/>
  <c r="J14" i="13"/>
  <c r="B14" i="13"/>
  <c r="L13" i="13"/>
  <c r="D13" i="13"/>
  <c r="L11" i="13"/>
  <c r="D11" i="13"/>
  <c r="N10" i="13"/>
  <c r="F10" i="13"/>
  <c r="R35" i="11"/>
  <c r="J35" i="11"/>
  <c r="R34" i="11"/>
  <c r="J34" i="11"/>
  <c r="R29" i="11"/>
  <c r="J29" i="11"/>
  <c r="R24" i="11"/>
  <c r="J24" i="11"/>
  <c r="B24" i="11"/>
  <c r="L23" i="11"/>
  <c r="D23" i="11"/>
  <c r="L21" i="11"/>
  <c r="D21" i="11"/>
  <c r="N20" i="11"/>
  <c r="F20" i="11"/>
  <c r="P19" i="11"/>
  <c r="H19" i="11"/>
  <c r="P14" i="11"/>
  <c r="H14" i="11"/>
  <c r="R13" i="11"/>
  <c r="J13" i="11"/>
  <c r="R11" i="11"/>
  <c r="J11" i="11"/>
  <c r="B11" i="11"/>
  <c r="L10" i="11"/>
  <c r="D10" i="11"/>
  <c r="P35" i="10"/>
  <c r="H35" i="10"/>
  <c r="P34" i="10"/>
  <c r="H34" i="10"/>
  <c r="P29" i="10"/>
  <c r="H29" i="10"/>
  <c r="P24" i="10"/>
  <c r="H24" i="10"/>
  <c r="R23" i="10"/>
  <c r="J23" i="10"/>
  <c r="R21" i="10"/>
  <c r="J21" i="10"/>
  <c r="B21" i="10"/>
  <c r="L20" i="10"/>
  <c r="D20" i="10"/>
  <c r="N19" i="10"/>
  <c r="F19" i="10"/>
  <c r="N14" i="10"/>
  <c r="F14" i="10"/>
  <c r="P13" i="10"/>
  <c r="H13" i="10"/>
  <c r="P11" i="10"/>
  <c r="H11" i="10"/>
  <c r="R10" i="10"/>
  <c r="J10" i="10"/>
  <c r="B40" i="8"/>
  <c r="N35" i="8"/>
  <c r="F35" i="8"/>
  <c r="N34" i="8"/>
  <c r="F34" i="8"/>
  <c r="N29" i="8"/>
  <c r="F29" i="8"/>
  <c r="N24" i="8"/>
  <c r="F24" i="8"/>
  <c r="P23" i="8"/>
  <c r="H23" i="8"/>
  <c r="P21" i="8"/>
  <c r="H21" i="8"/>
  <c r="R20" i="8"/>
  <c r="J20" i="8"/>
  <c r="B20" i="8"/>
  <c r="L19" i="8"/>
  <c r="D19" i="8"/>
  <c r="L14" i="8"/>
  <c r="D14" i="8"/>
  <c r="N13" i="8"/>
  <c r="F13" i="8"/>
  <c r="N11" i="8"/>
  <c r="F11" i="8"/>
  <c r="P10" i="8"/>
  <c r="H10" i="8"/>
  <c r="B39" i="7"/>
  <c r="L35" i="7"/>
  <c r="D35" i="7"/>
  <c r="L34" i="7"/>
  <c r="D34" i="7"/>
  <c r="L29" i="7"/>
  <c r="D29" i="7"/>
  <c r="L24" i="7"/>
  <c r="D24" i="7"/>
  <c r="N23" i="7"/>
  <c r="F23" i="7"/>
  <c r="N21" i="7"/>
  <c r="F21" i="7"/>
  <c r="P20" i="7"/>
  <c r="H20" i="7"/>
  <c r="R19" i="7"/>
  <c r="J19" i="7"/>
  <c r="R14" i="7"/>
  <c r="J14" i="7"/>
  <c r="B14" i="7"/>
  <c r="L13" i="7"/>
  <c r="D13" i="7"/>
  <c r="L11" i="7"/>
  <c r="D11" i="7"/>
  <c r="N10" i="7"/>
  <c r="F10" i="7"/>
  <c r="R35" i="5"/>
  <c r="J35" i="5"/>
  <c r="R34" i="5"/>
  <c r="J34" i="5"/>
  <c r="R29" i="5"/>
  <c r="J29" i="5"/>
  <c r="R24" i="5"/>
  <c r="J24" i="5"/>
  <c r="B24" i="5"/>
  <c r="L23" i="5"/>
  <c r="D23" i="5"/>
  <c r="L21" i="5"/>
  <c r="D21" i="5"/>
  <c r="N20" i="5"/>
  <c r="F20" i="5"/>
  <c r="P19" i="5"/>
  <c r="H19" i="5"/>
  <c r="P14" i="5"/>
  <c r="H14" i="5"/>
  <c r="R13" i="5"/>
  <c r="J13" i="5"/>
  <c r="R11" i="5"/>
  <c r="J11" i="5"/>
  <c r="B11" i="5"/>
  <c r="L10" i="5"/>
  <c r="D10" i="5"/>
  <c r="R35" i="4"/>
  <c r="J35" i="4"/>
  <c r="R34" i="4"/>
  <c r="J34" i="4"/>
  <c r="R29" i="4"/>
  <c r="J29" i="4"/>
  <c r="R24" i="4"/>
  <c r="J24" i="4"/>
  <c r="B24" i="4"/>
  <c r="L23" i="4"/>
  <c r="D23" i="4"/>
  <c r="L21" i="4"/>
  <c r="D21" i="4"/>
  <c r="N20" i="4"/>
  <c r="F20" i="4"/>
  <c r="P19" i="4"/>
  <c r="H19" i="4"/>
  <c r="P14" i="4"/>
  <c r="H14" i="4"/>
  <c r="R13" i="4"/>
  <c r="J13" i="4"/>
  <c r="R11" i="4"/>
  <c r="J11" i="4"/>
  <c r="B11" i="4"/>
  <c r="L10" i="4"/>
  <c r="D10" i="4"/>
  <c r="D34" i="17"/>
  <c r="L24" i="17"/>
  <c r="F23" i="17"/>
  <c r="P20" i="17"/>
  <c r="J19" i="17"/>
  <c r="B14" i="17"/>
  <c r="D11" i="17"/>
  <c r="R35" i="16"/>
  <c r="J34" i="16"/>
  <c r="R29" i="16"/>
  <c r="B24" i="16"/>
  <c r="L21" i="16"/>
  <c r="P19" i="16"/>
  <c r="P14" i="16"/>
  <c r="R11" i="16"/>
  <c r="L10" i="16"/>
  <c r="P35" i="14"/>
  <c r="H34" i="14"/>
  <c r="P29" i="14"/>
  <c r="P24" i="14"/>
  <c r="J23" i="14"/>
  <c r="B21" i="14"/>
  <c r="N19" i="14"/>
  <c r="P13" i="14"/>
  <c r="H11" i="14"/>
  <c r="J10" i="14"/>
  <c r="F35" i="13"/>
  <c r="F29" i="13"/>
  <c r="F24" i="13"/>
  <c r="H23" i="13"/>
  <c r="R20" i="13"/>
  <c r="L19" i="13"/>
  <c r="L14" i="13"/>
  <c r="F13" i="13"/>
  <c r="P10" i="13"/>
  <c r="B39" i="11"/>
  <c r="L35" i="11"/>
  <c r="D35" i="11"/>
  <c r="D34" i="11"/>
  <c r="D24" i="11"/>
  <c r="F23" i="11"/>
  <c r="P20" i="11"/>
  <c r="J19" i="11"/>
  <c r="B14" i="11"/>
  <c r="L11" i="11"/>
  <c r="F10" i="11"/>
  <c r="J35" i="10"/>
  <c r="B24" i="10"/>
  <c r="L21" i="10"/>
  <c r="F20" i="10"/>
  <c r="H14" i="10"/>
  <c r="J13" i="10"/>
  <c r="B11" i="10"/>
  <c r="P35" i="8"/>
  <c r="H35" i="8"/>
  <c r="P34" i="8"/>
  <c r="H34" i="8"/>
  <c r="H29" i="8"/>
  <c r="P24" i="8"/>
  <c r="R23" i="8"/>
  <c r="J21" i="8"/>
  <c r="D20" i="8"/>
  <c r="F14" i="8"/>
  <c r="H11" i="8"/>
  <c r="N34" i="7"/>
  <c r="P23" i="7"/>
  <c r="P21" i="7"/>
  <c r="J20" i="7"/>
  <c r="L19" i="7"/>
  <c r="L14" i="7"/>
  <c r="F13" i="7"/>
  <c r="F11" i="7"/>
  <c r="L34" i="5"/>
  <c r="L29" i="5"/>
  <c r="D24" i="5"/>
  <c r="F21" i="5"/>
  <c r="H20" i="5"/>
  <c r="J14" i="5"/>
  <c r="D13" i="5"/>
  <c r="N10" i="5"/>
  <c r="B39" i="4"/>
  <c r="D35" i="4"/>
  <c r="L29" i="4"/>
  <c r="D24" i="4"/>
  <c r="N21" i="4"/>
  <c r="H20" i="4"/>
  <c r="R14" i="4"/>
  <c r="D13" i="4"/>
  <c r="N10" i="4"/>
  <c r="R24" i="31"/>
  <c r="H14" i="31"/>
  <c r="L14" i="29"/>
  <c r="D34" i="28"/>
  <c r="F21" i="28"/>
  <c r="N10" i="28"/>
  <c r="B20" i="26"/>
  <c r="R14" i="25"/>
  <c r="N20" i="23"/>
  <c r="D10" i="23"/>
  <c r="N35" i="20"/>
  <c r="F29" i="20"/>
  <c r="F24" i="20"/>
  <c r="H23" i="20"/>
  <c r="H21" i="20"/>
  <c r="J20" i="20"/>
  <c r="L19" i="20"/>
  <c r="L14" i="20"/>
  <c r="N13" i="20"/>
  <c r="N11" i="20"/>
  <c r="P10" i="20"/>
  <c r="B39" i="19"/>
  <c r="D35" i="19"/>
  <c r="D34" i="19"/>
  <c r="D29" i="19"/>
  <c r="D24" i="19"/>
  <c r="F23" i="19"/>
  <c r="F21" i="19"/>
  <c r="H20" i="19"/>
  <c r="J19" i="19"/>
  <c r="J14" i="19"/>
  <c r="L13" i="19"/>
  <c r="L11" i="19"/>
  <c r="N10" i="19"/>
  <c r="P35" i="17"/>
  <c r="H35" i="17"/>
  <c r="P34" i="17"/>
  <c r="H34" i="17"/>
  <c r="P29" i="17"/>
  <c r="H29" i="17"/>
  <c r="P24" i="17"/>
  <c r="H24" i="17"/>
  <c r="R23" i="17"/>
  <c r="J23" i="17"/>
  <c r="R21" i="17"/>
  <c r="J21" i="17"/>
  <c r="B21" i="17"/>
  <c r="L20" i="17"/>
  <c r="D20" i="17"/>
  <c r="N19" i="17"/>
  <c r="F19" i="17"/>
  <c r="N14" i="17"/>
  <c r="F14" i="17"/>
  <c r="P13" i="17"/>
  <c r="H13" i="17"/>
  <c r="P11" i="17"/>
  <c r="H11" i="17"/>
  <c r="R10" i="17"/>
  <c r="J10" i="17"/>
  <c r="B40" i="16"/>
  <c r="N35" i="16"/>
  <c r="F35" i="16"/>
  <c r="N34" i="16"/>
  <c r="F34" i="16"/>
  <c r="N29" i="16"/>
  <c r="F29" i="16"/>
  <c r="N24" i="16"/>
  <c r="F24" i="16"/>
  <c r="P23" i="16"/>
  <c r="H23" i="16"/>
  <c r="P21" i="16"/>
  <c r="H21" i="16"/>
  <c r="R20" i="16"/>
  <c r="J20" i="16"/>
  <c r="B20" i="16"/>
  <c r="L19" i="16"/>
  <c r="D19" i="16"/>
  <c r="L14" i="16"/>
  <c r="D14" i="16"/>
  <c r="N13" i="16"/>
  <c r="F13" i="16"/>
  <c r="N11" i="16"/>
  <c r="F11" i="16"/>
  <c r="P10" i="16"/>
  <c r="H10" i="16"/>
  <c r="B39" i="14"/>
  <c r="L35" i="14"/>
  <c r="D35" i="14"/>
  <c r="L34" i="14"/>
  <c r="D34" i="14"/>
  <c r="L29" i="14"/>
  <c r="D29" i="14"/>
  <c r="L24" i="14"/>
  <c r="D24" i="14"/>
  <c r="N23" i="14"/>
  <c r="F23" i="14"/>
  <c r="N21" i="14"/>
  <c r="F21" i="14"/>
  <c r="P20" i="14"/>
  <c r="H20" i="14"/>
  <c r="R19" i="14"/>
  <c r="J19" i="14"/>
  <c r="R14" i="14"/>
  <c r="J14" i="14"/>
  <c r="B14" i="14"/>
  <c r="L13" i="14"/>
  <c r="D13" i="14"/>
  <c r="L11" i="14"/>
  <c r="D11" i="14"/>
  <c r="N10" i="14"/>
  <c r="F10" i="14"/>
  <c r="R35" i="13"/>
  <c r="J35" i="13"/>
  <c r="R34" i="13"/>
  <c r="J34" i="13"/>
  <c r="R29" i="13"/>
  <c r="J29" i="13"/>
  <c r="R24" i="13"/>
  <c r="J24" i="13"/>
  <c r="B24" i="13"/>
  <c r="L23" i="13"/>
  <c r="D23" i="13"/>
  <c r="L21" i="13"/>
  <c r="D21" i="13"/>
  <c r="N20" i="13"/>
  <c r="F20" i="13"/>
  <c r="P19" i="13"/>
  <c r="H19" i="13"/>
  <c r="P14" i="13"/>
  <c r="H14" i="13"/>
  <c r="R13" i="13"/>
  <c r="J13" i="13"/>
  <c r="R11" i="13"/>
  <c r="J11" i="13"/>
  <c r="B11" i="13"/>
  <c r="L10" i="13"/>
  <c r="D10" i="13"/>
  <c r="P35" i="11"/>
  <c r="H35" i="11"/>
  <c r="P34" i="11"/>
  <c r="H34" i="11"/>
  <c r="P29" i="11"/>
  <c r="H29" i="11"/>
  <c r="P24" i="11"/>
  <c r="H24" i="11"/>
  <c r="R23" i="11"/>
  <c r="J23" i="11"/>
  <c r="R21" i="11"/>
  <c r="J21" i="11"/>
  <c r="B21" i="11"/>
  <c r="L20" i="11"/>
  <c r="D20" i="11"/>
  <c r="N19" i="11"/>
  <c r="F19" i="11"/>
  <c r="N14" i="11"/>
  <c r="F14" i="11"/>
  <c r="P13" i="11"/>
  <c r="H13" i="11"/>
  <c r="P11" i="11"/>
  <c r="H11" i="11"/>
  <c r="R10" i="11"/>
  <c r="J10" i="11"/>
  <c r="B40" i="10"/>
  <c r="N35" i="10"/>
  <c r="F35" i="10"/>
  <c r="N34" i="10"/>
  <c r="F34" i="10"/>
  <c r="N29" i="10"/>
  <c r="F29" i="10"/>
  <c r="N24" i="10"/>
  <c r="F24" i="10"/>
  <c r="P23" i="10"/>
  <c r="H23" i="10"/>
  <c r="P21" i="10"/>
  <c r="H21" i="10"/>
  <c r="R20" i="10"/>
  <c r="J20" i="10"/>
  <c r="B20" i="10"/>
  <c r="L19" i="10"/>
  <c r="D19" i="10"/>
  <c r="L14" i="10"/>
  <c r="D14" i="10"/>
  <c r="N13" i="10"/>
  <c r="F13" i="10"/>
  <c r="N11" i="10"/>
  <c r="F11" i="10"/>
  <c r="P10" i="10"/>
  <c r="H10" i="10"/>
  <c r="B39" i="8"/>
  <c r="L35" i="8"/>
  <c r="D35" i="8"/>
  <c r="L34" i="8"/>
  <c r="D34" i="8"/>
  <c r="L29" i="8"/>
  <c r="D29" i="8"/>
  <c r="L24" i="8"/>
  <c r="D24" i="8"/>
  <c r="N23" i="8"/>
  <c r="F23" i="8"/>
  <c r="N21" i="8"/>
  <c r="F21" i="8"/>
  <c r="P20" i="8"/>
  <c r="H20" i="8"/>
  <c r="R19" i="8"/>
  <c r="J19" i="8"/>
  <c r="R14" i="8"/>
  <c r="J14" i="8"/>
  <c r="B14" i="8"/>
  <c r="L13" i="8"/>
  <c r="D13" i="8"/>
  <c r="L11" i="8"/>
  <c r="D11" i="8"/>
  <c r="N10" i="8"/>
  <c r="F10" i="8"/>
  <c r="R35" i="7"/>
  <c r="J35" i="7"/>
  <c r="R34" i="7"/>
  <c r="J34" i="7"/>
  <c r="R29" i="7"/>
  <c r="J29" i="7"/>
  <c r="R24" i="7"/>
  <c r="J24" i="7"/>
  <c r="B24" i="7"/>
  <c r="L23" i="7"/>
  <c r="D23" i="7"/>
  <c r="L21" i="7"/>
  <c r="D21" i="7"/>
  <c r="N20" i="7"/>
  <c r="F20" i="7"/>
  <c r="P19" i="7"/>
  <c r="H19" i="7"/>
  <c r="P14" i="7"/>
  <c r="H14" i="7"/>
  <c r="R13" i="7"/>
  <c r="J13" i="7"/>
  <c r="R11" i="7"/>
  <c r="J11" i="7"/>
  <c r="B11" i="7"/>
  <c r="L10" i="7"/>
  <c r="D10" i="7"/>
  <c r="P35" i="5"/>
  <c r="H35" i="5"/>
  <c r="P34" i="5"/>
  <c r="H34" i="5"/>
  <c r="P29" i="5"/>
  <c r="H29" i="5"/>
  <c r="P24" i="5"/>
  <c r="H24" i="5"/>
  <c r="R23" i="5"/>
  <c r="J23" i="5"/>
  <c r="R21" i="5"/>
  <c r="J21" i="5"/>
  <c r="B21" i="5"/>
  <c r="L20" i="5"/>
  <c r="D20" i="5"/>
  <c r="N19" i="5"/>
  <c r="F19" i="5"/>
  <c r="N14" i="5"/>
  <c r="F14" i="5"/>
  <c r="P13" i="5"/>
  <c r="H13" i="5"/>
  <c r="P11" i="5"/>
  <c r="H11" i="5"/>
  <c r="R10" i="5"/>
  <c r="J10" i="5"/>
  <c r="D4" i="5"/>
  <c r="P35" i="4"/>
  <c r="H35" i="4"/>
  <c r="P34" i="4"/>
  <c r="H34" i="4"/>
  <c r="P29" i="4"/>
  <c r="H29" i="4"/>
  <c r="P24" i="4"/>
  <c r="H24" i="4"/>
  <c r="R23" i="4"/>
  <c r="J23" i="4"/>
  <c r="R21" i="4"/>
  <c r="J21" i="4"/>
  <c r="B21" i="4"/>
  <c r="L20" i="4"/>
  <c r="D20" i="4"/>
  <c r="N19" i="4"/>
  <c r="F19" i="4"/>
  <c r="N14" i="4"/>
  <c r="F14" i="4"/>
  <c r="P13" i="4"/>
  <c r="H13" i="4"/>
  <c r="P11" i="4"/>
  <c r="H11" i="4"/>
  <c r="R10" i="4"/>
  <c r="J10" i="4"/>
  <c r="D4" i="4"/>
  <c r="B39" i="17"/>
  <c r="L35" i="17"/>
  <c r="L34" i="17"/>
  <c r="L29" i="17"/>
  <c r="N23" i="17"/>
  <c r="F21" i="17"/>
  <c r="H20" i="17"/>
  <c r="R14" i="17"/>
  <c r="L13" i="17"/>
  <c r="L11" i="17"/>
  <c r="F10" i="17"/>
  <c r="J35" i="16"/>
  <c r="J24" i="16"/>
  <c r="D23" i="16"/>
  <c r="D21" i="16"/>
  <c r="F20" i="16"/>
  <c r="R13" i="16"/>
  <c r="J11" i="16"/>
  <c r="D10" i="16"/>
  <c r="P34" i="14"/>
  <c r="R23" i="14"/>
  <c r="R21" i="14"/>
  <c r="L20" i="14"/>
  <c r="F19" i="14"/>
  <c r="N14" i="14"/>
  <c r="P11" i="14"/>
  <c r="B40" i="13"/>
  <c r="N34" i="13"/>
  <c r="N29" i="13"/>
  <c r="N24" i="13"/>
  <c r="P21" i="13"/>
  <c r="B20" i="13"/>
  <c r="N13" i="13"/>
  <c r="F11" i="13"/>
  <c r="L34" i="11"/>
  <c r="D29" i="11"/>
  <c r="L24" i="11"/>
  <c r="F21" i="11"/>
  <c r="R19" i="11"/>
  <c r="J14" i="11"/>
  <c r="L13" i="11"/>
  <c r="D11" i="11"/>
  <c r="R35" i="10"/>
  <c r="J34" i="10"/>
  <c r="J29" i="10"/>
  <c r="R24" i="10"/>
  <c r="L23" i="10"/>
  <c r="D21" i="10"/>
  <c r="H19" i="10"/>
  <c r="R13" i="10"/>
  <c r="J11" i="10"/>
  <c r="D10" i="10"/>
  <c r="P29" i="8"/>
  <c r="J23" i="8"/>
  <c r="B21" i="8"/>
  <c r="F19" i="8"/>
  <c r="N14" i="8"/>
  <c r="H13" i="8"/>
  <c r="R10" i="8"/>
  <c r="B40" i="7"/>
  <c r="N35" i="7"/>
  <c r="F34" i="7"/>
  <c r="N29" i="7"/>
  <c r="N24" i="7"/>
  <c r="H21" i="7"/>
  <c r="B20" i="7"/>
  <c r="N13" i="7"/>
  <c r="P10" i="7"/>
  <c r="B39" i="5"/>
  <c r="D35" i="5"/>
  <c r="D29" i="5"/>
  <c r="N23" i="5"/>
  <c r="N21" i="5"/>
  <c r="R19" i="5"/>
  <c r="R14" i="5"/>
  <c r="L13" i="5"/>
  <c r="D11" i="5"/>
  <c r="L35" i="4"/>
  <c r="D34" i="4"/>
  <c r="D29" i="4"/>
  <c r="L24" i="4"/>
  <c r="F23" i="4"/>
  <c r="P20" i="4"/>
  <c r="J19" i="4"/>
  <c r="B14" i="4"/>
  <c r="D11" i="4"/>
  <c r="D23" i="31"/>
  <c r="J11" i="31"/>
  <c r="F35" i="29"/>
  <c r="H23" i="29"/>
  <c r="N11" i="29"/>
  <c r="J19" i="28"/>
  <c r="L35" i="25"/>
  <c r="N23" i="25"/>
  <c r="D13" i="25"/>
  <c r="J29" i="23"/>
  <c r="H24" i="22"/>
  <c r="P13" i="22"/>
  <c r="P34" i="20"/>
  <c r="P24" i="20"/>
  <c r="R23" i="20"/>
  <c r="R21" i="20"/>
  <c r="B21" i="20"/>
  <c r="D20" i="20"/>
  <c r="F19" i="20"/>
  <c r="F14" i="20"/>
  <c r="H13" i="20"/>
  <c r="H11" i="20"/>
  <c r="J10" i="20"/>
  <c r="N35" i="19"/>
  <c r="N34" i="19"/>
  <c r="N29" i="19"/>
  <c r="N24" i="19"/>
  <c r="P23" i="19"/>
  <c r="P21" i="19"/>
  <c r="R20" i="19"/>
  <c r="B20" i="19"/>
  <c r="D19" i="19"/>
  <c r="D14" i="19"/>
  <c r="F13" i="19"/>
  <c r="F11" i="19"/>
  <c r="H10" i="19"/>
  <c r="B40" i="17"/>
  <c r="N35" i="17"/>
  <c r="F35" i="17"/>
  <c r="N34" i="17"/>
  <c r="F34" i="17"/>
  <c r="N29" i="17"/>
  <c r="F29" i="17"/>
  <c r="N24" i="17"/>
  <c r="F24" i="17"/>
  <c r="P23" i="17"/>
  <c r="H23" i="17"/>
  <c r="P21" i="17"/>
  <c r="H21" i="17"/>
  <c r="R20" i="17"/>
  <c r="J20" i="17"/>
  <c r="B20" i="17"/>
  <c r="L19" i="17"/>
  <c r="D19" i="17"/>
  <c r="L14" i="17"/>
  <c r="D14" i="17"/>
  <c r="N13" i="17"/>
  <c r="F13" i="17"/>
  <c r="N11" i="17"/>
  <c r="F11" i="17"/>
  <c r="P10" i="17"/>
  <c r="H10" i="17"/>
  <c r="B39" i="16"/>
  <c r="L35" i="16"/>
  <c r="D35" i="16"/>
  <c r="L34" i="16"/>
  <c r="D34" i="16"/>
  <c r="L29" i="16"/>
  <c r="D29" i="16"/>
  <c r="L24" i="16"/>
  <c r="D24" i="16"/>
  <c r="N23" i="16"/>
  <c r="F23" i="16"/>
  <c r="N21" i="16"/>
  <c r="F21" i="16"/>
  <c r="P20" i="16"/>
  <c r="H20" i="16"/>
  <c r="R19" i="16"/>
  <c r="J19" i="16"/>
  <c r="R14" i="16"/>
  <c r="J14" i="16"/>
  <c r="B14" i="16"/>
  <c r="L13" i="16"/>
  <c r="D13" i="16"/>
  <c r="L11" i="16"/>
  <c r="D11" i="16"/>
  <c r="N10" i="16"/>
  <c r="F10" i="16"/>
  <c r="R35" i="14"/>
  <c r="J35" i="14"/>
  <c r="R34" i="14"/>
  <c r="J34" i="14"/>
  <c r="R29" i="14"/>
  <c r="J29" i="14"/>
  <c r="R24" i="14"/>
  <c r="J24" i="14"/>
  <c r="B24" i="14"/>
  <c r="L23" i="14"/>
  <c r="D23" i="14"/>
  <c r="L21" i="14"/>
  <c r="D21" i="14"/>
  <c r="N20" i="14"/>
  <c r="F20" i="14"/>
  <c r="P19" i="14"/>
  <c r="H19" i="14"/>
  <c r="P14" i="14"/>
  <c r="H14" i="14"/>
  <c r="R13" i="14"/>
  <c r="J13" i="14"/>
  <c r="R11" i="14"/>
  <c r="J11" i="14"/>
  <c r="B11" i="14"/>
  <c r="L10" i="14"/>
  <c r="D10" i="14"/>
  <c r="P35" i="13"/>
  <c r="H35" i="13"/>
  <c r="P34" i="13"/>
  <c r="H34" i="13"/>
  <c r="P29" i="13"/>
  <c r="H29" i="13"/>
  <c r="P24" i="13"/>
  <c r="H24" i="13"/>
  <c r="R23" i="13"/>
  <c r="J23" i="13"/>
  <c r="R21" i="13"/>
  <c r="J21" i="13"/>
  <c r="B21" i="13"/>
  <c r="L20" i="13"/>
  <c r="D20" i="13"/>
  <c r="N19" i="13"/>
  <c r="F19" i="13"/>
  <c r="N14" i="13"/>
  <c r="F14" i="13"/>
  <c r="P13" i="13"/>
  <c r="H13" i="13"/>
  <c r="P11" i="13"/>
  <c r="H11" i="13"/>
  <c r="R10" i="13"/>
  <c r="J10" i="13"/>
  <c r="B40" i="11"/>
  <c r="N35" i="11"/>
  <c r="F35" i="11"/>
  <c r="N34" i="11"/>
  <c r="F34" i="11"/>
  <c r="N29" i="11"/>
  <c r="F29" i="11"/>
  <c r="N24" i="11"/>
  <c r="F24" i="11"/>
  <c r="P23" i="11"/>
  <c r="H23" i="11"/>
  <c r="P21" i="11"/>
  <c r="H21" i="11"/>
  <c r="R20" i="11"/>
  <c r="J20" i="11"/>
  <c r="B20" i="11"/>
  <c r="L19" i="11"/>
  <c r="D19" i="11"/>
  <c r="L14" i="11"/>
  <c r="D14" i="11"/>
  <c r="N13" i="11"/>
  <c r="F13" i="11"/>
  <c r="N11" i="11"/>
  <c r="F11" i="11"/>
  <c r="P10" i="11"/>
  <c r="H10" i="11"/>
  <c r="B39" i="10"/>
  <c r="L35" i="10"/>
  <c r="D35" i="10"/>
  <c r="L34" i="10"/>
  <c r="D34" i="10"/>
  <c r="L29" i="10"/>
  <c r="D29" i="10"/>
  <c r="L24" i="10"/>
  <c r="D24" i="10"/>
  <c r="N23" i="10"/>
  <c r="F23" i="10"/>
  <c r="N21" i="10"/>
  <c r="F21" i="10"/>
  <c r="P20" i="10"/>
  <c r="H20" i="10"/>
  <c r="R19" i="10"/>
  <c r="J19" i="10"/>
  <c r="R14" i="10"/>
  <c r="J14" i="10"/>
  <c r="B14" i="10"/>
  <c r="L13" i="10"/>
  <c r="D13" i="10"/>
  <c r="L11" i="10"/>
  <c r="D11" i="10"/>
  <c r="N10" i="10"/>
  <c r="F10" i="10"/>
  <c r="R35" i="8"/>
  <c r="J35" i="8"/>
  <c r="R34" i="8"/>
  <c r="J34" i="8"/>
  <c r="R29" i="8"/>
  <c r="J29" i="8"/>
  <c r="R24" i="8"/>
  <c r="J24" i="8"/>
  <c r="B24" i="8"/>
  <c r="L23" i="8"/>
  <c r="D23" i="8"/>
  <c r="L21" i="8"/>
  <c r="D21" i="8"/>
  <c r="N20" i="8"/>
  <c r="F20" i="8"/>
  <c r="P19" i="8"/>
  <c r="H19" i="8"/>
  <c r="P14" i="8"/>
  <c r="H14" i="8"/>
  <c r="R13" i="8"/>
  <c r="J13" i="8"/>
  <c r="R11" i="8"/>
  <c r="J11" i="8"/>
  <c r="B11" i="8"/>
  <c r="L10" i="8"/>
  <c r="D10" i="8"/>
  <c r="P35" i="7"/>
  <c r="H35" i="7"/>
  <c r="P34" i="7"/>
  <c r="H34" i="7"/>
  <c r="P29" i="7"/>
  <c r="H29" i="7"/>
  <c r="P24" i="7"/>
  <c r="H24" i="7"/>
  <c r="R23" i="7"/>
  <c r="J23" i="7"/>
  <c r="R21" i="7"/>
  <c r="J21" i="7"/>
  <c r="B21" i="7"/>
  <c r="L20" i="7"/>
  <c r="D20" i="7"/>
  <c r="N19" i="7"/>
  <c r="F19" i="7"/>
  <c r="N14" i="7"/>
  <c r="F14" i="7"/>
  <c r="P13" i="7"/>
  <c r="H13" i="7"/>
  <c r="P11" i="7"/>
  <c r="H11" i="7"/>
  <c r="R10" i="7"/>
  <c r="J10" i="7"/>
  <c r="B40" i="5"/>
  <c r="N35" i="5"/>
  <c r="F35" i="5"/>
  <c r="N34" i="5"/>
  <c r="F34" i="5"/>
  <c r="N29" i="5"/>
  <c r="F29" i="5"/>
  <c r="N24" i="5"/>
  <c r="F24" i="5"/>
  <c r="P23" i="5"/>
  <c r="H23" i="5"/>
  <c r="P21" i="5"/>
  <c r="H21" i="5"/>
  <c r="R20" i="5"/>
  <c r="J20" i="5"/>
  <c r="B20" i="5"/>
  <c r="L19" i="5"/>
  <c r="D19" i="5"/>
  <c r="L14" i="5"/>
  <c r="D14" i="5"/>
  <c r="N13" i="5"/>
  <c r="F13" i="5"/>
  <c r="N11" i="5"/>
  <c r="F11" i="5"/>
  <c r="P10" i="5"/>
  <c r="H10" i="5"/>
  <c r="B40" i="4"/>
  <c r="N35" i="4"/>
  <c r="F35" i="4"/>
  <c r="N34" i="4"/>
  <c r="F34" i="4"/>
  <c r="N29" i="4"/>
  <c r="F29" i="4"/>
  <c r="N24" i="4"/>
  <c r="F24" i="4"/>
  <c r="P23" i="4"/>
  <c r="H23" i="4"/>
  <c r="P21" i="4"/>
  <c r="H21" i="4"/>
  <c r="R20" i="4"/>
  <c r="J20" i="4"/>
  <c r="B20" i="4"/>
  <c r="L19" i="4"/>
  <c r="D19" i="4"/>
  <c r="L14" i="4"/>
  <c r="D14" i="4"/>
  <c r="N13" i="4"/>
  <c r="F13" i="4"/>
  <c r="N11" i="4"/>
  <c r="F11" i="4"/>
  <c r="P10" i="4"/>
  <c r="H10" i="4"/>
  <c r="D35" i="17"/>
  <c r="D29" i="17"/>
  <c r="D24" i="17"/>
  <c r="N21" i="17"/>
  <c r="R19" i="17"/>
  <c r="J14" i="17"/>
  <c r="D13" i="17"/>
  <c r="N10" i="17"/>
  <c r="R34" i="16"/>
  <c r="J29" i="16"/>
  <c r="R24" i="16"/>
  <c r="L23" i="16"/>
  <c r="N20" i="16"/>
  <c r="H19" i="16"/>
  <c r="H14" i="16"/>
  <c r="J13" i="16"/>
  <c r="B11" i="16"/>
  <c r="H35" i="14"/>
  <c r="H29" i="14"/>
  <c r="H24" i="14"/>
  <c r="J21" i="14"/>
  <c r="D20" i="14"/>
  <c r="F14" i="14"/>
  <c r="H13" i="14"/>
  <c r="R10" i="14"/>
  <c r="N35" i="13"/>
  <c r="F34" i="13"/>
  <c r="P23" i="13"/>
  <c r="H21" i="13"/>
  <c r="J20" i="13"/>
  <c r="D19" i="13"/>
  <c r="D14" i="13"/>
  <c r="N11" i="13"/>
  <c r="H10" i="13"/>
  <c r="L29" i="11"/>
  <c r="N23" i="11"/>
  <c r="N21" i="11"/>
  <c r="H20" i="11"/>
  <c r="R14" i="11"/>
  <c r="D13" i="11"/>
  <c r="N10" i="11"/>
  <c r="R34" i="10"/>
  <c r="R29" i="10"/>
  <c r="J24" i="10"/>
  <c r="D23" i="10"/>
  <c r="N20" i="10"/>
  <c r="P19" i="10"/>
  <c r="P14" i="10"/>
  <c r="R11" i="10"/>
  <c r="L10" i="10"/>
  <c r="H24" i="8"/>
  <c r="R21" i="8"/>
  <c r="L20" i="8"/>
  <c r="N19" i="8"/>
  <c r="P13" i="8"/>
  <c r="P11" i="8"/>
  <c r="J10" i="8"/>
  <c r="F35" i="7"/>
  <c r="F29" i="7"/>
  <c r="F24" i="7"/>
  <c r="H23" i="7"/>
  <c r="R20" i="7"/>
  <c r="D19" i="7"/>
  <c r="D14" i="7"/>
  <c r="N11" i="7"/>
  <c r="H10" i="7"/>
  <c r="L35" i="5"/>
  <c r="D34" i="5"/>
  <c r="L24" i="5"/>
  <c r="F23" i="5"/>
  <c r="P20" i="5"/>
  <c r="J19" i="5"/>
  <c r="B14" i="5"/>
  <c r="L11" i="5"/>
  <c r="F10" i="5"/>
  <c r="L34" i="4"/>
  <c r="N23" i="4"/>
  <c r="F21" i="4"/>
  <c r="R19" i="4"/>
  <c r="J14" i="4"/>
  <c r="L13" i="4"/>
  <c r="L11" i="4"/>
  <c r="F10" i="4"/>
  <c r="F20" i="31"/>
  <c r="J20" i="29"/>
  <c r="B39" i="28"/>
  <c r="N24" i="26"/>
  <c r="D14" i="26"/>
  <c r="P20" i="25"/>
  <c r="F10" i="25"/>
  <c r="P14" i="23"/>
  <c r="H34" i="22"/>
  <c r="J21" i="22"/>
  <c r="R10" i="22"/>
  <c r="N34" i="20"/>
  <c r="P29" i="20"/>
  <c r="N24" i="20"/>
  <c r="P23" i="20"/>
  <c r="P21" i="20"/>
  <c r="R20" i="20"/>
  <c r="B20" i="20"/>
  <c r="D19" i="20"/>
  <c r="D14" i="20"/>
  <c r="F13" i="20"/>
  <c r="F11" i="20"/>
  <c r="H10" i="20"/>
  <c r="L35" i="19"/>
  <c r="L34" i="19"/>
  <c r="L29" i="19"/>
  <c r="L24" i="19"/>
  <c r="N23" i="19"/>
  <c r="N21" i="19"/>
  <c r="P20" i="19"/>
  <c r="R19" i="19"/>
  <c r="R14" i="19"/>
  <c r="B14" i="19"/>
  <c r="D13" i="19"/>
  <c r="D11" i="19"/>
  <c r="F10" i="19"/>
  <c r="F16" i="19" l="1"/>
  <c r="H16" i="20"/>
  <c r="R16" i="22"/>
  <c r="F16" i="25"/>
  <c r="F16" i="4"/>
  <c r="F16" i="5"/>
  <c r="H16" i="7"/>
  <c r="J16" i="8"/>
  <c r="L16" i="10"/>
  <c r="N16" i="11"/>
  <c r="H16" i="13"/>
  <c r="R16" i="14"/>
  <c r="N16" i="17"/>
  <c r="H16" i="4"/>
  <c r="P16" i="4"/>
  <c r="H16" i="5"/>
  <c r="P16" i="5"/>
  <c r="J16" i="7"/>
  <c r="R16" i="7"/>
  <c r="D16" i="8"/>
  <c r="L16" i="8"/>
  <c r="F16" i="10"/>
  <c r="N16" i="10"/>
  <c r="H16" i="11"/>
  <c r="P16" i="11"/>
  <c r="J16" i="13"/>
  <c r="R16" i="13"/>
  <c r="D16" i="14"/>
  <c r="L16" i="14"/>
  <c r="F16" i="16"/>
  <c r="N16" i="16"/>
  <c r="H16" i="17"/>
  <c r="P16" i="17"/>
  <c r="H16" i="19"/>
  <c r="J16" i="20"/>
  <c r="P16" i="7"/>
  <c r="R16" i="8"/>
  <c r="D16" i="10"/>
  <c r="D16" i="16"/>
  <c r="F16" i="17"/>
  <c r="J16" i="4"/>
  <c r="R16" i="4"/>
  <c r="J16" i="5"/>
  <c r="R16" i="5"/>
  <c r="D16" i="7"/>
  <c r="L16" i="7"/>
  <c r="F16" i="8"/>
  <c r="N16" i="8"/>
  <c r="H16" i="10"/>
  <c r="P16" i="10"/>
  <c r="J16" i="11"/>
  <c r="R16" i="11"/>
  <c r="D16" i="13"/>
  <c r="L16" i="13"/>
  <c r="F16" i="14"/>
  <c r="N16" i="14"/>
  <c r="H16" i="16"/>
  <c r="P16" i="16"/>
  <c r="J16" i="17"/>
  <c r="R16" i="17"/>
  <c r="N16" i="19"/>
  <c r="P16" i="20"/>
  <c r="D16" i="23"/>
  <c r="N16" i="28"/>
  <c r="N16" i="4"/>
  <c r="N16" i="5"/>
  <c r="F16" i="11"/>
  <c r="P16" i="13"/>
  <c r="J16" i="14"/>
  <c r="L16" i="16"/>
  <c r="D16" i="4"/>
  <c r="L16" i="4"/>
  <c r="D16" i="5"/>
  <c r="L16" i="5"/>
  <c r="F16" i="7"/>
  <c r="N16" i="7"/>
  <c r="H16" i="8"/>
  <c r="P16" i="8"/>
  <c r="J16" i="10"/>
  <c r="R16" i="10"/>
  <c r="D16" i="11"/>
  <c r="L16" i="11"/>
  <c r="F16" i="13"/>
  <c r="N16" i="13"/>
  <c r="H16" i="14"/>
  <c r="P16" i="14"/>
  <c r="J16" i="16"/>
  <c r="R16" i="16"/>
  <c r="D16" i="17"/>
  <c r="L16" i="17"/>
  <c r="P16" i="19"/>
  <c r="R16" i="20"/>
  <c r="N16" i="32"/>
  <c r="R16" i="34"/>
  <c r="D16" i="35"/>
  <c r="R16" i="37"/>
  <c r="D16" i="38"/>
  <c r="D16" i="41"/>
  <c r="J16" i="19"/>
  <c r="R16" i="19"/>
  <c r="D16" i="20"/>
  <c r="L16" i="20"/>
  <c r="L16" i="23"/>
  <c r="N16" i="25"/>
  <c r="H16" i="29"/>
  <c r="D16" i="31"/>
  <c r="L16" i="35"/>
  <c r="L16" i="38"/>
  <c r="H16" i="40"/>
  <c r="N16" i="41"/>
  <c r="J16" i="47"/>
  <c r="J16" i="49"/>
  <c r="D16" i="19"/>
  <c r="L16" i="19"/>
  <c r="F16" i="20"/>
  <c r="N16" i="20"/>
  <c r="H16" i="26"/>
  <c r="P16" i="29"/>
  <c r="L16" i="31"/>
  <c r="R16" i="40"/>
  <c r="J16" i="22"/>
  <c r="P16" i="26"/>
  <c r="F16" i="28"/>
  <c r="F16" i="32"/>
  <c r="J16" i="34"/>
  <c r="J16" i="37"/>
  <c r="L16" i="43"/>
  <c r="D16" i="22"/>
  <c r="L16" i="22"/>
  <c r="F16" i="23"/>
  <c r="N16" i="23"/>
  <c r="H16" i="25"/>
  <c r="P16" i="25"/>
  <c r="J16" i="26"/>
  <c r="R16" i="26"/>
  <c r="H16" i="28"/>
  <c r="P16" i="28"/>
  <c r="J16" i="29"/>
  <c r="R16" i="29"/>
  <c r="F16" i="31"/>
  <c r="N16" i="31"/>
  <c r="H16" i="32"/>
  <c r="P16" i="32"/>
  <c r="D16" i="34"/>
  <c r="L16" i="34"/>
  <c r="F16" i="35"/>
  <c r="N16" i="35"/>
  <c r="D16" i="37"/>
  <c r="L16" i="37"/>
  <c r="F16" i="38"/>
  <c r="N16" i="38"/>
  <c r="J16" i="40"/>
  <c r="F16" i="41"/>
  <c r="R16" i="41"/>
  <c r="F16" i="44"/>
  <c r="R16" i="47"/>
  <c r="R16" i="49"/>
  <c r="D16" i="50"/>
  <c r="F16" i="22"/>
  <c r="N16" i="22"/>
  <c r="H16" i="23"/>
  <c r="P16" i="23"/>
  <c r="J16" i="25"/>
  <c r="R16" i="25"/>
  <c r="D16" i="26"/>
  <c r="L16" i="26"/>
  <c r="J16" i="28"/>
  <c r="R16" i="28"/>
  <c r="D16" i="29"/>
  <c r="L16" i="29"/>
  <c r="H16" i="31"/>
  <c r="P16" i="31"/>
  <c r="J16" i="32"/>
  <c r="R16" i="32"/>
  <c r="F16" i="34"/>
  <c r="N16" i="34"/>
  <c r="H16" i="35"/>
  <c r="P16" i="35"/>
  <c r="F16" i="37"/>
  <c r="N16" i="37"/>
  <c r="H16" i="38"/>
  <c r="P16" i="38"/>
  <c r="L16" i="40"/>
  <c r="J16" i="41"/>
  <c r="N16" i="44"/>
  <c r="H16" i="46"/>
  <c r="L16" i="50"/>
  <c r="D16" i="52"/>
  <c r="H16" i="22"/>
  <c r="P16" i="22"/>
  <c r="J16" i="23"/>
  <c r="R16" i="23"/>
  <c r="D16" i="25"/>
  <c r="L16" i="25"/>
  <c r="F16" i="26"/>
  <c r="N16" i="26"/>
  <c r="D16" i="28"/>
  <c r="L16" i="28"/>
  <c r="F16" i="29"/>
  <c r="N16" i="29"/>
  <c r="J16" i="31"/>
  <c r="R16" i="31"/>
  <c r="D16" i="32"/>
  <c r="L16" i="32"/>
  <c r="H16" i="34"/>
  <c r="P16" i="34"/>
  <c r="J16" i="35"/>
  <c r="R16" i="35"/>
  <c r="H16" i="37"/>
  <c r="P16" i="37"/>
  <c r="J16" i="38"/>
  <c r="R16" i="38"/>
  <c r="D16" i="40"/>
  <c r="P16" i="40"/>
  <c r="L16" i="41"/>
  <c r="D16" i="43"/>
  <c r="P16" i="46"/>
  <c r="F16" i="43"/>
  <c r="N16" i="43"/>
  <c r="H16" i="44"/>
  <c r="P16" i="44"/>
  <c r="J16" i="46"/>
  <c r="R16" i="46"/>
  <c r="D16" i="47"/>
  <c r="L16" i="47"/>
  <c r="D16" i="49"/>
  <c r="L16" i="49"/>
  <c r="F16" i="50"/>
  <c r="N16" i="50"/>
  <c r="L16" i="52"/>
  <c r="H16" i="43"/>
  <c r="P16" i="43"/>
  <c r="J16" i="44"/>
  <c r="R16" i="44"/>
  <c r="D16" i="46"/>
  <c r="L16" i="46"/>
  <c r="F16" i="47"/>
  <c r="N16" i="47"/>
  <c r="F16" i="49"/>
  <c r="N16" i="49"/>
  <c r="H16" i="50"/>
  <c r="P16" i="50"/>
  <c r="F16" i="53"/>
  <c r="F16" i="40"/>
  <c r="N16" i="40"/>
  <c r="H16" i="41"/>
  <c r="P16" i="41"/>
  <c r="J16" i="43"/>
  <c r="R16" i="43"/>
  <c r="D16" i="44"/>
  <c r="L16" i="44"/>
  <c r="F16" i="46"/>
  <c r="N16" i="46"/>
  <c r="H16" i="47"/>
  <c r="P16" i="47"/>
  <c r="H16" i="49"/>
  <c r="P16" i="49"/>
  <c r="J16" i="50"/>
  <c r="R16" i="50"/>
  <c r="N16" i="53"/>
  <c r="F16" i="52"/>
  <c r="N16" i="52"/>
  <c r="H16" i="53"/>
  <c r="P16" i="53"/>
  <c r="H16" i="52"/>
  <c r="P16" i="52"/>
  <c r="J16" i="53"/>
  <c r="R16" i="53"/>
  <c r="J16" i="52"/>
  <c r="R16" i="52"/>
  <c r="D16" i="53"/>
  <c r="L16" i="53"/>
  <c r="D16" i="103"/>
  <c r="L16" i="103"/>
  <c r="R16" i="105"/>
  <c r="F16" i="103"/>
  <c r="N16" i="103"/>
  <c r="J16" i="104"/>
  <c r="H16" i="103"/>
  <c r="P16" i="103"/>
  <c r="R16" i="104"/>
  <c r="J16" i="103"/>
  <c r="R16" i="103"/>
  <c r="J16" i="105"/>
  <c r="D16" i="104"/>
  <c r="L16" i="104"/>
  <c r="D16" i="105"/>
  <c r="L16" i="105"/>
  <c r="F16" i="104"/>
  <c r="N16" i="104"/>
  <c r="F16" i="105"/>
  <c r="N16" i="105"/>
  <c r="H16" i="104"/>
  <c r="P16" i="104"/>
  <c r="H16" i="105"/>
  <c r="P16" i="105"/>
  <c r="F416" i="3"/>
  <c r="F241" i="3"/>
  <c r="N21" i="6"/>
  <c r="N15" i="6"/>
  <c r="L369" i="12"/>
  <c r="L205" i="12"/>
  <c r="D34" i="15"/>
  <c r="D143" i="15"/>
  <c r="F34" i="15"/>
  <c r="F143" i="15"/>
  <c r="H416" i="3"/>
  <c r="H241" i="3"/>
  <c r="D241" i="3"/>
  <c r="D416" i="3"/>
  <c r="H21" i="6"/>
  <c r="H15" i="6"/>
  <c r="L143" i="15"/>
  <c r="L34" i="15"/>
  <c r="N200" i="18"/>
  <c r="N360" i="18"/>
  <c r="J21" i="6"/>
  <c r="J15" i="6"/>
  <c r="R21" i="6"/>
  <c r="R15" i="6"/>
  <c r="L16" i="9"/>
  <c r="L109" i="9"/>
  <c r="J109" i="9"/>
  <c r="J16" i="9"/>
  <c r="F16" i="9"/>
  <c r="F109" i="9"/>
  <c r="N16" i="9"/>
  <c r="N109" i="9"/>
  <c r="H205" i="12"/>
  <c r="H369" i="12"/>
  <c r="P34" i="15"/>
  <c r="P143" i="15"/>
  <c r="R360" i="18"/>
  <c r="R200" i="18"/>
  <c r="D360" i="18"/>
  <c r="D200" i="18"/>
  <c r="L360" i="18"/>
  <c r="L200" i="18"/>
  <c r="F172" i="30"/>
  <c r="F85" i="30"/>
  <c r="P241" i="3"/>
  <c r="P416" i="3"/>
  <c r="N416" i="3"/>
  <c r="N241" i="3"/>
  <c r="F21" i="6"/>
  <c r="F15" i="6"/>
  <c r="R109" i="9"/>
  <c r="R16" i="9"/>
  <c r="R205" i="12"/>
  <c r="R369" i="12"/>
  <c r="D369" i="12"/>
  <c r="D205" i="12"/>
  <c r="J143" i="15"/>
  <c r="J34" i="15"/>
  <c r="N34" i="15"/>
  <c r="N143" i="15"/>
  <c r="R143" i="15"/>
  <c r="R34" i="15"/>
  <c r="R241" i="3"/>
  <c r="R416" i="3"/>
  <c r="L241" i="3"/>
  <c r="L416" i="3"/>
  <c r="P21" i="6"/>
  <c r="P15" i="6"/>
  <c r="H34" i="15"/>
  <c r="H143" i="15"/>
  <c r="F200" i="18"/>
  <c r="F360" i="18"/>
  <c r="J360" i="18"/>
  <c r="J200" i="18"/>
  <c r="J241" i="3"/>
  <c r="J416" i="3"/>
  <c r="D21" i="6"/>
  <c r="D15" i="6"/>
  <c r="L21" i="6"/>
  <c r="L15" i="6"/>
  <c r="D16" i="9"/>
  <c r="D109" i="9"/>
  <c r="H109" i="9"/>
  <c r="H16" i="9"/>
  <c r="P109" i="9"/>
  <c r="P16" i="9"/>
  <c r="P369" i="12"/>
  <c r="P205" i="12"/>
  <c r="F369" i="12"/>
  <c r="F205" i="12"/>
  <c r="N369" i="12"/>
  <c r="N205" i="12"/>
  <c r="J205" i="12"/>
  <c r="J369" i="12"/>
  <c r="L392" i="21"/>
  <c r="L225" i="21"/>
  <c r="J225" i="21"/>
  <c r="J392" i="21"/>
  <c r="D392" i="21"/>
  <c r="D225" i="21"/>
  <c r="F225" i="21"/>
  <c r="N225" i="21"/>
  <c r="P172" i="30"/>
  <c r="P85" i="30"/>
  <c r="N172" i="30"/>
  <c r="N85" i="30"/>
  <c r="H360" i="18"/>
  <c r="F129" i="24"/>
  <c r="J201" i="27"/>
  <c r="J104" i="27"/>
  <c r="H201" i="27"/>
  <c r="H104" i="27"/>
  <c r="N135" i="36"/>
  <c r="N53" i="36"/>
  <c r="F135" i="36"/>
  <c r="F53" i="36"/>
  <c r="F45" i="39"/>
  <c r="R45" i="39"/>
  <c r="R155" i="39"/>
  <c r="R397" i="21"/>
  <c r="L173" i="30"/>
  <c r="H156" i="39"/>
  <c r="H160" i="39"/>
  <c r="P360" i="18"/>
  <c r="L181" i="30"/>
  <c r="L182" i="30" s="1"/>
  <c r="L178" i="30"/>
  <c r="P216" i="33"/>
  <c r="P101" i="33"/>
  <c r="H216" i="33"/>
  <c r="H101" i="33"/>
  <c r="R221" i="33"/>
  <c r="P135" i="36"/>
  <c r="P53" i="36"/>
  <c r="R140" i="36"/>
  <c r="P146" i="42"/>
  <c r="P142" i="42"/>
  <c r="P26" i="45"/>
  <c r="P117" i="45"/>
  <c r="F117" i="45"/>
  <c r="F26" i="45"/>
  <c r="N117" i="45"/>
  <c r="N26" i="45"/>
  <c r="H26" i="45"/>
  <c r="H117" i="45"/>
  <c r="D117" i="45"/>
  <c r="D26" i="45"/>
  <c r="L117" i="45"/>
  <c r="L26" i="45"/>
  <c r="D17" i="48"/>
  <c r="D84" i="48"/>
  <c r="P84" i="48"/>
  <c r="P17" i="48"/>
  <c r="H135" i="51"/>
  <c r="H59" i="51"/>
  <c r="P392" i="21"/>
  <c r="P225" i="21"/>
  <c r="F370" i="21"/>
  <c r="F392" i="21" s="1"/>
  <c r="N370" i="21"/>
  <c r="N392" i="21" s="1"/>
  <c r="R129" i="24"/>
  <c r="N129" i="24"/>
  <c r="F10" i="27"/>
  <c r="F103" i="27" s="1"/>
  <c r="N10" i="27"/>
  <c r="N103" i="27" s="1"/>
  <c r="P201" i="27"/>
  <c r="R172" i="30"/>
  <c r="R85" i="30"/>
  <c r="H172" i="30"/>
  <c r="H85" i="30"/>
  <c r="D172" i="30"/>
  <c r="D10" i="33"/>
  <c r="D100" i="33" s="1"/>
  <c r="L10" i="33"/>
  <c r="L100" i="33" s="1"/>
  <c r="D120" i="36"/>
  <c r="L120" i="36"/>
  <c r="P33" i="42"/>
  <c r="L146" i="42"/>
  <c r="P82" i="58"/>
  <c r="P15" i="58"/>
  <c r="D72" i="63"/>
  <c r="D76" i="63"/>
  <c r="H10" i="21"/>
  <c r="H224" i="21" s="1"/>
  <c r="J10" i="24"/>
  <c r="J34" i="24" s="1"/>
  <c r="R201" i="27"/>
  <c r="R104" i="27"/>
  <c r="D201" i="27"/>
  <c r="D104" i="27"/>
  <c r="L201" i="27"/>
  <c r="L104" i="27"/>
  <c r="F101" i="33"/>
  <c r="F216" i="33"/>
  <c r="N101" i="33"/>
  <c r="N216" i="33"/>
  <c r="J10" i="36"/>
  <c r="J52" i="36" s="1"/>
  <c r="J10" i="39"/>
  <c r="J44" i="39" s="1"/>
  <c r="P155" i="39"/>
  <c r="P45" i="39"/>
  <c r="H141" i="42"/>
  <c r="H33" i="42"/>
  <c r="D141" i="42"/>
  <c r="D33" i="42"/>
  <c r="F17" i="48"/>
  <c r="N17" i="48"/>
  <c r="H84" i="48"/>
  <c r="H17" i="48"/>
  <c r="H36" i="55"/>
  <c r="H40" i="55"/>
  <c r="D129" i="24"/>
  <c r="D35" i="24"/>
  <c r="L129" i="24"/>
  <c r="L35" i="24"/>
  <c r="H35" i="24"/>
  <c r="H129" i="24"/>
  <c r="P35" i="24"/>
  <c r="P129" i="24"/>
  <c r="J172" i="30"/>
  <c r="J85" i="30"/>
  <c r="J216" i="33"/>
  <c r="D53" i="36"/>
  <c r="D135" i="36"/>
  <c r="L53" i="36"/>
  <c r="L135" i="36"/>
  <c r="H135" i="36"/>
  <c r="H53" i="36"/>
  <c r="N45" i="39"/>
  <c r="D155" i="39"/>
  <c r="D45" i="39"/>
  <c r="L155" i="39"/>
  <c r="L45" i="39"/>
  <c r="R141" i="42"/>
  <c r="R33" i="42"/>
  <c r="D140" i="51"/>
  <c r="D83" i="59"/>
  <c r="D79" i="59"/>
  <c r="L78" i="59"/>
  <c r="L15" i="59"/>
  <c r="D15" i="59"/>
  <c r="H62" i="60"/>
  <c r="H66" i="60"/>
  <c r="H116" i="62"/>
  <c r="H16" i="62"/>
  <c r="P116" i="62"/>
  <c r="P16" i="62"/>
  <c r="J16" i="62"/>
  <c r="J116" i="62"/>
  <c r="F149" i="39"/>
  <c r="F155" i="39" s="1"/>
  <c r="N149" i="39"/>
  <c r="N155" i="39" s="1"/>
  <c r="F10" i="42"/>
  <c r="F32" i="42" s="1"/>
  <c r="N10" i="42"/>
  <c r="N32" i="42" s="1"/>
  <c r="F135" i="42"/>
  <c r="N135" i="42"/>
  <c r="F79" i="48"/>
  <c r="F84" i="48" s="1"/>
  <c r="N79" i="48"/>
  <c r="N84" i="48" s="1"/>
  <c r="R84" i="48"/>
  <c r="F15" i="54"/>
  <c r="F21" i="54"/>
  <c r="N22" i="54"/>
  <c r="D40" i="55"/>
  <c r="D36" i="55"/>
  <c r="L35" i="55"/>
  <c r="L15" i="55"/>
  <c r="D15" i="55"/>
  <c r="P83" i="57"/>
  <c r="P16" i="57"/>
  <c r="N88" i="58"/>
  <c r="N91" i="58" s="1"/>
  <c r="N92" i="58" s="1"/>
  <c r="N78" i="61"/>
  <c r="N79" i="61" s="1"/>
  <c r="N15" i="61"/>
  <c r="F71" i="63"/>
  <c r="F15" i="63"/>
  <c r="D67" i="66"/>
  <c r="J102" i="68"/>
  <c r="J106" i="68"/>
  <c r="R137" i="70"/>
  <c r="R53" i="70"/>
  <c r="H137" i="70"/>
  <c r="H53" i="70"/>
  <c r="J137" i="70"/>
  <c r="J53" i="70"/>
  <c r="D137" i="70"/>
  <c r="D53" i="70"/>
  <c r="L137" i="70"/>
  <c r="L53" i="70"/>
  <c r="L49" i="73"/>
  <c r="L53" i="73"/>
  <c r="N49" i="77"/>
  <c r="N17" i="77"/>
  <c r="R106" i="83"/>
  <c r="R102" i="83"/>
  <c r="J10" i="45"/>
  <c r="J25" i="45" s="1"/>
  <c r="R117" i="45"/>
  <c r="P135" i="51"/>
  <c r="P59" i="51"/>
  <c r="N27" i="54"/>
  <c r="N32" i="54" s="1"/>
  <c r="N33" i="54" s="1"/>
  <c r="D82" i="58"/>
  <c r="D15" i="58"/>
  <c r="L82" i="58"/>
  <c r="L15" i="58"/>
  <c r="H82" i="58"/>
  <c r="H15" i="58"/>
  <c r="H78" i="59"/>
  <c r="H15" i="59"/>
  <c r="P78" i="59"/>
  <c r="P15" i="59"/>
  <c r="D61" i="60"/>
  <c r="D15" i="60"/>
  <c r="L61" i="60"/>
  <c r="L15" i="60"/>
  <c r="N70" i="61"/>
  <c r="H15" i="63"/>
  <c r="H71" i="63"/>
  <c r="H191" i="64"/>
  <c r="R105" i="71"/>
  <c r="R101" i="71"/>
  <c r="D98" i="75"/>
  <c r="D102" i="75"/>
  <c r="P196" i="80"/>
  <c r="P90" i="80"/>
  <c r="H196" i="80"/>
  <c r="H90" i="80"/>
  <c r="L22" i="90"/>
  <c r="L107" i="90"/>
  <c r="J141" i="42"/>
  <c r="J33" i="42"/>
  <c r="L17" i="48"/>
  <c r="L84" i="48"/>
  <c r="L59" i="51"/>
  <c r="L135" i="51"/>
  <c r="J21" i="54"/>
  <c r="J15" i="54"/>
  <c r="R21" i="54"/>
  <c r="R15" i="54"/>
  <c r="P15" i="55"/>
  <c r="P35" i="55"/>
  <c r="N90" i="56"/>
  <c r="N16" i="56"/>
  <c r="D90" i="56"/>
  <c r="D16" i="56"/>
  <c r="L90" i="56"/>
  <c r="L16" i="56"/>
  <c r="H90" i="56"/>
  <c r="P90" i="56"/>
  <c r="P16" i="56"/>
  <c r="H83" i="57"/>
  <c r="H16" i="57"/>
  <c r="J69" i="61"/>
  <c r="J15" i="61"/>
  <c r="R69" i="61"/>
  <c r="R15" i="61"/>
  <c r="R121" i="62"/>
  <c r="R117" i="62"/>
  <c r="J95" i="74"/>
  <c r="J31" i="74"/>
  <c r="F59" i="51"/>
  <c r="F135" i="51"/>
  <c r="N59" i="51"/>
  <c r="N135" i="51"/>
  <c r="J135" i="51"/>
  <c r="J59" i="51"/>
  <c r="D21" i="54"/>
  <c r="D15" i="54"/>
  <c r="L21" i="54"/>
  <c r="L15" i="54"/>
  <c r="J15" i="55"/>
  <c r="J35" i="55"/>
  <c r="R15" i="55"/>
  <c r="R35" i="55"/>
  <c r="F90" i="56"/>
  <c r="F16" i="56"/>
  <c r="J90" i="56"/>
  <c r="J16" i="56"/>
  <c r="R90" i="56"/>
  <c r="R16" i="56"/>
  <c r="F82" i="58"/>
  <c r="F61" i="60"/>
  <c r="F15" i="60"/>
  <c r="N61" i="60"/>
  <c r="N15" i="60"/>
  <c r="P61" i="60"/>
  <c r="D69" i="61"/>
  <c r="D15" i="61"/>
  <c r="L69" i="61"/>
  <c r="L15" i="61"/>
  <c r="F69" i="61"/>
  <c r="N91" i="65"/>
  <c r="N21" i="65"/>
  <c r="P150" i="66"/>
  <c r="P67" i="66"/>
  <c r="F150" i="66"/>
  <c r="F67" i="66"/>
  <c r="N150" i="66"/>
  <c r="N67" i="66"/>
  <c r="H150" i="66"/>
  <c r="H67" i="66"/>
  <c r="L67" i="66"/>
  <c r="J150" i="66"/>
  <c r="H54" i="67"/>
  <c r="H103" i="67"/>
  <c r="F101" i="68"/>
  <c r="F31" i="68"/>
  <c r="R50" i="77"/>
  <c r="R54" i="77"/>
  <c r="F33" i="81"/>
  <c r="F21" i="81"/>
  <c r="R135" i="51"/>
  <c r="R59" i="51"/>
  <c r="N16" i="57"/>
  <c r="N83" i="57"/>
  <c r="D16" i="57"/>
  <c r="D83" i="57"/>
  <c r="L16" i="57"/>
  <c r="L83" i="57"/>
  <c r="D116" i="62"/>
  <c r="D16" i="62"/>
  <c r="L116" i="62"/>
  <c r="L16" i="62"/>
  <c r="P71" i="63"/>
  <c r="J96" i="64"/>
  <c r="J191" i="64"/>
  <c r="D96" i="64"/>
  <c r="D191" i="64"/>
  <c r="L96" i="64"/>
  <c r="L191" i="64"/>
  <c r="F191" i="64"/>
  <c r="D21" i="65"/>
  <c r="D91" i="65"/>
  <c r="L21" i="65"/>
  <c r="L91" i="65"/>
  <c r="F91" i="65"/>
  <c r="F21" i="65"/>
  <c r="H91" i="65"/>
  <c r="H21" i="65"/>
  <c r="R103" i="67"/>
  <c r="R54" i="67"/>
  <c r="P101" i="68"/>
  <c r="P31" i="68"/>
  <c r="N22" i="75"/>
  <c r="N97" i="75"/>
  <c r="P99" i="76"/>
  <c r="P103" i="76"/>
  <c r="H22" i="79"/>
  <c r="H101" i="79"/>
  <c r="F106" i="98"/>
  <c r="F110" i="98"/>
  <c r="H21" i="54"/>
  <c r="H15" i="54"/>
  <c r="P21" i="54"/>
  <c r="P15" i="54"/>
  <c r="F35" i="55"/>
  <c r="F15" i="55"/>
  <c r="N35" i="55"/>
  <c r="N15" i="55"/>
  <c r="F16" i="57"/>
  <c r="F83" i="57"/>
  <c r="J83" i="57"/>
  <c r="J82" i="58"/>
  <c r="J15" i="58"/>
  <c r="R82" i="58"/>
  <c r="R15" i="58"/>
  <c r="F78" i="59"/>
  <c r="F15" i="59"/>
  <c r="N78" i="59"/>
  <c r="N15" i="59"/>
  <c r="J78" i="59"/>
  <c r="J61" i="60"/>
  <c r="J15" i="60"/>
  <c r="R61" i="60"/>
  <c r="R15" i="60"/>
  <c r="H69" i="61"/>
  <c r="H15" i="61"/>
  <c r="P69" i="61"/>
  <c r="P15" i="61"/>
  <c r="F116" i="62"/>
  <c r="F111" i="62"/>
  <c r="N111" i="62"/>
  <c r="N116" i="62" s="1"/>
  <c r="L71" i="63"/>
  <c r="L15" i="63"/>
  <c r="P96" i="64"/>
  <c r="P191" i="64"/>
  <c r="N191" i="64"/>
  <c r="N96" i="64"/>
  <c r="J103" i="67"/>
  <c r="J54" i="67"/>
  <c r="H119" i="69"/>
  <c r="H57" i="69"/>
  <c r="L100" i="71"/>
  <c r="L36" i="71"/>
  <c r="H100" i="71"/>
  <c r="H36" i="71"/>
  <c r="J100" i="71"/>
  <c r="J36" i="71"/>
  <c r="P135" i="72"/>
  <c r="P59" i="72"/>
  <c r="F59" i="72"/>
  <c r="F135" i="72"/>
  <c r="N59" i="72"/>
  <c r="N135" i="72"/>
  <c r="H135" i="72"/>
  <c r="J135" i="72"/>
  <c r="J59" i="72"/>
  <c r="D15" i="73"/>
  <c r="D48" i="73"/>
  <c r="J48" i="73"/>
  <c r="J15" i="73"/>
  <c r="R95" i="74"/>
  <c r="R31" i="74"/>
  <c r="D98" i="76"/>
  <c r="D21" i="76"/>
  <c r="L98" i="76"/>
  <c r="L21" i="76"/>
  <c r="N98" i="76"/>
  <c r="N21" i="76"/>
  <c r="D22" i="78"/>
  <c r="D52" i="78"/>
  <c r="D107" i="79"/>
  <c r="D110" i="79" s="1"/>
  <c r="D111" i="79" s="1"/>
  <c r="D196" i="80"/>
  <c r="D90" i="80"/>
  <c r="N196" i="80"/>
  <c r="N90" i="80"/>
  <c r="F56" i="82"/>
  <c r="F15" i="82"/>
  <c r="N56" i="82"/>
  <c r="N15" i="82"/>
  <c r="F104" i="96"/>
  <c r="F24" i="96"/>
  <c r="R71" i="63"/>
  <c r="P91" i="65"/>
  <c r="P21" i="65"/>
  <c r="R66" i="66"/>
  <c r="D144" i="66"/>
  <c r="D150" i="66" s="1"/>
  <c r="L144" i="66"/>
  <c r="L150" i="66" s="1"/>
  <c r="H10" i="68"/>
  <c r="H30" i="68" s="1"/>
  <c r="R101" i="68"/>
  <c r="P124" i="69"/>
  <c r="P120" i="69"/>
  <c r="D124" i="69"/>
  <c r="F10" i="70"/>
  <c r="F52" i="70" s="1"/>
  <c r="N10" i="70"/>
  <c r="N52" i="70" s="1"/>
  <c r="P100" i="71"/>
  <c r="P36" i="71"/>
  <c r="R135" i="72"/>
  <c r="R59" i="72"/>
  <c r="D10" i="72"/>
  <c r="D58" i="72" s="1"/>
  <c r="L10" i="72"/>
  <c r="L58" i="72" s="1"/>
  <c r="F15" i="73"/>
  <c r="F48" i="73"/>
  <c r="N15" i="73"/>
  <c r="N48" i="73"/>
  <c r="R53" i="73"/>
  <c r="R49" i="73"/>
  <c r="P31" i="74"/>
  <c r="P95" i="74"/>
  <c r="F97" i="75"/>
  <c r="F22" i="75"/>
  <c r="J103" i="76"/>
  <c r="J99" i="76"/>
  <c r="R98" i="76"/>
  <c r="R21" i="76"/>
  <c r="D17" i="77"/>
  <c r="D49" i="77"/>
  <c r="H54" i="77"/>
  <c r="H50" i="77"/>
  <c r="P52" i="78"/>
  <c r="P22" i="78"/>
  <c r="N22" i="78"/>
  <c r="N52" i="78"/>
  <c r="H52" i="78"/>
  <c r="H22" i="78"/>
  <c r="J52" i="78"/>
  <c r="J22" i="78"/>
  <c r="F58" i="78"/>
  <c r="F61" i="78" s="1"/>
  <c r="F62" i="78" s="1"/>
  <c r="J196" i="80"/>
  <c r="J90" i="80"/>
  <c r="N33" i="81"/>
  <c r="N21" i="81"/>
  <c r="D33" i="81"/>
  <c r="D21" i="81"/>
  <c r="L33" i="81"/>
  <c r="L21" i="81"/>
  <c r="R103" i="86"/>
  <c r="R23" i="86"/>
  <c r="H103" i="86"/>
  <c r="H23" i="86"/>
  <c r="F91" i="87"/>
  <c r="F22" i="87"/>
  <c r="D22" i="89"/>
  <c r="D106" i="89"/>
  <c r="P19" i="91"/>
  <c r="P54" i="91"/>
  <c r="F16" i="62"/>
  <c r="N16" i="62"/>
  <c r="N76" i="63"/>
  <c r="N72" i="63"/>
  <c r="J71" i="63"/>
  <c r="J91" i="65"/>
  <c r="F103" i="67"/>
  <c r="F54" i="67"/>
  <c r="N103" i="67"/>
  <c r="N54" i="67"/>
  <c r="D103" i="67"/>
  <c r="D54" i="67"/>
  <c r="L103" i="67"/>
  <c r="L54" i="67"/>
  <c r="P103" i="67"/>
  <c r="F57" i="69"/>
  <c r="F119" i="69"/>
  <c r="N57" i="69"/>
  <c r="N119" i="69"/>
  <c r="J119" i="69"/>
  <c r="J57" i="69"/>
  <c r="L119" i="69"/>
  <c r="H15" i="73"/>
  <c r="H48" i="73"/>
  <c r="P15" i="73"/>
  <c r="P48" i="73"/>
  <c r="H31" i="74"/>
  <c r="H95" i="74"/>
  <c r="D95" i="74"/>
  <c r="D31" i="74"/>
  <c r="L95" i="74"/>
  <c r="L31" i="74"/>
  <c r="J97" i="75"/>
  <c r="J22" i="75"/>
  <c r="F10" i="76"/>
  <c r="F20" i="76" s="1"/>
  <c r="J16" i="77"/>
  <c r="H17" i="77"/>
  <c r="F49" i="77"/>
  <c r="R52" i="78"/>
  <c r="F53" i="78"/>
  <c r="L101" i="79"/>
  <c r="R22" i="79"/>
  <c r="R101" i="79"/>
  <c r="F196" i="80"/>
  <c r="N15" i="85"/>
  <c r="N109" i="85"/>
  <c r="L108" i="86"/>
  <c r="L104" i="86"/>
  <c r="L23" i="86"/>
  <c r="D97" i="88"/>
  <c r="D93" i="88"/>
  <c r="F92" i="88"/>
  <c r="F22" i="88"/>
  <c r="P71" i="97"/>
  <c r="P67" i="97"/>
  <c r="R191" i="64"/>
  <c r="R91" i="65"/>
  <c r="N101" i="68"/>
  <c r="N31" i="68"/>
  <c r="D101" i="68"/>
  <c r="D31" i="68"/>
  <c r="L101" i="68"/>
  <c r="L31" i="68"/>
  <c r="R119" i="69"/>
  <c r="R57" i="69"/>
  <c r="P57" i="69"/>
  <c r="P137" i="70"/>
  <c r="P53" i="70"/>
  <c r="D100" i="71"/>
  <c r="D36" i="71"/>
  <c r="F100" i="71"/>
  <c r="F36" i="71"/>
  <c r="N100" i="71"/>
  <c r="N36" i="71"/>
  <c r="R36" i="71"/>
  <c r="R15" i="73"/>
  <c r="F10" i="74"/>
  <c r="F30" i="74" s="1"/>
  <c r="N10" i="74"/>
  <c r="N30" i="74" s="1"/>
  <c r="L97" i="75"/>
  <c r="L22" i="75"/>
  <c r="H97" i="75"/>
  <c r="H22" i="75"/>
  <c r="P98" i="75"/>
  <c r="P102" i="75"/>
  <c r="J21" i="76"/>
  <c r="L17" i="77"/>
  <c r="L49" i="77"/>
  <c r="R17" i="77"/>
  <c r="L10" i="78"/>
  <c r="L21" i="78" s="1"/>
  <c r="F22" i="78"/>
  <c r="J22" i="79"/>
  <c r="J101" i="79"/>
  <c r="L196" i="80"/>
  <c r="L90" i="80"/>
  <c r="N101" i="83"/>
  <c r="N23" i="83"/>
  <c r="D101" i="83"/>
  <c r="D23" i="83"/>
  <c r="L101" i="83"/>
  <c r="L23" i="83"/>
  <c r="F101" i="83"/>
  <c r="F23" i="83"/>
  <c r="H101" i="83"/>
  <c r="H23" i="83"/>
  <c r="P81" i="84"/>
  <c r="P19" i="84"/>
  <c r="F81" i="84"/>
  <c r="F19" i="84"/>
  <c r="N81" i="84"/>
  <c r="N19" i="84"/>
  <c r="H81" i="84"/>
  <c r="F109" i="85"/>
  <c r="D103" i="86"/>
  <c r="D23" i="86"/>
  <c r="J92" i="88"/>
  <c r="J22" i="88"/>
  <c r="D77" i="93"/>
  <c r="D81" i="93"/>
  <c r="F68" i="95"/>
  <c r="F15" i="95"/>
  <c r="P68" i="95"/>
  <c r="P15" i="95"/>
  <c r="R73" i="95"/>
  <c r="R69" i="95"/>
  <c r="H40" i="101"/>
  <c r="H15" i="101"/>
  <c r="P40" i="101"/>
  <c r="P15" i="101"/>
  <c r="P22" i="75"/>
  <c r="P54" i="77"/>
  <c r="P50" i="77"/>
  <c r="P22" i="83"/>
  <c r="R81" i="84"/>
  <c r="R19" i="84"/>
  <c r="H109" i="85"/>
  <c r="H15" i="85"/>
  <c r="P109" i="85"/>
  <c r="P15" i="85"/>
  <c r="F103" i="86"/>
  <c r="F23" i="86"/>
  <c r="N103" i="86"/>
  <c r="N23" i="86"/>
  <c r="N96" i="87"/>
  <c r="N92" i="87"/>
  <c r="H91" i="87"/>
  <c r="H22" i="87"/>
  <c r="N22" i="87"/>
  <c r="L91" i="87"/>
  <c r="F22" i="90"/>
  <c r="J54" i="91"/>
  <c r="J19" i="91"/>
  <c r="H16" i="92"/>
  <c r="H70" i="92"/>
  <c r="P16" i="92"/>
  <c r="P70" i="92"/>
  <c r="F70" i="92"/>
  <c r="F16" i="92"/>
  <c r="H21" i="93"/>
  <c r="H76" i="93"/>
  <c r="P24" i="96"/>
  <c r="P104" i="96"/>
  <c r="N104" i="96"/>
  <c r="N24" i="96"/>
  <c r="H24" i="96"/>
  <c r="H104" i="96"/>
  <c r="J24" i="96"/>
  <c r="J104" i="96"/>
  <c r="R102" i="100"/>
  <c r="R22" i="100"/>
  <c r="H102" i="100"/>
  <c r="H22" i="100"/>
  <c r="J102" i="100"/>
  <c r="J22" i="100"/>
  <c r="D84" i="102"/>
  <c r="D17" i="102"/>
  <c r="R102" i="75"/>
  <c r="R98" i="75"/>
  <c r="R22" i="75"/>
  <c r="F10" i="79"/>
  <c r="F21" i="79" s="1"/>
  <c r="N10" i="79"/>
  <c r="N21" i="79" s="1"/>
  <c r="R89" i="80"/>
  <c r="R20" i="81"/>
  <c r="H10" i="81"/>
  <c r="H20" i="81" s="1"/>
  <c r="J15" i="82"/>
  <c r="J56" i="82"/>
  <c r="R15" i="82"/>
  <c r="R56" i="82"/>
  <c r="H56" i="82"/>
  <c r="J109" i="85"/>
  <c r="J15" i="85"/>
  <c r="R109" i="85"/>
  <c r="R15" i="85"/>
  <c r="J106" i="89"/>
  <c r="J22" i="89"/>
  <c r="L111" i="89"/>
  <c r="L107" i="89"/>
  <c r="R113" i="90"/>
  <c r="R116" i="90" s="1"/>
  <c r="R117" i="90" s="1"/>
  <c r="H54" i="91"/>
  <c r="H19" i="91"/>
  <c r="R59" i="91"/>
  <c r="R55" i="91"/>
  <c r="L81" i="93"/>
  <c r="L77" i="93"/>
  <c r="J67" i="97"/>
  <c r="H62" i="99"/>
  <c r="H20" i="99"/>
  <c r="H10" i="76"/>
  <c r="H20" i="76" s="1"/>
  <c r="P17" i="77"/>
  <c r="J21" i="81"/>
  <c r="J33" i="81"/>
  <c r="P33" i="81"/>
  <c r="D15" i="82"/>
  <c r="D56" i="82"/>
  <c r="L15" i="82"/>
  <c r="L56" i="82"/>
  <c r="P56" i="82"/>
  <c r="J10" i="83"/>
  <c r="J22" i="83" s="1"/>
  <c r="J81" i="84"/>
  <c r="J19" i="84"/>
  <c r="D18" i="84"/>
  <c r="L18" i="84"/>
  <c r="D109" i="85"/>
  <c r="D15" i="85"/>
  <c r="L109" i="85"/>
  <c r="L15" i="85"/>
  <c r="P103" i="86"/>
  <c r="P23" i="86"/>
  <c r="J103" i="86"/>
  <c r="D22" i="87"/>
  <c r="D91" i="87"/>
  <c r="P91" i="87"/>
  <c r="P22" i="87"/>
  <c r="L92" i="88"/>
  <c r="L22" i="88"/>
  <c r="N92" i="88"/>
  <c r="N22" i="88"/>
  <c r="D22" i="90"/>
  <c r="D107" i="90"/>
  <c r="F112" i="90"/>
  <c r="F108" i="90"/>
  <c r="R19" i="91"/>
  <c r="R79" i="92"/>
  <c r="R80" i="92" s="1"/>
  <c r="L94" i="94"/>
  <c r="L22" i="94"/>
  <c r="H66" i="97"/>
  <c r="H20" i="97"/>
  <c r="J72" i="97"/>
  <c r="J75" i="97" s="1"/>
  <c r="J76" i="97" s="1"/>
  <c r="H105" i="98"/>
  <c r="H22" i="98"/>
  <c r="N67" i="99"/>
  <c r="N63" i="99"/>
  <c r="R96" i="87"/>
  <c r="R92" i="87"/>
  <c r="R106" i="89"/>
  <c r="R22" i="89"/>
  <c r="H106" i="89"/>
  <c r="H22" i="89"/>
  <c r="P111" i="89"/>
  <c r="P107" i="89"/>
  <c r="N107" i="90"/>
  <c r="R108" i="90"/>
  <c r="J16" i="92"/>
  <c r="J70" i="92"/>
  <c r="N21" i="93"/>
  <c r="N76" i="93"/>
  <c r="D94" i="94"/>
  <c r="D22" i="94"/>
  <c r="J99" i="94"/>
  <c r="J95" i="94"/>
  <c r="N22" i="98"/>
  <c r="N105" i="98"/>
  <c r="P105" i="98"/>
  <c r="L20" i="99"/>
  <c r="L62" i="99"/>
  <c r="J62" i="99"/>
  <c r="P17" i="102"/>
  <c r="P84" i="102"/>
  <c r="F17" i="102"/>
  <c r="F84" i="102"/>
  <c r="N17" i="102"/>
  <c r="N84" i="102"/>
  <c r="H17" i="102"/>
  <c r="H84" i="102"/>
  <c r="L84" i="102"/>
  <c r="L17" i="102"/>
  <c r="J10" i="87"/>
  <c r="J21" i="87" s="1"/>
  <c r="F10" i="89"/>
  <c r="F21" i="89" s="1"/>
  <c r="N10" i="89"/>
  <c r="N21" i="89" s="1"/>
  <c r="H10" i="90"/>
  <c r="H21" i="90" s="1"/>
  <c r="P107" i="90"/>
  <c r="N22" i="90"/>
  <c r="L18" i="91"/>
  <c r="L65" i="92"/>
  <c r="L70" i="92" s="1"/>
  <c r="F10" i="93"/>
  <c r="F20" i="93" s="1"/>
  <c r="P94" i="94"/>
  <c r="H94" i="94"/>
  <c r="J15" i="95"/>
  <c r="J68" i="95"/>
  <c r="H68" i="95"/>
  <c r="J22" i="98"/>
  <c r="D10" i="99"/>
  <c r="D19" i="99" s="1"/>
  <c r="F10" i="99"/>
  <c r="F19" i="99" s="1"/>
  <c r="R62" i="99"/>
  <c r="R41" i="101"/>
  <c r="R45" i="101"/>
  <c r="R92" i="88"/>
  <c r="R22" i="88"/>
  <c r="H10" i="88"/>
  <c r="H21" i="88" s="1"/>
  <c r="P97" i="88"/>
  <c r="P93" i="88"/>
  <c r="J107" i="90"/>
  <c r="D54" i="91"/>
  <c r="D19" i="91"/>
  <c r="F18" i="91"/>
  <c r="N18" i="91"/>
  <c r="R76" i="93"/>
  <c r="J22" i="94"/>
  <c r="R94" i="94"/>
  <c r="N73" i="95"/>
  <c r="N69" i="95"/>
  <c r="D10" i="96"/>
  <c r="D23" i="96" s="1"/>
  <c r="L10" i="96"/>
  <c r="L23" i="96" s="1"/>
  <c r="N66" i="97"/>
  <c r="N20" i="97"/>
  <c r="D66" i="97"/>
  <c r="D20" i="97"/>
  <c r="L66" i="97"/>
  <c r="L20" i="97"/>
  <c r="F66" i="97"/>
  <c r="F20" i="97"/>
  <c r="R71" i="97"/>
  <c r="R67" i="97"/>
  <c r="J110" i="98"/>
  <c r="J106" i="98"/>
  <c r="P102" i="100"/>
  <c r="F10" i="100"/>
  <c r="F21" i="100" s="1"/>
  <c r="N10" i="100"/>
  <c r="N21" i="100" s="1"/>
  <c r="J46" i="101"/>
  <c r="J49" i="101" s="1"/>
  <c r="J50" i="101" s="1"/>
  <c r="R22" i="87"/>
  <c r="P22" i="88"/>
  <c r="P22" i="89"/>
  <c r="P22" i="90"/>
  <c r="N70" i="92"/>
  <c r="N16" i="92"/>
  <c r="P21" i="93"/>
  <c r="P76" i="93"/>
  <c r="J10" i="93"/>
  <c r="J20" i="93" s="1"/>
  <c r="F10" i="94"/>
  <c r="F21" i="94" s="1"/>
  <c r="N10" i="94"/>
  <c r="N21" i="94" s="1"/>
  <c r="D15" i="95"/>
  <c r="D68" i="95"/>
  <c r="L15" i="95"/>
  <c r="L68" i="95"/>
  <c r="R23" i="96"/>
  <c r="R20" i="97"/>
  <c r="D10" i="98"/>
  <c r="D21" i="98" s="1"/>
  <c r="L10" i="98"/>
  <c r="L21" i="98" s="1"/>
  <c r="P62" i="99"/>
  <c r="P20" i="99"/>
  <c r="D70" i="92"/>
  <c r="D16" i="92"/>
  <c r="R110" i="98"/>
  <c r="R106" i="98"/>
  <c r="R22" i="98"/>
  <c r="D45" i="101"/>
  <c r="D41" i="101"/>
  <c r="L45" i="101"/>
  <c r="L41" i="101"/>
  <c r="D15" i="101"/>
  <c r="R17" i="102"/>
  <c r="R84" i="102"/>
  <c r="D10" i="100"/>
  <c r="D21" i="100" s="1"/>
  <c r="L10" i="100"/>
  <c r="L21" i="100" s="1"/>
  <c r="F40" i="101"/>
  <c r="F15" i="101"/>
  <c r="N40" i="101"/>
  <c r="N15" i="101"/>
  <c r="J17" i="102"/>
  <c r="J84" i="102"/>
  <c r="N160" i="39" l="1"/>
  <c r="N156" i="39"/>
  <c r="L155" i="66"/>
  <c r="L151" i="66"/>
  <c r="N121" i="62"/>
  <c r="N117" i="62"/>
  <c r="F160" i="39"/>
  <c r="F156" i="39"/>
  <c r="L75" i="92"/>
  <c r="L71" i="92"/>
  <c r="D155" i="66"/>
  <c r="D151" i="66"/>
  <c r="N89" i="48"/>
  <c r="N85" i="48"/>
  <c r="N397" i="21"/>
  <c r="N393" i="21"/>
  <c r="F89" i="48"/>
  <c r="F85" i="48"/>
  <c r="F397" i="21"/>
  <c r="F393" i="21"/>
  <c r="F45" i="101"/>
  <c r="F41" i="101"/>
  <c r="R114" i="98"/>
  <c r="R115" i="98" s="1"/>
  <c r="R111" i="98"/>
  <c r="P67" i="99"/>
  <c r="P63" i="99"/>
  <c r="R24" i="96"/>
  <c r="R104" i="96"/>
  <c r="P81" i="93"/>
  <c r="P77" i="93"/>
  <c r="P107" i="100"/>
  <c r="P103" i="100"/>
  <c r="R72" i="97"/>
  <c r="R75" i="97" s="1"/>
  <c r="R76" i="97" s="1"/>
  <c r="L71" i="97"/>
  <c r="L67" i="97"/>
  <c r="N71" i="97"/>
  <c r="N67" i="97"/>
  <c r="N77" i="95"/>
  <c r="N78" i="95" s="1"/>
  <c r="N74" i="95"/>
  <c r="N19" i="91"/>
  <c r="N54" i="91"/>
  <c r="J112" i="90"/>
  <c r="J108" i="90"/>
  <c r="R63" i="99"/>
  <c r="R67" i="99"/>
  <c r="H73" i="95"/>
  <c r="H69" i="95"/>
  <c r="P99" i="94"/>
  <c r="P95" i="94"/>
  <c r="F22" i="89"/>
  <c r="F106" i="89"/>
  <c r="H89" i="102"/>
  <c r="H85" i="102"/>
  <c r="F85" i="102"/>
  <c r="F89" i="102"/>
  <c r="J63" i="99"/>
  <c r="J67" i="99"/>
  <c r="N110" i="98"/>
  <c r="N106" i="98"/>
  <c r="N112" i="90"/>
  <c r="N108" i="90"/>
  <c r="H111" i="89"/>
  <c r="H107" i="89"/>
  <c r="R97" i="87"/>
  <c r="R100" i="87" s="1"/>
  <c r="R101" i="87" s="1"/>
  <c r="H110" i="98"/>
  <c r="H106" i="98"/>
  <c r="J104" i="86"/>
  <c r="J108" i="86"/>
  <c r="L114" i="85"/>
  <c r="L110" i="85"/>
  <c r="D81" i="84"/>
  <c r="D19" i="84"/>
  <c r="P61" i="82"/>
  <c r="P57" i="82"/>
  <c r="R63" i="91"/>
  <c r="R64" i="91" s="1"/>
  <c r="R60" i="91"/>
  <c r="J111" i="89"/>
  <c r="J107" i="89"/>
  <c r="J114" i="85"/>
  <c r="J110" i="85"/>
  <c r="J61" i="82"/>
  <c r="J57" i="82"/>
  <c r="R196" i="80"/>
  <c r="R90" i="80"/>
  <c r="N109" i="96"/>
  <c r="N105" i="96"/>
  <c r="J59" i="91"/>
  <c r="J55" i="91"/>
  <c r="P55" i="77"/>
  <c r="P58" i="77" s="1"/>
  <c r="P59" i="77" s="1"/>
  <c r="D82" i="93"/>
  <c r="D85" i="93" s="1"/>
  <c r="D86" i="93" s="1"/>
  <c r="N31" i="74"/>
  <c r="N95" i="74"/>
  <c r="L106" i="68"/>
  <c r="L102" i="68"/>
  <c r="N106" i="68"/>
  <c r="N102" i="68"/>
  <c r="P72" i="97"/>
  <c r="P75" i="97" s="1"/>
  <c r="P76" i="97" s="1"/>
  <c r="D98" i="88"/>
  <c r="D101" i="88" s="1"/>
  <c r="D102" i="88" s="1"/>
  <c r="N110" i="85"/>
  <c r="N114" i="85"/>
  <c r="F50" i="77"/>
  <c r="F54" i="77"/>
  <c r="P53" i="73"/>
  <c r="P49" i="73"/>
  <c r="L124" i="69"/>
  <c r="L120" i="69"/>
  <c r="J96" i="65"/>
  <c r="J92" i="65"/>
  <c r="D111" i="89"/>
  <c r="D107" i="89"/>
  <c r="H57" i="78"/>
  <c r="H53" i="78"/>
  <c r="D54" i="77"/>
  <c r="D50" i="77"/>
  <c r="P100" i="74"/>
  <c r="P96" i="74"/>
  <c r="N53" i="73"/>
  <c r="N49" i="73"/>
  <c r="L59" i="72"/>
  <c r="L135" i="72"/>
  <c r="D125" i="69"/>
  <c r="D128" i="69" s="1"/>
  <c r="D129" i="69" s="1"/>
  <c r="H101" i="68"/>
  <c r="H31" i="68"/>
  <c r="F109" i="96"/>
  <c r="F105" i="96"/>
  <c r="F61" i="82"/>
  <c r="F57" i="82"/>
  <c r="D201" i="80"/>
  <c r="D197" i="80"/>
  <c r="L103" i="76"/>
  <c r="L99" i="76"/>
  <c r="R100" i="74"/>
  <c r="R96" i="74"/>
  <c r="N140" i="72"/>
  <c r="N136" i="72"/>
  <c r="F121" i="62"/>
  <c r="F117" i="62"/>
  <c r="H74" i="61"/>
  <c r="H70" i="61"/>
  <c r="J66" i="60"/>
  <c r="J62" i="60"/>
  <c r="F40" i="55"/>
  <c r="F36" i="55"/>
  <c r="H26" i="54"/>
  <c r="H22" i="54"/>
  <c r="R108" i="67"/>
  <c r="R104" i="67"/>
  <c r="F96" i="65"/>
  <c r="F92" i="65"/>
  <c r="D196" i="64"/>
  <c r="D192" i="64"/>
  <c r="P72" i="63"/>
  <c r="P76" i="63"/>
  <c r="D121" i="62"/>
  <c r="D117" i="62"/>
  <c r="R140" i="51"/>
  <c r="R136" i="51"/>
  <c r="P62" i="60"/>
  <c r="P66" i="60"/>
  <c r="F66" i="60"/>
  <c r="F62" i="60"/>
  <c r="R40" i="55"/>
  <c r="R36" i="55"/>
  <c r="F140" i="51"/>
  <c r="F136" i="51"/>
  <c r="L95" i="56"/>
  <c r="L91" i="56"/>
  <c r="N95" i="56"/>
  <c r="N91" i="56"/>
  <c r="R26" i="54"/>
  <c r="R22" i="54"/>
  <c r="J146" i="42"/>
  <c r="J142" i="42"/>
  <c r="H201" i="80"/>
  <c r="H197" i="80"/>
  <c r="H72" i="63"/>
  <c r="H76" i="63"/>
  <c r="L66" i="60"/>
  <c r="L62" i="60"/>
  <c r="P83" i="59"/>
  <c r="P79" i="59"/>
  <c r="H87" i="58"/>
  <c r="H83" i="58"/>
  <c r="D87" i="58"/>
  <c r="D83" i="58"/>
  <c r="R122" i="45"/>
  <c r="R118" i="45"/>
  <c r="L40" i="55"/>
  <c r="L36" i="55"/>
  <c r="N33" i="42"/>
  <c r="N141" i="42"/>
  <c r="J121" i="62"/>
  <c r="J117" i="62"/>
  <c r="D84" i="59"/>
  <c r="D87" i="59" s="1"/>
  <c r="D88" i="59" s="1"/>
  <c r="L140" i="36"/>
  <c r="L136" i="36"/>
  <c r="J221" i="33"/>
  <c r="J217" i="33"/>
  <c r="L134" i="24"/>
  <c r="L130" i="24"/>
  <c r="D146" i="42"/>
  <c r="D142" i="42"/>
  <c r="P160" i="39"/>
  <c r="P156" i="39"/>
  <c r="L206" i="27"/>
  <c r="L202" i="27"/>
  <c r="R206" i="27"/>
  <c r="R202" i="27"/>
  <c r="D101" i="33"/>
  <c r="D216" i="33"/>
  <c r="F104" i="27"/>
  <c r="F201" i="27"/>
  <c r="H140" i="51"/>
  <c r="H136" i="51"/>
  <c r="D122" i="45"/>
  <c r="D118" i="45"/>
  <c r="N122" i="45"/>
  <c r="N118" i="45"/>
  <c r="H221" i="33"/>
  <c r="H217" i="33"/>
  <c r="J421" i="3"/>
  <c r="J417" i="3"/>
  <c r="F365" i="18"/>
  <c r="F361" i="18"/>
  <c r="R421" i="3"/>
  <c r="R417" i="3"/>
  <c r="N148" i="15"/>
  <c r="N144" i="15"/>
  <c r="P148" i="15"/>
  <c r="P144" i="15"/>
  <c r="N114" i="9"/>
  <c r="N110" i="9"/>
  <c r="N365" i="18"/>
  <c r="N361" i="18"/>
  <c r="D148" i="15"/>
  <c r="D144" i="15"/>
  <c r="P17" i="105"/>
  <c r="P26" i="105"/>
  <c r="N26" i="105"/>
  <c r="N17" i="105"/>
  <c r="L17" i="105"/>
  <c r="L26" i="105"/>
  <c r="J17" i="105"/>
  <c r="J26" i="105"/>
  <c r="P26" i="103"/>
  <c r="P17" i="103"/>
  <c r="F26" i="103"/>
  <c r="F17" i="103"/>
  <c r="L17" i="53"/>
  <c r="L26" i="53"/>
  <c r="R26" i="53"/>
  <c r="R17" i="53"/>
  <c r="P17" i="53"/>
  <c r="P26" i="53"/>
  <c r="N17" i="53"/>
  <c r="N26" i="53"/>
  <c r="H17" i="49"/>
  <c r="H26" i="49"/>
  <c r="F17" i="46"/>
  <c r="F26" i="46"/>
  <c r="J17" i="43"/>
  <c r="J26" i="43"/>
  <c r="F17" i="40"/>
  <c r="F26" i="40"/>
  <c r="N26" i="49"/>
  <c r="N17" i="49"/>
  <c r="L26" i="46"/>
  <c r="L17" i="46"/>
  <c r="P26" i="43"/>
  <c r="P17" i="43"/>
  <c r="F17" i="50"/>
  <c r="F26" i="50"/>
  <c r="D17" i="47"/>
  <c r="D26" i="47"/>
  <c r="H17" i="44"/>
  <c r="H26" i="44"/>
  <c r="D17" i="43"/>
  <c r="D26" i="43"/>
  <c r="R17" i="38"/>
  <c r="R26" i="38"/>
  <c r="R17" i="35"/>
  <c r="R26" i="35"/>
  <c r="L17" i="32"/>
  <c r="L26" i="32"/>
  <c r="N17" i="29"/>
  <c r="N26" i="29"/>
  <c r="N17" i="26"/>
  <c r="N26" i="26"/>
  <c r="R17" i="23"/>
  <c r="R26" i="23"/>
  <c r="D17" i="52"/>
  <c r="D26" i="52"/>
  <c r="J17" i="41"/>
  <c r="J26" i="41"/>
  <c r="N26" i="37"/>
  <c r="N17" i="37"/>
  <c r="N26" i="34"/>
  <c r="N17" i="34"/>
  <c r="P26" i="31"/>
  <c r="P17" i="31"/>
  <c r="R26" i="28"/>
  <c r="R17" i="28"/>
  <c r="R26" i="25"/>
  <c r="R17" i="25"/>
  <c r="N26" i="22"/>
  <c r="N17" i="22"/>
  <c r="R17" i="47"/>
  <c r="R26" i="47"/>
  <c r="J17" i="40"/>
  <c r="J26" i="40"/>
  <c r="D17" i="37"/>
  <c r="D26" i="37"/>
  <c r="D17" i="34"/>
  <c r="D26" i="34"/>
  <c r="F17" i="31"/>
  <c r="F26" i="31"/>
  <c r="H17" i="28"/>
  <c r="H26" i="28"/>
  <c r="H17" i="25"/>
  <c r="H26" i="25"/>
  <c r="D17" i="22"/>
  <c r="D26" i="22"/>
  <c r="F17" i="32"/>
  <c r="F26" i="32"/>
  <c r="R17" i="40"/>
  <c r="R26" i="40"/>
  <c r="N17" i="20"/>
  <c r="N26" i="20"/>
  <c r="J17" i="49"/>
  <c r="J26" i="49"/>
  <c r="L17" i="38"/>
  <c r="L26" i="38"/>
  <c r="N17" i="25"/>
  <c r="N26" i="25"/>
  <c r="R26" i="19"/>
  <c r="R17" i="19"/>
  <c r="R17" i="37"/>
  <c r="R26" i="37"/>
  <c r="R17" i="20"/>
  <c r="R26" i="20"/>
  <c r="R26" i="16"/>
  <c r="R17" i="16"/>
  <c r="N26" i="13"/>
  <c r="N17" i="13"/>
  <c r="R17" i="10"/>
  <c r="R26" i="10"/>
  <c r="N17" i="7"/>
  <c r="N26" i="7"/>
  <c r="L26" i="4"/>
  <c r="L17" i="4"/>
  <c r="P17" i="13"/>
  <c r="P26" i="13"/>
  <c r="N17" i="28"/>
  <c r="N26" i="28"/>
  <c r="R26" i="17"/>
  <c r="R17" i="17"/>
  <c r="N26" i="14"/>
  <c r="N17" i="14"/>
  <c r="R26" i="11"/>
  <c r="R17" i="11"/>
  <c r="N26" i="8"/>
  <c r="N17" i="8"/>
  <c r="R26" i="5"/>
  <c r="R17" i="5"/>
  <c r="F17" i="17"/>
  <c r="F26" i="17"/>
  <c r="P17" i="7"/>
  <c r="P26" i="7"/>
  <c r="H17" i="17"/>
  <c r="H26" i="17"/>
  <c r="D17" i="14"/>
  <c r="D26" i="14"/>
  <c r="H17" i="11"/>
  <c r="H26" i="11"/>
  <c r="D17" i="8"/>
  <c r="D26" i="8"/>
  <c r="H17" i="5"/>
  <c r="H26" i="5"/>
  <c r="R17" i="14"/>
  <c r="R26" i="14"/>
  <c r="J17" i="8"/>
  <c r="J26" i="8"/>
  <c r="F17" i="25"/>
  <c r="F26" i="25"/>
  <c r="L102" i="100"/>
  <c r="L22" i="100"/>
  <c r="D46" i="101"/>
  <c r="D49" i="101" s="1"/>
  <c r="D50" i="101" s="1"/>
  <c r="L105" i="98"/>
  <c r="L22" i="98"/>
  <c r="L73" i="95"/>
  <c r="L69" i="95"/>
  <c r="N94" i="94"/>
  <c r="N22" i="94"/>
  <c r="L104" i="96"/>
  <c r="L24" i="96"/>
  <c r="R99" i="94"/>
  <c r="R95" i="94"/>
  <c r="F19" i="91"/>
  <c r="F54" i="91"/>
  <c r="R97" i="88"/>
  <c r="R93" i="88"/>
  <c r="F62" i="99"/>
  <c r="F20" i="99"/>
  <c r="J73" i="95"/>
  <c r="J69" i="95"/>
  <c r="F21" i="93"/>
  <c r="F76" i="93"/>
  <c r="P112" i="90"/>
  <c r="P108" i="90"/>
  <c r="J91" i="87"/>
  <c r="J22" i="87"/>
  <c r="L67" i="99"/>
  <c r="L63" i="99"/>
  <c r="D99" i="94"/>
  <c r="D95" i="94"/>
  <c r="J75" i="92"/>
  <c r="J71" i="92"/>
  <c r="L99" i="94"/>
  <c r="L95" i="94"/>
  <c r="F113" i="90"/>
  <c r="F116" i="90" s="1"/>
  <c r="F117" i="90" s="1"/>
  <c r="N97" i="88"/>
  <c r="N93" i="88"/>
  <c r="P96" i="87"/>
  <c r="P92" i="87"/>
  <c r="L61" i="82"/>
  <c r="L57" i="82"/>
  <c r="P38" i="81"/>
  <c r="P34" i="81"/>
  <c r="H21" i="76"/>
  <c r="H98" i="76"/>
  <c r="H61" i="82"/>
  <c r="H57" i="82"/>
  <c r="N101" i="79"/>
  <c r="N22" i="79"/>
  <c r="R103" i="75"/>
  <c r="R106" i="75" s="1"/>
  <c r="R107" i="75" s="1"/>
  <c r="J107" i="100"/>
  <c r="J103" i="100"/>
  <c r="R107" i="100"/>
  <c r="R103" i="100"/>
  <c r="H109" i="96"/>
  <c r="H105" i="96"/>
  <c r="P105" i="96"/>
  <c r="P109" i="96"/>
  <c r="H75" i="92"/>
  <c r="H71" i="92"/>
  <c r="H96" i="87"/>
  <c r="H92" i="87"/>
  <c r="N104" i="86"/>
  <c r="N108" i="86"/>
  <c r="P114" i="85"/>
  <c r="P110" i="85"/>
  <c r="R86" i="84"/>
  <c r="R82" i="84"/>
  <c r="H45" i="101"/>
  <c r="H41" i="101"/>
  <c r="P73" i="95"/>
  <c r="P69" i="95"/>
  <c r="D108" i="86"/>
  <c r="D104" i="86"/>
  <c r="N86" i="84"/>
  <c r="N82" i="84"/>
  <c r="P86" i="84"/>
  <c r="P82" i="84"/>
  <c r="F106" i="83"/>
  <c r="F102" i="83"/>
  <c r="D106" i="83"/>
  <c r="D102" i="83"/>
  <c r="L201" i="80"/>
  <c r="L197" i="80"/>
  <c r="L22" i="78"/>
  <c r="L52" i="78"/>
  <c r="H102" i="75"/>
  <c r="H98" i="75"/>
  <c r="F31" i="74"/>
  <c r="F95" i="74"/>
  <c r="N105" i="71"/>
  <c r="N101" i="71"/>
  <c r="D105" i="71"/>
  <c r="D101" i="71"/>
  <c r="R96" i="65"/>
  <c r="R92" i="65"/>
  <c r="L106" i="79"/>
  <c r="L102" i="79"/>
  <c r="J102" i="75"/>
  <c r="J98" i="75"/>
  <c r="D100" i="74"/>
  <c r="D96" i="74"/>
  <c r="F124" i="69"/>
  <c r="F120" i="69"/>
  <c r="L108" i="67"/>
  <c r="L104" i="67"/>
  <c r="N108" i="67"/>
  <c r="N104" i="67"/>
  <c r="J76" i="63"/>
  <c r="J72" i="63"/>
  <c r="H108" i="86"/>
  <c r="H104" i="86"/>
  <c r="L38" i="81"/>
  <c r="L34" i="81"/>
  <c r="N38" i="81"/>
  <c r="N34" i="81"/>
  <c r="N53" i="78"/>
  <c r="N57" i="78"/>
  <c r="P57" i="78"/>
  <c r="P53" i="78"/>
  <c r="J107" i="76"/>
  <c r="J108" i="76" s="1"/>
  <c r="J104" i="76"/>
  <c r="D59" i="72"/>
  <c r="D135" i="72"/>
  <c r="P105" i="71"/>
  <c r="P101" i="71"/>
  <c r="P96" i="65"/>
  <c r="P92" i="65"/>
  <c r="P140" i="72"/>
  <c r="P136" i="72"/>
  <c r="H105" i="71"/>
  <c r="H101" i="71"/>
  <c r="H124" i="69"/>
  <c r="H120" i="69"/>
  <c r="N196" i="64"/>
  <c r="N192" i="64"/>
  <c r="L76" i="63"/>
  <c r="L72" i="63"/>
  <c r="J83" i="59"/>
  <c r="J79" i="59"/>
  <c r="F83" i="59"/>
  <c r="F79" i="59"/>
  <c r="J87" i="58"/>
  <c r="J83" i="58"/>
  <c r="F111" i="98"/>
  <c r="F114" i="98" s="1"/>
  <c r="F115" i="98" s="1"/>
  <c r="P104" i="76"/>
  <c r="P107" i="76" s="1"/>
  <c r="P108" i="76" s="1"/>
  <c r="L96" i="65"/>
  <c r="L92" i="65"/>
  <c r="F196" i="64"/>
  <c r="F192" i="64"/>
  <c r="L88" i="57"/>
  <c r="L84" i="57"/>
  <c r="N88" i="57"/>
  <c r="N84" i="57"/>
  <c r="J151" i="66"/>
  <c r="J155" i="66"/>
  <c r="H155" i="66"/>
  <c r="H151" i="66"/>
  <c r="F155" i="66"/>
  <c r="F151" i="66"/>
  <c r="N96" i="65"/>
  <c r="N92" i="65"/>
  <c r="L74" i="61"/>
  <c r="L70" i="61"/>
  <c r="F83" i="58"/>
  <c r="F87" i="58"/>
  <c r="J95" i="56"/>
  <c r="J91" i="56"/>
  <c r="L26" i="54"/>
  <c r="L22" i="54"/>
  <c r="J140" i="51"/>
  <c r="J136" i="51"/>
  <c r="R122" i="62"/>
  <c r="R125" i="62" s="1"/>
  <c r="R126" i="62" s="1"/>
  <c r="J74" i="61"/>
  <c r="J70" i="61"/>
  <c r="P95" i="56"/>
  <c r="P91" i="56"/>
  <c r="P36" i="55"/>
  <c r="P40" i="55"/>
  <c r="L89" i="48"/>
  <c r="L85" i="48"/>
  <c r="L108" i="90"/>
  <c r="L112" i="90"/>
  <c r="J117" i="45"/>
  <c r="J26" i="45"/>
  <c r="N54" i="77"/>
  <c r="N50" i="77"/>
  <c r="L142" i="70"/>
  <c r="L138" i="70"/>
  <c r="J142" i="70"/>
  <c r="J138" i="70"/>
  <c r="R142" i="70"/>
  <c r="R138" i="70"/>
  <c r="P88" i="57"/>
  <c r="P84" i="57"/>
  <c r="F22" i="54"/>
  <c r="F26" i="54"/>
  <c r="F33" i="42"/>
  <c r="F141" i="42"/>
  <c r="H121" i="62"/>
  <c r="H117" i="62"/>
  <c r="D141" i="51"/>
  <c r="D144" i="51"/>
  <c r="D145" i="51" s="1"/>
  <c r="L160" i="39"/>
  <c r="L156" i="39"/>
  <c r="H134" i="24"/>
  <c r="H130" i="24"/>
  <c r="J155" i="39"/>
  <c r="J45" i="39"/>
  <c r="F221" i="33"/>
  <c r="F217" i="33"/>
  <c r="J129" i="24"/>
  <c r="J35" i="24"/>
  <c r="D173" i="30"/>
  <c r="D177" i="30"/>
  <c r="R177" i="30"/>
  <c r="R173" i="30"/>
  <c r="N130" i="24"/>
  <c r="N134" i="24"/>
  <c r="H122" i="45"/>
  <c r="H118" i="45"/>
  <c r="P140" i="36"/>
  <c r="P136" i="36"/>
  <c r="P365" i="18"/>
  <c r="P361" i="18"/>
  <c r="R398" i="21"/>
  <c r="R401" i="21" s="1"/>
  <c r="R402" i="21" s="1"/>
  <c r="N140" i="36"/>
  <c r="N136" i="36"/>
  <c r="J206" i="27"/>
  <c r="J202" i="27"/>
  <c r="N177" i="30"/>
  <c r="N173" i="30"/>
  <c r="D397" i="21"/>
  <c r="D393" i="21"/>
  <c r="L397" i="21"/>
  <c r="L393" i="21"/>
  <c r="N374" i="12"/>
  <c r="N370" i="12"/>
  <c r="P374" i="12"/>
  <c r="P370" i="12"/>
  <c r="H114" i="9"/>
  <c r="H110" i="9"/>
  <c r="L26" i="6"/>
  <c r="L22" i="6"/>
  <c r="P26" i="6"/>
  <c r="P22" i="6"/>
  <c r="D374" i="12"/>
  <c r="D370" i="12"/>
  <c r="R114" i="9"/>
  <c r="R110" i="9"/>
  <c r="N421" i="3"/>
  <c r="N417" i="3"/>
  <c r="F177" i="30"/>
  <c r="F173" i="30"/>
  <c r="D365" i="18"/>
  <c r="D361" i="18"/>
  <c r="J114" i="9"/>
  <c r="J110" i="9"/>
  <c r="R26" i="6"/>
  <c r="R22" i="6"/>
  <c r="H22" i="6"/>
  <c r="H26" i="6"/>
  <c r="H417" i="3"/>
  <c r="H421" i="3"/>
  <c r="N26" i="6"/>
  <c r="N22" i="6"/>
  <c r="H17" i="105"/>
  <c r="H26" i="105"/>
  <c r="F26" i="105"/>
  <c r="F17" i="105"/>
  <c r="D17" i="105"/>
  <c r="D26" i="105"/>
  <c r="R26" i="103"/>
  <c r="R17" i="103"/>
  <c r="H26" i="103"/>
  <c r="H17" i="103"/>
  <c r="R17" i="105"/>
  <c r="R26" i="105"/>
  <c r="D17" i="53"/>
  <c r="D26" i="53"/>
  <c r="J26" i="53"/>
  <c r="J17" i="53"/>
  <c r="H17" i="53"/>
  <c r="H26" i="53"/>
  <c r="R17" i="50"/>
  <c r="R26" i="50"/>
  <c r="P17" i="47"/>
  <c r="P26" i="47"/>
  <c r="L17" i="44"/>
  <c r="L26" i="44"/>
  <c r="P26" i="41"/>
  <c r="P17" i="41"/>
  <c r="F17" i="53"/>
  <c r="F26" i="53"/>
  <c r="F26" i="49"/>
  <c r="F17" i="49"/>
  <c r="D26" i="46"/>
  <c r="D17" i="46"/>
  <c r="H26" i="43"/>
  <c r="H17" i="43"/>
  <c r="L17" i="49"/>
  <c r="L26" i="49"/>
  <c r="R17" i="46"/>
  <c r="R26" i="46"/>
  <c r="N17" i="43"/>
  <c r="N26" i="43"/>
  <c r="L17" i="41"/>
  <c r="L26" i="41"/>
  <c r="J17" i="38"/>
  <c r="J26" i="38"/>
  <c r="J17" i="35"/>
  <c r="J26" i="35"/>
  <c r="D17" i="32"/>
  <c r="D26" i="32"/>
  <c r="F17" i="29"/>
  <c r="F26" i="29"/>
  <c r="F17" i="26"/>
  <c r="F26" i="26"/>
  <c r="J17" i="23"/>
  <c r="J26" i="23"/>
  <c r="L17" i="50"/>
  <c r="L26" i="50"/>
  <c r="L26" i="40"/>
  <c r="L17" i="40"/>
  <c r="F26" i="37"/>
  <c r="F17" i="37"/>
  <c r="F26" i="34"/>
  <c r="F17" i="34"/>
  <c r="H26" i="31"/>
  <c r="H17" i="31"/>
  <c r="J26" i="28"/>
  <c r="J17" i="28"/>
  <c r="J26" i="25"/>
  <c r="J17" i="25"/>
  <c r="F26" i="22"/>
  <c r="F17" i="22"/>
  <c r="F17" i="44"/>
  <c r="F26" i="44"/>
  <c r="N17" i="38"/>
  <c r="N26" i="38"/>
  <c r="N17" i="35"/>
  <c r="N26" i="35"/>
  <c r="P17" i="32"/>
  <c r="P26" i="32"/>
  <c r="R17" i="29"/>
  <c r="R26" i="29"/>
  <c r="R17" i="26"/>
  <c r="R26" i="26"/>
  <c r="N17" i="23"/>
  <c r="N26" i="23"/>
  <c r="L17" i="43"/>
  <c r="L26" i="43"/>
  <c r="F17" i="28"/>
  <c r="F26" i="28"/>
  <c r="L17" i="31"/>
  <c r="L26" i="31"/>
  <c r="F26" i="20"/>
  <c r="F17" i="20"/>
  <c r="J17" i="47"/>
  <c r="J26" i="47"/>
  <c r="L17" i="35"/>
  <c r="L26" i="35"/>
  <c r="L17" i="23"/>
  <c r="L26" i="23"/>
  <c r="J26" i="19"/>
  <c r="J17" i="19"/>
  <c r="D17" i="35"/>
  <c r="D26" i="35"/>
  <c r="P17" i="19"/>
  <c r="P26" i="19"/>
  <c r="J26" i="16"/>
  <c r="J17" i="16"/>
  <c r="F17" i="13"/>
  <c r="F26" i="13"/>
  <c r="J26" i="10"/>
  <c r="J17" i="10"/>
  <c r="F26" i="7"/>
  <c r="F17" i="7"/>
  <c r="D17" i="4"/>
  <c r="D26" i="4"/>
  <c r="F17" i="11"/>
  <c r="F26" i="11"/>
  <c r="D17" i="23"/>
  <c r="D26" i="23"/>
  <c r="J26" i="17"/>
  <c r="J17" i="17"/>
  <c r="F26" i="14"/>
  <c r="F17" i="14"/>
  <c r="J26" i="11"/>
  <c r="J17" i="11"/>
  <c r="F26" i="8"/>
  <c r="F17" i="8"/>
  <c r="J26" i="5"/>
  <c r="J17" i="5"/>
  <c r="D17" i="16"/>
  <c r="D26" i="16"/>
  <c r="J17" i="20"/>
  <c r="J26" i="20"/>
  <c r="N17" i="16"/>
  <c r="N26" i="16"/>
  <c r="R17" i="13"/>
  <c r="R26" i="13"/>
  <c r="N17" i="10"/>
  <c r="N26" i="10"/>
  <c r="R17" i="7"/>
  <c r="R26" i="7"/>
  <c r="P17" i="4"/>
  <c r="P26" i="4"/>
  <c r="H17" i="13"/>
  <c r="H26" i="13"/>
  <c r="H17" i="7"/>
  <c r="H26" i="7"/>
  <c r="R17" i="22"/>
  <c r="R26" i="22"/>
  <c r="D102" i="100"/>
  <c r="D22" i="100"/>
  <c r="D75" i="92"/>
  <c r="D71" i="92"/>
  <c r="D105" i="98"/>
  <c r="D22" i="98"/>
  <c r="F94" i="94"/>
  <c r="F22" i="94"/>
  <c r="N22" i="100"/>
  <c r="N102" i="100"/>
  <c r="J111" i="98"/>
  <c r="J114" i="98" s="1"/>
  <c r="J115" i="98" s="1"/>
  <c r="F71" i="97"/>
  <c r="F67" i="97"/>
  <c r="D71" i="97"/>
  <c r="D67" i="97"/>
  <c r="D104" i="96"/>
  <c r="D24" i="96"/>
  <c r="P98" i="88"/>
  <c r="P101" i="88" s="1"/>
  <c r="P102" i="88" s="1"/>
  <c r="R46" i="101"/>
  <c r="R49" i="101" s="1"/>
  <c r="R50" i="101" s="1"/>
  <c r="D62" i="99"/>
  <c r="D20" i="99"/>
  <c r="H107" i="90"/>
  <c r="H22" i="90"/>
  <c r="N89" i="102"/>
  <c r="N85" i="102"/>
  <c r="P89" i="102"/>
  <c r="P85" i="102"/>
  <c r="N81" i="93"/>
  <c r="N77" i="93"/>
  <c r="P112" i="89"/>
  <c r="P115" i="89" s="1"/>
  <c r="P116" i="89" s="1"/>
  <c r="R111" i="89"/>
  <c r="R107" i="89"/>
  <c r="N68" i="99"/>
  <c r="N71" i="99" s="1"/>
  <c r="N72" i="99" s="1"/>
  <c r="D112" i="90"/>
  <c r="D108" i="90"/>
  <c r="D96" i="87"/>
  <c r="D92" i="87"/>
  <c r="P108" i="86"/>
  <c r="P104" i="86"/>
  <c r="D114" i="85"/>
  <c r="D110" i="85"/>
  <c r="J86" i="84"/>
  <c r="J82" i="84"/>
  <c r="J38" i="81"/>
  <c r="J34" i="81"/>
  <c r="L82" i="93"/>
  <c r="L85" i="93" s="1"/>
  <c r="L86" i="93" s="1"/>
  <c r="H59" i="91"/>
  <c r="H55" i="91"/>
  <c r="L112" i="89"/>
  <c r="L115" i="89" s="1"/>
  <c r="L116" i="89" s="1"/>
  <c r="R114" i="85"/>
  <c r="R110" i="85"/>
  <c r="R61" i="82"/>
  <c r="R57" i="82"/>
  <c r="H21" i="81"/>
  <c r="H33" i="81"/>
  <c r="F101" i="79"/>
  <c r="F22" i="79"/>
  <c r="F75" i="92"/>
  <c r="F71" i="92"/>
  <c r="L96" i="87"/>
  <c r="L92" i="87"/>
  <c r="P101" i="83"/>
  <c r="P23" i="83"/>
  <c r="F110" i="85"/>
  <c r="F114" i="85"/>
  <c r="J106" i="79"/>
  <c r="J102" i="79"/>
  <c r="P103" i="75"/>
  <c r="P106" i="75" s="1"/>
  <c r="P107" i="75" s="1"/>
  <c r="R124" i="69"/>
  <c r="R120" i="69"/>
  <c r="D106" i="68"/>
  <c r="D102" i="68"/>
  <c r="R196" i="64"/>
  <c r="R192" i="64"/>
  <c r="F97" i="88"/>
  <c r="F93" i="88"/>
  <c r="F197" i="80"/>
  <c r="F201" i="80"/>
  <c r="J49" i="77"/>
  <c r="J17" i="77"/>
  <c r="H100" i="74"/>
  <c r="H96" i="74"/>
  <c r="H53" i="73"/>
  <c r="H49" i="73"/>
  <c r="J124" i="69"/>
  <c r="J120" i="69"/>
  <c r="P59" i="91"/>
  <c r="P55" i="91"/>
  <c r="J57" i="78"/>
  <c r="J53" i="78"/>
  <c r="F53" i="73"/>
  <c r="F49" i="73"/>
  <c r="N137" i="70"/>
  <c r="N53" i="70"/>
  <c r="P125" i="69"/>
  <c r="P128" i="69" s="1"/>
  <c r="P129" i="69" s="1"/>
  <c r="R72" i="63"/>
  <c r="R76" i="63"/>
  <c r="N61" i="82"/>
  <c r="N57" i="82"/>
  <c r="N201" i="80"/>
  <c r="N197" i="80"/>
  <c r="N103" i="76"/>
  <c r="N99" i="76"/>
  <c r="D103" i="76"/>
  <c r="D99" i="76"/>
  <c r="J53" i="73"/>
  <c r="J49" i="73"/>
  <c r="J140" i="72"/>
  <c r="J136" i="72"/>
  <c r="F140" i="72"/>
  <c r="F136" i="72"/>
  <c r="P196" i="64"/>
  <c r="P192" i="64"/>
  <c r="P74" i="61"/>
  <c r="P70" i="61"/>
  <c r="R66" i="60"/>
  <c r="R62" i="60"/>
  <c r="J88" i="57"/>
  <c r="J84" i="57"/>
  <c r="N40" i="55"/>
  <c r="N36" i="55"/>
  <c r="P26" i="54"/>
  <c r="P22" i="54"/>
  <c r="P106" i="68"/>
  <c r="P102" i="68"/>
  <c r="H96" i="65"/>
  <c r="H92" i="65"/>
  <c r="L196" i="64"/>
  <c r="L192" i="64"/>
  <c r="J196" i="64"/>
  <c r="J192" i="64"/>
  <c r="L121" i="62"/>
  <c r="L117" i="62"/>
  <c r="F38" i="81"/>
  <c r="F34" i="81"/>
  <c r="F106" i="68"/>
  <c r="F102" i="68"/>
  <c r="N66" i="60"/>
  <c r="N62" i="60"/>
  <c r="J40" i="55"/>
  <c r="J36" i="55"/>
  <c r="N140" i="51"/>
  <c r="N136" i="51"/>
  <c r="H95" i="56"/>
  <c r="H91" i="56"/>
  <c r="D95" i="56"/>
  <c r="D91" i="56"/>
  <c r="J26" i="54"/>
  <c r="J22" i="54"/>
  <c r="P201" i="80"/>
  <c r="P197" i="80"/>
  <c r="R106" i="71"/>
  <c r="R109" i="71" s="1"/>
  <c r="R110" i="71" s="1"/>
  <c r="D66" i="60"/>
  <c r="D62" i="60"/>
  <c r="H83" i="59"/>
  <c r="H79" i="59"/>
  <c r="L87" i="58"/>
  <c r="L83" i="58"/>
  <c r="L54" i="73"/>
  <c r="L57" i="73" s="1"/>
  <c r="L58" i="73" s="1"/>
  <c r="J107" i="68"/>
  <c r="J110" i="68" s="1"/>
  <c r="J111" i="68" s="1"/>
  <c r="D41" i="55"/>
  <c r="D44" i="55" s="1"/>
  <c r="D45" i="55" s="1"/>
  <c r="H67" i="60"/>
  <c r="H70" i="60" s="1"/>
  <c r="H71" i="60" s="1"/>
  <c r="L83" i="59"/>
  <c r="L79" i="59"/>
  <c r="D140" i="36"/>
  <c r="D136" i="36"/>
  <c r="J177" i="30"/>
  <c r="J173" i="30"/>
  <c r="D134" i="24"/>
  <c r="D130" i="24"/>
  <c r="H89" i="48"/>
  <c r="H85" i="48"/>
  <c r="H146" i="42"/>
  <c r="H142" i="42"/>
  <c r="J53" i="36"/>
  <c r="J135" i="36"/>
  <c r="D206" i="27"/>
  <c r="D202" i="27"/>
  <c r="H392" i="21"/>
  <c r="H225" i="21"/>
  <c r="P87" i="58"/>
  <c r="P83" i="58"/>
  <c r="P206" i="27"/>
  <c r="P202" i="27"/>
  <c r="R134" i="24"/>
  <c r="R130" i="24"/>
  <c r="P397" i="21"/>
  <c r="P393" i="21"/>
  <c r="P89" i="48"/>
  <c r="P85" i="48"/>
  <c r="L122" i="45"/>
  <c r="L118" i="45"/>
  <c r="F122" i="45"/>
  <c r="F118" i="45"/>
  <c r="P147" i="42"/>
  <c r="P150" i="42" s="1"/>
  <c r="P151" i="42" s="1"/>
  <c r="R222" i="33"/>
  <c r="R225" i="33" s="1"/>
  <c r="R226" i="33" s="1"/>
  <c r="P221" i="33"/>
  <c r="P217" i="33"/>
  <c r="H161" i="39"/>
  <c r="H164" i="39" s="1"/>
  <c r="H165" i="39" s="1"/>
  <c r="R156" i="39"/>
  <c r="R160" i="39"/>
  <c r="F130" i="24"/>
  <c r="F134" i="24"/>
  <c r="J397" i="21"/>
  <c r="J393" i="21"/>
  <c r="J374" i="12"/>
  <c r="J370" i="12"/>
  <c r="D114" i="9"/>
  <c r="D110" i="9"/>
  <c r="H148" i="15"/>
  <c r="H144" i="15"/>
  <c r="L421" i="3"/>
  <c r="L417" i="3"/>
  <c r="R374" i="12"/>
  <c r="R370" i="12"/>
  <c r="P421" i="3"/>
  <c r="P417" i="3"/>
  <c r="H374" i="12"/>
  <c r="H370" i="12"/>
  <c r="F114" i="9"/>
  <c r="F110" i="9"/>
  <c r="L110" i="9"/>
  <c r="L114" i="9"/>
  <c r="D421" i="3"/>
  <c r="D417" i="3"/>
  <c r="F148" i="15"/>
  <c r="F144" i="15"/>
  <c r="P17" i="104"/>
  <c r="P26" i="104"/>
  <c r="N26" i="104"/>
  <c r="N17" i="104"/>
  <c r="L17" i="104"/>
  <c r="L26" i="104"/>
  <c r="J26" i="103"/>
  <c r="J17" i="103"/>
  <c r="J17" i="104"/>
  <c r="J26" i="104"/>
  <c r="L26" i="103"/>
  <c r="L17" i="103"/>
  <c r="R17" i="52"/>
  <c r="R26" i="52"/>
  <c r="P26" i="52"/>
  <c r="P17" i="52"/>
  <c r="N17" i="52"/>
  <c r="N26" i="52"/>
  <c r="J17" i="50"/>
  <c r="J26" i="50"/>
  <c r="H17" i="47"/>
  <c r="H26" i="47"/>
  <c r="D17" i="44"/>
  <c r="D26" i="44"/>
  <c r="H26" i="41"/>
  <c r="H17" i="41"/>
  <c r="P26" i="50"/>
  <c r="P17" i="50"/>
  <c r="N26" i="47"/>
  <c r="N17" i="47"/>
  <c r="R26" i="44"/>
  <c r="R17" i="44"/>
  <c r="L17" i="52"/>
  <c r="L26" i="52"/>
  <c r="D17" i="49"/>
  <c r="D26" i="49"/>
  <c r="J17" i="46"/>
  <c r="J26" i="46"/>
  <c r="F17" i="43"/>
  <c r="F26" i="43"/>
  <c r="P17" i="40"/>
  <c r="P26" i="40"/>
  <c r="P17" i="37"/>
  <c r="P26" i="37"/>
  <c r="P17" i="34"/>
  <c r="P26" i="34"/>
  <c r="R17" i="31"/>
  <c r="R26" i="31"/>
  <c r="L17" i="28"/>
  <c r="L26" i="28"/>
  <c r="L17" i="25"/>
  <c r="L26" i="25"/>
  <c r="P17" i="22"/>
  <c r="P26" i="22"/>
  <c r="H17" i="46"/>
  <c r="H26" i="46"/>
  <c r="P26" i="38"/>
  <c r="P17" i="38"/>
  <c r="P26" i="35"/>
  <c r="P17" i="35"/>
  <c r="R26" i="32"/>
  <c r="R17" i="32"/>
  <c r="L26" i="29"/>
  <c r="L17" i="29"/>
  <c r="L26" i="26"/>
  <c r="L17" i="26"/>
  <c r="P26" i="23"/>
  <c r="P17" i="23"/>
  <c r="D17" i="50"/>
  <c r="D26" i="50"/>
  <c r="R26" i="41"/>
  <c r="R17" i="41"/>
  <c r="F17" i="38"/>
  <c r="F26" i="38"/>
  <c r="F17" i="35"/>
  <c r="F26" i="35"/>
  <c r="H17" i="32"/>
  <c r="H26" i="32"/>
  <c r="J17" i="29"/>
  <c r="J26" i="29"/>
  <c r="J17" i="26"/>
  <c r="J26" i="26"/>
  <c r="F17" i="23"/>
  <c r="F26" i="23"/>
  <c r="J17" i="37"/>
  <c r="J26" i="37"/>
  <c r="P17" i="26"/>
  <c r="P26" i="26"/>
  <c r="P17" i="29"/>
  <c r="P26" i="29"/>
  <c r="L17" i="19"/>
  <c r="L26" i="19"/>
  <c r="N26" i="41"/>
  <c r="N17" i="41"/>
  <c r="D17" i="31"/>
  <c r="D26" i="31"/>
  <c r="L26" i="20"/>
  <c r="L17" i="20"/>
  <c r="D17" i="41"/>
  <c r="D26" i="41"/>
  <c r="R17" i="34"/>
  <c r="R26" i="34"/>
  <c r="L26" i="17"/>
  <c r="L17" i="17"/>
  <c r="P17" i="14"/>
  <c r="P26" i="14"/>
  <c r="L17" i="11"/>
  <c r="L26" i="11"/>
  <c r="P26" i="8"/>
  <c r="P17" i="8"/>
  <c r="L26" i="5"/>
  <c r="L17" i="5"/>
  <c r="L17" i="16"/>
  <c r="L26" i="16"/>
  <c r="N17" i="5"/>
  <c r="N26" i="5"/>
  <c r="P17" i="20"/>
  <c r="P26" i="20"/>
  <c r="P26" i="16"/>
  <c r="P17" i="16"/>
  <c r="L26" i="13"/>
  <c r="L17" i="13"/>
  <c r="P26" i="10"/>
  <c r="P17" i="10"/>
  <c r="L26" i="7"/>
  <c r="L17" i="7"/>
  <c r="R26" i="4"/>
  <c r="R17" i="4"/>
  <c r="D17" i="10"/>
  <c r="D26" i="10"/>
  <c r="H17" i="19"/>
  <c r="H26" i="19"/>
  <c r="F17" i="16"/>
  <c r="F26" i="16"/>
  <c r="J17" i="13"/>
  <c r="J26" i="13"/>
  <c r="F17" i="10"/>
  <c r="F26" i="10"/>
  <c r="J17" i="7"/>
  <c r="J26" i="7"/>
  <c r="H17" i="4"/>
  <c r="H26" i="4"/>
  <c r="N17" i="11"/>
  <c r="N26" i="11"/>
  <c r="F17" i="5"/>
  <c r="F26" i="5"/>
  <c r="H17" i="20"/>
  <c r="H26" i="20"/>
  <c r="N45" i="101"/>
  <c r="N41" i="101"/>
  <c r="J89" i="102"/>
  <c r="J85" i="102"/>
  <c r="R89" i="102"/>
  <c r="R85" i="102"/>
  <c r="L46" i="101"/>
  <c r="L49" i="101" s="1"/>
  <c r="L50" i="101" s="1"/>
  <c r="D73" i="95"/>
  <c r="D69" i="95"/>
  <c r="J76" i="93"/>
  <c r="J21" i="93"/>
  <c r="N75" i="92"/>
  <c r="N71" i="92"/>
  <c r="F22" i="100"/>
  <c r="F102" i="100"/>
  <c r="R81" i="93"/>
  <c r="R77" i="93"/>
  <c r="D59" i="91"/>
  <c r="D55" i="91"/>
  <c r="H92" i="88"/>
  <c r="H22" i="88"/>
  <c r="H99" i="94"/>
  <c r="H95" i="94"/>
  <c r="L54" i="91"/>
  <c r="L19" i="91"/>
  <c r="N22" i="89"/>
  <c r="N106" i="89"/>
  <c r="L89" i="102"/>
  <c r="L85" i="102"/>
  <c r="P106" i="98"/>
  <c r="P110" i="98"/>
  <c r="J103" i="94"/>
  <c r="J104" i="94" s="1"/>
  <c r="J100" i="94"/>
  <c r="H71" i="97"/>
  <c r="H67" i="97"/>
  <c r="L97" i="88"/>
  <c r="L93" i="88"/>
  <c r="L81" i="84"/>
  <c r="L19" i="84"/>
  <c r="J23" i="83"/>
  <c r="J101" i="83"/>
  <c r="D61" i="82"/>
  <c r="D57" i="82"/>
  <c r="H63" i="99"/>
  <c r="H67" i="99"/>
  <c r="R21" i="81"/>
  <c r="R33" i="81"/>
  <c r="D89" i="102"/>
  <c r="D85" i="102"/>
  <c r="H107" i="100"/>
  <c r="H103" i="100"/>
  <c r="J109" i="96"/>
  <c r="J105" i="96"/>
  <c r="H81" i="93"/>
  <c r="H77" i="93"/>
  <c r="P75" i="92"/>
  <c r="P71" i="92"/>
  <c r="N100" i="87"/>
  <c r="N101" i="87" s="1"/>
  <c r="N97" i="87"/>
  <c r="F108" i="86"/>
  <c r="F104" i="86"/>
  <c r="H114" i="85"/>
  <c r="H110" i="85"/>
  <c r="P45" i="101"/>
  <c r="P41" i="101"/>
  <c r="R77" i="95"/>
  <c r="R78" i="95" s="1"/>
  <c r="R74" i="95"/>
  <c r="F73" i="95"/>
  <c r="F69" i="95"/>
  <c r="J97" i="88"/>
  <c r="J93" i="88"/>
  <c r="H86" i="84"/>
  <c r="H82" i="84"/>
  <c r="F86" i="84"/>
  <c r="F82" i="84"/>
  <c r="H106" i="83"/>
  <c r="H102" i="83"/>
  <c r="L106" i="83"/>
  <c r="L102" i="83"/>
  <c r="N106" i="83"/>
  <c r="N102" i="83"/>
  <c r="L54" i="77"/>
  <c r="L50" i="77"/>
  <c r="L102" i="75"/>
  <c r="L98" i="75"/>
  <c r="F105" i="71"/>
  <c r="F101" i="71"/>
  <c r="P142" i="70"/>
  <c r="P138" i="70"/>
  <c r="L112" i="86"/>
  <c r="L113" i="86" s="1"/>
  <c r="L109" i="86"/>
  <c r="R102" i="79"/>
  <c r="R106" i="79"/>
  <c r="R57" i="78"/>
  <c r="R53" i="78"/>
  <c r="F21" i="76"/>
  <c r="F98" i="76"/>
  <c r="L100" i="74"/>
  <c r="L96" i="74"/>
  <c r="N124" i="69"/>
  <c r="N120" i="69"/>
  <c r="P108" i="67"/>
  <c r="P104" i="67"/>
  <c r="D108" i="67"/>
  <c r="D104" i="67"/>
  <c r="F108" i="67"/>
  <c r="F104" i="67"/>
  <c r="N77" i="63"/>
  <c r="N80" i="63" s="1"/>
  <c r="N81" i="63" s="1"/>
  <c r="F96" i="87"/>
  <c r="F92" i="87"/>
  <c r="R108" i="86"/>
  <c r="R104" i="86"/>
  <c r="D38" i="81"/>
  <c r="D34" i="81"/>
  <c r="J201" i="80"/>
  <c r="J197" i="80"/>
  <c r="H58" i="77"/>
  <c r="H59" i="77" s="1"/>
  <c r="H55" i="77"/>
  <c r="R103" i="76"/>
  <c r="R99" i="76"/>
  <c r="F98" i="75"/>
  <c r="F102" i="75"/>
  <c r="R57" i="73"/>
  <c r="R58" i="73" s="1"/>
  <c r="R54" i="73"/>
  <c r="R140" i="72"/>
  <c r="R136" i="72"/>
  <c r="F137" i="70"/>
  <c r="F53" i="70"/>
  <c r="R102" i="68"/>
  <c r="R106" i="68"/>
  <c r="R67" i="66"/>
  <c r="R150" i="66"/>
  <c r="D53" i="78"/>
  <c r="D57" i="78"/>
  <c r="D53" i="73"/>
  <c r="D49" i="73"/>
  <c r="H140" i="72"/>
  <c r="H136" i="72"/>
  <c r="J105" i="71"/>
  <c r="J101" i="71"/>
  <c r="L105" i="71"/>
  <c r="L101" i="71"/>
  <c r="J108" i="67"/>
  <c r="J104" i="67"/>
  <c r="N83" i="59"/>
  <c r="N79" i="59"/>
  <c r="R87" i="58"/>
  <c r="R83" i="58"/>
  <c r="F88" i="57"/>
  <c r="F84" i="57"/>
  <c r="H102" i="79"/>
  <c r="H106" i="79"/>
  <c r="N98" i="75"/>
  <c r="N102" i="75"/>
  <c r="D96" i="65"/>
  <c r="D92" i="65"/>
  <c r="D88" i="57"/>
  <c r="D84" i="57"/>
  <c r="R55" i="77"/>
  <c r="R58" i="77" s="1"/>
  <c r="R59" i="77" s="1"/>
  <c r="H104" i="67"/>
  <c r="H108" i="67"/>
  <c r="N155" i="66"/>
  <c r="N151" i="66"/>
  <c r="P155" i="66"/>
  <c r="P151" i="66"/>
  <c r="F70" i="61"/>
  <c r="F74" i="61"/>
  <c r="D74" i="61"/>
  <c r="D70" i="61"/>
  <c r="R95" i="56"/>
  <c r="R91" i="56"/>
  <c r="F95" i="56"/>
  <c r="F91" i="56"/>
  <c r="D26" i="54"/>
  <c r="D22" i="54"/>
  <c r="J100" i="74"/>
  <c r="J96" i="74"/>
  <c r="R74" i="61"/>
  <c r="R70" i="61"/>
  <c r="H88" i="57"/>
  <c r="H84" i="57"/>
  <c r="L136" i="51"/>
  <c r="L140" i="51"/>
  <c r="D103" i="75"/>
  <c r="D106" i="75" s="1"/>
  <c r="D107" i="75" s="1"/>
  <c r="H196" i="64"/>
  <c r="H192" i="64"/>
  <c r="P140" i="51"/>
  <c r="P136" i="51"/>
  <c r="R107" i="83"/>
  <c r="R110" i="83" s="1"/>
  <c r="R111" i="83" s="1"/>
  <c r="D142" i="70"/>
  <c r="D138" i="70"/>
  <c r="H142" i="70"/>
  <c r="H138" i="70"/>
  <c r="F76" i="63"/>
  <c r="F72" i="63"/>
  <c r="R85" i="48"/>
  <c r="R89" i="48"/>
  <c r="P121" i="62"/>
  <c r="P117" i="62"/>
  <c r="R146" i="42"/>
  <c r="R142" i="42"/>
  <c r="D160" i="39"/>
  <c r="D156" i="39"/>
  <c r="H140" i="36"/>
  <c r="H136" i="36"/>
  <c r="P134" i="24"/>
  <c r="P130" i="24"/>
  <c r="H41" i="55"/>
  <c r="H44" i="55"/>
  <c r="H45" i="55" s="1"/>
  <c r="N221" i="33"/>
  <c r="N217" i="33"/>
  <c r="D77" i="63"/>
  <c r="D80" i="63" s="1"/>
  <c r="D81" i="63" s="1"/>
  <c r="L147" i="42"/>
  <c r="L150" i="42" s="1"/>
  <c r="L151" i="42" s="1"/>
  <c r="L101" i="33"/>
  <c r="L216" i="33"/>
  <c r="H177" i="30"/>
  <c r="H173" i="30"/>
  <c r="N104" i="27"/>
  <c r="N201" i="27"/>
  <c r="D89" i="48"/>
  <c r="D85" i="48"/>
  <c r="P122" i="45"/>
  <c r="P118" i="45"/>
  <c r="R141" i="36"/>
  <c r="R144" i="36" s="1"/>
  <c r="R145" i="36" s="1"/>
  <c r="F140" i="36"/>
  <c r="F136" i="36"/>
  <c r="H206" i="27"/>
  <c r="H202" i="27"/>
  <c r="H365" i="18"/>
  <c r="H361" i="18"/>
  <c r="P177" i="30"/>
  <c r="P173" i="30"/>
  <c r="F374" i="12"/>
  <c r="F370" i="12"/>
  <c r="P114" i="9"/>
  <c r="P110" i="9"/>
  <c r="D26" i="6"/>
  <c r="D22" i="6"/>
  <c r="J365" i="18"/>
  <c r="J361" i="18"/>
  <c r="R148" i="15"/>
  <c r="R144" i="15"/>
  <c r="J148" i="15"/>
  <c r="J144" i="15"/>
  <c r="F26" i="6"/>
  <c r="F22" i="6"/>
  <c r="L365" i="18"/>
  <c r="L361" i="18"/>
  <c r="R365" i="18"/>
  <c r="R361" i="18"/>
  <c r="J26" i="6"/>
  <c r="J22" i="6"/>
  <c r="L148" i="15"/>
  <c r="L144" i="15"/>
  <c r="L374" i="12"/>
  <c r="L370" i="12"/>
  <c r="F421" i="3"/>
  <c r="F417" i="3"/>
  <c r="H17" i="104"/>
  <c r="H26" i="104"/>
  <c r="F26" i="104"/>
  <c r="F17" i="104"/>
  <c r="D17" i="104"/>
  <c r="D26" i="104"/>
  <c r="R17" i="104"/>
  <c r="R26" i="104"/>
  <c r="N26" i="103"/>
  <c r="N17" i="103"/>
  <c r="D26" i="103"/>
  <c r="D17" i="103"/>
  <c r="J17" i="52"/>
  <c r="J26" i="52"/>
  <c r="H26" i="52"/>
  <c r="H17" i="52"/>
  <c r="F17" i="52"/>
  <c r="F26" i="52"/>
  <c r="P17" i="49"/>
  <c r="P26" i="49"/>
  <c r="N17" i="46"/>
  <c r="N26" i="46"/>
  <c r="R17" i="43"/>
  <c r="R26" i="43"/>
  <c r="N17" i="40"/>
  <c r="N26" i="40"/>
  <c r="H26" i="50"/>
  <c r="H17" i="50"/>
  <c r="F26" i="47"/>
  <c r="F17" i="47"/>
  <c r="J26" i="44"/>
  <c r="J17" i="44"/>
  <c r="N17" i="50"/>
  <c r="N26" i="50"/>
  <c r="L17" i="47"/>
  <c r="L26" i="47"/>
  <c r="P17" i="44"/>
  <c r="P26" i="44"/>
  <c r="P17" i="46"/>
  <c r="P26" i="46"/>
  <c r="D26" i="40"/>
  <c r="D17" i="40"/>
  <c r="H17" i="37"/>
  <c r="H26" i="37"/>
  <c r="H17" i="34"/>
  <c r="H26" i="34"/>
  <c r="J17" i="31"/>
  <c r="J26" i="31"/>
  <c r="D17" i="28"/>
  <c r="D26" i="28"/>
  <c r="D17" i="25"/>
  <c r="D26" i="25"/>
  <c r="H17" i="22"/>
  <c r="H26" i="22"/>
  <c r="N17" i="44"/>
  <c r="N26" i="44"/>
  <c r="H26" i="38"/>
  <c r="H17" i="38"/>
  <c r="H26" i="35"/>
  <c r="H17" i="35"/>
  <c r="J26" i="32"/>
  <c r="J17" i="32"/>
  <c r="D26" i="29"/>
  <c r="D17" i="29"/>
  <c r="D26" i="26"/>
  <c r="D17" i="26"/>
  <c r="H26" i="23"/>
  <c r="H17" i="23"/>
  <c r="R17" i="49"/>
  <c r="R26" i="49"/>
  <c r="F26" i="41"/>
  <c r="F17" i="41"/>
  <c r="L17" i="37"/>
  <c r="L26" i="37"/>
  <c r="L17" i="34"/>
  <c r="L26" i="34"/>
  <c r="N17" i="31"/>
  <c r="N26" i="31"/>
  <c r="P17" i="28"/>
  <c r="P26" i="28"/>
  <c r="P17" i="25"/>
  <c r="P26" i="25"/>
  <c r="L17" i="22"/>
  <c r="L26" i="22"/>
  <c r="J17" i="34"/>
  <c r="J26" i="34"/>
  <c r="J17" i="22"/>
  <c r="J26" i="22"/>
  <c r="H17" i="26"/>
  <c r="H26" i="26"/>
  <c r="D26" i="19"/>
  <c r="D17" i="19"/>
  <c r="H26" i="40"/>
  <c r="H17" i="40"/>
  <c r="H17" i="29"/>
  <c r="H26" i="29"/>
  <c r="D26" i="20"/>
  <c r="D17" i="20"/>
  <c r="D17" i="38"/>
  <c r="D26" i="38"/>
  <c r="N17" i="32"/>
  <c r="N26" i="32"/>
  <c r="D26" i="17"/>
  <c r="D17" i="17"/>
  <c r="H26" i="14"/>
  <c r="H17" i="14"/>
  <c r="D26" i="11"/>
  <c r="D17" i="11"/>
  <c r="H17" i="8"/>
  <c r="H26" i="8"/>
  <c r="D26" i="5"/>
  <c r="D17" i="5"/>
  <c r="J17" i="14"/>
  <c r="J26" i="14"/>
  <c r="N17" i="4"/>
  <c r="N26" i="4"/>
  <c r="N17" i="19"/>
  <c r="N26" i="19"/>
  <c r="H26" i="16"/>
  <c r="H17" i="16"/>
  <c r="D26" i="13"/>
  <c r="D17" i="13"/>
  <c r="H26" i="10"/>
  <c r="H17" i="10"/>
  <c r="D26" i="7"/>
  <c r="D17" i="7"/>
  <c r="J26" i="4"/>
  <c r="J17" i="4"/>
  <c r="R17" i="8"/>
  <c r="R26" i="8"/>
  <c r="P17" i="17"/>
  <c r="P26" i="17"/>
  <c r="L17" i="14"/>
  <c r="L26" i="14"/>
  <c r="P17" i="11"/>
  <c r="P26" i="11"/>
  <c r="L17" i="8"/>
  <c r="L26" i="8"/>
  <c r="P17" i="5"/>
  <c r="P26" i="5"/>
  <c r="N17" i="17"/>
  <c r="N26" i="17"/>
  <c r="L17" i="10"/>
  <c r="L26" i="10"/>
  <c r="F17" i="4"/>
  <c r="F26" i="4"/>
  <c r="F17" i="19"/>
  <c r="F26" i="19"/>
  <c r="F31" i="19" l="1"/>
  <c r="F27" i="19"/>
  <c r="L31" i="10"/>
  <c r="L27" i="10"/>
  <c r="P31" i="5"/>
  <c r="P27" i="5"/>
  <c r="P31" i="11"/>
  <c r="P27" i="11"/>
  <c r="P31" i="17"/>
  <c r="P27" i="17"/>
  <c r="N31" i="4"/>
  <c r="N27" i="4"/>
  <c r="D31" i="38"/>
  <c r="D27" i="38"/>
  <c r="H31" i="29"/>
  <c r="H27" i="29"/>
  <c r="J31" i="22"/>
  <c r="J27" i="22"/>
  <c r="L31" i="22"/>
  <c r="L27" i="22"/>
  <c r="P31" i="28"/>
  <c r="P27" i="28"/>
  <c r="L31" i="34"/>
  <c r="L27" i="34"/>
  <c r="N31" i="44"/>
  <c r="N27" i="44"/>
  <c r="D31" i="25"/>
  <c r="D27" i="25"/>
  <c r="J31" i="31"/>
  <c r="J27" i="31"/>
  <c r="H31" i="37"/>
  <c r="H27" i="37"/>
  <c r="P31" i="46"/>
  <c r="P27" i="46"/>
  <c r="L31" i="47"/>
  <c r="L27" i="47"/>
  <c r="R31" i="43"/>
  <c r="R27" i="43"/>
  <c r="P31" i="49"/>
  <c r="P27" i="49"/>
  <c r="R31" i="104"/>
  <c r="R27" i="104"/>
  <c r="N202" i="27"/>
  <c r="N206" i="27"/>
  <c r="L221" i="33"/>
  <c r="L217" i="33"/>
  <c r="R90" i="48"/>
  <c r="R93" i="48" s="1"/>
  <c r="R94" i="48" s="1"/>
  <c r="L141" i="51"/>
  <c r="L144" i="51" s="1"/>
  <c r="L145" i="51" s="1"/>
  <c r="F75" i="61"/>
  <c r="F78" i="61" s="1"/>
  <c r="F79" i="61" s="1"/>
  <c r="H107" i="79"/>
  <c r="H110" i="79" s="1"/>
  <c r="H111" i="79" s="1"/>
  <c r="R151" i="66"/>
  <c r="R155" i="66"/>
  <c r="F99" i="76"/>
  <c r="F103" i="76"/>
  <c r="R107" i="79"/>
  <c r="R110" i="79" s="1"/>
  <c r="R111" i="79" s="1"/>
  <c r="H68" i="99"/>
  <c r="H71" i="99" s="1"/>
  <c r="H72" i="99" s="1"/>
  <c r="J102" i="83"/>
  <c r="J106" i="83"/>
  <c r="F31" i="5"/>
  <c r="F27" i="5"/>
  <c r="H31" i="4"/>
  <c r="H27" i="4"/>
  <c r="F31" i="10"/>
  <c r="F27" i="10"/>
  <c r="F31" i="16"/>
  <c r="F27" i="16"/>
  <c r="D31" i="10"/>
  <c r="D27" i="10"/>
  <c r="P31" i="20"/>
  <c r="P27" i="20"/>
  <c r="L31" i="16"/>
  <c r="L27" i="16"/>
  <c r="P27" i="14"/>
  <c r="P31" i="14"/>
  <c r="R31" i="34"/>
  <c r="R27" i="34"/>
  <c r="P31" i="29"/>
  <c r="P27" i="29"/>
  <c r="J31" i="37"/>
  <c r="J27" i="37"/>
  <c r="J31" i="26"/>
  <c r="J27" i="26"/>
  <c r="H31" i="32"/>
  <c r="H27" i="32"/>
  <c r="F31" i="38"/>
  <c r="F27" i="38"/>
  <c r="D31" i="50"/>
  <c r="D27" i="50"/>
  <c r="P31" i="22"/>
  <c r="P27" i="22"/>
  <c r="L31" i="28"/>
  <c r="L27" i="28"/>
  <c r="P31" i="34"/>
  <c r="P27" i="34"/>
  <c r="P31" i="40"/>
  <c r="P27" i="40"/>
  <c r="J31" i="46"/>
  <c r="J27" i="46"/>
  <c r="L31" i="52"/>
  <c r="L27" i="52"/>
  <c r="H31" i="47"/>
  <c r="H27" i="47"/>
  <c r="N31" i="52"/>
  <c r="N27" i="52"/>
  <c r="R31" i="52"/>
  <c r="R27" i="52"/>
  <c r="J31" i="104"/>
  <c r="J27" i="104"/>
  <c r="L31" i="104"/>
  <c r="L27" i="104"/>
  <c r="P31" i="104"/>
  <c r="P27" i="104"/>
  <c r="R161" i="39"/>
  <c r="R164" i="39" s="1"/>
  <c r="R165" i="39" s="1"/>
  <c r="J140" i="36"/>
  <c r="J136" i="36"/>
  <c r="R80" i="63"/>
  <c r="R81" i="63" s="1"/>
  <c r="R77" i="63"/>
  <c r="F205" i="80"/>
  <c r="F206" i="80" s="1"/>
  <c r="F202" i="80"/>
  <c r="H38" i="81"/>
  <c r="H34" i="81"/>
  <c r="N107" i="100"/>
  <c r="N103" i="100"/>
  <c r="H31" i="7"/>
  <c r="H27" i="7"/>
  <c r="P31" i="4"/>
  <c r="P27" i="4"/>
  <c r="N31" i="10"/>
  <c r="N27" i="10"/>
  <c r="N31" i="16"/>
  <c r="N27" i="16"/>
  <c r="D31" i="16"/>
  <c r="D27" i="16"/>
  <c r="D31" i="23"/>
  <c r="D27" i="23"/>
  <c r="D31" i="4"/>
  <c r="D27" i="4"/>
  <c r="D31" i="35"/>
  <c r="D27" i="35"/>
  <c r="L31" i="23"/>
  <c r="L27" i="23"/>
  <c r="J31" i="47"/>
  <c r="J27" i="47"/>
  <c r="L31" i="31"/>
  <c r="L27" i="31"/>
  <c r="L31" i="43"/>
  <c r="L27" i="43"/>
  <c r="R31" i="26"/>
  <c r="R27" i="26"/>
  <c r="P31" i="32"/>
  <c r="P27" i="32"/>
  <c r="N31" i="38"/>
  <c r="N27" i="38"/>
  <c r="J31" i="23"/>
  <c r="J27" i="23"/>
  <c r="F31" i="29"/>
  <c r="F27" i="29"/>
  <c r="J31" i="35"/>
  <c r="J27" i="35"/>
  <c r="L31" i="41"/>
  <c r="L27" i="41"/>
  <c r="R31" i="46"/>
  <c r="R27" i="46"/>
  <c r="P31" i="47"/>
  <c r="P27" i="47"/>
  <c r="H31" i="53"/>
  <c r="H27" i="53"/>
  <c r="D31" i="53"/>
  <c r="D27" i="53"/>
  <c r="D31" i="105"/>
  <c r="D27" i="105"/>
  <c r="H31" i="105"/>
  <c r="H27" i="105"/>
  <c r="H427" i="3"/>
  <c r="H428" i="3" s="1"/>
  <c r="H422" i="3"/>
  <c r="F27" i="54"/>
  <c r="F32" i="54" s="1"/>
  <c r="F33" i="54" s="1"/>
  <c r="F88" i="58"/>
  <c r="F91" i="58" s="1"/>
  <c r="F92" i="58" s="1"/>
  <c r="D140" i="72"/>
  <c r="D136" i="72"/>
  <c r="N112" i="86"/>
  <c r="N113" i="86" s="1"/>
  <c r="N109" i="86"/>
  <c r="H99" i="76"/>
  <c r="H103" i="76"/>
  <c r="F77" i="93"/>
  <c r="F81" i="93"/>
  <c r="F59" i="91"/>
  <c r="F55" i="91"/>
  <c r="F31" i="25"/>
  <c r="F27" i="25"/>
  <c r="R31" i="14"/>
  <c r="R27" i="14"/>
  <c r="D31" i="8"/>
  <c r="D27" i="8"/>
  <c r="D31" i="14"/>
  <c r="D27" i="14"/>
  <c r="P31" i="7"/>
  <c r="P27" i="7"/>
  <c r="P31" i="13"/>
  <c r="P27" i="13"/>
  <c r="N27" i="7"/>
  <c r="N31" i="7"/>
  <c r="R31" i="20"/>
  <c r="R27" i="20"/>
  <c r="L31" i="38"/>
  <c r="L27" i="38"/>
  <c r="N31" i="20"/>
  <c r="N27" i="20"/>
  <c r="F31" i="32"/>
  <c r="F27" i="32"/>
  <c r="H31" i="25"/>
  <c r="H27" i="25"/>
  <c r="F31" i="31"/>
  <c r="F27" i="31"/>
  <c r="D31" i="37"/>
  <c r="D27" i="37"/>
  <c r="R31" i="47"/>
  <c r="R27" i="47"/>
  <c r="D31" i="52"/>
  <c r="D27" i="52"/>
  <c r="N31" i="26"/>
  <c r="N27" i="26"/>
  <c r="L31" i="32"/>
  <c r="L27" i="32"/>
  <c r="R31" i="38"/>
  <c r="R27" i="38"/>
  <c r="H31" i="44"/>
  <c r="H27" i="44"/>
  <c r="F31" i="50"/>
  <c r="F27" i="50"/>
  <c r="F31" i="40"/>
  <c r="F27" i="40"/>
  <c r="F31" i="46"/>
  <c r="F27" i="46"/>
  <c r="N31" i="53"/>
  <c r="N27" i="53"/>
  <c r="J31" i="105"/>
  <c r="J27" i="105"/>
  <c r="F206" i="27"/>
  <c r="F202" i="27"/>
  <c r="H80" i="63"/>
  <c r="H81" i="63" s="1"/>
  <c r="H77" i="63"/>
  <c r="P80" i="63"/>
  <c r="P81" i="63" s="1"/>
  <c r="P77" i="63"/>
  <c r="F55" i="77"/>
  <c r="F58" i="77" s="1"/>
  <c r="F59" i="77" s="1"/>
  <c r="N100" i="74"/>
  <c r="N96" i="74"/>
  <c r="F90" i="102"/>
  <c r="F93" i="102" s="1"/>
  <c r="F94" i="102" s="1"/>
  <c r="F111" i="89"/>
  <c r="F107" i="89"/>
  <c r="R109" i="96"/>
  <c r="R105" i="96"/>
  <c r="J31" i="4"/>
  <c r="J27" i="4"/>
  <c r="H31" i="10"/>
  <c r="H27" i="10"/>
  <c r="H31" i="16"/>
  <c r="H27" i="16"/>
  <c r="D31" i="5"/>
  <c r="D27" i="5"/>
  <c r="D31" i="11"/>
  <c r="D27" i="11"/>
  <c r="D31" i="17"/>
  <c r="D27" i="17"/>
  <c r="D31" i="19"/>
  <c r="D27" i="19"/>
  <c r="F31" i="41"/>
  <c r="F27" i="41"/>
  <c r="H31" i="23"/>
  <c r="H27" i="23"/>
  <c r="D31" i="29"/>
  <c r="D27" i="29"/>
  <c r="H31" i="35"/>
  <c r="H27" i="35"/>
  <c r="J31" i="44"/>
  <c r="J27" i="44"/>
  <c r="H31" i="50"/>
  <c r="H27" i="50"/>
  <c r="H31" i="52"/>
  <c r="H27" i="52"/>
  <c r="D31" i="103"/>
  <c r="D27" i="103"/>
  <c r="F31" i="104"/>
  <c r="F27" i="104"/>
  <c r="F427" i="3"/>
  <c r="F428" i="3" s="1"/>
  <c r="F422" i="3"/>
  <c r="L152" i="15"/>
  <c r="L153" i="15" s="1"/>
  <c r="L149" i="15"/>
  <c r="R369" i="18"/>
  <c r="R370" i="18" s="1"/>
  <c r="R366" i="18"/>
  <c r="F32" i="6"/>
  <c r="F33" i="6" s="1"/>
  <c r="F27" i="6"/>
  <c r="R152" i="15"/>
  <c r="R153" i="15" s="1"/>
  <c r="R149" i="15"/>
  <c r="D32" i="6"/>
  <c r="D33" i="6" s="1"/>
  <c r="D27" i="6"/>
  <c r="F378" i="12"/>
  <c r="F379" i="12" s="1"/>
  <c r="F375" i="12"/>
  <c r="H369" i="18"/>
  <c r="H370" i="18" s="1"/>
  <c r="H366" i="18"/>
  <c r="F144" i="36"/>
  <c r="F145" i="36" s="1"/>
  <c r="F141" i="36"/>
  <c r="P126" i="45"/>
  <c r="P127" i="45" s="1"/>
  <c r="P123" i="45"/>
  <c r="H144" i="36"/>
  <c r="H145" i="36" s="1"/>
  <c r="H141" i="36"/>
  <c r="R150" i="42"/>
  <c r="R151" i="42" s="1"/>
  <c r="R147" i="42"/>
  <c r="H146" i="70"/>
  <c r="H147" i="70" s="1"/>
  <c r="H143" i="70"/>
  <c r="H200" i="64"/>
  <c r="H201" i="64" s="1"/>
  <c r="H197" i="64"/>
  <c r="R78" i="61"/>
  <c r="R79" i="61" s="1"/>
  <c r="R75" i="61"/>
  <c r="D32" i="54"/>
  <c r="D33" i="54" s="1"/>
  <c r="D27" i="54"/>
  <c r="R99" i="56"/>
  <c r="R100" i="56" s="1"/>
  <c r="R96" i="56"/>
  <c r="N159" i="66"/>
  <c r="N160" i="66" s="1"/>
  <c r="N156" i="66"/>
  <c r="D100" i="65"/>
  <c r="D101" i="65" s="1"/>
  <c r="D97" i="65"/>
  <c r="R91" i="58"/>
  <c r="R92" i="58" s="1"/>
  <c r="R88" i="58"/>
  <c r="J112" i="67"/>
  <c r="J113" i="67" s="1"/>
  <c r="J109" i="67"/>
  <c r="J109" i="71"/>
  <c r="J110" i="71" s="1"/>
  <c r="J106" i="71"/>
  <c r="D57" i="73"/>
  <c r="D58" i="73" s="1"/>
  <c r="D54" i="73"/>
  <c r="F142" i="70"/>
  <c r="F138" i="70"/>
  <c r="R107" i="76"/>
  <c r="R108" i="76" s="1"/>
  <c r="R104" i="76"/>
  <c r="J205" i="80"/>
  <c r="J206" i="80" s="1"/>
  <c r="J202" i="80"/>
  <c r="R112" i="86"/>
  <c r="R113" i="86" s="1"/>
  <c r="R109" i="86"/>
  <c r="D112" i="67"/>
  <c r="D113" i="67" s="1"/>
  <c r="D109" i="67"/>
  <c r="N128" i="69"/>
  <c r="N129" i="69" s="1"/>
  <c r="N125" i="69"/>
  <c r="P146" i="70"/>
  <c r="P147" i="70" s="1"/>
  <c r="P143" i="70"/>
  <c r="L106" i="75"/>
  <c r="L107" i="75" s="1"/>
  <c r="L103" i="75"/>
  <c r="N110" i="83"/>
  <c r="N111" i="83" s="1"/>
  <c r="N107" i="83"/>
  <c r="H110" i="83"/>
  <c r="H111" i="83" s="1"/>
  <c r="H107" i="83"/>
  <c r="H90" i="84"/>
  <c r="H91" i="84" s="1"/>
  <c r="H87" i="84"/>
  <c r="F77" i="95"/>
  <c r="F78" i="95" s="1"/>
  <c r="F74" i="95"/>
  <c r="P49" i="101"/>
  <c r="P50" i="101" s="1"/>
  <c r="P46" i="101"/>
  <c r="F112" i="86"/>
  <c r="F113" i="86" s="1"/>
  <c r="F109" i="86"/>
  <c r="P79" i="92"/>
  <c r="P80" i="92" s="1"/>
  <c r="P76" i="92"/>
  <c r="J113" i="96"/>
  <c r="J114" i="96" s="1"/>
  <c r="J110" i="96"/>
  <c r="D93" i="102"/>
  <c r="D94" i="102" s="1"/>
  <c r="D90" i="102"/>
  <c r="L101" i="88"/>
  <c r="L102" i="88" s="1"/>
  <c r="L98" i="88"/>
  <c r="L93" i="102"/>
  <c r="L94" i="102" s="1"/>
  <c r="L90" i="102"/>
  <c r="L59" i="91"/>
  <c r="L55" i="91"/>
  <c r="H97" i="88"/>
  <c r="H93" i="88"/>
  <c r="R85" i="93"/>
  <c r="R86" i="93" s="1"/>
  <c r="R82" i="93"/>
  <c r="N79" i="92"/>
  <c r="N80" i="92" s="1"/>
  <c r="N76" i="92"/>
  <c r="D77" i="95"/>
  <c r="D78" i="95" s="1"/>
  <c r="D74" i="95"/>
  <c r="R93" i="102"/>
  <c r="R94" i="102" s="1"/>
  <c r="R90" i="102"/>
  <c r="N49" i="101"/>
  <c r="N50" i="101" s="1"/>
  <c r="N46" i="101"/>
  <c r="L31" i="7"/>
  <c r="L27" i="7"/>
  <c r="L31" i="13"/>
  <c r="L27" i="13"/>
  <c r="P31" i="8"/>
  <c r="P27" i="8"/>
  <c r="L27" i="20"/>
  <c r="L31" i="20"/>
  <c r="N31" i="41"/>
  <c r="N27" i="41"/>
  <c r="L31" i="26"/>
  <c r="L27" i="26"/>
  <c r="R31" i="32"/>
  <c r="R27" i="32"/>
  <c r="P31" i="38"/>
  <c r="P27" i="38"/>
  <c r="N31" i="47"/>
  <c r="N27" i="47"/>
  <c r="H31" i="41"/>
  <c r="H27" i="41"/>
  <c r="D427" i="3"/>
  <c r="D428" i="3" s="1"/>
  <c r="D422" i="3"/>
  <c r="F118" i="9"/>
  <c r="F119" i="9" s="1"/>
  <c r="F115" i="9"/>
  <c r="P427" i="3"/>
  <c r="P428" i="3" s="1"/>
  <c r="P422" i="3"/>
  <c r="L427" i="3"/>
  <c r="L428" i="3" s="1"/>
  <c r="L422" i="3"/>
  <c r="D115" i="9"/>
  <c r="D118" i="9" s="1"/>
  <c r="D119" i="9" s="1"/>
  <c r="J401" i="21"/>
  <c r="J402" i="21" s="1"/>
  <c r="J398" i="21"/>
  <c r="P225" i="33"/>
  <c r="P226" i="33" s="1"/>
  <c r="P222" i="33"/>
  <c r="L126" i="45"/>
  <c r="L127" i="45" s="1"/>
  <c r="L123" i="45"/>
  <c r="P401" i="21"/>
  <c r="P402" i="21" s="1"/>
  <c r="P398" i="21"/>
  <c r="P210" i="27"/>
  <c r="P211" i="27" s="1"/>
  <c r="P207" i="27"/>
  <c r="H397" i="21"/>
  <c r="H393" i="21"/>
  <c r="H93" i="48"/>
  <c r="H94" i="48" s="1"/>
  <c r="H90" i="48"/>
  <c r="J181" i="30"/>
  <c r="J182" i="30" s="1"/>
  <c r="J178" i="30"/>
  <c r="L87" i="59"/>
  <c r="L88" i="59" s="1"/>
  <c r="L84" i="59"/>
  <c r="H87" i="59"/>
  <c r="H88" i="59" s="1"/>
  <c r="H84" i="59"/>
  <c r="J32" i="54"/>
  <c r="J33" i="54" s="1"/>
  <c r="J27" i="54"/>
  <c r="H99" i="56"/>
  <c r="H100" i="56" s="1"/>
  <c r="H96" i="56"/>
  <c r="J44" i="55"/>
  <c r="J45" i="55" s="1"/>
  <c r="J41" i="55"/>
  <c r="F110" i="68"/>
  <c r="F111" i="68" s="1"/>
  <c r="F107" i="68"/>
  <c r="L125" i="62"/>
  <c r="L126" i="62" s="1"/>
  <c r="L122" i="62"/>
  <c r="L200" i="64"/>
  <c r="L201" i="64" s="1"/>
  <c r="L197" i="64"/>
  <c r="P110" i="68"/>
  <c r="P111" i="68" s="1"/>
  <c r="P107" i="68"/>
  <c r="N44" i="55"/>
  <c r="N45" i="55" s="1"/>
  <c r="N41" i="55"/>
  <c r="R70" i="60"/>
  <c r="R71" i="60" s="1"/>
  <c r="R67" i="60"/>
  <c r="P200" i="64"/>
  <c r="P201" i="64" s="1"/>
  <c r="P197" i="64"/>
  <c r="J144" i="72"/>
  <c r="J145" i="72" s="1"/>
  <c r="J141" i="72"/>
  <c r="D107" i="76"/>
  <c r="D108" i="76" s="1"/>
  <c r="D104" i="76"/>
  <c r="N205" i="80"/>
  <c r="N206" i="80" s="1"/>
  <c r="N202" i="80"/>
  <c r="N142" i="70"/>
  <c r="N138" i="70"/>
  <c r="J61" i="78"/>
  <c r="J62" i="78" s="1"/>
  <c r="J58" i="78"/>
  <c r="J128" i="69"/>
  <c r="J129" i="69" s="1"/>
  <c r="J125" i="69"/>
  <c r="H104" i="74"/>
  <c r="H105" i="74" s="1"/>
  <c r="H101" i="74"/>
  <c r="R200" i="64"/>
  <c r="R201" i="64" s="1"/>
  <c r="R197" i="64"/>
  <c r="R128" i="69"/>
  <c r="R129" i="69" s="1"/>
  <c r="R125" i="69"/>
  <c r="J110" i="79"/>
  <c r="J111" i="79" s="1"/>
  <c r="J107" i="79"/>
  <c r="P106" i="83"/>
  <c r="P102" i="83"/>
  <c r="F79" i="92"/>
  <c r="F80" i="92" s="1"/>
  <c r="F76" i="92"/>
  <c r="R118" i="85"/>
  <c r="R119" i="85" s="1"/>
  <c r="R115" i="85"/>
  <c r="H60" i="91"/>
  <c r="H63" i="91" s="1"/>
  <c r="H64" i="91" s="1"/>
  <c r="J42" i="81"/>
  <c r="J43" i="81" s="1"/>
  <c r="J39" i="81"/>
  <c r="D118" i="85"/>
  <c r="D119" i="85" s="1"/>
  <c r="D115" i="85"/>
  <c r="D100" i="87"/>
  <c r="D101" i="87" s="1"/>
  <c r="D97" i="87"/>
  <c r="P93" i="102"/>
  <c r="P94" i="102" s="1"/>
  <c r="P90" i="102"/>
  <c r="H112" i="90"/>
  <c r="H108" i="90"/>
  <c r="D109" i="96"/>
  <c r="D105" i="96"/>
  <c r="F75" i="97"/>
  <c r="F76" i="97" s="1"/>
  <c r="F72" i="97"/>
  <c r="D110" i="98"/>
  <c r="D106" i="98"/>
  <c r="D107" i="100"/>
  <c r="D103" i="100"/>
  <c r="F31" i="8"/>
  <c r="F27" i="8"/>
  <c r="F31" i="14"/>
  <c r="F27" i="14"/>
  <c r="J27" i="10"/>
  <c r="J31" i="10"/>
  <c r="J27" i="16"/>
  <c r="J31" i="16"/>
  <c r="F31" i="22"/>
  <c r="F27" i="22"/>
  <c r="J31" i="28"/>
  <c r="J27" i="28"/>
  <c r="F31" i="34"/>
  <c r="F27" i="34"/>
  <c r="L31" i="40"/>
  <c r="L27" i="40"/>
  <c r="H31" i="43"/>
  <c r="H27" i="43"/>
  <c r="F31" i="49"/>
  <c r="F27" i="49"/>
  <c r="P31" i="41"/>
  <c r="P27" i="41"/>
  <c r="H27" i="103"/>
  <c r="H31" i="103"/>
  <c r="R32" i="6"/>
  <c r="R33" i="6" s="1"/>
  <c r="R27" i="6"/>
  <c r="D369" i="18"/>
  <c r="D370" i="18" s="1"/>
  <c r="D366" i="18"/>
  <c r="N427" i="3"/>
  <c r="N428" i="3" s="1"/>
  <c r="N422" i="3"/>
  <c r="D378" i="12"/>
  <c r="D379" i="12" s="1"/>
  <c r="D375" i="12"/>
  <c r="L32" i="6"/>
  <c r="L33" i="6" s="1"/>
  <c r="L27" i="6"/>
  <c r="P375" i="12"/>
  <c r="P378" i="12" s="1"/>
  <c r="P379" i="12" s="1"/>
  <c r="L401" i="21"/>
  <c r="L402" i="21" s="1"/>
  <c r="L398" i="21"/>
  <c r="N181" i="30"/>
  <c r="N182" i="30" s="1"/>
  <c r="N178" i="30"/>
  <c r="N144" i="36"/>
  <c r="N145" i="36" s="1"/>
  <c r="N141" i="36"/>
  <c r="P369" i="18"/>
  <c r="P370" i="18" s="1"/>
  <c r="P366" i="18"/>
  <c r="H126" i="45"/>
  <c r="H127" i="45" s="1"/>
  <c r="H123" i="45"/>
  <c r="R181" i="30"/>
  <c r="R182" i="30" s="1"/>
  <c r="R178" i="30"/>
  <c r="J134" i="24"/>
  <c r="J130" i="24"/>
  <c r="J156" i="39"/>
  <c r="J160" i="39"/>
  <c r="L164" i="39"/>
  <c r="L165" i="39" s="1"/>
  <c r="L161" i="39"/>
  <c r="H125" i="62"/>
  <c r="H126" i="62" s="1"/>
  <c r="H122" i="62"/>
  <c r="R146" i="70"/>
  <c r="R147" i="70" s="1"/>
  <c r="R143" i="70"/>
  <c r="L146" i="70"/>
  <c r="L147" i="70" s="1"/>
  <c r="L143" i="70"/>
  <c r="J122" i="45"/>
  <c r="J118" i="45"/>
  <c r="L93" i="48"/>
  <c r="L94" i="48" s="1"/>
  <c r="L90" i="48"/>
  <c r="P99" i="56"/>
  <c r="P100" i="56" s="1"/>
  <c r="P96" i="56"/>
  <c r="L32" i="54"/>
  <c r="L33" i="54" s="1"/>
  <c r="L27" i="54"/>
  <c r="N100" i="65"/>
  <c r="N101" i="65" s="1"/>
  <c r="N97" i="65"/>
  <c r="H159" i="66"/>
  <c r="H160" i="66" s="1"/>
  <c r="H156" i="66"/>
  <c r="N92" i="57"/>
  <c r="N93" i="57" s="1"/>
  <c r="N89" i="57"/>
  <c r="F200" i="64"/>
  <c r="F201" i="64" s="1"/>
  <c r="F197" i="64"/>
  <c r="J91" i="58"/>
  <c r="J92" i="58" s="1"/>
  <c r="J88" i="58"/>
  <c r="J87" i="59"/>
  <c r="J88" i="59" s="1"/>
  <c r="J84" i="59"/>
  <c r="N200" i="64"/>
  <c r="N201" i="64" s="1"/>
  <c r="N197" i="64"/>
  <c r="H109" i="71"/>
  <c r="H110" i="71" s="1"/>
  <c r="H106" i="71"/>
  <c r="P100" i="65"/>
  <c r="P101" i="65" s="1"/>
  <c r="P97" i="65"/>
  <c r="P61" i="78"/>
  <c r="P62" i="78" s="1"/>
  <c r="P58" i="78"/>
  <c r="N42" i="81"/>
  <c r="N43" i="81" s="1"/>
  <c r="N39" i="81"/>
  <c r="H109" i="86"/>
  <c r="H112" i="86" s="1"/>
  <c r="H113" i="86" s="1"/>
  <c r="N112" i="67"/>
  <c r="N113" i="67" s="1"/>
  <c r="N109" i="67"/>
  <c r="F128" i="69"/>
  <c r="F129" i="69" s="1"/>
  <c r="F125" i="69"/>
  <c r="J106" i="75"/>
  <c r="J107" i="75" s="1"/>
  <c r="J103" i="75"/>
  <c r="R100" i="65"/>
  <c r="R101" i="65" s="1"/>
  <c r="R97" i="65"/>
  <c r="N109" i="71"/>
  <c r="N110" i="71" s="1"/>
  <c r="N106" i="71"/>
  <c r="H106" i="75"/>
  <c r="H107" i="75" s="1"/>
  <c r="H103" i="75"/>
  <c r="L205" i="80"/>
  <c r="L206" i="80" s="1"/>
  <c r="L202" i="80"/>
  <c r="F110" i="83"/>
  <c r="F111" i="83" s="1"/>
  <c r="F107" i="83"/>
  <c r="N90" i="84"/>
  <c r="N91" i="84" s="1"/>
  <c r="N87" i="84"/>
  <c r="P77" i="95"/>
  <c r="P78" i="95" s="1"/>
  <c r="P74" i="95"/>
  <c r="R90" i="84"/>
  <c r="R91" i="84" s="1"/>
  <c r="R87" i="84"/>
  <c r="H79" i="92"/>
  <c r="H80" i="92" s="1"/>
  <c r="H76" i="92"/>
  <c r="H113" i="96"/>
  <c r="H114" i="96" s="1"/>
  <c r="H110" i="96"/>
  <c r="J111" i="100"/>
  <c r="J112" i="100" s="1"/>
  <c r="J108" i="100"/>
  <c r="N106" i="79"/>
  <c r="N102" i="79"/>
  <c r="L65" i="82"/>
  <c r="L66" i="82" s="1"/>
  <c r="L62" i="82"/>
  <c r="N101" i="88"/>
  <c r="N102" i="88" s="1"/>
  <c r="N98" i="88"/>
  <c r="L103" i="94"/>
  <c r="L104" i="94" s="1"/>
  <c r="L100" i="94"/>
  <c r="D103" i="94"/>
  <c r="D104" i="94" s="1"/>
  <c r="D100" i="94"/>
  <c r="J96" i="87"/>
  <c r="J92" i="87"/>
  <c r="F67" i="99"/>
  <c r="F63" i="99"/>
  <c r="L109" i="96"/>
  <c r="L105" i="96"/>
  <c r="L77" i="95"/>
  <c r="L78" i="95" s="1"/>
  <c r="L74" i="95"/>
  <c r="R31" i="5"/>
  <c r="R27" i="5"/>
  <c r="R31" i="11"/>
  <c r="R27" i="11"/>
  <c r="R31" i="17"/>
  <c r="R27" i="17"/>
  <c r="N31" i="13"/>
  <c r="N27" i="13"/>
  <c r="R31" i="19"/>
  <c r="R27" i="19"/>
  <c r="R31" i="25"/>
  <c r="R27" i="25"/>
  <c r="P31" i="31"/>
  <c r="P27" i="31"/>
  <c r="N31" i="37"/>
  <c r="N27" i="37"/>
  <c r="L31" i="46"/>
  <c r="L27" i="46"/>
  <c r="R31" i="53"/>
  <c r="R27" i="53"/>
  <c r="F31" i="103"/>
  <c r="F27" i="103"/>
  <c r="N31" i="105"/>
  <c r="N27" i="105"/>
  <c r="D152" i="15"/>
  <c r="D153" i="15" s="1"/>
  <c r="D149" i="15"/>
  <c r="N118" i="9"/>
  <c r="N119" i="9" s="1"/>
  <c r="N115" i="9"/>
  <c r="N152" i="15"/>
  <c r="N153" i="15" s="1"/>
  <c r="N149" i="15"/>
  <c r="F369" i="18"/>
  <c r="F370" i="18" s="1"/>
  <c r="F366" i="18"/>
  <c r="H225" i="33"/>
  <c r="H226" i="33" s="1"/>
  <c r="H222" i="33"/>
  <c r="D126" i="45"/>
  <c r="D127" i="45" s="1"/>
  <c r="D123" i="45"/>
  <c r="R210" i="27"/>
  <c r="R211" i="27" s="1"/>
  <c r="R207" i="27"/>
  <c r="P164" i="39"/>
  <c r="P165" i="39" s="1"/>
  <c r="P161" i="39"/>
  <c r="L138" i="24"/>
  <c r="L139" i="24" s="1"/>
  <c r="L135" i="24"/>
  <c r="L144" i="36"/>
  <c r="L145" i="36" s="1"/>
  <c r="L141" i="36"/>
  <c r="J125" i="62"/>
  <c r="J126" i="62" s="1"/>
  <c r="J122" i="62"/>
  <c r="L44" i="55"/>
  <c r="L45" i="55" s="1"/>
  <c r="L41" i="55"/>
  <c r="D91" i="58"/>
  <c r="D92" i="58" s="1"/>
  <c r="D88" i="58"/>
  <c r="P87" i="59"/>
  <c r="P88" i="59" s="1"/>
  <c r="P84" i="59"/>
  <c r="J150" i="42"/>
  <c r="J151" i="42" s="1"/>
  <c r="J147" i="42"/>
  <c r="N99" i="56"/>
  <c r="N100" i="56" s="1"/>
  <c r="N96" i="56"/>
  <c r="F144" i="51"/>
  <c r="F145" i="51" s="1"/>
  <c r="F141" i="51"/>
  <c r="F70" i="60"/>
  <c r="F71" i="60" s="1"/>
  <c r="F67" i="60"/>
  <c r="R144" i="51"/>
  <c r="R145" i="51" s="1"/>
  <c r="R141" i="51"/>
  <c r="F100" i="65"/>
  <c r="F101" i="65" s="1"/>
  <c r="F97" i="65"/>
  <c r="H32" i="54"/>
  <c r="H33" i="54" s="1"/>
  <c r="H27" i="54"/>
  <c r="J70" i="60"/>
  <c r="J71" i="60" s="1"/>
  <c r="J67" i="60"/>
  <c r="F125" i="62"/>
  <c r="F126" i="62" s="1"/>
  <c r="F122" i="62"/>
  <c r="R104" i="74"/>
  <c r="R105" i="74" s="1"/>
  <c r="R101" i="74"/>
  <c r="D205" i="80"/>
  <c r="D206" i="80" s="1"/>
  <c r="D202" i="80"/>
  <c r="F113" i="96"/>
  <c r="F114" i="96" s="1"/>
  <c r="F110" i="96"/>
  <c r="N57" i="73"/>
  <c r="N58" i="73" s="1"/>
  <c r="N54" i="73"/>
  <c r="D58" i="77"/>
  <c r="D59" i="77" s="1"/>
  <c r="D55" i="77"/>
  <c r="D115" i="89"/>
  <c r="D116" i="89" s="1"/>
  <c r="D112" i="89"/>
  <c r="L128" i="69"/>
  <c r="L129" i="69" s="1"/>
  <c r="L125" i="69"/>
  <c r="N110" i="68"/>
  <c r="N111" i="68" s="1"/>
  <c r="N107" i="68"/>
  <c r="N113" i="96"/>
  <c r="N114" i="96" s="1"/>
  <c r="N110" i="96"/>
  <c r="J65" i="82"/>
  <c r="J66" i="82" s="1"/>
  <c r="J62" i="82"/>
  <c r="J115" i="89"/>
  <c r="J116" i="89" s="1"/>
  <c r="J112" i="89"/>
  <c r="P65" i="82"/>
  <c r="P66" i="82" s="1"/>
  <c r="P62" i="82"/>
  <c r="L118" i="85"/>
  <c r="L119" i="85" s="1"/>
  <c r="L115" i="85"/>
  <c r="H114" i="98"/>
  <c r="H115" i="98" s="1"/>
  <c r="H111" i="98"/>
  <c r="H115" i="89"/>
  <c r="H116" i="89" s="1"/>
  <c r="H112" i="89"/>
  <c r="N114" i="98"/>
  <c r="N115" i="98" s="1"/>
  <c r="N111" i="98"/>
  <c r="H77" i="95"/>
  <c r="H78" i="95" s="1"/>
  <c r="H74" i="95"/>
  <c r="J116" i="90"/>
  <c r="J117" i="90" s="1"/>
  <c r="J113" i="90"/>
  <c r="L75" i="97"/>
  <c r="L76" i="97" s="1"/>
  <c r="L72" i="97"/>
  <c r="P111" i="100"/>
  <c r="P112" i="100" s="1"/>
  <c r="P108" i="100"/>
  <c r="F401" i="21"/>
  <c r="F402" i="21" s="1"/>
  <c r="F398" i="21"/>
  <c r="N401" i="21"/>
  <c r="N402" i="21" s="1"/>
  <c r="N398" i="21"/>
  <c r="D159" i="66"/>
  <c r="D160" i="66" s="1"/>
  <c r="D156" i="66"/>
  <c r="F164" i="39"/>
  <c r="F165" i="39" s="1"/>
  <c r="F161" i="39"/>
  <c r="L159" i="66"/>
  <c r="L160" i="66" s="1"/>
  <c r="L156" i="66"/>
  <c r="F31" i="4"/>
  <c r="F27" i="4"/>
  <c r="N31" i="17"/>
  <c r="N27" i="17"/>
  <c r="L31" i="8"/>
  <c r="L27" i="8"/>
  <c r="L31" i="14"/>
  <c r="L27" i="14"/>
  <c r="R31" i="8"/>
  <c r="R27" i="8"/>
  <c r="N31" i="19"/>
  <c r="N27" i="19"/>
  <c r="J31" i="14"/>
  <c r="J27" i="14"/>
  <c r="H31" i="8"/>
  <c r="H27" i="8"/>
  <c r="N31" i="32"/>
  <c r="N27" i="32"/>
  <c r="H31" i="26"/>
  <c r="H27" i="26"/>
  <c r="J31" i="34"/>
  <c r="J27" i="34"/>
  <c r="P31" i="25"/>
  <c r="P27" i="25"/>
  <c r="N31" i="31"/>
  <c r="N27" i="31"/>
  <c r="L31" i="37"/>
  <c r="L27" i="37"/>
  <c r="R31" i="49"/>
  <c r="R27" i="49"/>
  <c r="H31" i="22"/>
  <c r="H27" i="22"/>
  <c r="D31" i="28"/>
  <c r="D27" i="28"/>
  <c r="H31" i="34"/>
  <c r="H27" i="34"/>
  <c r="P31" i="44"/>
  <c r="P27" i="44"/>
  <c r="N31" i="50"/>
  <c r="N27" i="50"/>
  <c r="N31" i="40"/>
  <c r="N27" i="40"/>
  <c r="N31" i="46"/>
  <c r="N27" i="46"/>
  <c r="F31" i="52"/>
  <c r="F27" i="52"/>
  <c r="J31" i="52"/>
  <c r="J27" i="52"/>
  <c r="D31" i="104"/>
  <c r="D27" i="104"/>
  <c r="H31" i="104"/>
  <c r="H27" i="104"/>
  <c r="H109" i="67"/>
  <c r="H112" i="67" s="1"/>
  <c r="H113" i="67" s="1"/>
  <c r="N103" i="75"/>
  <c r="N106" i="75" s="1"/>
  <c r="N107" i="75" s="1"/>
  <c r="D58" i="78"/>
  <c r="D61" i="78" s="1"/>
  <c r="D62" i="78" s="1"/>
  <c r="R107" i="68"/>
  <c r="R110" i="68" s="1"/>
  <c r="R111" i="68" s="1"/>
  <c r="F103" i="75"/>
  <c r="F106" i="75" s="1"/>
  <c r="F107" i="75" s="1"/>
  <c r="R38" i="81"/>
  <c r="R34" i="81"/>
  <c r="P111" i="98"/>
  <c r="P114" i="98" s="1"/>
  <c r="P115" i="98" s="1"/>
  <c r="N111" i="89"/>
  <c r="N107" i="89"/>
  <c r="F103" i="100"/>
  <c r="F107" i="100"/>
  <c r="H31" i="20"/>
  <c r="H27" i="20"/>
  <c r="N31" i="11"/>
  <c r="N27" i="11"/>
  <c r="J31" i="7"/>
  <c r="J27" i="7"/>
  <c r="J31" i="13"/>
  <c r="J27" i="13"/>
  <c r="H31" i="19"/>
  <c r="H27" i="19"/>
  <c r="N31" i="5"/>
  <c r="N27" i="5"/>
  <c r="L27" i="11"/>
  <c r="L31" i="11"/>
  <c r="D27" i="41"/>
  <c r="D31" i="41"/>
  <c r="D31" i="31"/>
  <c r="D27" i="31"/>
  <c r="L31" i="19"/>
  <c r="L27" i="19"/>
  <c r="P31" i="26"/>
  <c r="P27" i="26"/>
  <c r="F31" i="23"/>
  <c r="F27" i="23"/>
  <c r="J31" i="29"/>
  <c r="J27" i="29"/>
  <c r="F31" i="35"/>
  <c r="F27" i="35"/>
  <c r="H31" i="46"/>
  <c r="H27" i="46"/>
  <c r="L31" i="25"/>
  <c r="L27" i="25"/>
  <c r="R31" i="31"/>
  <c r="R27" i="31"/>
  <c r="P31" i="37"/>
  <c r="P27" i="37"/>
  <c r="F31" i="43"/>
  <c r="F27" i="43"/>
  <c r="D31" i="49"/>
  <c r="D27" i="49"/>
  <c r="D31" i="44"/>
  <c r="D27" i="44"/>
  <c r="J31" i="50"/>
  <c r="J27" i="50"/>
  <c r="L115" i="9"/>
  <c r="L118" i="9" s="1"/>
  <c r="L119" i="9" s="1"/>
  <c r="F135" i="24"/>
  <c r="F138" i="24" s="1"/>
  <c r="F139" i="24" s="1"/>
  <c r="F115" i="85"/>
  <c r="F118" i="85" s="1"/>
  <c r="F119" i="85" s="1"/>
  <c r="R31" i="22"/>
  <c r="R27" i="22"/>
  <c r="H31" i="13"/>
  <c r="H27" i="13"/>
  <c r="R31" i="7"/>
  <c r="R27" i="7"/>
  <c r="R31" i="13"/>
  <c r="R27" i="13"/>
  <c r="J31" i="20"/>
  <c r="J27" i="20"/>
  <c r="F31" i="11"/>
  <c r="F27" i="11"/>
  <c r="F31" i="13"/>
  <c r="F27" i="13"/>
  <c r="P31" i="19"/>
  <c r="P27" i="19"/>
  <c r="L31" i="35"/>
  <c r="L27" i="35"/>
  <c r="F31" i="28"/>
  <c r="F27" i="28"/>
  <c r="N31" i="23"/>
  <c r="N27" i="23"/>
  <c r="R31" i="29"/>
  <c r="R27" i="29"/>
  <c r="N31" i="35"/>
  <c r="N27" i="35"/>
  <c r="F31" i="44"/>
  <c r="F27" i="44"/>
  <c r="L31" i="50"/>
  <c r="L27" i="50"/>
  <c r="F31" i="26"/>
  <c r="F27" i="26"/>
  <c r="D31" i="32"/>
  <c r="D27" i="32"/>
  <c r="J31" i="38"/>
  <c r="J27" i="38"/>
  <c r="N31" i="43"/>
  <c r="N27" i="43"/>
  <c r="L31" i="49"/>
  <c r="L27" i="49"/>
  <c r="F31" i="53"/>
  <c r="F27" i="53"/>
  <c r="L31" i="44"/>
  <c r="L27" i="44"/>
  <c r="R31" i="50"/>
  <c r="R27" i="50"/>
  <c r="R31" i="105"/>
  <c r="R27" i="105"/>
  <c r="H32" i="6"/>
  <c r="H33" i="6" s="1"/>
  <c r="H27" i="6"/>
  <c r="N135" i="24"/>
  <c r="N138" i="24" s="1"/>
  <c r="N139" i="24" s="1"/>
  <c r="D178" i="30"/>
  <c r="D181" i="30" s="1"/>
  <c r="D182" i="30" s="1"/>
  <c r="F146" i="42"/>
  <c r="F142" i="42"/>
  <c r="L116" i="90"/>
  <c r="L117" i="90" s="1"/>
  <c r="L113" i="90"/>
  <c r="P41" i="55"/>
  <c r="P44" i="55" s="1"/>
  <c r="P45" i="55" s="1"/>
  <c r="J156" i="66"/>
  <c r="J159" i="66" s="1"/>
  <c r="J160" i="66" s="1"/>
  <c r="N58" i="78"/>
  <c r="N61" i="78" s="1"/>
  <c r="N62" i="78" s="1"/>
  <c r="F96" i="74"/>
  <c r="F100" i="74"/>
  <c r="L53" i="78"/>
  <c r="L57" i="78"/>
  <c r="P110" i="96"/>
  <c r="P113" i="96" s="1"/>
  <c r="P114" i="96" s="1"/>
  <c r="J31" i="8"/>
  <c r="J27" i="8"/>
  <c r="H31" i="5"/>
  <c r="H27" i="5"/>
  <c r="H31" i="11"/>
  <c r="H27" i="11"/>
  <c r="H31" i="17"/>
  <c r="H27" i="17"/>
  <c r="F31" i="17"/>
  <c r="F27" i="17"/>
  <c r="N31" i="28"/>
  <c r="N27" i="28"/>
  <c r="R31" i="10"/>
  <c r="R27" i="10"/>
  <c r="R31" i="37"/>
  <c r="R27" i="37"/>
  <c r="N31" i="25"/>
  <c r="N27" i="25"/>
  <c r="J31" i="49"/>
  <c r="J27" i="49"/>
  <c r="R27" i="40"/>
  <c r="R31" i="40"/>
  <c r="D31" i="22"/>
  <c r="D27" i="22"/>
  <c r="H31" i="28"/>
  <c r="H27" i="28"/>
  <c r="D31" i="34"/>
  <c r="D27" i="34"/>
  <c r="J31" i="40"/>
  <c r="J27" i="40"/>
  <c r="J31" i="41"/>
  <c r="J27" i="41"/>
  <c r="R31" i="23"/>
  <c r="R27" i="23"/>
  <c r="N31" i="29"/>
  <c r="N27" i="29"/>
  <c r="R31" i="35"/>
  <c r="R27" i="35"/>
  <c r="D31" i="43"/>
  <c r="D27" i="43"/>
  <c r="D31" i="47"/>
  <c r="D27" i="47"/>
  <c r="J31" i="43"/>
  <c r="J27" i="43"/>
  <c r="H31" i="49"/>
  <c r="H27" i="49"/>
  <c r="P31" i="53"/>
  <c r="P27" i="53"/>
  <c r="L27" i="53"/>
  <c r="L31" i="53"/>
  <c r="L31" i="105"/>
  <c r="L27" i="105"/>
  <c r="P31" i="105"/>
  <c r="P27" i="105"/>
  <c r="D221" i="33"/>
  <c r="D217" i="33"/>
  <c r="N146" i="42"/>
  <c r="N142" i="42"/>
  <c r="P67" i="60"/>
  <c r="P70" i="60" s="1"/>
  <c r="P71" i="60" s="1"/>
  <c r="L136" i="72"/>
  <c r="L140" i="72"/>
  <c r="N115" i="85"/>
  <c r="N118" i="85" s="1"/>
  <c r="N119" i="85" s="1"/>
  <c r="J112" i="86"/>
  <c r="J113" i="86" s="1"/>
  <c r="J109" i="86"/>
  <c r="J68" i="99"/>
  <c r="J71" i="99" s="1"/>
  <c r="J72" i="99" s="1"/>
  <c r="R68" i="99"/>
  <c r="R71" i="99" s="1"/>
  <c r="R72" i="99" s="1"/>
  <c r="N59" i="91"/>
  <c r="N55" i="91"/>
  <c r="D31" i="7"/>
  <c r="D27" i="7"/>
  <c r="D31" i="13"/>
  <c r="D27" i="13"/>
  <c r="H27" i="14"/>
  <c r="H31" i="14"/>
  <c r="D27" i="20"/>
  <c r="D31" i="20"/>
  <c r="H31" i="40"/>
  <c r="H27" i="40"/>
  <c r="D31" i="26"/>
  <c r="D27" i="26"/>
  <c r="J31" i="32"/>
  <c r="J27" i="32"/>
  <c r="H31" i="38"/>
  <c r="H27" i="38"/>
  <c r="D31" i="40"/>
  <c r="D27" i="40"/>
  <c r="F31" i="47"/>
  <c r="F27" i="47"/>
  <c r="N31" i="103"/>
  <c r="N27" i="103"/>
  <c r="L378" i="12"/>
  <c r="L379" i="12" s="1"/>
  <c r="L375" i="12"/>
  <c r="J32" i="6"/>
  <c r="J33" i="6" s="1"/>
  <c r="J27" i="6"/>
  <c r="L369" i="18"/>
  <c r="L370" i="18" s="1"/>
  <c r="L366" i="18"/>
  <c r="J152" i="15"/>
  <c r="J153" i="15" s="1"/>
  <c r="J149" i="15"/>
  <c r="J369" i="18"/>
  <c r="J370" i="18" s="1"/>
  <c r="J366" i="18"/>
  <c r="P118" i="9"/>
  <c r="P119" i="9" s="1"/>
  <c r="P115" i="9"/>
  <c r="P181" i="30"/>
  <c r="P182" i="30" s="1"/>
  <c r="P178" i="30"/>
  <c r="H210" i="27"/>
  <c r="H211" i="27" s="1"/>
  <c r="H207" i="27"/>
  <c r="D93" i="48"/>
  <c r="D94" i="48" s="1"/>
  <c r="D90" i="48"/>
  <c r="H181" i="30"/>
  <c r="H182" i="30" s="1"/>
  <c r="H178" i="30"/>
  <c r="N225" i="33"/>
  <c r="N226" i="33" s="1"/>
  <c r="N222" i="33"/>
  <c r="P138" i="24"/>
  <c r="P139" i="24" s="1"/>
  <c r="P135" i="24"/>
  <c r="D164" i="39"/>
  <c r="D165" i="39" s="1"/>
  <c r="D161" i="39"/>
  <c r="P125" i="62"/>
  <c r="P126" i="62" s="1"/>
  <c r="P122" i="62"/>
  <c r="F80" i="63"/>
  <c r="F81" i="63" s="1"/>
  <c r="F77" i="63"/>
  <c r="D146" i="70"/>
  <c r="D147" i="70" s="1"/>
  <c r="D143" i="70"/>
  <c r="P144" i="51"/>
  <c r="P145" i="51" s="1"/>
  <c r="P141" i="51"/>
  <c r="H92" i="57"/>
  <c r="H93" i="57" s="1"/>
  <c r="H89" i="57"/>
  <c r="J104" i="74"/>
  <c r="J105" i="74" s="1"/>
  <c r="J101" i="74"/>
  <c r="F99" i="56"/>
  <c r="F100" i="56" s="1"/>
  <c r="F96" i="56"/>
  <c r="D78" i="61"/>
  <c r="D79" i="61" s="1"/>
  <c r="D75" i="61"/>
  <c r="P159" i="66"/>
  <c r="P160" i="66" s="1"/>
  <c r="P156" i="66"/>
  <c r="D92" i="57"/>
  <c r="D93" i="57" s="1"/>
  <c r="D89" i="57"/>
  <c r="F92" i="57"/>
  <c r="F93" i="57" s="1"/>
  <c r="F89" i="57"/>
  <c r="N87" i="59"/>
  <c r="N88" i="59" s="1"/>
  <c r="N84" i="59"/>
  <c r="L109" i="71"/>
  <c r="L110" i="71" s="1"/>
  <c r="L106" i="71"/>
  <c r="H144" i="72"/>
  <c r="H145" i="72" s="1"/>
  <c r="H141" i="72"/>
  <c r="R144" i="72"/>
  <c r="R145" i="72" s="1"/>
  <c r="R141" i="72"/>
  <c r="D42" i="81"/>
  <c r="D43" i="81" s="1"/>
  <c r="D39" i="81"/>
  <c r="F100" i="87"/>
  <c r="F101" i="87" s="1"/>
  <c r="F97" i="87"/>
  <c r="F112" i="67"/>
  <c r="F113" i="67" s="1"/>
  <c r="F109" i="67"/>
  <c r="P112" i="67"/>
  <c r="P113" i="67" s="1"/>
  <c r="P109" i="67"/>
  <c r="L104" i="74"/>
  <c r="L105" i="74" s="1"/>
  <c r="L101" i="74"/>
  <c r="R61" i="78"/>
  <c r="R62" i="78" s="1"/>
  <c r="R58" i="78"/>
  <c r="F109" i="71"/>
  <c r="F110" i="71" s="1"/>
  <c r="F106" i="71"/>
  <c r="L58" i="77"/>
  <c r="L59" i="77" s="1"/>
  <c r="L55" i="77"/>
  <c r="L110" i="83"/>
  <c r="L111" i="83" s="1"/>
  <c r="L107" i="83"/>
  <c r="F90" i="84"/>
  <c r="F91" i="84" s="1"/>
  <c r="F87" i="84"/>
  <c r="J101" i="88"/>
  <c r="J102" i="88" s="1"/>
  <c r="J98" i="88"/>
  <c r="H118" i="85"/>
  <c r="H119" i="85" s="1"/>
  <c r="H115" i="85"/>
  <c r="H85" i="93"/>
  <c r="H86" i="93" s="1"/>
  <c r="H82" i="93"/>
  <c r="H111" i="100"/>
  <c r="H112" i="100" s="1"/>
  <c r="H108" i="100"/>
  <c r="D65" i="82"/>
  <c r="D66" i="82" s="1"/>
  <c r="D62" i="82"/>
  <c r="L86" i="84"/>
  <c r="L82" i="84"/>
  <c r="H75" i="97"/>
  <c r="H76" i="97" s="1"/>
  <c r="H72" i="97"/>
  <c r="H103" i="94"/>
  <c r="H104" i="94" s="1"/>
  <c r="H100" i="94"/>
  <c r="D63" i="91"/>
  <c r="D64" i="91" s="1"/>
  <c r="D60" i="91"/>
  <c r="J81" i="93"/>
  <c r="J77" i="93"/>
  <c r="J93" i="102"/>
  <c r="J94" i="102" s="1"/>
  <c r="J90" i="102"/>
  <c r="R31" i="4"/>
  <c r="R27" i="4"/>
  <c r="P31" i="10"/>
  <c r="P27" i="10"/>
  <c r="P31" i="16"/>
  <c r="P27" i="16"/>
  <c r="L31" i="5"/>
  <c r="L27" i="5"/>
  <c r="L27" i="17"/>
  <c r="L31" i="17"/>
  <c r="R31" i="41"/>
  <c r="R27" i="41"/>
  <c r="P31" i="23"/>
  <c r="P27" i="23"/>
  <c r="L31" i="29"/>
  <c r="L27" i="29"/>
  <c r="P31" i="35"/>
  <c r="P27" i="35"/>
  <c r="R31" i="44"/>
  <c r="R27" i="44"/>
  <c r="P31" i="50"/>
  <c r="P27" i="50"/>
  <c r="P31" i="52"/>
  <c r="P27" i="52"/>
  <c r="L31" i="103"/>
  <c r="L27" i="103"/>
  <c r="J31" i="103"/>
  <c r="J27" i="103"/>
  <c r="N31" i="104"/>
  <c r="N27" i="104"/>
  <c r="F152" i="15"/>
  <c r="F153" i="15" s="1"/>
  <c r="F149" i="15"/>
  <c r="H378" i="12"/>
  <c r="H379" i="12" s="1"/>
  <c r="H375" i="12"/>
  <c r="R378" i="12"/>
  <c r="R379" i="12" s="1"/>
  <c r="R375" i="12"/>
  <c r="H152" i="15"/>
  <c r="H153" i="15" s="1"/>
  <c r="H149" i="15"/>
  <c r="J378" i="12"/>
  <c r="J379" i="12" s="1"/>
  <c r="J375" i="12"/>
  <c r="F126" i="45"/>
  <c r="F127" i="45" s="1"/>
  <c r="F123" i="45"/>
  <c r="P93" i="48"/>
  <c r="P94" i="48" s="1"/>
  <c r="P90" i="48"/>
  <c r="R138" i="24"/>
  <c r="R139" i="24" s="1"/>
  <c r="R135" i="24"/>
  <c r="P91" i="58"/>
  <c r="P92" i="58" s="1"/>
  <c r="P88" i="58"/>
  <c r="D210" i="27"/>
  <c r="D211" i="27" s="1"/>
  <c r="D207" i="27"/>
  <c r="H150" i="42"/>
  <c r="H151" i="42" s="1"/>
  <c r="H147" i="42"/>
  <c r="D138" i="24"/>
  <c r="D139" i="24" s="1"/>
  <c r="D135" i="24"/>
  <c r="D144" i="36"/>
  <c r="D145" i="36" s="1"/>
  <c r="D141" i="36"/>
  <c r="L91" i="58"/>
  <c r="L92" i="58" s="1"/>
  <c r="L88" i="58"/>
  <c r="D70" i="60"/>
  <c r="D71" i="60" s="1"/>
  <c r="D67" i="60"/>
  <c r="P205" i="80"/>
  <c r="P206" i="80" s="1"/>
  <c r="P202" i="80"/>
  <c r="D99" i="56"/>
  <c r="D100" i="56" s="1"/>
  <c r="D96" i="56"/>
  <c r="N144" i="51"/>
  <c r="N145" i="51" s="1"/>
  <c r="N141" i="51"/>
  <c r="N70" i="60"/>
  <c r="N71" i="60" s="1"/>
  <c r="N67" i="60"/>
  <c r="F42" i="81"/>
  <c r="F43" i="81" s="1"/>
  <c r="F39" i="81"/>
  <c r="J200" i="64"/>
  <c r="J201" i="64" s="1"/>
  <c r="J197" i="64"/>
  <c r="H100" i="65"/>
  <c r="H101" i="65" s="1"/>
  <c r="H97" i="65"/>
  <c r="P32" i="54"/>
  <c r="P33" i="54" s="1"/>
  <c r="P27" i="54"/>
  <c r="J92" i="57"/>
  <c r="J93" i="57" s="1"/>
  <c r="J89" i="57"/>
  <c r="P78" i="61"/>
  <c r="P79" i="61" s="1"/>
  <c r="P75" i="61"/>
  <c r="F144" i="72"/>
  <c r="F145" i="72" s="1"/>
  <c r="F141" i="72"/>
  <c r="J57" i="73"/>
  <c r="J58" i="73" s="1"/>
  <c r="J54" i="73"/>
  <c r="N107" i="76"/>
  <c r="N108" i="76" s="1"/>
  <c r="N104" i="76"/>
  <c r="N65" i="82"/>
  <c r="N66" i="82" s="1"/>
  <c r="N62" i="82"/>
  <c r="F57" i="73"/>
  <c r="F58" i="73" s="1"/>
  <c r="F54" i="73"/>
  <c r="P63" i="91"/>
  <c r="P64" i="91" s="1"/>
  <c r="P60" i="91"/>
  <c r="H57" i="73"/>
  <c r="H58" i="73" s="1"/>
  <c r="H54" i="73"/>
  <c r="J50" i="77"/>
  <c r="J54" i="77"/>
  <c r="F101" i="88"/>
  <c r="F102" i="88" s="1"/>
  <c r="F98" i="88"/>
  <c r="D110" i="68"/>
  <c r="D111" i="68" s="1"/>
  <c r="D107" i="68"/>
  <c r="L100" i="87"/>
  <c r="L101" i="87" s="1"/>
  <c r="L97" i="87"/>
  <c r="F106" i="79"/>
  <c r="F102" i="79"/>
  <c r="R65" i="82"/>
  <c r="R66" i="82" s="1"/>
  <c r="R62" i="82"/>
  <c r="J90" i="84"/>
  <c r="J91" i="84" s="1"/>
  <c r="J87" i="84"/>
  <c r="P112" i="86"/>
  <c r="P113" i="86" s="1"/>
  <c r="P109" i="86"/>
  <c r="D116" i="90"/>
  <c r="D117" i="90" s="1"/>
  <c r="D113" i="90"/>
  <c r="R115" i="89"/>
  <c r="R116" i="89" s="1"/>
  <c r="R112" i="89"/>
  <c r="N85" i="93"/>
  <c r="N86" i="93" s="1"/>
  <c r="N82" i="93"/>
  <c r="N93" i="102"/>
  <c r="N94" i="102" s="1"/>
  <c r="N90" i="102"/>
  <c r="D67" i="99"/>
  <c r="D63" i="99"/>
  <c r="D75" i="97"/>
  <c r="D76" i="97" s="1"/>
  <c r="D72" i="97"/>
  <c r="F99" i="94"/>
  <c r="F95" i="94"/>
  <c r="D79" i="92"/>
  <c r="D80" i="92" s="1"/>
  <c r="D76" i="92"/>
  <c r="J31" i="5"/>
  <c r="J27" i="5"/>
  <c r="J31" i="11"/>
  <c r="J27" i="11"/>
  <c r="J31" i="17"/>
  <c r="J27" i="17"/>
  <c r="F31" i="7"/>
  <c r="F27" i="7"/>
  <c r="J31" i="19"/>
  <c r="J27" i="19"/>
  <c r="F31" i="20"/>
  <c r="F27" i="20"/>
  <c r="J31" i="25"/>
  <c r="J27" i="25"/>
  <c r="H31" i="31"/>
  <c r="H27" i="31"/>
  <c r="F31" i="37"/>
  <c r="F27" i="37"/>
  <c r="D31" i="46"/>
  <c r="D27" i="46"/>
  <c r="J31" i="53"/>
  <c r="J27" i="53"/>
  <c r="R31" i="103"/>
  <c r="R27" i="103"/>
  <c r="F31" i="105"/>
  <c r="F27" i="105"/>
  <c r="N32" i="6"/>
  <c r="N33" i="6" s="1"/>
  <c r="N27" i="6"/>
  <c r="J118" i="9"/>
  <c r="J119" i="9" s="1"/>
  <c r="J115" i="9"/>
  <c r="F181" i="30"/>
  <c r="F182" i="30" s="1"/>
  <c r="F178" i="30"/>
  <c r="R118" i="9"/>
  <c r="R119" i="9" s="1"/>
  <c r="R115" i="9"/>
  <c r="P27" i="6"/>
  <c r="P32" i="6" s="1"/>
  <c r="P33" i="6" s="1"/>
  <c r="H118" i="9"/>
  <c r="H119" i="9" s="1"/>
  <c r="H115" i="9"/>
  <c r="N378" i="12"/>
  <c r="N379" i="12" s="1"/>
  <c r="N375" i="12"/>
  <c r="D401" i="21"/>
  <c r="D402" i="21" s="1"/>
  <c r="D398" i="21"/>
  <c r="J210" i="27"/>
  <c r="J211" i="27" s="1"/>
  <c r="J207" i="27"/>
  <c r="P144" i="36"/>
  <c r="P145" i="36" s="1"/>
  <c r="P141" i="36"/>
  <c r="F225" i="33"/>
  <c r="F226" i="33" s="1"/>
  <c r="F222" i="33"/>
  <c r="H138" i="24"/>
  <c r="H139" i="24" s="1"/>
  <c r="H135" i="24"/>
  <c r="P92" i="57"/>
  <c r="P93" i="57" s="1"/>
  <c r="P89" i="57"/>
  <c r="J146" i="70"/>
  <c r="J147" i="70" s="1"/>
  <c r="J143" i="70"/>
  <c r="N58" i="77"/>
  <c r="N59" i="77" s="1"/>
  <c r="N55" i="77"/>
  <c r="J78" i="61"/>
  <c r="J79" i="61" s="1"/>
  <c r="J75" i="61"/>
  <c r="J144" i="51"/>
  <c r="J145" i="51" s="1"/>
  <c r="J141" i="51"/>
  <c r="J99" i="56"/>
  <c r="J100" i="56" s="1"/>
  <c r="J96" i="56"/>
  <c r="L78" i="61"/>
  <c r="L79" i="61" s="1"/>
  <c r="L75" i="61"/>
  <c r="F159" i="66"/>
  <c r="F160" i="66" s="1"/>
  <c r="F156" i="66"/>
  <c r="L92" i="57"/>
  <c r="L93" i="57" s="1"/>
  <c r="L89" i="57"/>
  <c r="L100" i="65"/>
  <c r="L101" i="65" s="1"/>
  <c r="L97" i="65"/>
  <c r="F87" i="59"/>
  <c r="F88" i="59" s="1"/>
  <c r="F84" i="59"/>
  <c r="L80" i="63"/>
  <c r="L81" i="63" s="1"/>
  <c r="L77" i="63"/>
  <c r="H128" i="69"/>
  <c r="H129" i="69" s="1"/>
  <c r="H125" i="69"/>
  <c r="P144" i="72"/>
  <c r="P145" i="72" s="1"/>
  <c r="P141" i="72"/>
  <c r="P109" i="71"/>
  <c r="P110" i="71" s="1"/>
  <c r="P106" i="71"/>
  <c r="L42" i="81"/>
  <c r="L43" i="81" s="1"/>
  <c r="L39" i="81"/>
  <c r="J80" i="63"/>
  <c r="J81" i="63" s="1"/>
  <c r="J77" i="63"/>
  <c r="L112" i="67"/>
  <c r="L113" i="67" s="1"/>
  <c r="L109" i="67"/>
  <c r="D104" i="74"/>
  <c r="D105" i="74" s="1"/>
  <c r="D101" i="74"/>
  <c r="L110" i="79"/>
  <c r="L111" i="79" s="1"/>
  <c r="L107" i="79"/>
  <c r="D109" i="71"/>
  <c r="D110" i="71" s="1"/>
  <c r="D106" i="71"/>
  <c r="D110" i="83"/>
  <c r="D111" i="83" s="1"/>
  <c r="D107" i="83"/>
  <c r="P90" i="84"/>
  <c r="P91" i="84" s="1"/>
  <c r="P87" i="84"/>
  <c r="D112" i="86"/>
  <c r="D113" i="86" s="1"/>
  <c r="D109" i="86"/>
  <c r="H49" i="101"/>
  <c r="H50" i="101" s="1"/>
  <c r="H46" i="101"/>
  <c r="P118" i="85"/>
  <c r="P119" i="85" s="1"/>
  <c r="P115" i="85"/>
  <c r="H100" i="87"/>
  <c r="H101" i="87" s="1"/>
  <c r="H97" i="87"/>
  <c r="R111" i="100"/>
  <c r="R112" i="100" s="1"/>
  <c r="R108" i="100"/>
  <c r="H65" i="82"/>
  <c r="H66" i="82" s="1"/>
  <c r="H62" i="82"/>
  <c r="P42" i="81"/>
  <c r="P43" i="81" s="1"/>
  <c r="P39" i="81"/>
  <c r="P100" i="87"/>
  <c r="P101" i="87" s="1"/>
  <c r="P97" i="87"/>
  <c r="J79" i="92"/>
  <c r="J80" i="92" s="1"/>
  <c r="J76" i="92"/>
  <c r="L71" i="99"/>
  <c r="L72" i="99" s="1"/>
  <c r="L68" i="99"/>
  <c r="P116" i="90"/>
  <c r="P117" i="90" s="1"/>
  <c r="P113" i="90"/>
  <c r="J77" i="95"/>
  <c r="J78" i="95" s="1"/>
  <c r="J74" i="95"/>
  <c r="R101" i="88"/>
  <c r="R102" i="88" s="1"/>
  <c r="R98" i="88"/>
  <c r="R103" i="94"/>
  <c r="R104" i="94" s="1"/>
  <c r="R100" i="94"/>
  <c r="N99" i="94"/>
  <c r="N95" i="94"/>
  <c r="L110" i="98"/>
  <c r="L106" i="98"/>
  <c r="L107" i="100"/>
  <c r="L103" i="100"/>
  <c r="N31" i="8"/>
  <c r="N27" i="8"/>
  <c r="N31" i="14"/>
  <c r="N27" i="14"/>
  <c r="L31" i="4"/>
  <c r="L27" i="4"/>
  <c r="R27" i="16"/>
  <c r="R31" i="16"/>
  <c r="N31" i="22"/>
  <c r="N27" i="22"/>
  <c r="R31" i="28"/>
  <c r="R27" i="28"/>
  <c r="N31" i="34"/>
  <c r="N27" i="34"/>
  <c r="P31" i="43"/>
  <c r="P27" i="43"/>
  <c r="N31" i="49"/>
  <c r="N27" i="49"/>
  <c r="P31" i="103"/>
  <c r="P27" i="103"/>
  <c r="N369" i="18"/>
  <c r="N370" i="18" s="1"/>
  <c r="N366" i="18"/>
  <c r="P152" i="15"/>
  <c r="P153" i="15" s="1"/>
  <c r="P149" i="15"/>
  <c r="R427" i="3"/>
  <c r="R428" i="3" s="1"/>
  <c r="R422" i="3"/>
  <c r="J427" i="3"/>
  <c r="J428" i="3" s="1"/>
  <c r="J422" i="3"/>
  <c r="N126" i="45"/>
  <c r="N127" i="45" s="1"/>
  <c r="N123" i="45"/>
  <c r="H144" i="51"/>
  <c r="H145" i="51" s="1"/>
  <c r="H141" i="51"/>
  <c r="L210" i="27"/>
  <c r="L211" i="27" s="1"/>
  <c r="L207" i="27"/>
  <c r="D150" i="42"/>
  <c r="D151" i="42" s="1"/>
  <c r="D147" i="42"/>
  <c r="J225" i="33"/>
  <c r="J226" i="33" s="1"/>
  <c r="J222" i="33"/>
  <c r="R126" i="45"/>
  <c r="R127" i="45" s="1"/>
  <c r="R123" i="45"/>
  <c r="H91" i="58"/>
  <c r="H92" i="58" s="1"/>
  <c r="H88" i="58"/>
  <c r="L70" i="60"/>
  <c r="L71" i="60" s="1"/>
  <c r="L67" i="60"/>
  <c r="H205" i="80"/>
  <c r="H206" i="80" s="1"/>
  <c r="H202" i="80"/>
  <c r="R32" i="54"/>
  <c r="R33" i="54" s="1"/>
  <c r="R27" i="54"/>
  <c r="L99" i="56"/>
  <c r="L100" i="56" s="1"/>
  <c r="L96" i="56"/>
  <c r="R44" i="55"/>
  <c r="R45" i="55" s="1"/>
  <c r="R41" i="55"/>
  <c r="D125" i="62"/>
  <c r="D126" i="62" s="1"/>
  <c r="D122" i="62"/>
  <c r="D200" i="64"/>
  <c r="D201" i="64" s="1"/>
  <c r="D197" i="64"/>
  <c r="R112" i="67"/>
  <c r="R113" i="67" s="1"/>
  <c r="R109" i="67"/>
  <c r="F44" i="55"/>
  <c r="F45" i="55" s="1"/>
  <c r="F41" i="55"/>
  <c r="H78" i="61"/>
  <c r="H79" i="61" s="1"/>
  <c r="H75" i="61"/>
  <c r="N144" i="72"/>
  <c r="N145" i="72" s="1"/>
  <c r="N141" i="72"/>
  <c r="L107" i="76"/>
  <c r="L108" i="76" s="1"/>
  <c r="L104" i="76"/>
  <c r="F65" i="82"/>
  <c r="F66" i="82" s="1"/>
  <c r="F62" i="82"/>
  <c r="H106" i="68"/>
  <c r="H102" i="68"/>
  <c r="P104" i="74"/>
  <c r="P105" i="74" s="1"/>
  <c r="P101" i="74"/>
  <c r="H61" i="78"/>
  <c r="H62" i="78" s="1"/>
  <c r="H58" i="78"/>
  <c r="J100" i="65"/>
  <c r="J101" i="65" s="1"/>
  <c r="J97" i="65"/>
  <c r="P57" i="73"/>
  <c r="P58" i="73" s="1"/>
  <c r="P54" i="73"/>
  <c r="L110" i="68"/>
  <c r="L111" i="68" s="1"/>
  <c r="L107" i="68"/>
  <c r="J63" i="91"/>
  <c r="J64" i="91" s="1"/>
  <c r="J60" i="91"/>
  <c r="R201" i="80"/>
  <c r="R197" i="80"/>
  <c r="J118" i="85"/>
  <c r="J119" i="85" s="1"/>
  <c r="J115" i="85"/>
  <c r="D86" i="84"/>
  <c r="D82" i="84"/>
  <c r="N116" i="90"/>
  <c r="N117" i="90" s="1"/>
  <c r="N113" i="90"/>
  <c r="H93" i="102"/>
  <c r="H94" i="102" s="1"/>
  <c r="H90" i="102"/>
  <c r="P103" i="94"/>
  <c r="P104" i="94" s="1"/>
  <c r="P100" i="94"/>
  <c r="N75" i="97"/>
  <c r="N76" i="97" s="1"/>
  <c r="N72" i="97"/>
  <c r="P85" i="93"/>
  <c r="P86" i="93" s="1"/>
  <c r="P82" i="93"/>
  <c r="P71" i="99"/>
  <c r="P72" i="99" s="1"/>
  <c r="P68" i="99"/>
  <c r="F49" i="101"/>
  <c r="F50" i="101" s="1"/>
  <c r="F46" i="101"/>
  <c r="F93" i="48"/>
  <c r="F94" i="48" s="1"/>
  <c r="F90" i="48"/>
  <c r="N93" i="48"/>
  <c r="N94" i="48" s="1"/>
  <c r="N90" i="48"/>
  <c r="L79" i="92"/>
  <c r="L80" i="92" s="1"/>
  <c r="L76" i="92"/>
  <c r="N125" i="62"/>
  <c r="N126" i="62" s="1"/>
  <c r="N122" i="62"/>
  <c r="N164" i="39"/>
  <c r="N165" i="39" s="1"/>
  <c r="N161" i="39"/>
  <c r="N37" i="34" l="1"/>
  <c r="N38" i="34" s="1"/>
  <c r="N32" i="34"/>
  <c r="L37" i="4"/>
  <c r="L38" i="4" s="1"/>
  <c r="L32" i="4"/>
  <c r="L114" i="98"/>
  <c r="L115" i="98" s="1"/>
  <c r="L111" i="98"/>
  <c r="D37" i="46"/>
  <c r="D38" i="46" s="1"/>
  <c r="D32" i="46"/>
  <c r="F37" i="20"/>
  <c r="F38" i="20" s="1"/>
  <c r="F32" i="20"/>
  <c r="J37" i="11"/>
  <c r="J38" i="11" s="1"/>
  <c r="J32" i="11"/>
  <c r="L37" i="103"/>
  <c r="L38" i="103" s="1"/>
  <c r="L32" i="103"/>
  <c r="P37" i="35"/>
  <c r="P38" i="35" s="1"/>
  <c r="P32" i="35"/>
  <c r="R37" i="4"/>
  <c r="R38" i="4" s="1"/>
  <c r="R32" i="4"/>
  <c r="J85" i="93"/>
  <c r="J86" i="93" s="1"/>
  <c r="J82" i="93"/>
  <c r="L90" i="84"/>
  <c r="L91" i="84" s="1"/>
  <c r="L87" i="84"/>
  <c r="N37" i="103"/>
  <c r="N38" i="103" s="1"/>
  <c r="N32" i="103"/>
  <c r="J37" i="32"/>
  <c r="J38" i="32" s="1"/>
  <c r="J32" i="32"/>
  <c r="D37" i="7"/>
  <c r="D38" i="7" s="1"/>
  <c r="D32" i="7"/>
  <c r="P32" i="105"/>
  <c r="P37" i="105"/>
  <c r="P38" i="105" s="1"/>
  <c r="H32" i="49"/>
  <c r="H37" i="49"/>
  <c r="H38" i="49" s="1"/>
  <c r="R37" i="35"/>
  <c r="R38" i="35" s="1"/>
  <c r="R32" i="35"/>
  <c r="J32" i="40"/>
  <c r="J37" i="40"/>
  <c r="J38" i="40" s="1"/>
  <c r="N37" i="25"/>
  <c r="N38" i="25" s="1"/>
  <c r="N32" i="25"/>
  <c r="F37" i="17"/>
  <c r="F38" i="17" s="1"/>
  <c r="F32" i="17"/>
  <c r="J37" i="8"/>
  <c r="J38" i="8" s="1"/>
  <c r="J32" i="8"/>
  <c r="F150" i="42"/>
  <c r="F151" i="42" s="1"/>
  <c r="F147" i="42"/>
  <c r="L37" i="44"/>
  <c r="L38" i="44" s="1"/>
  <c r="L32" i="44"/>
  <c r="J37" i="38"/>
  <c r="J38" i="38" s="1"/>
  <c r="J32" i="38"/>
  <c r="F37" i="44"/>
  <c r="F38" i="44" s="1"/>
  <c r="F32" i="44"/>
  <c r="F37" i="28"/>
  <c r="F38" i="28" s="1"/>
  <c r="F32" i="28"/>
  <c r="F37" i="11"/>
  <c r="F38" i="11" s="1"/>
  <c r="F32" i="11"/>
  <c r="H37" i="13"/>
  <c r="H38" i="13" s="1"/>
  <c r="H32" i="13"/>
  <c r="F37" i="43"/>
  <c r="F38" i="43" s="1"/>
  <c r="F32" i="43"/>
  <c r="J37" i="7"/>
  <c r="J38" i="7" s="1"/>
  <c r="J32" i="7"/>
  <c r="R37" i="16"/>
  <c r="R38" i="16" s="1"/>
  <c r="R32" i="16"/>
  <c r="J55" i="77"/>
  <c r="J58" i="77" s="1"/>
  <c r="J59" i="77" s="1"/>
  <c r="D37" i="20"/>
  <c r="D38" i="20" s="1"/>
  <c r="D32" i="20"/>
  <c r="F101" i="74"/>
  <c r="F104" i="74" s="1"/>
  <c r="F105" i="74" s="1"/>
  <c r="D32" i="41"/>
  <c r="D37" i="41"/>
  <c r="D38" i="41" s="1"/>
  <c r="F108" i="100"/>
  <c r="F111" i="100" s="1"/>
  <c r="F112" i="100" s="1"/>
  <c r="J161" i="39"/>
  <c r="J164" i="39" s="1"/>
  <c r="J165" i="39" s="1"/>
  <c r="H32" i="103"/>
  <c r="H37" i="103"/>
  <c r="H38" i="103" s="1"/>
  <c r="J32" i="16"/>
  <c r="J37" i="16"/>
  <c r="J38" i="16" s="1"/>
  <c r="L37" i="20"/>
  <c r="L38" i="20" s="1"/>
  <c r="L32" i="20"/>
  <c r="H104" i="76"/>
  <c r="H107" i="76" s="1"/>
  <c r="H108" i="76" s="1"/>
  <c r="P37" i="14"/>
  <c r="P38" i="14" s="1"/>
  <c r="P32" i="14"/>
  <c r="J107" i="83"/>
  <c r="J110" i="83" s="1"/>
  <c r="J111" i="83" s="1"/>
  <c r="R156" i="66"/>
  <c r="R159" i="66" s="1"/>
  <c r="R160" i="66" s="1"/>
  <c r="N207" i="27"/>
  <c r="N210" i="27" s="1"/>
  <c r="N211" i="27" s="1"/>
  <c r="D90" i="84"/>
  <c r="D91" i="84" s="1"/>
  <c r="D87" i="84"/>
  <c r="P37" i="43"/>
  <c r="P38" i="43" s="1"/>
  <c r="P32" i="43"/>
  <c r="N37" i="14"/>
  <c r="N38" i="14" s="1"/>
  <c r="N32" i="14"/>
  <c r="N103" i="94"/>
  <c r="N104" i="94" s="1"/>
  <c r="N100" i="94"/>
  <c r="F37" i="105"/>
  <c r="F38" i="105" s="1"/>
  <c r="F32" i="105"/>
  <c r="F37" i="37"/>
  <c r="F38" i="37" s="1"/>
  <c r="F32" i="37"/>
  <c r="J37" i="19"/>
  <c r="J38" i="19" s="1"/>
  <c r="J32" i="19"/>
  <c r="J37" i="5"/>
  <c r="J38" i="5" s="1"/>
  <c r="J32" i="5"/>
  <c r="D71" i="99"/>
  <c r="D72" i="99" s="1"/>
  <c r="D68" i="99"/>
  <c r="F110" i="79"/>
  <c r="F111" i="79" s="1"/>
  <c r="F107" i="79"/>
  <c r="P37" i="52"/>
  <c r="P38" i="52" s="1"/>
  <c r="P32" i="52"/>
  <c r="L37" i="29"/>
  <c r="L38" i="29" s="1"/>
  <c r="L32" i="29"/>
  <c r="L32" i="5"/>
  <c r="L37" i="5"/>
  <c r="L38" i="5" s="1"/>
  <c r="H37" i="38"/>
  <c r="H38" i="38" s="1"/>
  <c r="H32" i="38"/>
  <c r="D37" i="13"/>
  <c r="D38" i="13" s="1"/>
  <c r="D32" i="13"/>
  <c r="L37" i="105"/>
  <c r="L38" i="105" s="1"/>
  <c r="L32" i="105"/>
  <c r="J32" i="43"/>
  <c r="J37" i="43"/>
  <c r="J38" i="43" s="1"/>
  <c r="N37" i="29"/>
  <c r="N38" i="29" s="1"/>
  <c r="N32" i="29"/>
  <c r="D37" i="34"/>
  <c r="D38" i="34" s="1"/>
  <c r="D32" i="34"/>
  <c r="J37" i="49"/>
  <c r="J38" i="49" s="1"/>
  <c r="J32" i="49"/>
  <c r="R37" i="37"/>
  <c r="R38" i="37" s="1"/>
  <c r="R32" i="37"/>
  <c r="H37" i="17"/>
  <c r="H38" i="17" s="1"/>
  <c r="H32" i="17"/>
  <c r="R37" i="50"/>
  <c r="R38" i="50" s="1"/>
  <c r="R32" i="50"/>
  <c r="N37" i="43"/>
  <c r="N38" i="43" s="1"/>
  <c r="N32" i="43"/>
  <c r="L32" i="50"/>
  <c r="L37" i="50"/>
  <c r="L38" i="50" s="1"/>
  <c r="N37" i="23"/>
  <c r="N38" i="23" s="1"/>
  <c r="N32" i="23"/>
  <c r="F37" i="13"/>
  <c r="F38" i="13" s="1"/>
  <c r="F32" i="13"/>
  <c r="R37" i="22"/>
  <c r="R38" i="22" s="1"/>
  <c r="R32" i="22"/>
  <c r="D37" i="49"/>
  <c r="D38" i="49" s="1"/>
  <c r="D32" i="49"/>
  <c r="F37" i="35"/>
  <c r="F38" i="35" s="1"/>
  <c r="F32" i="35"/>
  <c r="L37" i="19"/>
  <c r="L38" i="19" s="1"/>
  <c r="L32" i="19"/>
  <c r="J37" i="13"/>
  <c r="J38" i="13" s="1"/>
  <c r="J32" i="13"/>
  <c r="F37" i="52"/>
  <c r="F38" i="52" s="1"/>
  <c r="F32" i="52"/>
  <c r="P37" i="44"/>
  <c r="P38" i="44" s="1"/>
  <c r="P32" i="44"/>
  <c r="D32" i="28"/>
  <c r="D37" i="28"/>
  <c r="D38" i="28" s="1"/>
  <c r="R37" i="49"/>
  <c r="R38" i="49" s="1"/>
  <c r="R32" i="49"/>
  <c r="N37" i="31"/>
  <c r="N38" i="31" s="1"/>
  <c r="N32" i="31"/>
  <c r="J37" i="34"/>
  <c r="J38" i="34" s="1"/>
  <c r="J32" i="34"/>
  <c r="N37" i="32"/>
  <c r="N38" i="32" s="1"/>
  <c r="N32" i="32"/>
  <c r="J37" i="14"/>
  <c r="J38" i="14" s="1"/>
  <c r="J32" i="14"/>
  <c r="L37" i="8"/>
  <c r="L38" i="8" s="1"/>
  <c r="L32" i="8"/>
  <c r="F37" i="4"/>
  <c r="F38" i="4" s="1"/>
  <c r="F32" i="4"/>
  <c r="F37" i="103"/>
  <c r="F38" i="103" s="1"/>
  <c r="F32" i="103"/>
  <c r="L37" i="46"/>
  <c r="L38" i="46" s="1"/>
  <c r="L32" i="46"/>
  <c r="P37" i="31"/>
  <c r="P38" i="31" s="1"/>
  <c r="P32" i="31"/>
  <c r="R37" i="19"/>
  <c r="R38" i="19" s="1"/>
  <c r="R32" i="19"/>
  <c r="R37" i="17"/>
  <c r="R38" i="17" s="1"/>
  <c r="R32" i="17"/>
  <c r="R37" i="5"/>
  <c r="R38" i="5" s="1"/>
  <c r="R32" i="5"/>
  <c r="L113" i="96"/>
  <c r="L114" i="96" s="1"/>
  <c r="L110" i="96"/>
  <c r="J100" i="87"/>
  <c r="J101" i="87" s="1"/>
  <c r="J97" i="87"/>
  <c r="F37" i="49"/>
  <c r="F38" i="49" s="1"/>
  <c r="F32" i="49"/>
  <c r="L37" i="40"/>
  <c r="L38" i="40" s="1"/>
  <c r="L32" i="40"/>
  <c r="J37" i="28"/>
  <c r="J38" i="28" s="1"/>
  <c r="J32" i="28"/>
  <c r="F37" i="14"/>
  <c r="F38" i="14" s="1"/>
  <c r="F32" i="14"/>
  <c r="D111" i="100"/>
  <c r="D112" i="100" s="1"/>
  <c r="D108" i="100"/>
  <c r="H116" i="90"/>
  <c r="H117" i="90" s="1"/>
  <c r="H113" i="90"/>
  <c r="P110" i="83"/>
  <c r="P111" i="83" s="1"/>
  <c r="P107" i="83"/>
  <c r="H32" i="41"/>
  <c r="H37" i="41"/>
  <c r="H38" i="41" s="1"/>
  <c r="P37" i="38"/>
  <c r="P38" i="38" s="1"/>
  <c r="P32" i="38"/>
  <c r="L37" i="26"/>
  <c r="L38" i="26" s="1"/>
  <c r="L32" i="26"/>
  <c r="L37" i="13"/>
  <c r="L38" i="13" s="1"/>
  <c r="L32" i="13"/>
  <c r="L63" i="91"/>
  <c r="L64" i="91" s="1"/>
  <c r="L60" i="91"/>
  <c r="D37" i="103"/>
  <c r="D38" i="103" s="1"/>
  <c r="D32" i="103"/>
  <c r="H37" i="50"/>
  <c r="H38" i="50" s="1"/>
  <c r="H32" i="50"/>
  <c r="H37" i="35"/>
  <c r="H38" i="35" s="1"/>
  <c r="H32" i="35"/>
  <c r="H37" i="23"/>
  <c r="H38" i="23" s="1"/>
  <c r="H32" i="23"/>
  <c r="D37" i="19"/>
  <c r="D38" i="19" s="1"/>
  <c r="D32" i="19"/>
  <c r="D37" i="11"/>
  <c r="D38" i="11" s="1"/>
  <c r="D32" i="11"/>
  <c r="H37" i="16"/>
  <c r="H38" i="16" s="1"/>
  <c r="H32" i="16"/>
  <c r="J37" i="4"/>
  <c r="J38" i="4" s="1"/>
  <c r="J32" i="4"/>
  <c r="F115" i="89"/>
  <c r="F116" i="89" s="1"/>
  <c r="F112" i="89"/>
  <c r="N104" i="74"/>
  <c r="N105" i="74" s="1"/>
  <c r="N101" i="74"/>
  <c r="F210" i="27"/>
  <c r="F211" i="27" s="1"/>
  <c r="F207" i="27"/>
  <c r="N37" i="53"/>
  <c r="N38" i="53" s="1"/>
  <c r="N32" i="53"/>
  <c r="F37" i="40"/>
  <c r="F38" i="40" s="1"/>
  <c r="F32" i="40"/>
  <c r="H37" i="44"/>
  <c r="H38" i="44" s="1"/>
  <c r="H32" i="44"/>
  <c r="L32" i="32"/>
  <c r="L37" i="32"/>
  <c r="L38" i="32" s="1"/>
  <c r="D37" i="52"/>
  <c r="D38" i="52" s="1"/>
  <c r="D32" i="52"/>
  <c r="D37" i="37"/>
  <c r="D38" i="37" s="1"/>
  <c r="D32" i="37"/>
  <c r="H37" i="25"/>
  <c r="H38" i="25" s="1"/>
  <c r="H32" i="25"/>
  <c r="N32" i="20"/>
  <c r="N37" i="20"/>
  <c r="N38" i="20" s="1"/>
  <c r="R37" i="20"/>
  <c r="R38" i="20" s="1"/>
  <c r="R32" i="20"/>
  <c r="P37" i="13"/>
  <c r="P38" i="13" s="1"/>
  <c r="P32" i="13"/>
  <c r="D37" i="14"/>
  <c r="D38" i="14" s="1"/>
  <c r="D32" i="14"/>
  <c r="R37" i="14"/>
  <c r="R38" i="14" s="1"/>
  <c r="R32" i="14"/>
  <c r="F63" i="91"/>
  <c r="F64" i="91" s="1"/>
  <c r="F60" i="91"/>
  <c r="D144" i="72"/>
  <c r="D145" i="72" s="1"/>
  <c r="D141" i="72"/>
  <c r="H32" i="105"/>
  <c r="H37" i="105"/>
  <c r="H38" i="105" s="1"/>
  <c r="D37" i="53"/>
  <c r="D38" i="53" s="1"/>
  <c r="D32" i="53"/>
  <c r="P37" i="47"/>
  <c r="P38" i="47" s="1"/>
  <c r="P32" i="47"/>
  <c r="L37" i="41"/>
  <c r="L38" i="41" s="1"/>
  <c r="L32" i="41"/>
  <c r="F37" i="29"/>
  <c r="F38" i="29" s="1"/>
  <c r="F32" i="29"/>
  <c r="N37" i="38"/>
  <c r="N38" i="38" s="1"/>
  <c r="N32" i="38"/>
  <c r="R37" i="26"/>
  <c r="R38" i="26" s="1"/>
  <c r="R32" i="26"/>
  <c r="L37" i="31"/>
  <c r="L38" i="31" s="1"/>
  <c r="L32" i="31"/>
  <c r="L37" i="23"/>
  <c r="L38" i="23" s="1"/>
  <c r="L32" i="23"/>
  <c r="D37" i="4"/>
  <c r="D38" i="4" s="1"/>
  <c r="D32" i="4"/>
  <c r="D37" i="16"/>
  <c r="D38" i="16" s="1"/>
  <c r="D32" i="16"/>
  <c r="N37" i="10"/>
  <c r="N38" i="10" s="1"/>
  <c r="N32" i="10"/>
  <c r="H37" i="7"/>
  <c r="H38" i="7" s="1"/>
  <c r="H32" i="7"/>
  <c r="H42" i="81"/>
  <c r="H43" i="81" s="1"/>
  <c r="H39" i="81"/>
  <c r="L37" i="104"/>
  <c r="L38" i="104" s="1"/>
  <c r="L32" i="104"/>
  <c r="R37" i="52"/>
  <c r="R38" i="52" s="1"/>
  <c r="R32" i="52"/>
  <c r="H32" i="47"/>
  <c r="H37" i="47"/>
  <c r="H38" i="47" s="1"/>
  <c r="J37" i="46"/>
  <c r="J38" i="46" s="1"/>
  <c r="J32" i="46"/>
  <c r="P32" i="34"/>
  <c r="P37" i="34"/>
  <c r="P38" i="34" s="1"/>
  <c r="P32" i="22"/>
  <c r="P37" i="22"/>
  <c r="P38" i="22" s="1"/>
  <c r="F37" i="38"/>
  <c r="F38" i="38" s="1"/>
  <c r="F32" i="38"/>
  <c r="J37" i="26"/>
  <c r="J38" i="26" s="1"/>
  <c r="J32" i="26"/>
  <c r="P37" i="29"/>
  <c r="P38" i="29" s="1"/>
  <c r="P32" i="29"/>
  <c r="P32" i="20"/>
  <c r="P37" i="20"/>
  <c r="P38" i="20" s="1"/>
  <c r="F37" i="16"/>
  <c r="F38" i="16" s="1"/>
  <c r="F32" i="16"/>
  <c r="H37" i="4"/>
  <c r="H38" i="4" s="1"/>
  <c r="H32" i="4"/>
  <c r="P37" i="49"/>
  <c r="P38" i="49" s="1"/>
  <c r="P32" i="49"/>
  <c r="L37" i="47"/>
  <c r="L38" i="47" s="1"/>
  <c r="L32" i="47"/>
  <c r="H32" i="37"/>
  <c r="H37" i="37"/>
  <c r="H38" i="37" s="1"/>
  <c r="D32" i="25"/>
  <c r="D37" i="25"/>
  <c r="D38" i="25" s="1"/>
  <c r="L37" i="34"/>
  <c r="L38" i="34" s="1"/>
  <c r="L32" i="34"/>
  <c r="L37" i="22"/>
  <c r="L38" i="22" s="1"/>
  <c r="L32" i="22"/>
  <c r="H37" i="29"/>
  <c r="H38" i="29" s="1"/>
  <c r="H32" i="29"/>
  <c r="N37" i="4"/>
  <c r="N38" i="4" s="1"/>
  <c r="N32" i="4"/>
  <c r="P37" i="11"/>
  <c r="P38" i="11" s="1"/>
  <c r="P32" i="11"/>
  <c r="L37" i="10"/>
  <c r="L38" i="10" s="1"/>
  <c r="L32" i="10"/>
  <c r="R205" i="80"/>
  <c r="R206" i="80" s="1"/>
  <c r="R202" i="80"/>
  <c r="P32" i="103"/>
  <c r="P37" i="103"/>
  <c r="P38" i="103" s="1"/>
  <c r="R37" i="28"/>
  <c r="R38" i="28" s="1"/>
  <c r="R32" i="28"/>
  <c r="L111" i="100"/>
  <c r="L112" i="100" s="1"/>
  <c r="L108" i="100"/>
  <c r="J37" i="53"/>
  <c r="J38" i="53" s="1"/>
  <c r="J32" i="53"/>
  <c r="J37" i="25"/>
  <c r="J38" i="25" s="1"/>
  <c r="J32" i="25"/>
  <c r="J37" i="17"/>
  <c r="J38" i="17" s="1"/>
  <c r="J32" i="17"/>
  <c r="F103" i="94"/>
  <c r="F104" i="94" s="1"/>
  <c r="F100" i="94"/>
  <c r="J37" i="103"/>
  <c r="J38" i="103" s="1"/>
  <c r="J32" i="103"/>
  <c r="R37" i="44"/>
  <c r="R38" i="44" s="1"/>
  <c r="R32" i="44"/>
  <c r="R37" i="41"/>
  <c r="R38" i="41" s="1"/>
  <c r="R32" i="41"/>
  <c r="P37" i="10"/>
  <c r="P38" i="10" s="1"/>
  <c r="P32" i="10"/>
  <c r="F37" i="47"/>
  <c r="F38" i="47" s="1"/>
  <c r="F32" i="47"/>
  <c r="D37" i="26"/>
  <c r="D38" i="26" s="1"/>
  <c r="D32" i="26"/>
  <c r="N63" i="91"/>
  <c r="N64" i="91" s="1"/>
  <c r="N60" i="91"/>
  <c r="D225" i="33"/>
  <c r="D226" i="33" s="1"/>
  <c r="D222" i="33"/>
  <c r="P37" i="53"/>
  <c r="P38" i="53" s="1"/>
  <c r="P32" i="53"/>
  <c r="D37" i="43"/>
  <c r="D38" i="43" s="1"/>
  <c r="D32" i="43"/>
  <c r="J37" i="41"/>
  <c r="J38" i="41" s="1"/>
  <c r="J32" i="41"/>
  <c r="D37" i="22"/>
  <c r="D38" i="22" s="1"/>
  <c r="D32" i="22"/>
  <c r="N37" i="28"/>
  <c r="N38" i="28" s="1"/>
  <c r="N32" i="28"/>
  <c r="H37" i="5"/>
  <c r="H38" i="5" s="1"/>
  <c r="H32" i="5"/>
  <c r="F37" i="53"/>
  <c r="F38" i="53" s="1"/>
  <c r="F32" i="53"/>
  <c r="D32" i="32"/>
  <c r="D37" i="32"/>
  <c r="D38" i="32" s="1"/>
  <c r="N37" i="35"/>
  <c r="N38" i="35" s="1"/>
  <c r="N32" i="35"/>
  <c r="L37" i="35"/>
  <c r="L38" i="35" s="1"/>
  <c r="L32" i="35"/>
  <c r="J37" i="20"/>
  <c r="J38" i="20" s="1"/>
  <c r="J32" i="20"/>
  <c r="R37" i="7"/>
  <c r="R38" i="7" s="1"/>
  <c r="R32" i="7"/>
  <c r="J37" i="50"/>
  <c r="J38" i="50" s="1"/>
  <c r="J32" i="50"/>
  <c r="P32" i="37"/>
  <c r="P37" i="37"/>
  <c r="P38" i="37" s="1"/>
  <c r="L37" i="25"/>
  <c r="L38" i="25" s="1"/>
  <c r="L32" i="25"/>
  <c r="F37" i="23"/>
  <c r="F38" i="23" s="1"/>
  <c r="F32" i="23"/>
  <c r="N37" i="5"/>
  <c r="N38" i="5" s="1"/>
  <c r="N32" i="5"/>
  <c r="N37" i="11"/>
  <c r="N38" i="11" s="1"/>
  <c r="N32" i="11"/>
  <c r="D37" i="104"/>
  <c r="D38" i="104" s="1"/>
  <c r="D32" i="104"/>
  <c r="N37" i="40"/>
  <c r="N38" i="40" s="1"/>
  <c r="N32" i="40"/>
  <c r="R37" i="8"/>
  <c r="R38" i="8" s="1"/>
  <c r="R32" i="8"/>
  <c r="L37" i="17"/>
  <c r="L38" i="17" s="1"/>
  <c r="L32" i="17"/>
  <c r="H37" i="14"/>
  <c r="H38" i="14" s="1"/>
  <c r="H32" i="14"/>
  <c r="L141" i="72"/>
  <c r="L144" i="72" s="1"/>
  <c r="L145" i="72" s="1"/>
  <c r="L32" i="53"/>
  <c r="L37" i="53"/>
  <c r="L38" i="53" s="1"/>
  <c r="R32" i="40"/>
  <c r="R37" i="40"/>
  <c r="R38" i="40" s="1"/>
  <c r="L58" i="78"/>
  <c r="L61" i="78" s="1"/>
  <c r="L62" i="78" s="1"/>
  <c r="L37" i="11"/>
  <c r="L38" i="11" s="1"/>
  <c r="L32" i="11"/>
  <c r="J37" i="10"/>
  <c r="J38" i="10" s="1"/>
  <c r="J32" i="10"/>
  <c r="N37" i="7"/>
  <c r="N38" i="7" s="1"/>
  <c r="N32" i="7"/>
  <c r="F82" i="93"/>
  <c r="F85" i="93" s="1"/>
  <c r="F86" i="93" s="1"/>
  <c r="F104" i="76"/>
  <c r="F107" i="76" s="1"/>
  <c r="F108" i="76" s="1"/>
  <c r="H110" i="68"/>
  <c r="H111" i="68" s="1"/>
  <c r="H107" i="68"/>
  <c r="N37" i="49"/>
  <c r="N38" i="49" s="1"/>
  <c r="N32" i="49"/>
  <c r="N37" i="22"/>
  <c r="N38" i="22" s="1"/>
  <c r="N32" i="22"/>
  <c r="N37" i="8"/>
  <c r="N38" i="8" s="1"/>
  <c r="N32" i="8"/>
  <c r="R37" i="103"/>
  <c r="R38" i="103" s="1"/>
  <c r="R32" i="103"/>
  <c r="H37" i="31"/>
  <c r="H38" i="31" s="1"/>
  <c r="H32" i="31"/>
  <c r="F37" i="7"/>
  <c r="F38" i="7" s="1"/>
  <c r="F32" i="7"/>
  <c r="N37" i="104"/>
  <c r="N38" i="104" s="1"/>
  <c r="N32" i="104"/>
  <c r="P32" i="50"/>
  <c r="P37" i="50"/>
  <c r="P38" i="50" s="1"/>
  <c r="P37" i="23"/>
  <c r="P38" i="23" s="1"/>
  <c r="P32" i="23"/>
  <c r="P37" i="16"/>
  <c r="P38" i="16" s="1"/>
  <c r="P32" i="16"/>
  <c r="D37" i="40"/>
  <c r="D38" i="40" s="1"/>
  <c r="D32" i="40"/>
  <c r="H32" i="40"/>
  <c r="H37" i="40"/>
  <c r="H38" i="40" s="1"/>
  <c r="N150" i="42"/>
  <c r="N151" i="42" s="1"/>
  <c r="N147" i="42"/>
  <c r="D37" i="47"/>
  <c r="D38" i="47" s="1"/>
  <c r="D32" i="47"/>
  <c r="R37" i="23"/>
  <c r="R38" i="23" s="1"/>
  <c r="R32" i="23"/>
  <c r="H37" i="28"/>
  <c r="H38" i="28" s="1"/>
  <c r="H32" i="28"/>
  <c r="R37" i="10"/>
  <c r="R38" i="10" s="1"/>
  <c r="R32" i="10"/>
  <c r="H37" i="11"/>
  <c r="H38" i="11" s="1"/>
  <c r="H32" i="11"/>
  <c r="R37" i="105"/>
  <c r="R38" i="105" s="1"/>
  <c r="R32" i="105"/>
  <c r="L37" i="49"/>
  <c r="L38" i="49" s="1"/>
  <c r="L32" i="49"/>
  <c r="F37" i="26"/>
  <c r="F38" i="26" s="1"/>
  <c r="F32" i="26"/>
  <c r="R37" i="29"/>
  <c r="R38" i="29" s="1"/>
  <c r="R32" i="29"/>
  <c r="P37" i="19"/>
  <c r="P38" i="19" s="1"/>
  <c r="P32" i="19"/>
  <c r="R37" i="13"/>
  <c r="R38" i="13" s="1"/>
  <c r="R32" i="13"/>
  <c r="D37" i="44"/>
  <c r="D38" i="44" s="1"/>
  <c r="D32" i="44"/>
  <c r="R32" i="31"/>
  <c r="R37" i="31"/>
  <c r="R38" i="31" s="1"/>
  <c r="H37" i="46"/>
  <c r="H38" i="46" s="1"/>
  <c r="H32" i="46"/>
  <c r="J37" i="29"/>
  <c r="J38" i="29" s="1"/>
  <c r="J32" i="29"/>
  <c r="P37" i="26"/>
  <c r="P38" i="26" s="1"/>
  <c r="P32" i="26"/>
  <c r="D37" i="31"/>
  <c r="D38" i="31" s="1"/>
  <c r="D32" i="31"/>
  <c r="H37" i="19"/>
  <c r="H38" i="19" s="1"/>
  <c r="H32" i="19"/>
  <c r="H37" i="20"/>
  <c r="H38" i="20" s="1"/>
  <c r="H32" i="20"/>
  <c r="N112" i="89"/>
  <c r="N115" i="89" s="1"/>
  <c r="N116" i="89" s="1"/>
  <c r="R42" i="81"/>
  <c r="R43" i="81" s="1"/>
  <c r="R39" i="81"/>
  <c r="H37" i="104"/>
  <c r="H38" i="104" s="1"/>
  <c r="H32" i="104"/>
  <c r="J37" i="52"/>
  <c r="J38" i="52" s="1"/>
  <c r="J32" i="52"/>
  <c r="N32" i="46"/>
  <c r="N37" i="46"/>
  <c r="N38" i="46" s="1"/>
  <c r="N32" i="50"/>
  <c r="N37" i="50"/>
  <c r="N38" i="50" s="1"/>
  <c r="H32" i="34"/>
  <c r="H37" i="34"/>
  <c r="H38" i="34" s="1"/>
  <c r="H32" i="22"/>
  <c r="H37" i="22"/>
  <c r="H38" i="22" s="1"/>
  <c r="L37" i="37"/>
  <c r="L38" i="37" s="1"/>
  <c r="L32" i="37"/>
  <c r="P37" i="25"/>
  <c r="P38" i="25" s="1"/>
  <c r="P32" i="25"/>
  <c r="H37" i="26"/>
  <c r="H38" i="26" s="1"/>
  <c r="H32" i="26"/>
  <c r="H37" i="8"/>
  <c r="H38" i="8" s="1"/>
  <c r="H32" i="8"/>
  <c r="N37" i="19"/>
  <c r="N38" i="19" s="1"/>
  <c r="N32" i="19"/>
  <c r="L37" i="14"/>
  <c r="L38" i="14" s="1"/>
  <c r="L32" i="14"/>
  <c r="N37" i="17"/>
  <c r="N38" i="17" s="1"/>
  <c r="N32" i="17"/>
  <c r="N37" i="105"/>
  <c r="N38" i="105" s="1"/>
  <c r="N32" i="105"/>
  <c r="R37" i="53"/>
  <c r="R38" i="53" s="1"/>
  <c r="R32" i="53"/>
  <c r="N37" i="37"/>
  <c r="N38" i="37" s="1"/>
  <c r="N32" i="37"/>
  <c r="R37" i="25"/>
  <c r="R38" i="25" s="1"/>
  <c r="R32" i="25"/>
  <c r="N32" i="13"/>
  <c r="N37" i="13"/>
  <c r="N38" i="13" s="1"/>
  <c r="R37" i="11"/>
  <c r="R38" i="11" s="1"/>
  <c r="R32" i="11"/>
  <c r="F71" i="99"/>
  <c r="F72" i="99" s="1"/>
  <c r="F68" i="99"/>
  <c r="N110" i="79"/>
  <c r="N111" i="79" s="1"/>
  <c r="N107" i="79"/>
  <c r="J126" i="45"/>
  <c r="J127" i="45" s="1"/>
  <c r="J123" i="45"/>
  <c r="J138" i="24"/>
  <c r="J139" i="24" s="1"/>
  <c r="J135" i="24"/>
  <c r="P32" i="41"/>
  <c r="P37" i="41"/>
  <c r="P38" i="41" s="1"/>
  <c r="H37" i="43"/>
  <c r="H38" i="43" s="1"/>
  <c r="H32" i="43"/>
  <c r="F37" i="34"/>
  <c r="F38" i="34" s="1"/>
  <c r="F32" i="34"/>
  <c r="F37" i="22"/>
  <c r="F38" i="22" s="1"/>
  <c r="F32" i="22"/>
  <c r="F37" i="8"/>
  <c r="F38" i="8" s="1"/>
  <c r="F32" i="8"/>
  <c r="D114" i="98"/>
  <c r="D115" i="98" s="1"/>
  <c r="D111" i="98"/>
  <c r="D113" i="96"/>
  <c r="D114" i="96" s="1"/>
  <c r="D110" i="96"/>
  <c r="N146" i="70"/>
  <c r="N147" i="70" s="1"/>
  <c r="N143" i="70"/>
  <c r="H401" i="21"/>
  <c r="H402" i="21" s="1"/>
  <c r="H398" i="21"/>
  <c r="N37" i="47"/>
  <c r="N38" i="47" s="1"/>
  <c r="N32" i="47"/>
  <c r="R37" i="32"/>
  <c r="R38" i="32" s="1"/>
  <c r="R32" i="32"/>
  <c r="N37" i="41"/>
  <c r="N38" i="41" s="1"/>
  <c r="N32" i="41"/>
  <c r="P37" i="8"/>
  <c r="P38" i="8" s="1"/>
  <c r="P32" i="8"/>
  <c r="L37" i="7"/>
  <c r="L38" i="7" s="1"/>
  <c r="L32" i="7"/>
  <c r="H101" i="88"/>
  <c r="H102" i="88" s="1"/>
  <c r="H98" i="88"/>
  <c r="F146" i="70"/>
  <c r="F147" i="70" s="1"/>
  <c r="F143" i="70"/>
  <c r="F37" i="104"/>
  <c r="F38" i="104" s="1"/>
  <c r="F32" i="104"/>
  <c r="H37" i="52"/>
  <c r="H38" i="52" s="1"/>
  <c r="H32" i="52"/>
  <c r="J37" i="44"/>
  <c r="J38" i="44" s="1"/>
  <c r="J32" i="44"/>
  <c r="D37" i="29"/>
  <c r="D38" i="29" s="1"/>
  <c r="D32" i="29"/>
  <c r="F37" i="41"/>
  <c r="F38" i="41" s="1"/>
  <c r="F32" i="41"/>
  <c r="D37" i="17"/>
  <c r="D38" i="17" s="1"/>
  <c r="D32" i="17"/>
  <c r="D37" i="5"/>
  <c r="D38" i="5" s="1"/>
  <c r="D32" i="5"/>
  <c r="H37" i="10"/>
  <c r="H38" i="10" s="1"/>
  <c r="H32" i="10"/>
  <c r="R113" i="96"/>
  <c r="R114" i="96" s="1"/>
  <c r="R110" i="96"/>
  <c r="J37" i="105"/>
  <c r="J38" i="105" s="1"/>
  <c r="J32" i="105"/>
  <c r="F37" i="46"/>
  <c r="F38" i="46" s="1"/>
  <c r="F32" i="46"/>
  <c r="F37" i="50"/>
  <c r="F38" i="50" s="1"/>
  <c r="F32" i="50"/>
  <c r="R37" i="38"/>
  <c r="R38" i="38" s="1"/>
  <c r="R32" i="38"/>
  <c r="N32" i="26"/>
  <c r="N37" i="26"/>
  <c r="N38" i="26" s="1"/>
  <c r="R37" i="47"/>
  <c r="R38" i="47" s="1"/>
  <c r="R32" i="47"/>
  <c r="F37" i="31"/>
  <c r="F38" i="31" s="1"/>
  <c r="F32" i="31"/>
  <c r="F37" i="32"/>
  <c r="F38" i="32" s="1"/>
  <c r="F32" i="32"/>
  <c r="L37" i="38"/>
  <c r="L38" i="38" s="1"/>
  <c r="L32" i="38"/>
  <c r="P37" i="7"/>
  <c r="P38" i="7" s="1"/>
  <c r="P32" i="7"/>
  <c r="D37" i="8"/>
  <c r="D38" i="8" s="1"/>
  <c r="D32" i="8"/>
  <c r="F37" i="25"/>
  <c r="F38" i="25" s="1"/>
  <c r="F32" i="25"/>
  <c r="D37" i="105"/>
  <c r="D38" i="105" s="1"/>
  <c r="D32" i="105"/>
  <c r="H37" i="53"/>
  <c r="H38" i="53" s="1"/>
  <c r="H32" i="53"/>
  <c r="R37" i="46"/>
  <c r="R38" i="46" s="1"/>
  <c r="R32" i="46"/>
  <c r="J37" i="35"/>
  <c r="J38" i="35" s="1"/>
  <c r="J32" i="35"/>
  <c r="J37" i="23"/>
  <c r="J38" i="23" s="1"/>
  <c r="J32" i="23"/>
  <c r="P37" i="32"/>
  <c r="P38" i="32" s="1"/>
  <c r="P32" i="32"/>
  <c r="L37" i="43"/>
  <c r="L38" i="43" s="1"/>
  <c r="L32" i="43"/>
  <c r="J37" i="47"/>
  <c r="J38" i="47" s="1"/>
  <c r="J32" i="47"/>
  <c r="D37" i="35"/>
  <c r="D38" i="35" s="1"/>
  <c r="D32" i="35"/>
  <c r="D37" i="23"/>
  <c r="D38" i="23" s="1"/>
  <c r="D32" i="23"/>
  <c r="N37" i="16"/>
  <c r="N38" i="16" s="1"/>
  <c r="N32" i="16"/>
  <c r="P37" i="4"/>
  <c r="P38" i="4" s="1"/>
  <c r="P32" i="4"/>
  <c r="N111" i="100"/>
  <c r="N112" i="100" s="1"/>
  <c r="N108" i="100"/>
  <c r="J144" i="36"/>
  <c r="J145" i="36" s="1"/>
  <c r="J141" i="36"/>
  <c r="P37" i="104"/>
  <c r="P38" i="104" s="1"/>
  <c r="P32" i="104"/>
  <c r="J37" i="104"/>
  <c r="J38" i="104" s="1"/>
  <c r="J32" i="104"/>
  <c r="N37" i="52"/>
  <c r="N38" i="52" s="1"/>
  <c r="N32" i="52"/>
  <c r="L37" i="52"/>
  <c r="L38" i="52" s="1"/>
  <c r="L32" i="52"/>
  <c r="P37" i="40"/>
  <c r="P38" i="40" s="1"/>
  <c r="P32" i="40"/>
  <c r="L32" i="28"/>
  <c r="L37" i="28"/>
  <c r="L38" i="28" s="1"/>
  <c r="D37" i="50"/>
  <c r="D38" i="50" s="1"/>
  <c r="D32" i="50"/>
  <c r="H37" i="32"/>
  <c r="H38" i="32" s="1"/>
  <c r="H32" i="32"/>
  <c r="J37" i="37"/>
  <c r="J38" i="37" s="1"/>
  <c r="J32" i="37"/>
  <c r="R37" i="34"/>
  <c r="R38" i="34" s="1"/>
  <c r="R32" i="34"/>
  <c r="L37" i="16"/>
  <c r="L38" i="16" s="1"/>
  <c r="L32" i="16"/>
  <c r="D37" i="10"/>
  <c r="D38" i="10" s="1"/>
  <c r="D32" i="10"/>
  <c r="F37" i="10"/>
  <c r="F38" i="10" s="1"/>
  <c r="F32" i="10"/>
  <c r="F37" i="5"/>
  <c r="F38" i="5" s="1"/>
  <c r="F32" i="5"/>
  <c r="L225" i="33"/>
  <c r="L226" i="33" s="1"/>
  <c r="L222" i="33"/>
  <c r="R37" i="104"/>
  <c r="R38" i="104" s="1"/>
  <c r="R32" i="104"/>
  <c r="R37" i="43"/>
  <c r="R38" i="43" s="1"/>
  <c r="R32" i="43"/>
  <c r="P37" i="46"/>
  <c r="P38" i="46" s="1"/>
  <c r="P32" i="46"/>
  <c r="J37" i="31"/>
  <c r="J38" i="31" s="1"/>
  <c r="J32" i="31"/>
  <c r="N37" i="44"/>
  <c r="N38" i="44" s="1"/>
  <c r="N32" i="44"/>
  <c r="P37" i="28"/>
  <c r="P38" i="28" s="1"/>
  <c r="P32" i="28"/>
  <c r="J37" i="22"/>
  <c r="J38" i="22" s="1"/>
  <c r="J32" i="22"/>
  <c r="D37" i="38"/>
  <c r="D38" i="38" s="1"/>
  <c r="D32" i="38"/>
  <c r="P37" i="17"/>
  <c r="P38" i="17" s="1"/>
  <c r="P32" i="17"/>
  <c r="P37" i="5"/>
  <c r="P38" i="5" s="1"/>
  <c r="P32" i="5"/>
  <c r="F37" i="19"/>
  <c r="F38" i="19" s="1"/>
  <c r="F32" i="19"/>
</calcChain>
</file>

<file path=xl/sharedStrings.xml><?xml version="1.0" encoding="utf-8"?>
<sst xmlns="http://schemas.openxmlformats.org/spreadsheetml/2006/main" count="3255" uniqueCount="316">
  <si>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</si>
  <si>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</si>
  <si>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</si>
  <si>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</si>
  <si>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</si>
  <si>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</si>
  <si>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</si>
  <si>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</si>
  <si>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</si>
  <si>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</si>
  <si>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</si>
  <si>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</si>
  <si>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</si>
  <si>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</si>
  <si>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</si>
  <si>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</si>
  <si>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</si>
  <si>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</si>
  <si>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</si>
  <si>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</si>
  <si>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</si>
  <si>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</si>
  <si>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</si>
  <si>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>Robert de Wit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</si>
  <si>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</si>
  <si>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</si>
  <si>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</si>
  <si>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</si>
  <si>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</si>
  <si>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</si>
  <si>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</si>
  <si>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</si>
  <si>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</si>
  <si>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</si>
  <si>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</si>
  <si>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</si>
  <si>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</si>
  <si>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</si>
  <si>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</si>
  <si>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 xml:space="preserve">Forty Niner Shops, Inc. </t>
  </si>
  <si>
    <t>FY 18-19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</si>
  <si>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</si>
  <si>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</si>
  <si>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</si>
  <si>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</si>
  <si>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</si>
  <si>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</si>
  <si>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</si>
  <si>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</si>
  <si>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</si>
  <si>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</si>
  <si>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</si>
  <si>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</si>
  <si>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</si>
  <si>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</si>
  <si>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</si>
  <si>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</si>
  <si>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</si>
  <si>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</si>
  <si>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</si>
  <si>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</si>
  <si>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</si>
  <si>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</si>
  <si>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</si>
  <si>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</si>
  <si>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</si>
  <si>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</si>
  <si>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</si>
  <si>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</si>
  <si>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</si>
  <si>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</si>
  <si>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</si>
  <si>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</si>
  <si>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</si>
  <si>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</si>
  <si>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</si>
  <si>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</si>
  <si>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</si>
  <si>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</si>
  <si>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</si>
  <si>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</si>
  <si>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</si>
  <si>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</si>
  <si>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</si>
  <si>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</si>
  <si>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</si>
  <si>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</si>
  <si>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</si>
  <si>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</si>
  <si>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</si>
  <si>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</si>
  <si>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</si>
  <si>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</si>
  <si>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</si>
  <si>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</si>
  <si>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</si>
  <si>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</si>
  <si>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</si>
  <si>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</si>
  <si>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</si>
  <si>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</si>
  <si>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</si>
  <si>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</si>
  <si>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</si>
  <si>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5 - ID Card Services</t>
  </si>
  <si>
    <t>Division 491 - Cash Food Operations</t>
  </si>
  <si>
    <t>FY 20-21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</si>
  <si>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</si>
  <si>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</si>
  <si>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</si>
  <si>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</si>
  <si>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</si>
  <si>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</si>
  <si>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</si>
  <si>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</si>
  <si>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</si>
  <si>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</si>
  <si>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</si>
  <si>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</si>
  <si>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</si>
  <si>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</si>
  <si>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</si>
  <si>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</si>
  <si>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</si>
  <si>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FY 14-15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</si>
  <si>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</si>
  <si>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</si>
  <si>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</si>
  <si>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</si>
  <si>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</si>
  <si>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</si>
  <si>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</si>
  <si>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</si>
  <si>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</si>
  <si>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</si>
  <si>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</si>
  <si>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</si>
  <si>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</si>
  <si>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</si>
  <si>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</si>
  <si>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</si>
  <si>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</si>
  <si>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</si>
  <si>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</si>
  <si>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</si>
  <si>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</si>
  <si>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</si>
  <si>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</si>
  <si>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</si>
  <si>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</si>
  <si>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</si>
  <si>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</si>
  <si>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</si>
  <si>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</si>
  <si>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</si>
  <si>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</si>
  <si>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</si>
  <si>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</si>
  <si>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</si>
  <si>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Sales</t>
  </si>
  <si>
    <t>Detailed Actual History vs Budget</t>
  </si>
  <si>
    <t>FY 19-20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</si>
  <si>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</si>
  <si>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</si>
  <si>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</si>
  <si>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</si>
  <si>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</si>
  <si>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</si>
  <si>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</si>
  <si>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</si>
  <si>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</si>
  <si>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</si>
  <si>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</si>
  <si>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</si>
  <si>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</si>
  <si>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</si>
  <si>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</si>
  <si>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</si>
  <si>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</si>
  <si>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</si>
  <si>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</si>
  <si>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</si>
  <si>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</si>
  <si>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</si>
  <si>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</si>
  <si>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FY 15-16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</si>
  <si>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</si>
  <si>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</si>
  <si>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</si>
  <si>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</si>
  <si>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</si>
  <si>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</si>
  <si>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</si>
  <si>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</si>
  <si>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</si>
  <si>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</si>
  <si>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</si>
  <si>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</si>
  <si>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</si>
  <si>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</si>
  <si>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</si>
  <si>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</si>
  <si>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4 - Food Services</t>
  </si>
  <si>
    <t>Division 310 - C-Stores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</si>
  <si>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</si>
  <si>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</si>
  <si>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</si>
  <si>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</si>
  <si>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</si>
  <si>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</si>
  <si>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</si>
  <si>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</si>
  <si>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</si>
  <si>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</si>
  <si>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</si>
  <si>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</si>
  <si>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</si>
  <si>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</si>
  <si>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</si>
  <si>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</si>
  <si>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</si>
  <si>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</si>
  <si>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</si>
  <si>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</si>
  <si>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</si>
  <si>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</si>
  <si>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</si>
  <si>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</si>
  <si>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</si>
  <si>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</si>
  <si>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</si>
  <si>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</si>
  <si>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</si>
  <si>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</si>
  <si>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</si>
  <si>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</si>
  <si>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</si>
  <si>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</si>
  <si>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</si>
  <si>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</si>
  <si>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FY 16-17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</si>
  <si>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</si>
  <si>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</si>
  <si>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</si>
  <si>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</si>
  <si>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</si>
  <si>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</si>
  <si>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</si>
  <si>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</si>
  <si>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</si>
  <si>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</si>
  <si>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</si>
  <si>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</si>
  <si>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</si>
  <si>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</si>
  <si>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</si>
  <si>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</si>
  <si>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</si>
  <si>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</si>
  <si>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</si>
  <si>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</si>
  <si>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</si>
  <si>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</si>
  <si>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</si>
  <si>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</si>
  <si>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</si>
  <si>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</si>
  <si>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</si>
  <si>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</si>
  <si>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</si>
  <si>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</si>
  <si>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</si>
  <si>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</si>
  <si>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</si>
  <si>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</si>
  <si>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</si>
  <si>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</si>
  <si>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Full Budget</t>
  </si>
  <si>
    <t>Cost of Goods Sold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</si>
  <si>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</si>
  <si>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</si>
  <si>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</si>
  <si>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</si>
  <si>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</si>
  <si>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</si>
  <si>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</si>
  <si>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</si>
  <si>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</si>
  <si>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</si>
  <si>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</si>
  <si>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</si>
  <si>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</si>
  <si>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</si>
  <si>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</si>
  <si>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FY 17-18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</si>
  <si>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</si>
  <si>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</si>
  <si>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</si>
  <si>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</si>
  <si>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</si>
  <si>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</si>
  <si>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</si>
  <si>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</si>
  <si>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</si>
  <si>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</si>
  <si>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</si>
  <si>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</si>
  <si>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</si>
  <si>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</si>
  <si>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</si>
  <si>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</si>
  <si>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</si>
  <si>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</si>
  <si>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</si>
  <si>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Operating Expenses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</si>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</sst>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#,##0.0%;\(#,##0.0%\)"/>
  </numFmts>
  <fonts count="1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48">
    <xf numFmtId="0" fontId="0" fillId="0" borderId="0" xfId="0"/>
    <xf numFmtId="164" fontId="1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/>
    <xf numFmtId="0" fontId="1" fillId="0" borderId="0" xfId="0" applyFont="1" applyFill="1" applyBorder="1" applyAlignment="1"/>
    <xf numFmtId="0" fontId="1" fillId="0" borderId="0" xfId="0" applyFont="1" applyFill="1" applyAlignment="1"/>
    <xf numFmtId="164" fontId="1" fillId="0" borderId="0" xfId="1" applyNumberFormat="1" applyFont="1" applyFill="1"/>
    <xf numFmtId="0" fontId="3" fillId="0" borderId="0" xfId="0" applyFont="1" applyFill="1"/>
    <xf numFmtId="164" fontId="3" fillId="0" borderId="0" xfId="1" applyNumberFormat="1" applyFont="1" applyFill="1" applyBorder="1"/>
    <xf numFmtId="10" fontId="4" fillId="0" borderId="0" xfId="2" applyNumberFormat="1" applyFont="1" applyFill="1"/>
    <xf numFmtId="164" fontId="3" fillId="2" borderId="1" xfId="1" applyNumberFormat="1" applyFont="1" applyFill="1" applyBorder="1"/>
    <xf numFmtId="164" fontId="2" fillId="0" borderId="0" xfId="1" applyNumberFormat="1" applyFont="1" applyFill="1"/>
    <xf numFmtId="0" fontId="1" fillId="0" borderId="0" xfId="0" applyFont="1" applyFill="1"/>
    <xf numFmtId="9" fontId="4" fillId="0" borderId="0" xfId="2" applyFont="1" applyFill="1"/>
    <xf numFmtId="0" fontId="5" fillId="0" borderId="0" xfId="0" applyFont="1" applyFill="1" applyAlignment="1"/>
    <xf numFmtId="0" fontId="3" fillId="0" borderId="0" xfId="0" applyFont="1"/>
    <xf numFmtId="0" fontId="2" fillId="0" borderId="0" xfId="0" applyFont="1" applyFill="1"/>
    <xf numFmtId="0" fontId="1" fillId="0" borderId="0" xfId="0" applyFont="1" applyAlignment="1"/>
    <xf numFmtId="0" fontId="5" fillId="0" borderId="0" xfId="0" applyFont="1" applyFill="1"/>
    <xf numFmtId="0" fontId="1" fillId="0" borderId="0" xfId="0" applyFont="1" applyFill="1" applyBorder="1"/>
    <xf numFmtId="0" fontId="0" fillId="0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3" fillId="2" borderId="0" xfId="0" applyFont="1" applyFill="1" applyAlignment="1">
      <alignment horizontal="left"/>
    </xf>
    <xf numFmtId="166" fontId="6" fillId="2" borderId="0" xfId="2" applyNumberFormat="1" applyFont="1" applyFill="1" applyBorder="1" applyAlignment="1">
      <alignment horizontal="center"/>
    </xf>
    <xf numFmtId="164" fontId="1" fillId="0" borderId="0" xfId="1" applyNumberFormat="1" applyFont="1"/>
    <xf numFmtId="166" fontId="6" fillId="2" borderId="2" xfId="2" applyNumberFormat="1" applyFont="1" applyFill="1" applyBorder="1" applyAlignment="1">
      <alignment horizontal="center"/>
    </xf>
    <xf numFmtId="9" fontId="4" fillId="0" borderId="0" xfId="2" applyFont="1" applyFill="1" applyAlignment="1"/>
    <xf numFmtId="0" fontId="5" fillId="0" borderId="0" xfId="0" applyFont="1"/>
    <xf numFmtId="0" fontId="1" fillId="0" borderId="0" xfId="0" applyFont="1"/>
    <xf numFmtId="0" fontId="0" fillId="3" borderId="3" xfId="0" applyFill="1" applyBorder="1" applyAlignment="1">
      <alignment horizontal="center" vertical="center" wrapText="1"/>
    </xf>
    <xf numFmtId="164" fontId="3" fillId="0" borderId="0" xfId="1" applyNumberFormat="1" applyFont="1" applyFill="1"/>
    <xf numFmtId="0" fontId="7" fillId="0" borderId="0" xfId="0" applyFont="1" applyFill="1"/>
    <xf numFmtId="0" fontId="3" fillId="0" borderId="0" xfId="0" applyFont="1" applyAlignment="1"/>
    <xf numFmtId="164" fontId="3" fillId="0" borderId="0" xfId="1" applyNumberFormat="1" applyFont="1" applyAlignment="1">
      <alignment horizontal="left"/>
    </xf>
    <xf numFmtId="0" fontId="8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3" fillId="0" borderId="0" xfId="0" applyNumberFormat="1" applyFont="1" applyFill="1"/>
    <xf numFmtId="49" fontId="9" fillId="0" borderId="0" xfId="0" applyNumberFormat="1" applyFont="1" applyFill="1"/>
    <xf numFmtId="0" fontId="3" fillId="0" borderId="0" xfId="0" applyFont="1" applyFill="1" applyBorder="1"/>
    <xf numFmtId="0" fontId="10" fillId="0" borderId="0" xfId="0" applyFont="1" applyAlignment="1">
      <alignment horizontal="left"/>
    </xf>
    <xf numFmtId="165" fontId="1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Fill="1"/>
    <xf numFmtId="0" fontId="8" fillId="0" borderId="0" xfId="0" applyFont="1"/>
    <xf numFmtId="0" fontId="2" fillId="0" borderId="0" xfId="0" applyFont="1"/>
    <xf numFmtId="0" fontId="3" fillId="0" borderId="0" xfId="0" applyFont="1" applyFill="1" applyAlignment="1">
      <alignment shrinkToFit="1"/>
    </xf>
    <xf numFmtId="49" fontId="0" fillId="0" borderId="0" xfId="0" applyNumberFormat="1"/>
    <xf numFmtId="49" fontId="0" fillId="3" borderId="3" xfId="0" applyNumberForma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204108</xdr:colOff>
      <xdr:row>0</xdr:row>
      <xdr:rowOff>108856</xdr:rowOff>
    </xdr:from>
    <xdr:to>
      <xdr:col>1</xdr:col>
      <xdr:colOff>1966406</xdr:colOff>
      <xdr:row>7</xdr:row>
      <xdr:rowOff>124551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82" y="108856"/>
          <a:ext cx="1762298" cy="13599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4.5" x14ac:dyDescent="0.35"/>
  <cols>
    <col min="1" max="130" width="20.7265625" customWidth="1"/>
  </cols>
  <sheetData>
    <row r="1" spans="1:130" x14ac:dyDescent="0.35">
      <c r="B1">
        <v>4</v>
      </c>
    </row>
    <row r="3" spans="1:130" ht="29" x14ac:dyDescent="0.35">
      <c r="A3" s="29" t="s">
        <v>180</v>
      </c>
      <c r="B3" s="29" t="s">
        <v>199</v>
      </c>
      <c r="C3" s="29" t="s">
        <v>241</v>
      </c>
      <c r="D3" s="29" t="s">
        <v>97</v>
      </c>
      <c r="E3" s="29" t="s">
        <v>156</v>
      </c>
      <c r="F3" s="29" t="s">
        <v>0</v>
      </c>
      <c r="G3" s="29" t="s">
        <v>181</v>
      </c>
      <c r="H3" s="29" t="s">
        <v>53</v>
      </c>
      <c r="I3" s="29" t="s">
        <v>98</v>
      </c>
      <c r="J3" s="29" t="s">
        <v>217</v>
      </c>
      <c r="K3" s="29" t="s">
        <v>137</v>
      </c>
      <c r="L3" s="29" t="s">
        <v>218</v>
      </c>
      <c r="M3" s="29" t="s">
        <v>75</v>
      </c>
      <c r="N3" s="29" t="s">
        <v>76</v>
      </c>
      <c r="O3" s="29" t="s">
        <v>182</v>
      </c>
      <c r="P3" s="29" t="s">
        <v>200</v>
      </c>
      <c r="Q3" s="29" t="s">
        <v>17</v>
      </c>
      <c r="R3" s="29" t="s">
        <v>18</v>
      </c>
      <c r="S3" s="29" t="s">
        <v>54</v>
      </c>
      <c r="T3" s="29" t="s">
        <v>219</v>
      </c>
      <c r="U3" s="29" t="s">
        <v>271</v>
      </c>
      <c r="V3" s="29" t="s">
        <v>291</v>
      </c>
      <c r="W3" s="29" t="s">
        <v>183</v>
      </c>
      <c r="X3" s="29" t="s">
        <v>272</v>
      </c>
      <c r="Y3" s="29" t="s">
        <v>100</v>
      </c>
      <c r="Z3" s="29" t="s">
        <v>255</v>
      </c>
      <c r="AA3" s="29" t="s">
        <v>157</v>
      </c>
      <c r="AB3" s="29" t="s">
        <v>273</v>
      </c>
      <c r="AC3" s="29" t="s">
        <v>19</v>
      </c>
      <c r="AD3" s="29" t="s">
        <v>101</v>
      </c>
      <c r="AE3" s="29" t="s">
        <v>158</v>
      </c>
      <c r="AF3" s="29" t="s">
        <v>102</v>
      </c>
      <c r="AG3" s="29" t="s">
        <v>201</v>
      </c>
      <c r="AH3" s="29" t="s">
        <v>38</v>
      </c>
      <c r="AI3" s="29" t="s">
        <v>274</v>
      </c>
      <c r="AJ3" s="29" t="s">
        <v>275</v>
      </c>
      <c r="AK3" s="29" t="s">
        <v>77</v>
      </c>
      <c r="AL3" s="29" t="s">
        <v>256</v>
      </c>
      <c r="AM3" s="29" t="s">
        <v>257</v>
      </c>
      <c r="AN3" s="29" t="s">
        <v>238</v>
      </c>
      <c r="AO3" s="29" t="s">
        <v>312</v>
      </c>
      <c r="AP3" s="29" t="s">
        <v>313</v>
      </c>
      <c r="AQ3" s="29" t="s">
        <v>123</v>
      </c>
      <c r="AR3" s="29" t="s">
        <v>184</v>
      </c>
      <c r="AS3" s="29" t="s">
        <v>239</v>
      </c>
      <c r="AT3" s="29" t="s">
        <v>276</v>
      </c>
      <c r="AU3" s="29" t="s">
        <v>220</v>
      </c>
      <c r="AV3" s="29" t="s">
        <v>122</v>
      </c>
      <c r="AW3" s="29" t="s">
        <v>99</v>
      </c>
      <c r="AX3" s="29" t="s">
        <v>292</v>
      </c>
      <c r="AY3" s="29" t="s">
        <v>20</v>
      </c>
      <c r="AZ3" s="29" t="s">
        <v>293</v>
      </c>
      <c r="BA3" s="29" t="s">
        <v>280</v>
      </c>
      <c r="BB3" s="29" t="s">
        <v>109</v>
      </c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138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","450", " - ", "Beachside Dining Hall")</f>
        <v>Department 450 - Beachside Dining Hall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2175531.42</v>
      </c>
      <c r="F10" s="8">
        <f>SUM(OSRRefF11x_0)</f>
        <v>2379313.39</v>
      </c>
      <c r="G10" s="8"/>
      <c r="H10" s="8">
        <f>SUM(OSRRefH11x_0)</f>
        <v>2073952.3599999999</v>
      </c>
      <c r="I10" s="8"/>
      <c r="J10" s="8">
        <f>SUM(OSRRefJ11x_0)</f>
        <v>2288708.6100000003</v>
      </c>
      <c r="K10" s="8"/>
      <c r="L10" s="8">
        <f>SUM(OSRRefL11x_0)</f>
        <v>2395626.9500000002</v>
      </c>
      <c r="M10" s="8"/>
      <c r="N10" s="8">
        <f>SUM(OSRRefN11x_0)</f>
        <v>1960998.74</v>
      </c>
      <c r="O10" s="8"/>
      <c r="P10" s="8">
        <f>SUM(OSRRefP11x_0)</f>
        <v>565961</v>
      </c>
      <c r="Q10" s="8"/>
      <c r="R10" s="8">
        <f>SUM(OSRRefR11x_0)</f>
        <v>950400</v>
      </c>
    </row>
    <row r="11" spans="1:18" s="16" customFormat="1" hidden="1" outlineLevel="1" x14ac:dyDescent="0.35">
      <c r="B11" s="35" t="str">
        <f>CONCATENATE("          ", "4053", " - ", "TAXABLE SALES-FOOD")</f>
        <v xml:space="preserve">          4053 - TAXABLE SALES-FOOD</v>
      </c>
      <c r="D11" s="11">
        <f t="shared" ref="D11:D12" si="0">0*-1</f>
        <v>0</v>
      </c>
      <c r="F11" s="11">
        <f>-1284.66*-1</f>
        <v>1284.6600000000001</v>
      </c>
      <c r="G11" s="3"/>
      <c r="H11" s="11">
        <f>-1071.45*-1</f>
        <v>1071.45</v>
      </c>
      <c r="I11" s="3"/>
      <c r="J11" s="11">
        <f>--726.43</f>
        <v>726.43</v>
      </c>
      <c r="K11" s="3"/>
      <c r="L11" s="11">
        <f>--906.45</f>
        <v>906.45</v>
      </c>
      <c r="M11" s="3"/>
      <c r="N11" s="11">
        <f>--959.82</f>
        <v>959.82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 t="shared" si="0"/>
        <v>0</v>
      </c>
      <c r="F12" s="11">
        <f>0*-1</f>
        <v>0</v>
      </c>
      <c r="G12" s="3"/>
      <c r="H12" s="11">
        <f>0*-1</f>
        <v>0</v>
      </c>
      <c r="I12" s="3"/>
      <c r="J12" s="11">
        <f>0</f>
        <v>0</v>
      </c>
      <c r="K12" s="3"/>
      <c r="L12" s="11">
        <f>0</f>
        <v>0</v>
      </c>
      <c r="M12" s="3"/>
      <c r="N12" s="11">
        <f>0</f>
        <v>0</v>
      </c>
      <c r="O12" s="3"/>
      <c r="P12" s="11">
        <v>565961</v>
      </c>
      <c r="Q12" s="3"/>
      <c r="R12" s="11">
        <v>950400</v>
      </c>
    </row>
    <row r="13" spans="1:18" s="16" customFormat="1" hidden="1" outlineLevel="1" x14ac:dyDescent="0.35">
      <c r="B13" s="35" t="str">
        <f>CONCATENATE("          ", "4151", " - ", "NON-TAXABLE SALES-FOOD")</f>
        <v xml:space="preserve">          4151 - NON-TAXABLE SALES-FOOD</v>
      </c>
      <c r="D13" s="11">
        <f>-2156869.92*-1</f>
        <v>2156869.92</v>
      </c>
      <c r="F13" s="11">
        <f>-2364068.98*-1</f>
        <v>2364068.98</v>
      </c>
      <c r="G13" s="3"/>
      <c r="H13" s="11">
        <f>-1923720.19*-1</f>
        <v>1923720.19</v>
      </c>
      <c r="I13" s="3"/>
      <c r="J13" s="11">
        <f>--2272006.5</f>
        <v>2272006.5</v>
      </c>
      <c r="K13" s="3"/>
      <c r="L13" s="11">
        <f>--2385180.32</f>
        <v>2385180.3199999998</v>
      </c>
      <c r="M13" s="3"/>
      <c r="N13" s="11">
        <f>--1950872.52</f>
        <v>1950872.52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"4153", " - ", "NON-TAXABLE SALES-FOOD")</f>
        <v xml:space="preserve">          4153 - NON-TAXABLE SALES-FOOD</v>
      </c>
      <c r="D14" s="11">
        <f>-18661.5*-1</f>
        <v>18661.5</v>
      </c>
      <c r="F14" s="11">
        <f>-13959.75*-1</f>
        <v>13959.75</v>
      </c>
      <c r="G14" s="3"/>
      <c r="H14" s="11">
        <f>-149160.72*-1</f>
        <v>149160.72</v>
      </c>
      <c r="I14" s="3"/>
      <c r="J14" s="11">
        <f>--15975.68</f>
        <v>15975.68</v>
      </c>
      <c r="K14" s="3"/>
      <c r="L14" s="11">
        <f>--9540.18</f>
        <v>9540.18</v>
      </c>
      <c r="M14" s="3"/>
      <c r="N14" s="11">
        <f>--9166.4</f>
        <v>9166.4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586653.17000000004</v>
      </c>
      <c r="E16" s="8"/>
      <c r="F16" s="8">
        <f>SUM(OSRRefF14x_0)</f>
        <v>571513.40999999992</v>
      </c>
      <c r="G16" s="8"/>
      <c r="H16" s="8">
        <f>SUM(OSRRefH14x_0)</f>
        <v>514062.16</v>
      </c>
      <c r="I16" s="8"/>
      <c r="J16" s="8">
        <f>SUM(OSRRefJ14x_0)</f>
        <v>518609.06</v>
      </c>
      <c r="K16" s="8"/>
      <c r="L16" s="8">
        <f>SUM(OSRRefL14x_0)</f>
        <v>520655.92</v>
      </c>
      <c r="M16" s="8"/>
      <c r="N16" s="8">
        <f>SUM(OSRRefN14x_0)</f>
        <v>448851.54</v>
      </c>
      <c r="O16" s="8"/>
      <c r="P16" s="8">
        <f>SUM(OSRRefP14x_0)</f>
        <v>155114</v>
      </c>
      <c r="Q16" s="8"/>
      <c r="R16" s="8">
        <f>SUM(OSRRefR14x_0)</f>
        <v>244057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155114</v>
      </c>
      <c r="Q17" s="3"/>
      <c r="R17" s="11">
        <v>244057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589942.53</v>
      </c>
      <c r="E18" s="16"/>
      <c r="F18" s="11">
        <v>574299.97</v>
      </c>
      <c r="G18" s="3"/>
      <c r="H18" s="11">
        <v>510065.44</v>
      </c>
      <c r="I18" s="3"/>
      <c r="J18" s="11">
        <v>520234.3</v>
      </c>
      <c r="K18" s="3"/>
      <c r="L18" s="11">
        <v>522962.42</v>
      </c>
      <c r="M18" s="3"/>
      <c r="N18" s="11">
        <v>436724.54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-3289.36</v>
      </c>
      <c r="E19" s="16"/>
      <c r="F19" s="11">
        <v>-2786.56</v>
      </c>
      <c r="G19" s="3"/>
      <c r="H19" s="11">
        <v>3996.72</v>
      </c>
      <c r="I19" s="3"/>
      <c r="J19" s="11">
        <v>-1625.24</v>
      </c>
      <c r="K19" s="3"/>
      <c r="L19" s="11">
        <v>-2306.5</v>
      </c>
      <c r="M19" s="3"/>
      <c r="N19" s="11">
        <v>12127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1588878.25</v>
      </c>
      <c r="E21" s="12"/>
      <c r="F21" s="10">
        <f>+F10-F16</f>
        <v>1807799.9800000002</v>
      </c>
      <c r="G21" s="5"/>
      <c r="H21" s="10">
        <f>+H10-H16</f>
        <v>1559890.2</v>
      </c>
      <c r="I21" s="5"/>
      <c r="J21" s="10">
        <f>+J10-J16</f>
        <v>1770099.5500000003</v>
      </c>
      <c r="K21" s="5"/>
      <c r="L21" s="10">
        <f>+L10-L16</f>
        <v>1874971.0300000003</v>
      </c>
      <c r="M21" s="5"/>
      <c r="N21" s="10">
        <f>+N10-N16</f>
        <v>1512147.2</v>
      </c>
      <c r="O21" s="5"/>
      <c r="P21" s="10">
        <f>+P10-P16</f>
        <v>410847</v>
      </c>
      <c r="Q21" s="5"/>
      <c r="R21" s="10">
        <f>+R10-R16</f>
        <v>706343</v>
      </c>
    </row>
    <row r="22" spans="1:18" s="27" customFormat="1" x14ac:dyDescent="0.35">
      <c r="A22" s="18"/>
      <c r="B22" s="31"/>
      <c r="C22" s="18"/>
      <c r="D22" s="9">
        <f>IFERROR(D21/D10, 0)</f>
        <v>0.73034029083340013</v>
      </c>
      <c r="E22" s="13"/>
      <c r="F22" s="9">
        <f>IFERROR(F21/F10, 0)</f>
        <v>0.75979901916157422</v>
      </c>
      <c r="G22" s="26"/>
      <c r="H22" s="9">
        <f>IFERROR(H21/H10, 0)</f>
        <v>0.75213405576972847</v>
      </c>
      <c r="I22" s="26"/>
      <c r="J22" s="9">
        <f>IFERROR(J21/J10, 0)</f>
        <v>0.77340537902725848</v>
      </c>
      <c r="K22" s="26"/>
      <c r="L22" s="9">
        <f>IFERROR(L21/L10, 0)</f>
        <v>0.78266402454689377</v>
      </c>
      <c r="M22" s="26"/>
      <c r="N22" s="9">
        <f>IFERROR(N21/N10, 0)</f>
        <v>0.77111074533377821</v>
      </c>
      <c r="O22" s="26"/>
      <c r="P22" s="9">
        <f>IFERROR(P21/P10, 0)</f>
        <v>0.72592811165433657</v>
      </c>
      <c r="Q22" s="26"/>
      <c r="R22" s="9">
        <f>IFERROR(R21/R10, 0)</f>
        <v>0.74320601851851853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984584.52000000014</v>
      </c>
      <c r="E24" s="19"/>
      <c r="F24" s="8">
        <f>SUM(OSRRefF21x_0)</f>
        <v>1037849.5399999998</v>
      </c>
      <c r="G24" s="4"/>
      <c r="H24" s="8">
        <f>SUM(OSRRefH21x_0)</f>
        <v>1060851.5299999998</v>
      </c>
      <c r="I24" s="4"/>
      <c r="J24" s="8">
        <f>SUM(OSRRefJ21x_0)</f>
        <v>1297762.0100000002</v>
      </c>
      <c r="K24" s="4"/>
      <c r="L24" s="8">
        <f>SUM(OSRRefL21x_0)</f>
        <v>1265662.83</v>
      </c>
      <c r="M24" s="4"/>
      <c r="N24" s="8">
        <f>SUM(OSRRefN21x_0)</f>
        <v>1216927.97</v>
      </c>
      <c r="O24" s="4"/>
      <c r="P24" s="8">
        <f>SUM(OSRRefP21x_0)</f>
        <v>1081602.2554988901</v>
      </c>
      <c r="Q24" s="4"/>
      <c r="R24" s="8">
        <f>SUM(OSRRefR21x_0)</f>
        <v>1396850.2184599999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208195.92</v>
      </c>
      <c r="E25" s="19"/>
      <c r="F25" s="1">
        <f>SUM(OSRRefF21_0x_0)</f>
        <v>212341.15999999997</v>
      </c>
      <c r="G25" s="4"/>
      <c r="H25" s="1">
        <f>SUM(OSRRefH21_0x_0)</f>
        <v>216946.7</v>
      </c>
      <c r="I25" s="4"/>
      <c r="J25" s="1">
        <f>SUM(OSRRefJ21_0x_0)</f>
        <v>309245.37</v>
      </c>
      <c r="K25" s="4"/>
      <c r="L25" s="1">
        <f>SUM(OSRRefL21_0x_0)</f>
        <v>272059.33</v>
      </c>
      <c r="M25" s="4"/>
      <c r="N25" s="1">
        <f>SUM(OSRRefN21_0x_0)</f>
        <v>258813.22000000003</v>
      </c>
      <c r="O25" s="4"/>
      <c r="P25" s="1">
        <f>SUM(OSRRefP21_0x_0)</f>
        <v>359775.50916389003</v>
      </c>
      <c r="Q25" s="4"/>
      <c r="R25" s="1">
        <f>SUM(OSRRefR21_0x_0)</f>
        <v>379898.30645999993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24141.31</v>
      </c>
      <c r="F26" s="2">
        <v>24328.44</v>
      </c>
      <c r="G26" s="3"/>
      <c r="H26" s="2">
        <v>26931.7</v>
      </c>
      <c r="I26" s="3"/>
      <c r="J26" s="2">
        <v>37662.050000000003</v>
      </c>
      <c r="K26" s="3"/>
      <c r="L26" s="2">
        <v>36560.29</v>
      </c>
      <c r="M26" s="3"/>
      <c r="N26" s="2">
        <v>41716.54</v>
      </c>
      <c r="O26" s="3"/>
      <c r="P26" s="2">
        <v>34654.076438639997</v>
      </c>
      <c r="Q26" s="3"/>
      <c r="R26" s="2">
        <v>35233.034460000003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10776.05</v>
      </c>
      <c r="F27" s="2">
        <v>18137.75</v>
      </c>
      <c r="G27" s="3"/>
      <c r="H27" s="2">
        <v>24176.080000000002</v>
      </c>
      <c r="I27" s="3"/>
      <c r="J27" s="2">
        <v>19343.509999999998</v>
      </c>
      <c r="K27" s="3"/>
      <c r="L27" s="2">
        <v>23042.47</v>
      </c>
      <c r="M27" s="3"/>
      <c r="N27" s="2">
        <v>25014.48</v>
      </c>
      <c r="O27" s="3"/>
      <c r="P27" s="2">
        <v>23370.75421395</v>
      </c>
      <c r="Q27" s="3"/>
      <c r="R27" s="2">
        <v>30087.65784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114851.14</v>
      </c>
      <c r="F28" s="2">
        <v>112392.9</v>
      </c>
      <c r="G28" s="3"/>
      <c r="H28" s="2">
        <v>121394.75</v>
      </c>
      <c r="I28" s="3"/>
      <c r="J28" s="2">
        <v>171361.49</v>
      </c>
      <c r="K28" s="3"/>
      <c r="L28" s="2">
        <v>145056.21</v>
      </c>
      <c r="M28" s="3"/>
      <c r="N28" s="2">
        <v>167665.99</v>
      </c>
      <c r="O28" s="3"/>
      <c r="P28" s="2">
        <v>247080</v>
      </c>
      <c r="Q28" s="3"/>
      <c r="R28" s="2">
        <v>239544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3064.05</v>
      </c>
      <c r="F29" s="2">
        <v>3162.9</v>
      </c>
      <c r="G29" s="3"/>
      <c r="H29" s="2">
        <v>2063.9699999999998</v>
      </c>
      <c r="I29" s="3"/>
      <c r="J29" s="2">
        <v>2042.35</v>
      </c>
      <c r="K29" s="3"/>
      <c r="L29" s="2">
        <v>1912.88</v>
      </c>
      <c r="M29" s="3"/>
      <c r="N29" s="2">
        <v>0</v>
      </c>
      <c r="O29" s="3"/>
      <c r="P29" s="2">
        <v>1416.4093462999999</v>
      </c>
      <c r="Q29" s="3"/>
      <c r="R29" s="2">
        <v>1667.12616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11675.72</v>
      </c>
      <c r="F30" s="2">
        <v>7853.81</v>
      </c>
      <c r="G30" s="3"/>
      <c r="H30" s="2">
        <v>10028.5</v>
      </c>
      <c r="I30" s="3"/>
      <c r="J30" s="2">
        <v>13858.36</v>
      </c>
      <c r="K30" s="3"/>
      <c r="L30" s="2">
        <v>11106.72</v>
      </c>
      <c r="M30" s="3"/>
      <c r="N30" s="2">
        <v>13163.64</v>
      </c>
      <c r="O30" s="3"/>
      <c r="P30" s="2">
        <v>10506.19</v>
      </c>
      <c r="Q30" s="3"/>
      <c r="R30" s="2">
        <v>5314.8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"6117", " - ", "RETIREMENT STAFF HOURLY")</f>
        <v xml:space="preserve">          6117 - RETIREMENT STAFF HOURLY</v>
      </c>
      <c r="D32" s="2">
        <v>2456.3200000000002</v>
      </c>
      <c r="F32" s="2">
        <v>2461.71</v>
      </c>
      <c r="G32" s="3"/>
      <c r="H32" s="2">
        <v>2598.2800000000002</v>
      </c>
      <c r="I32" s="3"/>
      <c r="J32" s="2">
        <v>4398.58</v>
      </c>
      <c r="K32" s="3"/>
      <c r="L32" s="2">
        <v>4920.3500000000004</v>
      </c>
      <c r="M32" s="3"/>
      <c r="N32" s="2">
        <v>6431.65</v>
      </c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"6118", " - ", "VACATION")</f>
        <v xml:space="preserve">          6118 - VACATION</v>
      </c>
      <c r="D33" s="2">
        <v>17520.95</v>
      </c>
      <c r="F33" s="2">
        <v>18824.599999999999</v>
      </c>
      <c r="G33" s="3"/>
      <c r="H33" s="2">
        <v>18387.98</v>
      </c>
      <c r="I33" s="3"/>
      <c r="J33" s="2">
        <v>27839.5</v>
      </c>
      <c r="K33" s="3"/>
      <c r="L33" s="2">
        <v>26254.58</v>
      </c>
      <c r="M33" s="3"/>
      <c r="N33" s="2">
        <v>24555.34</v>
      </c>
      <c r="O33" s="3"/>
      <c r="P33" s="2">
        <v>25261.594400000002</v>
      </c>
      <c r="Q33" s="3"/>
      <c r="R33" s="2">
        <v>21135.599999999999</v>
      </c>
    </row>
    <row r="34" spans="1:18" s="16" customFormat="1" hidden="1" outlineLevel="2" x14ac:dyDescent="0.35">
      <c r="B34" s="11" t="str">
        <f>CONCATENATE("          ", "6119", " - ", "SICK LEAVE")</f>
        <v xml:space="preserve">          6119 - SICK LEAVE</v>
      </c>
      <c r="D34" s="2">
        <v>14012.31</v>
      </c>
      <c r="F34" s="2">
        <v>17529.990000000002</v>
      </c>
      <c r="G34" s="3"/>
      <c r="H34" s="2">
        <v>4065.54</v>
      </c>
      <c r="I34" s="3"/>
      <c r="J34" s="2">
        <v>20371.400000000001</v>
      </c>
      <c r="K34" s="3"/>
      <c r="L34" s="2">
        <v>11961.89</v>
      </c>
      <c r="M34" s="3"/>
      <c r="N34" s="2">
        <v>-32536.11</v>
      </c>
      <c r="O34" s="3"/>
      <c r="P34" s="2">
        <v>17486.484765000001</v>
      </c>
      <c r="Q34" s="3"/>
      <c r="R34" s="2">
        <v>23816.088</v>
      </c>
    </row>
    <row r="35" spans="1:18" s="16" customFormat="1" hidden="1" outlineLevel="2" x14ac:dyDescent="0.35">
      <c r="B35" s="11" t="str">
        <f>CONCATENATE("          ", "6156", " - ", "EMPLOYEE MEALS")</f>
        <v xml:space="preserve">          6156 - EMPLOYEE MEALS</v>
      </c>
      <c r="D35" s="2">
        <v>9698.07</v>
      </c>
      <c r="F35" s="2">
        <v>7649.06</v>
      </c>
      <c r="G35" s="3"/>
      <c r="H35" s="2">
        <v>7299.9</v>
      </c>
      <c r="I35" s="3"/>
      <c r="J35" s="2">
        <v>12368.13</v>
      </c>
      <c r="K35" s="3"/>
      <c r="L35" s="2">
        <v>11243.94</v>
      </c>
      <c r="M35" s="3"/>
      <c r="N35" s="2">
        <v>12801.69</v>
      </c>
      <c r="O35" s="3"/>
      <c r="P35" s="2"/>
      <c r="Q35" s="3"/>
      <c r="R35" s="2">
        <v>23100</v>
      </c>
    </row>
    <row r="36" spans="1:18" s="15" customFormat="1" outlineLevel="1" collapsed="1" x14ac:dyDescent="0.35">
      <c r="A36" s="7"/>
      <c r="B36" s="20" t="str">
        <f>CONCATENATE("     ","*Payroll                                          ")</f>
        <v xml:space="preserve">     *Payroll                                          </v>
      </c>
      <c r="C36" s="7"/>
      <c r="D36" s="1">
        <f>SUM(OSRRefD21_1x_0)</f>
        <v>439834.59000000008</v>
      </c>
      <c r="E36" s="19"/>
      <c r="F36" s="1">
        <f>SUM(OSRRefF21_1x_0)</f>
        <v>481575.28</v>
      </c>
      <c r="G36" s="4"/>
      <c r="H36" s="1">
        <f>SUM(OSRRefH21_1x_0)</f>
        <v>529992.80000000005</v>
      </c>
      <c r="I36" s="4"/>
      <c r="J36" s="1">
        <f>SUM(OSRRefJ21_1x_0)</f>
        <v>623242.56000000006</v>
      </c>
      <c r="K36" s="4"/>
      <c r="L36" s="1">
        <f>SUM(OSRRefL21_1x_0)</f>
        <v>655777.77</v>
      </c>
      <c r="M36" s="4"/>
      <c r="N36" s="1">
        <f>SUM(OSRRefN21_1x_0)</f>
        <v>672066.22</v>
      </c>
      <c r="O36" s="4"/>
      <c r="P36" s="1">
        <f>SUM(OSRRefP21_1x_0)</f>
        <v>502024.74633499997</v>
      </c>
      <c r="Q36" s="4"/>
      <c r="R36" s="1">
        <f>SUM(OSRRefR21_1x_0)</f>
        <v>748917.91200000001</v>
      </c>
    </row>
    <row r="37" spans="1:18" s="16" customFormat="1" hidden="1" outlineLevel="2" x14ac:dyDescent="0.35">
      <c r="B37" s="11" t="str">
        <f>CONCATENATE("          ", "6001", " - ", "ADMINISTRATIVE SALARIES")</f>
        <v xml:space="preserve">          6001 - ADMINISTRATIVE SALARIES</v>
      </c>
      <c r="D37" s="2">
        <v>9691.2099999999991</v>
      </c>
      <c r="F37" s="2">
        <v>-194</v>
      </c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"6002", " - ", "STAFF SALARIES")</f>
        <v xml:space="preserve">          6002 - STAFF SALARIES</v>
      </c>
      <c r="D38" s="2">
        <v>87761.61</v>
      </c>
      <c r="F38" s="2">
        <v>97233.38</v>
      </c>
      <c r="G38" s="3"/>
      <c r="H38" s="2">
        <v>104632.71</v>
      </c>
      <c r="I38" s="3"/>
      <c r="J38" s="2">
        <v>129782.39999999999</v>
      </c>
      <c r="K38" s="3"/>
      <c r="L38" s="2">
        <v>109948.41</v>
      </c>
      <c r="M38" s="3"/>
      <c r="N38" s="2">
        <v>102393.01</v>
      </c>
      <c r="O38" s="3"/>
      <c r="P38" s="2">
        <v>108390.25</v>
      </c>
      <c r="Q38" s="3"/>
      <c r="R38" s="2">
        <v>58092</v>
      </c>
    </row>
    <row r="39" spans="1:18" s="16" customFormat="1" hidden="1" outlineLevel="2" x14ac:dyDescent="0.35">
      <c r="B39" s="11" t="str">
        <f>CONCATENATE("          ", "6003", " - ", "STAFF HOURLY-9 MONTH")</f>
        <v xml:space="preserve">          6003 - STAFF HOURLY-9 MONTH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"6004", " - ", "STAFF HOURLY")</f>
        <v xml:space="preserve">          6004 - STAFF HOURLY</v>
      </c>
      <c r="D40" s="2">
        <v>134432.51</v>
      </c>
      <c r="F40" s="2">
        <v>144696.54</v>
      </c>
      <c r="G40" s="3"/>
      <c r="H40" s="2">
        <v>140444.84</v>
      </c>
      <c r="I40" s="3"/>
      <c r="J40" s="2">
        <v>226755.5</v>
      </c>
      <c r="K40" s="3"/>
      <c r="L40" s="2">
        <v>201291.67</v>
      </c>
      <c r="M40" s="3"/>
      <c r="N40" s="2">
        <v>242990.06</v>
      </c>
      <c r="O40" s="3"/>
      <c r="P40" s="2">
        <v>299829.73696000001</v>
      </c>
      <c r="Q40" s="3"/>
      <c r="R40" s="2">
        <v>354781.44</v>
      </c>
    </row>
    <row r="41" spans="1:18" s="16" customFormat="1" hidden="1" outlineLevel="2" x14ac:dyDescent="0.35">
      <c r="B41" s="11" t="str">
        <f>CONCATENATE("          ", "6005", " - ", "TEMPORARY WAGES-HOURLY")</f>
        <v xml:space="preserve">          6005 - TEMPORARY WAGES-HOURLY</v>
      </c>
      <c r="D41" s="2">
        <v>56965.38</v>
      </c>
      <c r="F41" s="2">
        <v>35490.21</v>
      </c>
      <c r="G41" s="3"/>
      <c r="H41" s="2">
        <v>61600.82</v>
      </c>
      <c r="I41" s="3"/>
      <c r="J41" s="2">
        <v>55889.81</v>
      </c>
      <c r="K41" s="3"/>
      <c r="L41" s="2">
        <v>108123.94</v>
      </c>
      <c r="M41" s="3"/>
      <c r="N41" s="2">
        <v>107403.49</v>
      </c>
      <c r="O41" s="3"/>
      <c r="P41" s="2">
        <v>27935.454375000001</v>
      </c>
      <c r="Q41" s="3"/>
      <c r="R41" s="2">
        <v>69762.399999999994</v>
      </c>
    </row>
    <row r="42" spans="1:18" s="16" customFormat="1" hidden="1" outlineLevel="2" x14ac:dyDescent="0.35">
      <c r="B42" s="11" t="str">
        <f>CONCATENATE("          ", "6006", " - ", "TEMPORARY PART TIME")</f>
        <v xml:space="preserve">          6006 - TEMPORARY PART TIME</v>
      </c>
      <c r="D42" s="2"/>
      <c r="F42" s="2">
        <v>2229.15</v>
      </c>
      <c r="G42" s="3"/>
      <c r="H42" s="2"/>
      <c r="I42" s="3"/>
      <c r="J42" s="2">
        <v>7425.82</v>
      </c>
      <c r="K42" s="3"/>
      <c r="L42" s="2">
        <v>5170.88</v>
      </c>
      <c r="M42" s="3"/>
      <c r="N42" s="2">
        <v>10378.219999999999</v>
      </c>
      <c r="O42" s="3"/>
      <c r="P42" s="2">
        <v>0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"6007", " - ", "STUDENT HOURLY")</f>
        <v xml:space="preserve">          6007 - STUDENT HOURLY</v>
      </c>
      <c r="D43" s="2">
        <v>75405.600000000006</v>
      </c>
      <c r="F43" s="2">
        <v>98287.52</v>
      </c>
      <c r="G43" s="3"/>
      <c r="H43" s="2">
        <v>129620.39</v>
      </c>
      <c r="I43" s="3"/>
      <c r="J43" s="2">
        <v>147057.57</v>
      </c>
      <c r="K43" s="3"/>
      <c r="L43" s="2">
        <v>159045.97</v>
      </c>
      <c r="M43" s="3"/>
      <c r="N43" s="2">
        <v>146844.07999999999</v>
      </c>
      <c r="O43" s="3"/>
      <c r="P43" s="2">
        <v>4607.5</v>
      </c>
      <c r="Q43" s="3"/>
      <c r="R43" s="2">
        <v>12561.5</v>
      </c>
    </row>
    <row r="44" spans="1:18" s="16" customFormat="1" hidden="1" outlineLevel="2" x14ac:dyDescent="0.35">
      <c r="B44" s="11" t="str">
        <f>CONCATENATE("          ", "6008", " - ", "STUDENT HOURLY-FICA EXEMPT")</f>
        <v xml:space="preserve">          6008 - STUDENT HOURLY-FICA EXEMPT</v>
      </c>
      <c r="D44" s="2">
        <v>75578.28</v>
      </c>
      <c r="F44" s="2">
        <v>103832.48</v>
      </c>
      <c r="G44" s="3"/>
      <c r="H44" s="2">
        <v>93694.04</v>
      </c>
      <c r="I44" s="3"/>
      <c r="J44" s="2">
        <v>56331.46</v>
      </c>
      <c r="K44" s="3"/>
      <c r="L44" s="2">
        <v>72196.899999999994</v>
      </c>
      <c r="M44" s="3"/>
      <c r="N44" s="2">
        <v>62057.36</v>
      </c>
      <c r="O44" s="3"/>
      <c r="P44" s="2">
        <v>61261.805</v>
      </c>
      <c r="Q44" s="3"/>
      <c r="R44" s="2">
        <v>253720.57199999999</v>
      </c>
    </row>
    <row r="45" spans="1:18" s="16" customFormat="1" hidden="1" outlineLevel="2" x14ac:dyDescent="0.35">
      <c r="B45" s="11" t="str">
        <f>CONCATENATE("          ", "6009", " - ", "TEMPORARY-SEASONAL")</f>
        <v xml:space="preserve">          6009 - TEMPORARY-SEASONAL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6" customFormat="1" hidden="1" outlineLevel="2" x14ac:dyDescent="0.35">
      <c r="B46" s="11" t="str">
        <f>CONCATENATE("          ", "6010", " - ", "GRATUITY")</f>
        <v xml:space="preserve">          6010 - GRATUITY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>
        <v>0</v>
      </c>
    </row>
    <row r="47" spans="1:18" s="15" customFormat="1" outlineLevel="1" collapsed="1" x14ac:dyDescent="0.35">
      <c r="A47" s="7"/>
      <c r="B47" s="20" t="str">
        <f>CONCATENATE("     ","Advertising/Promo                                 ")</f>
        <v xml:space="preserve">     Advertising/Promo                                 </v>
      </c>
      <c r="C47" s="7"/>
      <c r="D47" s="1">
        <f>SUM(OSRRefD21_2x_0)</f>
        <v>3059.61</v>
      </c>
      <c r="E47" s="19"/>
      <c r="F47" s="1">
        <f>SUM(OSRRefF21_2x_0)</f>
        <v>2121.4</v>
      </c>
      <c r="G47" s="4"/>
      <c r="H47" s="1">
        <f>SUM(OSRRefH21_2x_0)</f>
        <v>1923.44</v>
      </c>
      <c r="I47" s="4"/>
      <c r="J47" s="1">
        <f>SUM(OSRRefJ21_2x_0)</f>
        <v>3223.92</v>
      </c>
      <c r="K47" s="4"/>
      <c r="L47" s="1">
        <f>SUM(OSRRefL21_2x_0)</f>
        <v>4091.72</v>
      </c>
      <c r="M47" s="4"/>
      <c r="N47" s="1">
        <f>SUM(OSRRefN21_2x_0)</f>
        <v>3020.03</v>
      </c>
      <c r="O47" s="4"/>
      <c r="P47" s="1">
        <f>SUM(OSRRefP21_2x_0)</f>
        <v>3400</v>
      </c>
      <c r="Q47" s="4"/>
      <c r="R47" s="1">
        <f>SUM(OSRRefR21_2x_0)</f>
        <v>3850</v>
      </c>
    </row>
    <row r="48" spans="1:18" s="16" customFormat="1" hidden="1" outlineLevel="2" x14ac:dyDescent="0.35">
      <c r="B48" s="11" t="str">
        <f>CONCATENATE("          ", "6362", " - ", "ADVERTISING EXPENSE")</f>
        <v xml:space="preserve">          6362 - ADVERTISING EXPENSE</v>
      </c>
      <c r="D48" s="2">
        <v>3059.61</v>
      </c>
      <c r="F48" s="2">
        <v>2121.4</v>
      </c>
      <c r="G48" s="3"/>
      <c r="H48" s="2">
        <v>1923.44</v>
      </c>
      <c r="I48" s="3"/>
      <c r="J48" s="2">
        <v>3223.92</v>
      </c>
      <c r="K48" s="3"/>
      <c r="L48" s="2">
        <v>4091.72</v>
      </c>
      <c r="M48" s="3"/>
      <c r="N48" s="2">
        <v>3020.03</v>
      </c>
      <c r="O48" s="3"/>
      <c r="P48" s="2">
        <v>3400</v>
      </c>
      <c r="Q48" s="3"/>
      <c r="R48" s="2">
        <v>3850</v>
      </c>
    </row>
    <row r="49" spans="1:18" s="15" customFormat="1" outlineLevel="1" collapsed="1" x14ac:dyDescent="0.35">
      <c r="A49" s="7"/>
      <c r="B49" s="20" t="str">
        <f>CONCATENATE("     ","Bad Debts/Over/Short                              ")</f>
        <v xml:space="preserve">     Bad Debts/Over/Short                              </v>
      </c>
      <c r="C49" s="7"/>
      <c r="D49" s="1">
        <f>SUM(OSRRefD21_3x_0)</f>
        <v>2266.17</v>
      </c>
      <c r="E49" s="19"/>
      <c r="F49" s="1">
        <f>SUM(OSRRefF21_3x_0)</f>
        <v>22.68</v>
      </c>
      <c r="G49" s="4"/>
      <c r="H49" s="1">
        <f>SUM(OSRRefH21_3x_0)</f>
        <v>2849.73</v>
      </c>
      <c r="I49" s="4"/>
      <c r="J49" s="1">
        <f>SUM(OSRRefJ21_3x_0)</f>
        <v>13082.9</v>
      </c>
      <c r="K49" s="4"/>
      <c r="L49" s="1">
        <f>SUM(OSRRefL21_3x_0)</f>
        <v>59.74</v>
      </c>
      <c r="M49" s="4"/>
      <c r="N49" s="1">
        <f>SUM(OSRRefN21_3x_0)</f>
        <v>46.62</v>
      </c>
      <c r="O49" s="4"/>
      <c r="P49" s="1">
        <f>SUM(OSRRefP21_3x_0)</f>
        <v>80</v>
      </c>
      <c r="Q49" s="4"/>
      <c r="R49" s="1">
        <f>SUM(OSRRefR21_3x_0)</f>
        <v>100</v>
      </c>
    </row>
    <row r="50" spans="1:18" s="16" customFormat="1" hidden="1" outlineLevel="2" x14ac:dyDescent="0.35">
      <c r="B50" s="11" t="str">
        <f>CONCATENATE("          ", "6272", " - ", "CASH (OVER/SHORT)")</f>
        <v xml:space="preserve">          6272 - CASH (OVER/SHORT)</v>
      </c>
      <c r="D50" s="2">
        <v>2266.17</v>
      </c>
      <c r="F50" s="2">
        <v>22.68</v>
      </c>
      <c r="G50" s="3"/>
      <c r="H50" s="2">
        <v>2849.73</v>
      </c>
      <c r="I50" s="3"/>
      <c r="J50" s="2">
        <v>13082.9</v>
      </c>
      <c r="K50" s="3"/>
      <c r="L50" s="2">
        <v>59.74</v>
      </c>
      <c r="M50" s="3"/>
      <c r="N50" s="2">
        <v>46.62</v>
      </c>
      <c r="O50" s="3"/>
      <c r="P50" s="2">
        <v>80</v>
      </c>
      <c r="Q50" s="3"/>
      <c r="R50" s="2">
        <v>100</v>
      </c>
    </row>
    <row r="51" spans="1:18" s="15" customFormat="1" outlineLevel="1" collapsed="1" x14ac:dyDescent="0.35">
      <c r="A51" s="7"/>
      <c r="B51" s="20" t="str">
        <f>CONCATENATE("     ","Bank/card Fees                                    ")</f>
        <v xml:space="preserve">     Bank/card Fees                                    </v>
      </c>
      <c r="C51" s="7"/>
      <c r="D51" s="1">
        <f>SUM(OSRRefD21_4x_0)</f>
        <v>211</v>
      </c>
      <c r="E51" s="19"/>
      <c r="F51" s="1">
        <f>SUM(OSRRefF21_4x_0)</f>
        <v>253.65</v>
      </c>
      <c r="G51" s="4"/>
      <c r="H51" s="1">
        <f>SUM(OSRRefH21_4x_0)</f>
        <v>360.17</v>
      </c>
      <c r="I51" s="4"/>
      <c r="J51" s="1">
        <f>SUM(OSRRefJ21_4x_0)</f>
        <v>426.54</v>
      </c>
      <c r="K51" s="4"/>
      <c r="L51" s="1">
        <f>SUM(OSRRefL21_4x_0)</f>
        <v>147.99</v>
      </c>
      <c r="M51" s="4"/>
      <c r="N51" s="1">
        <f>SUM(OSRRefN21_4x_0)</f>
        <v>70.89</v>
      </c>
      <c r="O51" s="4"/>
      <c r="P51" s="1">
        <f>SUM(OSRRefP21_4x_0)</f>
        <v>91</v>
      </c>
      <c r="Q51" s="4"/>
      <c r="R51" s="1">
        <f>SUM(OSRRefR21_4x_0)</f>
        <v>250</v>
      </c>
    </row>
    <row r="52" spans="1:18" s="16" customFormat="1" hidden="1" outlineLevel="2" x14ac:dyDescent="0.35">
      <c r="B52" s="11" t="str">
        <f>CONCATENATE("          ", "6381", " - ", "BANK/CREDIT CARD FEES")</f>
        <v xml:space="preserve">          6381 - BANK/CREDIT CARD FEES</v>
      </c>
      <c r="D52" s="2">
        <v>211</v>
      </c>
      <c r="F52" s="2">
        <v>253.65</v>
      </c>
      <c r="G52" s="3"/>
      <c r="H52" s="2">
        <v>360.17</v>
      </c>
      <c r="I52" s="3"/>
      <c r="J52" s="2">
        <v>426.54</v>
      </c>
      <c r="K52" s="3"/>
      <c r="L52" s="2">
        <v>147.99</v>
      </c>
      <c r="M52" s="3"/>
      <c r="N52" s="2">
        <v>70.89</v>
      </c>
      <c r="O52" s="3"/>
      <c r="P52" s="2">
        <v>91</v>
      </c>
      <c r="Q52" s="3"/>
      <c r="R52" s="2">
        <v>250</v>
      </c>
    </row>
    <row r="53" spans="1:18" s="15" customFormat="1" outlineLevel="1" collapsed="1" x14ac:dyDescent="0.35">
      <c r="A53" s="7"/>
      <c r="B53" s="20" t="str">
        <f>CONCATENATE("     ","Depreciation                                      ")</f>
        <v xml:space="preserve">     Depreciation                                      </v>
      </c>
      <c r="C53" s="7"/>
      <c r="D53" s="1">
        <f>SUM(OSRRefD21_5x_0)</f>
        <v>10716.87</v>
      </c>
      <c r="E53" s="19"/>
      <c r="F53" s="1">
        <f>SUM(OSRRefF21_5x_0)</f>
        <v>1088.2</v>
      </c>
      <c r="G53" s="4"/>
      <c r="H53" s="1">
        <f>SUM(OSRRefH21_5x_0)</f>
        <v>1088.2</v>
      </c>
      <c r="I53" s="4"/>
      <c r="J53" s="1">
        <f>SUM(OSRRefJ21_5x_0)</f>
        <v>181.37</v>
      </c>
      <c r="K53" s="4"/>
      <c r="L53" s="1">
        <f>SUM(OSRRefL21_5x_0)</f>
        <v>0</v>
      </c>
      <c r="M53" s="4"/>
      <c r="N53" s="1">
        <f>SUM(OSRRefN21_5x_0)</f>
        <v>852.07</v>
      </c>
      <c r="O53" s="4"/>
      <c r="P53" s="1">
        <f>SUM(OSRRefP21_5x_0)</f>
        <v>2556</v>
      </c>
      <c r="Q53" s="4"/>
      <c r="R53" s="1">
        <f>SUM(OSRRefR21_5x_0)</f>
        <v>2556</v>
      </c>
    </row>
    <row r="54" spans="1:18" s="16" customFormat="1" hidden="1" outlineLevel="2" x14ac:dyDescent="0.35">
      <c r="B54" s="11" t="str">
        <f>CONCATENATE("          ", "6322", " - ", "EQUIPMENT DEPRECIATION EXPENSE")</f>
        <v xml:space="preserve">          6322 - EQUIPMENT DEPRECIATION EXPENSE</v>
      </c>
      <c r="D54" s="2">
        <v>8636.85</v>
      </c>
      <c r="F54" s="2">
        <v>1088.2</v>
      </c>
      <c r="G54" s="3"/>
      <c r="H54" s="2">
        <v>1088.2</v>
      </c>
      <c r="I54" s="3"/>
      <c r="J54" s="2">
        <v>181.37</v>
      </c>
      <c r="K54" s="3"/>
      <c r="L54" s="2"/>
      <c r="M54" s="3"/>
      <c r="N54" s="2">
        <v>852.07</v>
      </c>
      <c r="O54" s="3"/>
      <c r="P54" s="2">
        <v>2556</v>
      </c>
      <c r="Q54" s="3"/>
      <c r="R54" s="2">
        <v>2556</v>
      </c>
    </row>
    <row r="55" spans="1:18" s="16" customFormat="1" hidden="1" outlineLevel="2" x14ac:dyDescent="0.35">
      <c r="B55" s="11" t="str">
        <f>CONCATENATE("          ", "6326", " - ", "VEHICLES DEPRECIATION EXPENSE")</f>
        <v xml:space="preserve">          6326 - VEHICLES DEPRECIATION EXPENSE</v>
      </c>
      <c r="D55" s="2">
        <v>2080.02</v>
      </c>
      <c r="F55" s="2"/>
      <c r="G55" s="3"/>
      <c r="H55" s="2"/>
      <c r="I55" s="3"/>
      <c r="J55" s="2"/>
      <c r="K55" s="3"/>
      <c r="L55" s="2"/>
      <c r="M55" s="3"/>
      <c r="N55" s="2"/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","Donations                                         ")</f>
        <v xml:space="preserve">     Donations                                         </v>
      </c>
      <c r="C56" s="7"/>
      <c r="D56" s="1">
        <f>SUM(OSRRefD21_6x_0)</f>
        <v>19306.02</v>
      </c>
      <c r="E56" s="19"/>
      <c r="F56" s="1">
        <f>SUM(OSRRefF21_6x_0)</f>
        <v>24213.18</v>
      </c>
      <c r="G56" s="4"/>
      <c r="H56" s="1">
        <f>SUM(OSRRefH21_6x_0)</f>
        <v>17077.52</v>
      </c>
      <c r="I56" s="4"/>
      <c r="J56" s="1">
        <f>SUM(OSRRefJ21_6x_0)</f>
        <v>20031.46</v>
      </c>
      <c r="K56" s="4"/>
      <c r="L56" s="1">
        <f>SUM(OSRRefL21_6x_0)</f>
        <v>23385.88</v>
      </c>
      <c r="M56" s="4"/>
      <c r="N56" s="1">
        <f>SUM(OSRRefN21_6x_0)</f>
        <v>21833.94</v>
      </c>
      <c r="O56" s="4"/>
      <c r="P56" s="1">
        <f>SUM(OSRRefP21_6x_0)</f>
        <v>26730</v>
      </c>
      <c r="Q56" s="4"/>
      <c r="R56" s="1">
        <f>SUM(OSRRefR21_6x_0)</f>
        <v>30000</v>
      </c>
    </row>
    <row r="57" spans="1:18" s="16" customFormat="1" hidden="1" outlineLevel="2" x14ac:dyDescent="0.35">
      <c r="B57" s="11" t="str">
        <f>CONCATENATE("          ", "6399", " - ", "DONATION-ON CAMPUS")</f>
        <v xml:space="preserve">          6399 - DONATION-ON CAMPUS</v>
      </c>
      <c r="D57" s="2">
        <v>19306.02</v>
      </c>
      <c r="F57" s="2">
        <v>24213.18</v>
      </c>
      <c r="G57" s="3"/>
      <c r="H57" s="2">
        <v>17077.52</v>
      </c>
      <c r="I57" s="3"/>
      <c r="J57" s="2">
        <v>20031.46</v>
      </c>
      <c r="K57" s="3"/>
      <c r="L57" s="2">
        <v>23385.88</v>
      </c>
      <c r="M57" s="3"/>
      <c r="N57" s="2">
        <v>21833.94</v>
      </c>
      <c r="O57" s="3"/>
      <c r="P57" s="2">
        <v>26730</v>
      </c>
      <c r="Q57" s="3"/>
      <c r="R57" s="2">
        <v>30000</v>
      </c>
    </row>
    <row r="58" spans="1:18" s="15" customFormat="1" outlineLevel="1" collapsed="1" x14ac:dyDescent="0.35">
      <c r="A58" s="7"/>
      <c r="B58" s="20" t="str">
        <f>CONCATENATE("     ","Employees' Appreciation                           ")</f>
        <v xml:space="preserve">     Employees' Appreciation                           </v>
      </c>
      <c r="C58" s="7"/>
      <c r="D58" s="1">
        <f>SUM(OSRRefD21_7x_0)</f>
        <v>40</v>
      </c>
      <c r="E58" s="19"/>
      <c r="F58" s="1">
        <f>SUM(OSRRefF21_7x_0)</f>
        <v>0</v>
      </c>
      <c r="G58" s="4"/>
      <c r="H58" s="1">
        <f>SUM(OSRRefH21_7x_0)</f>
        <v>368.74</v>
      </c>
      <c r="I58" s="4"/>
      <c r="J58" s="1">
        <f>SUM(OSRRefJ21_7x_0)</f>
        <v>774.14</v>
      </c>
      <c r="K58" s="4"/>
      <c r="L58" s="1">
        <f>SUM(OSRRefL21_7x_0)</f>
        <v>636.29</v>
      </c>
      <c r="M58" s="4"/>
      <c r="N58" s="1">
        <f>SUM(OSRRefN21_7x_0)</f>
        <v>21.34</v>
      </c>
      <c r="O58" s="4"/>
      <c r="P58" s="1">
        <f>SUM(OSRRefP21_7x_0)</f>
        <v>500</v>
      </c>
      <c r="Q58" s="4"/>
      <c r="R58" s="1">
        <f>SUM(OSRRefR21_7x_0)</f>
        <v>600</v>
      </c>
    </row>
    <row r="59" spans="1:18" s="16" customFormat="1" hidden="1" outlineLevel="2" x14ac:dyDescent="0.35">
      <c r="B59" s="11" t="str">
        <f>CONCATENATE("          ", "6277", " - ", "EMPLOYEE APPRECIATION")</f>
        <v xml:space="preserve">          6277 - EMPLOYEE APPRECIATION</v>
      </c>
      <c r="D59" s="2">
        <v>40</v>
      </c>
      <c r="F59" s="2"/>
      <c r="G59" s="3"/>
      <c r="H59" s="2">
        <v>368.74</v>
      </c>
      <c r="I59" s="3"/>
      <c r="J59" s="2">
        <v>774.14</v>
      </c>
      <c r="K59" s="3"/>
      <c r="L59" s="2">
        <v>636.29</v>
      </c>
      <c r="M59" s="3"/>
      <c r="N59" s="2">
        <v>21.34</v>
      </c>
      <c r="O59" s="3"/>
      <c r="P59" s="2">
        <v>500</v>
      </c>
      <c r="Q59" s="3"/>
      <c r="R59" s="2">
        <v>600</v>
      </c>
    </row>
    <row r="60" spans="1:18" s="15" customFormat="1" outlineLevel="1" collapsed="1" x14ac:dyDescent="0.35">
      <c r="A60" s="7"/>
      <c r="B60" s="20" t="str">
        <f>CONCATENATE("     ","Equipment Rental                                  ")</f>
        <v xml:space="preserve">     Equipment Rental                                  </v>
      </c>
      <c r="C60" s="7"/>
      <c r="D60" s="1">
        <f>SUM(OSRRefD21_8x_0)</f>
        <v>654</v>
      </c>
      <c r="E60" s="19"/>
      <c r="F60" s="1">
        <f>SUM(OSRRefF21_8x_0)</f>
        <v>0</v>
      </c>
      <c r="G60" s="4"/>
      <c r="H60" s="1">
        <f>SUM(OSRRefH21_8x_0)</f>
        <v>0</v>
      </c>
      <c r="I60" s="4"/>
      <c r="J60" s="1">
        <f>SUM(OSRRefJ21_8x_0)</f>
        <v>0</v>
      </c>
      <c r="K60" s="4"/>
      <c r="L60" s="1">
        <f>SUM(OSRRefL21_8x_0)</f>
        <v>566.29</v>
      </c>
      <c r="M60" s="4"/>
      <c r="N60" s="1">
        <f>SUM(OSRRefN21_8x_0)</f>
        <v>0.01</v>
      </c>
      <c r="O60" s="4"/>
      <c r="P60" s="1">
        <f>SUM(OSRRefP21_8x_0)</f>
        <v>0</v>
      </c>
      <c r="Q60" s="4"/>
      <c r="R60" s="1">
        <f>SUM(OSRRefR21_8x_0)</f>
        <v>0</v>
      </c>
    </row>
    <row r="61" spans="1:18" s="16" customFormat="1" hidden="1" outlineLevel="2" x14ac:dyDescent="0.35">
      <c r="B61" s="11" t="str">
        <f>CONCATENATE("          ", "6351", " - ", "EQUIPMENT RENTAL")</f>
        <v xml:space="preserve">          6351 - EQUIPMENT RENTAL</v>
      </c>
      <c r="D61" s="2">
        <v>654</v>
      </c>
      <c r="F61" s="2"/>
      <c r="G61" s="3"/>
      <c r="H61" s="2"/>
      <c r="I61" s="3"/>
      <c r="J61" s="2"/>
      <c r="K61" s="3"/>
      <c r="L61" s="2">
        <v>566.29</v>
      </c>
      <c r="M61" s="3"/>
      <c r="N61" s="2">
        <v>0.01</v>
      </c>
      <c r="O61" s="3"/>
      <c r="P61" s="2"/>
      <c r="Q61" s="3"/>
      <c r="R61" s="2"/>
    </row>
    <row r="62" spans="1:18" s="15" customFormat="1" outlineLevel="1" collapsed="1" x14ac:dyDescent="0.35">
      <c r="A62" s="7"/>
      <c r="B62" s="20" t="str">
        <f>CONCATENATE("     ","General                                           ")</f>
        <v xml:space="preserve">     General                                           </v>
      </c>
      <c r="C62" s="7"/>
      <c r="D62" s="1">
        <f>SUM(OSRRefD21_9x_0)</f>
        <v>1741.8</v>
      </c>
      <c r="E62" s="19"/>
      <c r="F62" s="1">
        <f>SUM(OSRRefF21_9x_0)</f>
        <v>3837.93</v>
      </c>
      <c r="G62" s="4"/>
      <c r="H62" s="1">
        <f>SUM(OSRRefH21_9x_0)</f>
        <v>1770.33</v>
      </c>
      <c r="I62" s="4"/>
      <c r="J62" s="1">
        <f>SUM(OSRRefJ21_9x_0)</f>
        <v>1714.72</v>
      </c>
      <c r="K62" s="4"/>
      <c r="L62" s="1">
        <f>SUM(OSRRefL21_9x_0)</f>
        <v>1968.51</v>
      </c>
      <c r="M62" s="4"/>
      <c r="N62" s="1">
        <f>SUM(OSRRefN21_9x_0)</f>
        <v>1950.43</v>
      </c>
      <c r="O62" s="4"/>
      <c r="P62" s="1">
        <f>SUM(OSRRefP21_9x_0)</f>
        <v>1710</v>
      </c>
      <c r="Q62" s="4"/>
      <c r="R62" s="1">
        <f>SUM(OSRRefR21_9x_0)</f>
        <v>2300</v>
      </c>
    </row>
    <row r="63" spans="1:18" s="16" customFormat="1" hidden="1" outlineLevel="2" x14ac:dyDescent="0.35">
      <c r="B63" s="11" t="str">
        <f>CONCATENATE("          ", "6279", " - ", "GENERAL EXPENSE")</f>
        <v xml:space="preserve">          6279 - GENERAL EXPENSE</v>
      </c>
      <c r="D63" s="2">
        <v>1741.8</v>
      </c>
      <c r="F63" s="2">
        <v>3837.93</v>
      </c>
      <c r="G63" s="3"/>
      <c r="H63" s="2">
        <v>1770.33</v>
      </c>
      <c r="I63" s="3"/>
      <c r="J63" s="2">
        <v>1714.72</v>
      </c>
      <c r="K63" s="3"/>
      <c r="L63" s="2">
        <v>1968.51</v>
      </c>
      <c r="M63" s="3"/>
      <c r="N63" s="2">
        <v>1950.43</v>
      </c>
      <c r="O63" s="3"/>
      <c r="P63" s="2">
        <v>1710</v>
      </c>
      <c r="Q63" s="3"/>
      <c r="R63" s="2">
        <v>2300</v>
      </c>
    </row>
    <row r="64" spans="1:18" s="15" customFormat="1" outlineLevel="1" collapsed="1" x14ac:dyDescent="0.35">
      <c r="A64" s="7"/>
      <c r="B64" s="20" t="str">
        <f>CONCATENATE("     ","Insurance                                         ")</f>
        <v xml:space="preserve">     Insurance                                         </v>
      </c>
      <c r="C64" s="7"/>
      <c r="D64" s="1">
        <f>SUM(OSRRefD21_10x_0)</f>
        <v>50.16</v>
      </c>
      <c r="E64" s="19"/>
      <c r="F64" s="1">
        <f>SUM(OSRRefF21_10x_0)</f>
        <v>55.44</v>
      </c>
      <c r="G64" s="4"/>
      <c r="H64" s="1">
        <f>SUM(OSRRefH21_10x_0)</f>
        <v>68.28</v>
      </c>
      <c r="I64" s="4"/>
      <c r="J64" s="1">
        <f>SUM(OSRRefJ21_10x_0)</f>
        <v>58.8</v>
      </c>
      <c r="K64" s="4"/>
      <c r="L64" s="1">
        <f>SUM(OSRRefL21_10x_0)</f>
        <v>59.16</v>
      </c>
      <c r="M64" s="4"/>
      <c r="N64" s="1">
        <f>SUM(OSRRefN21_10x_0)</f>
        <v>70.8</v>
      </c>
      <c r="O64" s="4"/>
      <c r="P64" s="1">
        <f>SUM(OSRRefP21_10x_0)</f>
        <v>84</v>
      </c>
      <c r="Q64" s="4"/>
      <c r="R64" s="1">
        <f>SUM(OSRRefR21_10x_0)</f>
        <v>120</v>
      </c>
    </row>
    <row r="65" spans="1:18" s="16" customFormat="1" hidden="1" outlineLevel="2" x14ac:dyDescent="0.35">
      <c r="B65" s="11" t="str">
        <f>CONCATENATE("          ", "6314", " - ", "LIABILITY INSURANCE")</f>
        <v xml:space="preserve">          6314 - LIABILITY INSURANCE</v>
      </c>
      <c r="D65" s="2">
        <v>50.16</v>
      </c>
      <c r="F65" s="2">
        <v>55.44</v>
      </c>
      <c r="G65" s="3"/>
      <c r="H65" s="2">
        <v>68.28</v>
      </c>
      <c r="I65" s="3"/>
      <c r="J65" s="2">
        <v>58.8</v>
      </c>
      <c r="K65" s="3"/>
      <c r="L65" s="2">
        <v>59.16</v>
      </c>
      <c r="M65" s="3"/>
      <c r="N65" s="2">
        <v>70.8</v>
      </c>
      <c r="O65" s="3"/>
      <c r="P65" s="2">
        <v>84</v>
      </c>
      <c r="Q65" s="3"/>
      <c r="R65" s="2">
        <v>120</v>
      </c>
    </row>
    <row r="66" spans="1:18" s="15" customFormat="1" outlineLevel="1" collapsed="1" x14ac:dyDescent="0.35">
      <c r="A66" s="7"/>
      <c r="B66" s="20" t="str">
        <f>CONCATENATE("     ","R/H Commissions                                   ")</f>
        <v xml:space="preserve">     R/H Commissions                                   </v>
      </c>
      <c r="C66" s="7"/>
      <c r="D66" s="1">
        <f>SUM(OSRRefD21_11x_0)</f>
        <v>172481.03</v>
      </c>
      <c r="E66" s="19"/>
      <c r="F66" s="1">
        <f>SUM(OSRRefF21_11x_0)</f>
        <v>188550.52</v>
      </c>
      <c r="G66" s="4"/>
      <c r="H66" s="1">
        <f>SUM(OSRRefH21_11x_0)</f>
        <v>164770.76</v>
      </c>
      <c r="I66" s="4"/>
      <c r="J66" s="1">
        <f>SUM(OSRRefJ21_11x_0)</f>
        <v>179481.05</v>
      </c>
      <c r="K66" s="4"/>
      <c r="L66" s="1">
        <f>SUM(OSRRefL21_11x_0)</f>
        <v>189050.59</v>
      </c>
      <c r="M66" s="4"/>
      <c r="N66" s="1">
        <f>SUM(OSRRefN21_11x_0)</f>
        <v>153541.5</v>
      </c>
      <c r="O66" s="4"/>
      <c r="P66" s="1">
        <f>SUM(OSRRefP21_11x_0)</f>
        <v>45277</v>
      </c>
      <c r="Q66" s="4"/>
      <c r="R66" s="1">
        <f>SUM(OSRRefR21_11x_0)</f>
        <v>76032</v>
      </c>
    </row>
    <row r="67" spans="1:18" s="16" customFormat="1" hidden="1" outlineLevel="2" x14ac:dyDescent="0.35">
      <c r="B67" s="11" t="str">
        <f>CONCATENATE("          ", "6387", " - ", "COMMISSION DUE HOUSING")</f>
        <v xml:space="preserve">          6387 - COMMISSION DUE HOUSING</v>
      </c>
      <c r="D67" s="2">
        <v>172481.03</v>
      </c>
      <c r="F67" s="2">
        <v>188550.52</v>
      </c>
      <c r="G67" s="3"/>
      <c r="H67" s="2">
        <v>164770.76</v>
      </c>
      <c r="I67" s="3"/>
      <c r="J67" s="2">
        <v>179481.05</v>
      </c>
      <c r="K67" s="3"/>
      <c r="L67" s="2">
        <v>189050.59</v>
      </c>
      <c r="M67" s="3"/>
      <c r="N67" s="2">
        <v>153541.5</v>
      </c>
      <c r="O67" s="3"/>
      <c r="P67" s="2">
        <v>45277</v>
      </c>
      <c r="Q67" s="3"/>
      <c r="R67" s="2">
        <v>76032</v>
      </c>
    </row>
    <row r="68" spans="1:18" s="15" customFormat="1" outlineLevel="1" collapsed="1" x14ac:dyDescent="0.35">
      <c r="A68" s="7"/>
      <c r="B68" s="20" t="str">
        <f>CONCATENATE("     ","Repair and Maintenance                            ")</f>
        <v xml:space="preserve">     Repair and Maintenance                            </v>
      </c>
      <c r="C68" s="7"/>
      <c r="D68" s="1">
        <f>SUM(OSRRefD21_12x_0)</f>
        <v>9001.76</v>
      </c>
      <c r="E68" s="19"/>
      <c r="F68" s="1">
        <f>SUM(OSRRefF21_12x_0)</f>
        <v>7575.9699999999993</v>
      </c>
      <c r="G68" s="4"/>
      <c r="H68" s="1">
        <f>SUM(OSRRefH21_12x_0)</f>
        <v>6048.1399999999994</v>
      </c>
      <c r="I68" s="4"/>
      <c r="J68" s="1">
        <f>SUM(OSRRefJ21_12x_0)</f>
        <v>8428.7900000000009</v>
      </c>
      <c r="K68" s="4"/>
      <c r="L68" s="1">
        <f>SUM(OSRRefL21_12x_0)</f>
        <v>3331.42</v>
      </c>
      <c r="M68" s="4"/>
      <c r="N68" s="1">
        <f>SUM(OSRRefN21_12x_0)</f>
        <v>284.49</v>
      </c>
      <c r="O68" s="4"/>
      <c r="P68" s="1">
        <f>SUM(OSRRefP21_12x_0)</f>
        <v>240</v>
      </c>
      <c r="Q68" s="4"/>
      <c r="R68" s="1">
        <f>SUM(OSRRefR21_12x_0)</f>
        <v>5700</v>
      </c>
    </row>
    <row r="69" spans="1:18" s="16" customFormat="1" hidden="1" outlineLevel="2" x14ac:dyDescent="0.35">
      <c r="B69" s="11" t="str">
        <f>CONCATENATE("          ", "6371", " - ", "COMPUTER SOFTWARE MAINTENANCE")</f>
        <v xml:space="preserve">          6371 - COMPUTER SOFTWARE MAINTENANCE</v>
      </c>
      <c r="D69" s="2">
        <v>8026</v>
      </c>
      <c r="F69" s="2">
        <v>5470</v>
      </c>
      <c r="G69" s="3"/>
      <c r="H69" s="2">
        <v>5470</v>
      </c>
      <c r="I69" s="3"/>
      <c r="J69" s="2">
        <v>8332.25</v>
      </c>
      <c r="K69" s="3"/>
      <c r="L69" s="2">
        <v>2971.97</v>
      </c>
      <c r="M69" s="3"/>
      <c r="N69" s="2"/>
      <c r="O69" s="3"/>
      <c r="P69" s="2"/>
      <c r="Q69" s="3"/>
      <c r="R69" s="2">
        <v>0</v>
      </c>
    </row>
    <row r="70" spans="1:18" s="16" customFormat="1" hidden="1" outlineLevel="2" x14ac:dyDescent="0.35">
      <c r="B70" s="11" t="str">
        <f>CONCATENATE("          ", "6373", " - ", "MAINTENANCE CONTRACTS")</f>
        <v xml:space="preserve">          6373 - MAINTENANCE CONTRACTS</v>
      </c>
      <c r="D70" s="2">
        <v>893.47</v>
      </c>
      <c r="F70" s="2">
        <v>1570.53</v>
      </c>
      <c r="G70" s="3"/>
      <c r="H70" s="2">
        <v>486.2</v>
      </c>
      <c r="I70" s="3"/>
      <c r="J70" s="2">
        <v>84.6</v>
      </c>
      <c r="K70" s="3"/>
      <c r="L70" s="2">
        <v>269.83999999999997</v>
      </c>
      <c r="M70" s="3"/>
      <c r="N70" s="2">
        <v>284.49</v>
      </c>
      <c r="O70" s="3"/>
      <c r="P70" s="2">
        <v>240</v>
      </c>
      <c r="Q70" s="3"/>
      <c r="R70" s="2">
        <v>4500</v>
      </c>
    </row>
    <row r="71" spans="1:18" s="16" customFormat="1" hidden="1" outlineLevel="2" x14ac:dyDescent="0.35">
      <c r="B71" s="11" t="str">
        <f>CONCATENATE("          ", "6375", " - ", "OUTSIDE REPAIRS &amp; MAINTENANCE")</f>
        <v xml:space="preserve">          6375 - OUTSIDE REPAIRS &amp; MAINTENANCE</v>
      </c>
      <c r="D71" s="2">
        <v>82.29</v>
      </c>
      <c r="F71" s="2">
        <v>535.44000000000005</v>
      </c>
      <c r="G71" s="3"/>
      <c r="H71" s="2">
        <v>91.94</v>
      </c>
      <c r="I71" s="3"/>
      <c r="J71" s="2">
        <v>11.94</v>
      </c>
      <c r="K71" s="3"/>
      <c r="L71" s="2">
        <v>89.61</v>
      </c>
      <c r="M71" s="3"/>
      <c r="N71" s="2">
        <v>0</v>
      </c>
      <c r="O71" s="3"/>
      <c r="P71" s="2"/>
      <c r="Q71" s="3"/>
      <c r="R71" s="2">
        <v>1200</v>
      </c>
    </row>
    <row r="72" spans="1:18" s="15" customFormat="1" outlineLevel="1" collapsed="1" x14ac:dyDescent="0.35">
      <c r="A72" s="7"/>
      <c r="B72" s="20" t="str">
        <f>CONCATENATE("     ","Services                                          ")</f>
        <v xml:space="preserve">     Services                                          </v>
      </c>
      <c r="C72" s="7"/>
      <c r="D72" s="1">
        <f>SUM(OSRRefD21_13x_0)</f>
        <v>52514.93</v>
      </c>
      <c r="E72" s="19"/>
      <c r="F72" s="1">
        <f>SUM(OSRRefF21_13x_0)</f>
        <v>52932.38</v>
      </c>
      <c r="G72" s="4"/>
      <c r="H72" s="1">
        <f>SUM(OSRRefH21_13x_0)</f>
        <v>60777.1</v>
      </c>
      <c r="I72" s="4"/>
      <c r="J72" s="1">
        <f>SUM(OSRRefJ21_13x_0)</f>
        <v>67273.84</v>
      </c>
      <c r="K72" s="4"/>
      <c r="L72" s="1">
        <f>SUM(OSRRefL21_13x_0)</f>
        <v>55723.150000000009</v>
      </c>
      <c r="M72" s="4"/>
      <c r="N72" s="1">
        <f>SUM(OSRRefN21_13x_0)</f>
        <v>58096.53</v>
      </c>
      <c r="O72" s="4"/>
      <c r="P72" s="1">
        <f>SUM(OSRRefP21_13x_0)</f>
        <v>76494</v>
      </c>
      <c r="Q72" s="4"/>
      <c r="R72" s="1">
        <f>SUM(OSRRefR21_13x_0)</f>
        <v>83576</v>
      </c>
    </row>
    <row r="73" spans="1:18" s="16" customFormat="1" hidden="1" outlineLevel="2" x14ac:dyDescent="0.35">
      <c r="B73" s="11" t="str">
        <f>CONCATENATE("          ", "6282", " - ", "JANITORIAL/EXTERMINATOR EXPENS")</f>
        <v xml:space="preserve">          6282 - JANITORIAL/EXTERMINATOR EXPENS</v>
      </c>
      <c r="D73" s="2">
        <v>6942.24</v>
      </c>
      <c r="F73" s="2">
        <v>7260.47</v>
      </c>
      <c r="G73" s="3"/>
      <c r="H73" s="2">
        <v>7289.4</v>
      </c>
      <c r="I73" s="3"/>
      <c r="J73" s="2">
        <v>7594.49</v>
      </c>
      <c r="K73" s="3"/>
      <c r="L73" s="2">
        <v>7516.04</v>
      </c>
      <c r="M73" s="3"/>
      <c r="N73" s="2">
        <v>8855.32</v>
      </c>
      <c r="O73" s="3"/>
      <c r="P73" s="2">
        <v>10200</v>
      </c>
      <c r="Q73" s="3"/>
      <c r="R73" s="2">
        <v>8040</v>
      </c>
    </row>
    <row r="74" spans="1:18" s="16" customFormat="1" hidden="1" outlineLevel="2" x14ac:dyDescent="0.35">
      <c r="B74" s="11" t="str">
        <f>CONCATENATE("          ", "6284", " - ", "TRASH REMOVAL EXPENSE")</f>
        <v xml:space="preserve">          6284 - TRASH REMOVAL EXPENSE</v>
      </c>
      <c r="D74" s="2"/>
      <c r="F74" s="2"/>
      <c r="G74" s="3"/>
      <c r="H74" s="2"/>
      <c r="I74" s="3"/>
      <c r="J74" s="2"/>
      <c r="K74" s="3"/>
      <c r="L74" s="2"/>
      <c r="M74" s="3"/>
      <c r="N74" s="2"/>
      <c r="O74" s="3"/>
      <c r="P74" s="2"/>
      <c r="Q74" s="3"/>
      <c r="R74" s="2">
        <v>600</v>
      </c>
    </row>
    <row r="75" spans="1:18" s="16" customFormat="1" hidden="1" outlineLevel="2" x14ac:dyDescent="0.35">
      <c r="B75" s="11" t="str">
        <f>CONCATENATE("          ", "6285", " - ", "JANITORIAL SERVICES")</f>
        <v xml:space="preserve">          6285 - JANITORIAL SERVICES</v>
      </c>
      <c r="D75" s="2">
        <v>30528.3</v>
      </c>
      <c r="F75" s="2">
        <v>27573.23</v>
      </c>
      <c r="G75" s="3"/>
      <c r="H75" s="2">
        <v>34077.599999999999</v>
      </c>
      <c r="I75" s="3"/>
      <c r="J75" s="2">
        <v>42266.92</v>
      </c>
      <c r="K75" s="3"/>
      <c r="L75" s="2">
        <v>34911.910000000003</v>
      </c>
      <c r="M75" s="3"/>
      <c r="N75" s="2">
        <v>35826.720000000001</v>
      </c>
      <c r="O75" s="3"/>
      <c r="P75" s="2">
        <v>48294</v>
      </c>
      <c r="Q75" s="3"/>
      <c r="R75" s="2">
        <v>57336</v>
      </c>
    </row>
    <row r="76" spans="1:18" s="16" customFormat="1" hidden="1" outlineLevel="2" x14ac:dyDescent="0.35">
      <c r="B76" s="11" t="str">
        <f>CONCATENATE("          ", "6286", " - ", "LAUNDRY EXPENSE")</f>
        <v xml:space="preserve">          6286 - LAUNDRY EXPENSE</v>
      </c>
      <c r="D76" s="2">
        <v>15044.39</v>
      </c>
      <c r="F76" s="2">
        <v>18098.68</v>
      </c>
      <c r="G76" s="3"/>
      <c r="H76" s="2">
        <v>19410.099999999999</v>
      </c>
      <c r="I76" s="3"/>
      <c r="J76" s="2">
        <v>17412.43</v>
      </c>
      <c r="K76" s="3"/>
      <c r="L76" s="2">
        <v>13295.2</v>
      </c>
      <c r="M76" s="3"/>
      <c r="N76" s="2">
        <v>13414.49</v>
      </c>
      <c r="O76" s="3"/>
      <c r="P76" s="2">
        <v>18000</v>
      </c>
      <c r="Q76" s="3"/>
      <c r="R76" s="2">
        <v>17600</v>
      </c>
    </row>
    <row r="77" spans="1:18" s="15" customFormat="1" outlineLevel="1" collapsed="1" x14ac:dyDescent="0.35">
      <c r="A77" s="7"/>
      <c r="B77" s="20" t="str">
        <f>CONCATENATE("     ","Subscriptions &amp; Dues                              ")</f>
        <v xml:space="preserve">     Subscriptions &amp; Dues                              </v>
      </c>
      <c r="C77" s="7"/>
      <c r="D77" s="1">
        <f>SUM(OSRRefD21_14x_0)</f>
        <v>0</v>
      </c>
      <c r="E77" s="19"/>
      <c r="F77" s="1">
        <f>SUM(OSRRefF21_14x_0)</f>
        <v>1801.1</v>
      </c>
      <c r="G77" s="4"/>
      <c r="H77" s="1">
        <f>SUM(OSRRefH21_14x_0)</f>
        <v>0</v>
      </c>
      <c r="I77" s="4"/>
      <c r="J77" s="1">
        <f>SUM(OSRRefJ21_14x_0)</f>
        <v>0</v>
      </c>
      <c r="K77" s="4"/>
      <c r="L77" s="1">
        <f>SUM(OSRRefL21_14x_0)</f>
        <v>0</v>
      </c>
      <c r="M77" s="4"/>
      <c r="N77" s="1">
        <f>SUM(OSRRefN21_14x_0)</f>
        <v>0</v>
      </c>
      <c r="O77" s="4"/>
      <c r="P77" s="1">
        <f>SUM(OSRRefP21_14x_0)</f>
        <v>0</v>
      </c>
      <c r="Q77" s="4"/>
      <c r="R77" s="1">
        <f>SUM(OSRRefR21_14x_0)</f>
        <v>0</v>
      </c>
    </row>
    <row r="78" spans="1:18" s="16" customFormat="1" hidden="1" outlineLevel="2" x14ac:dyDescent="0.35">
      <c r="B78" s="11" t="str">
        <f>CONCATENATE("          ", "6275", " - ", "SUBSCRIPTIONS")</f>
        <v xml:space="preserve">          6275 - SUBSCRIPTIONS</v>
      </c>
      <c r="D78" s="2"/>
      <c r="F78" s="2">
        <v>1801.1</v>
      </c>
      <c r="G78" s="3"/>
      <c r="H78" s="2"/>
      <c r="I78" s="3"/>
      <c r="J78" s="2"/>
      <c r="K78" s="3"/>
      <c r="L78" s="2"/>
      <c r="M78" s="3"/>
      <c r="N78" s="2"/>
      <c r="O78" s="3"/>
      <c r="P78" s="2"/>
      <c r="Q78" s="3"/>
      <c r="R78" s="2"/>
    </row>
    <row r="79" spans="1:18" s="15" customFormat="1" outlineLevel="1" collapsed="1" x14ac:dyDescent="0.35">
      <c r="A79" s="7"/>
      <c r="B79" s="20" t="str">
        <f>CONCATENATE("     ","Supplies                                          ")</f>
        <v xml:space="preserve">     Supplies                                          </v>
      </c>
      <c r="C79" s="7"/>
      <c r="D79" s="1">
        <f>SUM(OSRRefD21_15x_0)</f>
        <v>61387.359999999993</v>
      </c>
      <c r="E79" s="19"/>
      <c r="F79" s="1">
        <f>SUM(OSRRefF21_15x_0)</f>
        <v>58608.340000000004</v>
      </c>
      <c r="G79" s="4"/>
      <c r="H79" s="1">
        <f>SUM(OSRRefH21_15x_0)</f>
        <v>54184.27</v>
      </c>
      <c r="I79" s="4"/>
      <c r="J79" s="1">
        <f>SUM(OSRRefJ21_15x_0)</f>
        <v>65906.549999999988</v>
      </c>
      <c r="K79" s="4"/>
      <c r="L79" s="1">
        <f>SUM(OSRRefL21_15x_0)</f>
        <v>53966.8</v>
      </c>
      <c r="M79" s="4"/>
      <c r="N79" s="1">
        <f>SUM(OSRRefN21_15x_0)</f>
        <v>43096.97</v>
      </c>
      <c r="O79" s="4"/>
      <c r="P79" s="1">
        <f>SUM(OSRRefP21_15x_0)</f>
        <v>58560</v>
      </c>
      <c r="Q79" s="4"/>
      <c r="R79" s="1">
        <f>SUM(OSRRefR21_15x_0)</f>
        <v>59450</v>
      </c>
    </row>
    <row r="80" spans="1:18" s="16" customFormat="1" hidden="1" outlineLevel="2" x14ac:dyDescent="0.35">
      <c r="B80" s="11" t="str">
        <f>CONCATENATE("          ", "6234", " - ", "EXPENDABLE SUPPLIES &amp; EQUIPMEN")</f>
        <v xml:space="preserve">          6234 - EXPENDABLE SUPPLIES &amp; EQUIPMEN</v>
      </c>
      <c r="D80" s="2"/>
      <c r="F80" s="2"/>
      <c r="G80" s="3"/>
      <c r="H80" s="2">
        <v>427.01</v>
      </c>
      <c r="I80" s="3"/>
      <c r="J80" s="2">
        <v>411.82</v>
      </c>
      <c r="K80" s="3"/>
      <c r="L80" s="2">
        <v>30.98</v>
      </c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"6235", " - ", "COVID-19 EXPENSES")</f>
        <v xml:space="preserve">          6235 - COVID-19 EXPENSES</v>
      </c>
      <c r="D81" s="2"/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30000</v>
      </c>
      <c r="Q81" s="3"/>
      <c r="R81" s="2"/>
    </row>
    <row r="82" spans="1:18" s="16" customFormat="1" hidden="1" outlineLevel="2" x14ac:dyDescent="0.35">
      <c r="B82" s="11" t="str">
        <f>CONCATENATE("          ", "6237", " - ", "JANITORIAL SUPPLIES")</f>
        <v xml:space="preserve">          6237 - JANITORIAL SUPPLIES</v>
      </c>
      <c r="D82" s="2">
        <v>15258.77</v>
      </c>
      <c r="F82" s="2">
        <v>15659.72</v>
      </c>
      <c r="G82" s="3"/>
      <c r="H82" s="2">
        <v>23191.200000000001</v>
      </c>
      <c r="I82" s="3"/>
      <c r="J82" s="2">
        <v>26576.87</v>
      </c>
      <c r="K82" s="3"/>
      <c r="L82" s="2">
        <v>21230.639999999999</v>
      </c>
      <c r="M82" s="3"/>
      <c r="N82" s="2">
        <v>12287.44</v>
      </c>
      <c r="O82" s="3"/>
      <c r="P82" s="2">
        <v>21000</v>
      </c>
      <c r="Q82" s="3"/>
      <c r="R82" s="2">
        <v>25000</v>
      </c>
    </row>
    <row r="83" spans="1:18" s="16" customFormat="1" hidden="1" outlineLevel="2" x14ac:dyDescent="0.35">
      <c r="B83" s="11" t="str">
        <f>CONCATENATE("          ", "6239", " - ", "KITCHEN SUPPLIES")</f>
        <v xml:space="preserve">          6239 - KITCHEN SUPPLIES</v>
      </c>
      <c r="D83" s="2">
        <v>1771.32</v>
      </c>
      <c r="F83" s="2">
        <v>7162.97</v>
      </c>
      <c r="G83" s="3"/>
      <c r="H83" s="2">
        <v>3338.7</v>
      </c>
      <c r="I83" s="3"/>
      <c r="J83" s="2">
        <v>11302.62</v>
      </c>
      <c r="K83" s="3"/>
      <c r="L83" s="2">
        <v>5369.1</v>
      </c>
      <c r="M83" s="3"/>
      <c r="N83" s="2">
        <v>4550.0600000000004</v>
      </c>
      <c r="O83" s="3"/>
      <c r="P83" s="2">
        <v>3000</v>
      </c>
      <c r="Q83" s="3"/>
      <c r="R83" s="2">
        <v>9100</v>
      </c>
    </row>
    <row r="84" spans="1:18" s="16" customFormat="1" hidden="1" outlineLevel="2" x14ac:dyDescent="0.35">
      <c r="B84" s="11" t="str">
        <f>CONCATENATE("          ", "6241", " - ", "OFFICE EXPENSE")</f>
        <v xml:space="preserve">          6241 - OFFICE EXPENSE</v>
      </c>
      <c r="D84" s="2">
        <v>1214.8900000000001</v>
      </c>
      <c r="F84" s="2">
        <v>3160.57</v>
      </c>
      <c r="G84" s="3"/>
      <c r="H84" s="2">
        <v>-632.61</v>
      </c>
      <c r="I84" s="3"/>
      <c r="J84" s="2">
        <v>7020.84</v>
      </c>
      <c r="K84" s="3"/>
      <c r="L84" s="2">
        <v>6227.63</v>
      </c>
      <c r="M84" s="3"/>
      <c r="N84" s="2">
        <v>18733.82</v>
      </c>
      <c r="O84" s="3"/>
      <c r="P84" s="2">
        <v>2500</v>
      </c>
      <c r="Q84" s="3"/>
      <c r="R84" s="2">
        <v>1500</v>
      </c>
    </row>
    <row r="85" spans="1:18" s="16" customFormat="1" hidden="1" outlineLevel="2" x14ac:dyDescent="0.35">
      <c r="B85" s="11" t="str">
        <f>CONCATENATE("          ", "6243", " - ", "PAPER SUPPLIES")</f>
        <v xml:space="preserve">          6243 - PAPER SUPPLIES</v>
      </c>
      <c r="D85" s="2">
        <v>38117.279999999999</v>
      </c>
      <c r="F85" s="2">
        <v>28374.59</v>
      </c>
      <c r="G85" s="3"/>
      <c r="H85" s="2">
        <v>24706.77</v>
      </c>
      <c r="I85" s="3"/>
      <c r="J85" s="2">
        <v>15838.24</v>
      </c>
      <c r="K85" s="3"/>
      <c r="L85" s="2">
        <v>17208.48</v>
      </c>
      <c r="M85" s="3"/>
      <c r="N85" s="2">
        <v>14386.16</v>
      </c>
      <c r="O85" s="3"/>
      <c r="P85" s="2"/>
      <c r="Q85" s="3"/>
      <c r="R85" s="2">
        <v>20000</v>
      </c>
    </row>
    <row r="86" spans="1:18" s="16" customFormat="1" hidden="1" outlineLevel="2" x14ac:dyDescent="0.35">
      <c r="B86" s="11" t="str">
        <f>CONCATENATE("          ", "6244", " - ", "SAFETY SUPPLY EXPENSE")</f>
        <v xml:space="preserve">          6244 - SAFETY SUPPLY EXPENSE</v>
      </c>
      <c r="D86" s="2"/>
      <c r="F86" s="2"/>
      <c r="G86" s="3"/>
      <c r="H86" s="2"/>
      <c r="I86" s="3"/>
      <c r="J86" s="2"/>
      <c r="K86" s="3"/>
      <c r="L86" s="2"/>
      <c r="M86" s="3"/>
      <c r="N86" s="2"/>
      <c r="O86" s="3"/>
      <c r="P86" s="2">
        <v>60</v>
      </c>
      <c r="Q86" s="3"/>
      <c r="R86" s="2">
        <v>1500</v>
      </c>
    </row>
    <row r="87" spans="1:18" s="16" customFormat="1" hidden="1" outlineLevel="2" x14ac:dyDescent="0.35">
      <c r="B87" s="11" t="str">
        <f>CONCATENATE("          ", "6245", " - ", "PRINTING")</f>
        <v xml:space="preserve">          6245 - PRINTING</v>
      </c>
      <c r="D87" s="2"/>
      <c r="F87" s="2">
        <v>224.48</v>
      </c>
      <c r="G87" s="3"/>
      <c r="H87" s="2"/>
      <c r="I87" s="3"/>
      <c r="J87" s="2">
        <v>118.41</v>
      </c>
      <c r="K87" s="3"/>
      <c r="L87" s="2"/>
      <c r="M87" s="3"/>
      <c r="N87" s="2">
        <v>469.44</v>
      </c>
      <c r="O87" s="3"/>
      <c r="P87" s="2">
        <v>500</v>
      </c>
      <c r="Q87" s="3"/>
      <c r="R87" s="2"/>
    </row>
    <row r="88" spans="1:18" s="16" customFormat="1" hidden="1" outlineLevel="2" x14ac:dyDescent="0.35">
      <c r="B88" s="11" t="str">
        <f>CONCATENATE("          ", "6247", " - ", "STORE SUPPLIES")</f>
        <v xml:space="preserve">          6247 - STORE SUPPLIES</v>
      </c>
      <c r="D88" s="2">
        <v>783.86</v>
      </c>
      <c r="F88" s="2">
        <v>920.78</v>
      </c>
      <c r="G88" s="3"/>
      <c r="H88" s="2">
        <v>55.64</v>
      </c>
      <c r="I88" s="3"/>
      <c r="J88" s="2">
        <v>356.1</v>
      </c>
      <c r="K88" s="3"/>
      <c r="L88" s="2"/>
      <c r="M88" s="3"/>
      <c r="N88" s="2"/>
      <c r="O88" s="3"/>
      <c r="P88" s="2"/>
      <c r="Q88" s="3"/>
      <c r="R88" s="2"/>
    </row>
    <row r="89" spans="1:18" s="16" customFormat="1" hidden="1" outlineLevel="2" x14ac:dyDescent="0.35">
      <c r="B89" s="11" t="str">
        <f>CONCATENATE("          ", "6248", " - ", "UNIFORMS")</f>
        <v xml:space="preserve">          6248 - UNIFORMS</v>
      </c>
      <c r="D89" s="2">
        <v>4241.24</v>
      </c>
      <c r="F89" s="2">
        <v>3105.23</v>
      </c>
      <c r="G89" s="3"/>
      <c r="H89" s="2">
        <v>3097.56</v>
      </c>
      <c r="I89" s="3"/>
      <c r="J89" s="2">
        <v>4281.6499999999996</v>
      </c>
      <c r="K89" s="3"/>
      <c r="L89" s="2">
        <v>3899.97</v>
      </c>
      <c r="M89" s="3"/>
      <c r="N89" s="2">
        <v>-7329.95</v>
      </c>
      <c r="O89" s="3"/>
      <c r="P89" s="2">
        <v>1500</v>
      </c>
      <c r="Q89" s="3"/>
      <c r="R89" s="2">
        <v>2350</v>
      </c>
    </row>
    <row r="90" spans="1:18" s="15" customFormat="1" outlineLevel="1" collapsed="1" x14ac:dyDescent="0.35">
      <c r="A90" s="7"/>
      <c r="B90" s="20" t="str">
        <f>CONCATENATE("     ","Telephone/Data Lines                              ")</f>
        <v xml:space="preserve">     Telephone/Data Lines                              </v>
      </c>
      <c r="C90" s="7"/>
      <c r="D90" s="1">
        <f>SUM(OSRRefD21_16x_0)</f>
        <v>941.4</v>
      </c>
      <c r="E90" s="19"/>
      <c r="F90" s="1">
        <f>SUM(OSRRefF21_16x_0)</f>
        <v>1413.19</v>
      </c>
      <c r="G90" s="4"/>
      <c r="H90" s="1">
        <f>SUM(OSRRefH21_16x_0)</f>
        <v>1432.8</v>
      </c>
      <c r="I90" s="4"/>
      <c r="J90" s="1">
        <f>SUM(OSRRefJ21_16x_0)</f>
        <v>1933.65</v>
      </c>
      <c r="K90" s="4"/>
      <c r="L90" s="1">
        <f>SUM(OSRRefL21_16x_0)</f>
        <v>2324.9499999999998</v>
      </c>
      <c r="M90" s="4"/>
      <c r="N90" s="1">
        <f>SUM(OSRRefN21_16x_0)</f>
        <v>1426.3</v>
      </c>
      <c r="O90" s="4"/>
      <c r="P90" s="1">
        <f>SUM(OSRRefP21_16x_0)</f>
        <v>1680</v>
      </c>
      <c r="Q90" s="4"/>
      <c r="R90" s="1">
        <f>SUM(OSRRefR21_16x_0)</f>
        <v>1500</v>
      </c>
    </row>
    <row r="91" spans="1:18" s="16" customFormat="1" hidden="1" outlineLevel="2" x14ac:dyDescent="0.35">
      <c r="B91" s="11" t="str">
        <f>CONCATENATE("          ", "6303", " - ", "DATA PHONE LINES")</f>
        <v xml:space="preserve">          6303 - DATA PHONE LINES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1680</v>
      </c>
      <c r="Q91" s="3"/>
      <c r="R91" s="2"/>
    </row>
    <row r="92" spans="1:18" s="16" customFormat="1" hidden="1" outlineLevel="2" x14ac:dyDescent="0.35">
      <c r="B92" s="11" t="str">
        <f>CONCATENATE("          ", "6309", " - ", "TELEPHONE")</f>
        <v xml:space="preserve">          6309 - TELEPHONE</v>
      </c>
      <c r="D92" s="2">
        <v>941.4</v>
      </c>
      <c r="F92" s="2">
        <v>1413.19</v>
      </c>
      <c r="G92" s="3"/>
      <c r="H92" s="2">
        <v>1432.8</v>
      </c>
      <c r="I92" s="3"/>
      <c r="J92" s="2">
        <v>1933.65</v>
      </c>
      <c r="K92" s="3"/>
      <c r="L92" s="2">
        <v>2324.9499999999998</v>
      </c>
      <c r="M92" s="3"/>
      <c r="N92" s="2">
        <v>1426.3</v>
      </c>
      <c r="O92" s="3"/>
      <c r="P92" s="2"/>
      <c r="Q92" s="3"/>
      <c r="R92" s="2">
        <v>1500</v>
      </c>
    </row>
    <row r="93" spans="1:18" s="15" customFormat="1" outlineLevel="1" collapsed="1" x14ac:dyDescent="0.35">
      <c r="A93" s="7"/>
      <c r="B93" s="20" t="str">
        <f>CONCATENATE("     ","Training                                          ")</f>
        <v xml:space="preserve">     Training                                          </v>
      </c>
      <c r="C93" s="7"/>
      <c r="D93" s="1">
        <f>SUM(OSRRefD21_17x_0)</f>
        <v>1810.89</v>
      </c>
      <c r="E93" s="19"/>
      <c r="F93" s="1">
        <f>SUM(OSRRefF21_17x_0)</f>
        <v>1178.95</v>
      </c>
      <c r="G93" s="4"/>
      <c r="H93" s="1">
        <f>SUM(OSRRefH21_17x_0)</f>
        <v>628.35</v>
      </c>
      <c r="I93" s="4"/>
      <c r="J93" s="1">
        <f>SUM(OSRRefJ21_17x_0)</f>
        <v>1644.26</v>
      </c>
      <c r="K93" s="4"/>
      <c r="L93" s="1">
        <f>SUM(OSRRefL21_17x_0)</f>
        <v>2262.36</v>
      </c>
      <c r="M93" s="4"/>
      <c r="N93" s="1">
        <f>SUM(OSRRefN21_17x_0)</f>
        <v>1657.1</v>
      </c>
      <c r="O93" s="4"/>
      <c r="P93" s="1">
        <f>SUM(OSRRefP21_17x_0)</f>
        <v>2400</v>
      </c>
      <c r="Q93" s="4"/>
      <c r="R93" s="1">
        <f>SUM(OSRRefR21_17x_0)</f>
        <v>2000</v>
      </c>
    </row>
    <row r="94" spans="1:18" s="16" customFormat="1" hidden="1" outlineLevel="2" x14ac:dyDescent="0.35">
      <c r="B94" s="11" t="str">
        <f>CONCATENATE("          ", "6376", " - ", "TRAINING")</f>
        <v xml:space="preserve">          6376 - TRAINING</v>
      </c>
      <c r="D94" s="2">
        <v>1810.89</v>
      </c>
      <c r="F94" s="2">
        <v>1178.95</v>
      </c>
      <c r="G94" s="3"/>
      <c r="H94" s="2">
        <v>628.35</v>
      </c>
      <c r="I94" s="3"/>
      <c r="J94" s="2">
        <v>1644.26</v>
      </c>
      <c r="K94" s="3"/>
      <c r="L94" s="2">
        <v>2262.36</v>
      </c>
      <c r="M94" s="3"/>
      <c r="N94" s="2">
        <v>1657.1</v>
      </c>
      <c r="O94" s="3"/>
      <c r="P94" s="2">
        <v>2400</v>
      </c>
      <c r="Q94" s="3"/>
      <c r="R94" s="2">
        <v>2000</v>
      </c>
    </row>
    <row r="95" spans="1:18" s="15" customFormat="1" outlineLevel="1" collapsed="1" x14ac:dyDescent="0.35">
      <c r="A95" s="7"/>
      <c r="B95" s="20" t="str">
        <f>CONCATENATE("     ","Travel                                            ")</f>
        <v xml:space="preserve">     Travel                                            </v>
      </c>
      <c r="C95" s="7"/>
      <c r="D95" s="1">
        <f>SUM(OSRRefD21_18x_0)</f>
        <v>371.01</v>
      </c>
      <c r="E95" s="19"/>
      <c r="F95" s="1">
        <f>SUM(OSRRefF21_18x_0)</f>
        <v>280.17</v>
      </c>
      <c r="G95" s="4"/>
      <c r="H95" s="1">
        <f>SUM(OSRRefH21_18x_0)</f>
        <v>564.20000000000005</v>
      </c>
      <c r="I95" s="4"/>
      <c r="J95" s="1">
        <f>SUM(OSRRefJ21_18x_0)</f>
        <v>1112.0900000000001</v>
      </c>
      <c r="K95" s="4"/>
      <c r="L95" s="1">
        <f>SUM(OSRRefL21_18x_0)</f>
        <v>250.88</v>
      </c>
      <c r="M95" s="4"/>
      <c r="N95" s="1">
        <f>SUM(OSRRefN21_18x_0)</f>
        <v>79.510000000000005</v>
      </c>
      <c r="O95" s="4"/>
      <c r="P95" s="1">
        <f>SUM(OSRRefP21_18x_0)</f>
        <v>0</v>
      </c>
      <c r="Q95" s="4"/>
      <c r="R95" s="1">
        <f>SUM(OSRRefR21_18x_0)</f>
        <v>0</v>
      </c>
    </row>
    <row r="96" spans="1:18" s="16" customFormat="1" hidden="1" outlineLevel="2" x14ac:dyDescent="0.35">
      <c r="B96" s="11" t="str">
        <f>CONCATENATE("          ", "6292", " - ", "TRAVEL/CONFERENCE")</f>
        <v xml:space="preserve">          6292 - TRAVEL/CONFERENCE</v>
      </c>
      <c r="D96" s="2">
        <v>67.819999999999993</v>
      </c>
      <c r="F96" s="2"/>
      <c r="G96" s="3"/>
      <c r="H96" s="2">
        <v>205</v>
      </c>
      <c r="I96" s="3"/>
      <c r="J96" s="2">
        <v>690.01</v>
      </c>
      <c r="K96" s="3"/>
      <c r="L96" s="2">
        <v>31</v>
      </c>
      <c r="M96" s="3"/>
      <c r="N96" s="2">
        <v>79.510000000000005</v>
      </c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"6294", " - ", "TRAVEL OPERATIONAL")</f>
        <v xml:space="preserve">          6294 - TRAVEL OPERATIONAL</v>
      </c>
      <c r="D97" s="2">
        <v>303.19</v>
      </c>
      <c r="F97" s="2">
        <v>280.17</v>
      </c>
      <c r="G97" s="3"/>
      <c r="H97" s="2">
        <v>192.46</v>
      </c>
      <c r="I97" s="3"/>
      <c r="J97" s="2">
        <v>157.22999999999999</v>
      </c>
      <c r="K97" s="3"/>
      <c r="L97" s="2">
        <v>219.88</v>
      </c>
      <c r="M97" s="3"/>
      <c r="N97" s="2"/>
      <c r="O97" s="3"/>
      <c r="P97" s="2"/>
      <c r="Q97" s="3"/>
      <c r="R97" s="2"/>
    </row>
    <row r="98" spans="1:18" s="16" customFormat="1" hidden="1" outlineLevel="2" x14ac:dyDescent="0.35">
      <c r="B98" s="11" t="str">
        <f>CONCATENATE("          ", "6298", " - ", "VEHICLE MILEAGE")</f>
        <v xml:space="preserve">          6298 - VEHICLE MILEAGE</v>
      </c>
      <c r="D98" s="2"/>
      <c r="F98" s="2"/>
      <c r="G98" s="3"/>
      <c r="H98" s="2">
        <v>166.74</v>
      </c>
      <c r="I98" s="3"/>
      <c r="J98" s="2">
        <v>264.85000000000002</v>
      </c>
      <c r="K98" s="3"/>
      <c r="L98" s="2"/>
      <c r="M98" s="3"/>
      <c r="N98" s="2"/>
      <c r="O98" s="3"/>
      <c r="P98" s="2"/>
      <c r="Q98" s="3"/>
      <c r="R98" s="2"/>
    </row>
    <row r="99" spans="1:18" x14ac:dyDescent="0.35">
      <c r="A99" s="12"/>
      <c r="B99" s="12"/>
      <c r="C99" s="12"/>
      <c r="D99" s="1"/>
      <c r="F99" s="1"/>
      <c r="H99" s="1"/>
      <c r="J99" s="1"/>
      <c r="L99" s="1"/>
      <c r="N99" s="1"/>
      <c r="P99" s="1"/>
      <c r="R99" s="1"/>
    </row>
    <row r="100" spans="1:18" s="7" customFormat="1" x14ac:dyDescent="0.35">
      <c r="A100" s="36"/>
      <c r="B100" s="34" t="s">
        <v>295</v>
      </c>
      <c r="D100" s="6">
        <f>SUM(0)</f>
        <v>0</v>
      </c>
      <c r="E100" s="12"/>
      <c r="F100" s="6">
        <f>SUM(0)</f>
        <v>0</v>
      </c>
      <c r="G100" s="5"/>
      <c r="H100" s="6">
        <f>SUM(0)</f>
        <v>0</v>
      </c>
      <c r="I100" s="5"/>
      <c r="J100" s="6">
        <f>SUM(0)</f>
        <v>0</v>
      </c>
      <c r="K100" s="5"/>
      <c r="L100" s="6">
        <f>SUM(0)</f>
        <v>0</v>
      </c>
      <c r="M100" s="5"/>
      <c r="N100" s="6">
        <f>SUM(0)</f>
        <v>0</v>
      </c>
      <c r="O100" s="5"/>
      <c r="P100" s="6">
        <f>SUM(0)</f>
        <v>0</v>
      </c>
      <c r="Q100" s="5"/>
      <c r="R100" s="6">
        <f>SUM(0)</f>
        <v>0</v>
      </c>
    </row>
    <row r="101" spans="1:18" x14ac:dyDescent="0.35">
      <c r="A101" s="12"/>
      <c r="B101" s="7"/>
      <c r="C101" s="7"/>
      <c r="D101" s="6"/>
      <c r="F101" s="6"/>
      <c r="H101" s="6"/>
      <c r="J101" s="6"/>
      <c r="L101" s="6"/>
      <c r="N101" s="6"/>
      <c r="P101" s="6"/>
      <c r="R101" s="6"/>
    </row>
    <row r="102" spans="1:18" s="15" customFormat="1" x14ac:dyDescent="0.35">
      <c r="A102" s="7"/>
      <c r="B102" s="22" t="s">
        <v>279</v>
      </c>
      <c r="C102" s="22"/>
      <c r="D102" s="10">
        <f>+D21-D24+D100</f>
        <v>604293.72999999986</v>
      </c>
      <c r="E102" s="12"/>
      <c r="F102" s="10">
        <f>+F21-F24+F100</f>
        <v>769950.44000000041</v>
      </c>
      <c r="G102" s="5"/>
      <c r="H102" s="10">
        <f>+H21-H24+H100</f>
        <v>499038.67000000016</v>
      </c>
      <c r="I102" s="5"/>
      <c r="J102" s="10">
        <f>+J21-J24+J100</f>
        <v>472337.54000000004</v>
      </c>
      <c r="K102" s="5"/>
      <c r="L102" s="10">
        <f>+L21-L24+L100</f>
        <v>609308.20000000019</v>
      </c>
      <c r="M102" s="5"/>
      <c r="N102" s="10">
        <f>+N21-N24+N100</f>
        <v>295219.23</v>
      </c>
      <c r="O102" s="5"/>
      <c r="P102" s="10">
        <f>+P21-P24+P100</f>
        <v>-670755.25549889007</v>
      </c>
      <c r="Q102" s="5"/>
      <c r="R102" s="10">
        <f>+R21-R24+R100</f>
        <v>-690507.21845999989</v>
      </c>
    </row>
    <row r="103" spans="1:18" s="27" customFormat="1" x14ac:dyDescent="0.35">
      <c r="A103" s="18"/>
      <c r="B103" s="31"/>
      <c r="C103" s="18"/>
      <c r="D103" s="9">
        <f>IFERROR(D102/D10, 0)</f>
        <v>0.27776833027766606</v>
      </c>
      <c r="E103" s="18"/>
      <c r="F103" s="9">
        <f>IFERROR(F102/F10, 0)</f>
        <v>0.32360194467698949</v>
      </c>
      <c r="G103" s="14"/>
      <c r="H103" s="9">
        <f>IFERROR(H102/H10, 0)</f>
        <v>0.24062205073987342</v>
      </c>
      <c r="I103" s="14"/>
      <c r="J103" s="9">
        <f>IFERROR(J102/J10, 0)</f>
        <v>0.20637731598344447</v>
      </c>
      <c r="K103" s="14"/>
      <c r="L103" s="9">
        <f>IFERROR(L102/L10, 0)</f>
        <v>0.2543418540186318</v>
      </c>
      <c r="M103" s="14"/>
      <c r="N103" s="9">
        <f>IFERROR(N102/N10, 0)</f>
        <v>0.15054534405259229</v>
      </c>
      <c r="O103" s="14"/>
      <c r="P103" s="9">
        <f>IFERROR(P102/P10, 0)</f>
        <v>-1.1851616197916288</v>
      </c>
      <c r="Q103" s="14"/>
      <c r="R103" s="9">
        <f>IFERROR(R102/R10, 0)</f>
        <v>-0.72654379046717155</v>
      </c>
    </row>
    <row r="104" spans="1:18" s="27" customFormat="1" x14ac:dyDescent="0.35">
      <c r="A104" s="18"/>
      <c r="B104" s="31"/>
      <c r="C104" s="18"/>
      <c r="D104" s="13"/>
      <c r="E104" s="18"/>
      <c r="F104" s="13"/>
      <c r="G104" s="14"/>
      <c r="H104" s="13"/>
      <c r="I104" s="14"/>
      <c r="J104" s="13"/>
      <c r="K104" s="14"/>
      <c r="L104" s="13"/>
      <c r="M104" s="14"/>
      <c r="N104" s="13"/>
      <c r="O104" s="14"/>
      <c r="P104" s="13"/>
      <c r="Q104" s="14"/>
      <c r="R104" s="13"/>
    </row>
    <row r="105" spans="1:18" s="15" customFormat="1" x14ac:dyDescent="0.35">
      <c r="A105" s="37"/>
      <c r="B105" s="7" t="s">
        <v>127</v>
      </c>
      <c r="C105" s="7"/>
      <c r="D105" s="6">
        <v>472759.41</v>
      </c>
      <c r="E105" s="12"/>
      <c r="F105" s="6">
        <v>338711.71</v>
      </c>
      <c r="G105" s="5"/>
      <c r="H105" s="6">
        <v>277299.36</v>
      </c>
      <c r="I105" s="5"/>
      <c r="J105" s="6">
        <v>307175.53000000003</v>
      </c>
      <c r="K105" s="5"/>
      <c r="L105" s="6">
        <v>170753.32</v>
      </c>
      <c r="M105" s="5"/>
      <c r="N105" s="6">
        <v>296939.59000000003</v>
      </c>
      <c r="O105" s="5"/>
      <c r="P105" s="6">
        <v>95634</v>
      </c>
      <c r="Q105" s="5"/>
      <c r="R105" s="6">
        <v>107771</v>
      </c>
    </row>
    <row r="106" spans="1:18" x14ac:dyDescent="0.35">
      <c r="A106" s="12"/>
      <c r="B106" s="7"/>
      <c r="C106" s="7"/>
      <c r="D106" s="6"/>
      <c r="F106" s="6"/>
      <c r="H106" s="6"/>
      <c r="J106" s="6"/>
      <c r="L106" s="6"/>
      <c r="N106" s="6"/>
      <c r="P106" s="6"/>
      <c r="R106" s="6"/>
    </row>
    <row r="107" spans="1:18" s="15" customFormat="1" x14ac:dyDescent="0.35">
      <c r="A107" s="7"/>
      <c r="B107" s="22" t="s">
        <v>126</v>
      </c>
      <c r="C107" s="22"/>
      <c r="D107" s="10">
        <f>+D102-D105</f>
        <v>131534.31999999989</v>
      </c>
      <c r="E107" s="12"/>
      <c r="F107" s="10">
        <f>+F102-F105</f>
        <v>431238.73000000039</v>
      </c>
      <c r="G107" s="5"/>
      <c r="H107" s="10">
        <f>+H102-H105</f>
        <v>221739.31000000017</v>
      </c>
      <c r="I107" s="5"/>
      <c r="J107" s="10">
        <f>+J102-J105</f>
        <v>165162.01</v>
      </c>
      <c r="K107" s="5"/>
      <c r="L107" s="10">
        <f>+L102-L105</f>
        <v>438554.88000000018</v>
      </c>
      <c r="M107" s="5"/>
      <c r="N107" s="10">
        <f>+N102-N105</f>
        <v>-1720.3600000000442</v>
      </c>
      <c r="O107" s="5"/>
      <c r="P107" s="10">
        <f>+P102-P105</f>
        <v>-766389.25549889007</v>
      </c>
      <c r="Q107" s="5"/>
      <c r="R107" s="10">
        <f>+R102-R105</f>
        <v>-798278.21845999989</v>
      </c>
    </row>
    <row r="108" spans="1:18" s="27" customFormat="1" x14ac:dyDescent="0.35">
      <c r="A108" s="18"/>
      <c r="B108" s="18"/>
      <c r="C108" s="18"/>
      <c r="D108" s="9">
        <f>IFERROR(D107/D10, 0)</f>
        <v>6.0460776981101881E-2</v>
      </c>
      <c r="E108" s="18"/>
      <c r="F108" s="9">
        <f>IFERROR(F107/F10, 0)</f>
        <v>0.18124503136596073</v>
      </c>
      <c r="G108" s="14"/>
      <c r="H108" s="9">
        <f>IFERROR(H107/H10, 0)</f>
        <v>0.10691629869453713</v>
      </c>
      <c r="I108" s="14"/>
      <c r="J108" s="9">
        <f>IFERROR(J107/J10, 0)</f>
        <v>7.2163843522221022E-2</v>
      </c>
      <c r="K108" s="14"/>
      <c r="L108" s="9">
        <f>IFERROR(L107/L10, 0)</f>
        <v>0.18306476306755529</v>
      </c>
      <c r="M108" s="14"/>
      <c r="N108" s="9">
        <f>IFERROR(N107/N10, 0)</f>
        <v>-8.7728766210224296E-4</v>
      </c>
      <c r="O108" s="14"/>
      <c r="P108" s="9">
        <f>IFERROR(P107/P10, 0)</f>
        <v>-1.3541379273463896</v>
      </c>
      <c r="Q108" s="14"/>
      <c r="R108" s="9">
        <f>IFERROR(R107/R10, 0)</f>
        <v>-0.83993920292508406</v>
      </c>
    </row>
    <row r="109" spans="1:18" s="27" customFormat="1" x14ac:dyDescent="0.35">
      <c r="A109" s="18"/>
      <c r="B109" s="18"/>
      <c r="C109" s="18"/>
      <c r="D109" s="13"/>
      <c r="E109" s="18"/>
      <c r="F109" s="13"/>
      <c r="G109" s="14"/>
      <c r="H109" s="13"/>
      <c r="I109" s="14"/>
      <c r="J109" s="13"/>
      <c r="K109" s="14"/>
      <c r="L109" s="13"/>
      <c r="M109" s="14"/>
      <c r="N109" s="13"/>
      <c r="O109" s="14"/>
      <c r="P109" s="13"/>
      <c r="Q109" s="14"/>
      <c r="R109" s="13"/>
    </row>
    <row r="110" spans="1:18" x14ac:dyDescent="0.35">
      <c r="A110" s="12"/>
      <c r="B110" s="12"/>
      <c r="C110" s="12"/>
      <c r="D110" s="6"/>
      <c r="F110" s="6"/>
      <c r="H110" s="6"/>
      <c r="J110" s="6"/>
      <c r="L110" s="6"/>
      <c r="N110" s="6"/>
      <c r="P110" s="6"/>
      <c r="R110" s="6"/>
    </row>
    <row r="111" spans="1:18" s="15" customFormat="1" x14ac:dyDescent="0.35">
      <c r="A111" s="7"/>
      <c r="B111" s="22" t="s">
        <v>296</v>
      </c>
      <c r="C111" s="22"/>
      <c r="D111" s="10">
        <f>SUM(D107:D110)</f>
        <v>131534.38046077688</v>
      </c>
      <c r="E111" s="12"/>
      <c r="F111" s="10">
        <f>SUM(F107:F110)</f>
        <v>431238.91124503175</v>
      </c>
      <c r="G111" s="5"/>
      <c r="H111" s="10">
        <f>SUM(H107:H110)</f>
        <v>221739.41691629885</v>
      </c>
      <c r="I111" s="5"/>
      <c r="J111" s="10">
        <f>SUM(J107:J110)</f>
        <v>165162.08216384353</v>
      </c>
      <c r="K111" s="5"/>
      <c r="L111" s="10">
        <f>SUM(L107:L110)</f>
        <v>438555.06306476326</v>
      </c>
      <c r="M111" s="5"/>
      <c r="N111" s="10">
        <f>SUM(N107:N110)</f>
        <v>-1720.3608772877064</v>
      </c>
      <c r="O111" s="5"/>
      <c r="P111" s="10">
        <f>SUM(P107:P110)</f>
        <v>-766390.60963681736</v>
      </c>
      <c r="Q111" s="5"/>
      <c r="R111" s="10">
        <f>SUM(R107:R110)</f>
        <v>-798279.05839920277</v>
      </c>
    </row>
    <row r="112" spans="1:18" s="27" customFormat="1" x14ac:dyDescent="0.35">
      <c r="A112" s="18"/>
      <c r="B112" s="41"/>
      <c r="C112" s="18"/>
      <c r="D112" s="9">
        <f>IFERROR(D111/D10, 0)</f>
        <v>6.0460804772370001E-2</v>
      </c>
      <c r="E112" s="18"/>
      <c r="F112" s="9">
        <f>IFERROR(F111/F10, 0)</f>
        <v>0.18124510754131121</v>
      </c>
      <c r="G112" s="14"/>
      <c r="H112" s="9">
        <f>IFERROR(H111/H10, 0)</f>
        <v>0.1069163502464921</v>
      </c>
      <c r="I112" s="14"/>
      <c r="J112" s="9">
        <f>IFERROR(J111/J10, 0)</f>
        <v>7.2163875052597234E-2</v>
      </c>
      <c r="K112" s="14"/>
      <c r="L112" s="9">
        <f>IFERROR(L111/L10, 0)</f>
        <v>0.18306483948377825</v>
      </c>
      <c r="M112" s="14"/>
      <c r="N112" s="9">
        <f>IFERROR(N111/N10, 0)</f>
        <v>-8.7728810947002771E-4</v>
      </c>
      <c r="O112" s="14"/>
      <c r="P112" s="9">
        <f>IFERROR(P111/P10, 0)</f>
        <v>-1.3541403199810895</v>
      </c>
      <c r="Q112" s="14"/>
      <c r="R112" s="9">
        <f>IFERROR(R111/R10, 0)</f>
        <v>-0.83994008669949782</v>
      </c>
    </row>
    <row r="113" spans="1:18" x14ac:dyDescent="0.35">
      <c r="A113" s="12"/>
      <c r="B113" s="40">
        <v>44319.883572604165</v>
      </c>
      <c r="D113" s="24"/>
      <c r="F113" s="24"/>
      <c r="H113" s="24"/>
      <c r="J113" s="24"/>
      <c r="L113" s="24"/>
      <c r="N113" s="24"/>
      <c r="P113" s="24"/>
      <c r="R113" s="24"/>
    </row>
    <row r="114" spans="1:18" x14ac:dyDescent="0.35">
      <c r="A114" s="12"/>
      <c r="B114" s="39" t="s">
        <v>23</v>
      </c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A115" s="12"/>
      <c r="D115" s="24"/>
      <c r="F115" s="24"/>
      <c r="H115" s="24"/>
      <c r="J115" s="24"/>
      <c r="L115" s="24"/>
      <c r="N115" s="24"/>
      <c r="P115" s="24"/>
      <c r="R115" s="24"/>
    </row>
    <row r="116" spans="1:18" x14ac:dyDescent="0.35">
      <c r="D116" s="24"/>
      <c r="F116" s="24"/>
      <c r="H116" s="24"/>
      <c r="J116" s="24"/>
      <c r="L116" s="24"/>
      <c r="N116" s="24"/>
      <c r="P116" s="24"/>
      <c r="R116" s="24"/>
    </row>
  </sheetData>
  <pageMargins left="0.5" right="0.5" top="0.5" bottom="0.5" header="0.3" footer="0.3"/>
  <pageSetup scale="59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5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","455", " - ", "Vending (old)")</f>
        <v>Department 455 - Vending (old)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76165.009999999995</v>
      </c>
      <c r="E17" s="19"/>
      <c r="F17" s="8">
        <f>SUM(OSRRefF21x_0)</f>
        <v>79161.66</v>
      </c>
      <c r="G17" s="4"/>
      <c r="H17" s="8">
        <f>SUM(OSRRefH21x_0)</f>
        <v>81182.36</v>
      </c>
      <c r="I17" s="4"/>
      <c r="J17" s="8">
        <f>SUM(OSRRefJ21x_0)</f>
        <v>84216.989999999991</v>
      </c>
      <c r="K17" s="4"/>
      <c r="L17" s="8">
        <f>SUM(OSRRefL21x_0)</f>
        <v>84180.680000000008</v>
      </c>
      <c r="M17" s="4"/>
      <c r="N17" s="8">
        <f>SUM(OSRRefN21x_0)</f>
        <v>67827.100000000006</v>
      </c>
      <c r="O17" s="4"/>
      <c r="P17" s="8">
        <f>SUM(OSRRefP21x_0)</f>
        <v>0</v>
      </c>
      <c r="Q17" s="4"/>
      <c r="R17" s="8">
        <f>SUM(OSRRefR21x_0)</f>
        <v>0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29594.240000000002</v>
      </c>
      <c r="E18" s="19"/>
      <c r="F18" s="1">
        <f>SUM(OSRRefF21_0x_0)</f>
        <v>30039.800000000003</v>
      </c>
      <c r="G18" s="4"/>
      <c r="H18" s="1">
        <f>SUM(OSRRefH21_0x_0)</f>
        <v>29649.66</v>
      </c>
      <c r="I18" s="4"/>
      <c r="J18" s="1">
        <f>SUM(OSRRefJ21_0x_0)</f>
        <v>31616.21</v>
      </c>
      <c r="K18" s="4"/>
      <c r="L18" s="1">
        <f>SUM(OSRRefL21_0x_0)</f>
        <v>32872.25</v>
      </c>
      <c r="M18" s="4"/>
      <c r="N18" s="1">
        <f>SUM(OSRRefN21_0x_0)</f>
        <v>30639.9</v>
      </c>
      <c r="O18" s="4"/>
      <c r="P18" s="1">
        <f>SUM(OSRRefP21_0x_0)</f>
        <v>0</v>
      </c>
      <c r="Q18" s="4"/>
      <c r="R18" s="1">
        <f>SUM(OSRRefR21_0x_0)</f>
        <v>0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4032.53</v>
      </c>
      <c r="F19" s="2">
        <v>4063.85</v>
      </c>
      <c r="G19" s="3"/>
      <c r="H19" s="2">
        <v>3955.01</v>
      </c>
      <c r="I19" s="3"/>
      <c r="J19" s="2">
        <v>4502.32</v>
      </c>
      <c r="K19" s="3"/>
      <c r="L19" s="2">
        <v>4333.78</v>
      </c>
      <c r="M19" s="3"/>
      <c r="N19" s="2">
        <v>2908.48</v>
      </c>
      <c r="O19" s="3"/>
      <c r="P19" s="2"/>
      <c r="Q19" s="3"/>
      <c r="R19" s="2"/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1165.76</v>
      </c>
      <c r="F20" s="2">
        <v>2124.42</v>
      </c>
      <c r="G20" s="3"/>
      <c r="H20" s="2">
        <v>2324.84</v>
      </c>
      <c r="I20" s="3"/>
      <c r="J20" s="2">
        <v>1803.9</v>
      </c>
      <c r="K20" s="3"/>
      <c r="L20" s="2">
        <v>2162.9</v>
      </c>
      <c r="M20" s="3"/>
      <c r="N20" s="2">
        <v>159.32</v>
      </c>
      <c r="O20" s="3"/>
      <c r="P20" s="2"/>
      <c r="Q20" s="3"/>
      <c r="R20" s="2"/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8970.6200000000008</v>
      </c>
      <c r="F21" s="2">
        <v>9351</v>
      </c>
      <c r="G21" s="3"/>
      <c r="H21" s="2">
        <v>10287</v>
      </c>
      <c r="I21" s="3"/>
      <c r="J21" s="2">
        <v>10954.1</v>
      </c>
      <c r="K21" s="3"/>
      <c r="L21" s="2">
        <v>10652.81</v>
      </c>
      <c r="M21" s="3"/>
      <c r="N21" s="2">
        <v>8394</v>
      </c>
      <c r="O21" s="3"/>
      <c r="P21" s="2"/>
      <c r="Q21" s="3"/>
      <c r="R21" s="2"/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330</v>
      </c>
      <c r="F22" s="2">
        <v>370.44</v>
      </c>
      <c r="G22" s="3"/>
      <c r="H22" s="2">
        <v>182.36</v>
      </c>
      <c r="I22" s="3"/>
      <c r="J22" s="2">
        <v>189.41</v>
      </c>
      <c r="K22" s="3"/>
      <c r="L22" s="2">
        <v>178.23</v>
      </c>
      <c r="M22" s="3"/>
      <c r="N22" s="2">
        <v>0</v>
      </c>
      <c r="O22" s="3"/>
      <c r="P22" s="2"/>
      <c r="Q22" s="3"/>
      <c r="R22" s="2"/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6720.53</v>
      </c>
      <c r="F23" s="2">
        <v>4387.46</v>
      </c>
      <c r="G23" s="3"/>
      <c r="H23" s="2">
        <v>5611.51</v>
      </c>
      <c r="I23" s="3"/>
      <c r="J23" s="2">
        <v>5633.94</v>
      </c>
      <c r="K23" s="3"/>
      <c r="L23" s="2">
        <v>5822.79</v>
      </c>
      <c r="M23" s="3"/>
      <c r="N23" s="2">
        <v>5280.61</v>
      </c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"6118", " - ", "VACATION")</f>
        <v xml:space="preserve">          6118 - VACATION</v>
      </c>
      <c r="D24" s="2">
        <v>4957.67</v>
      </c>
      <c r="F24" s="2">
        <v>5279.47</v>
      </c>
      <c r="G24" s="3"/>
      <c r="H24" s="2">
        <v>4754.32</v>
      </c>
      <c r="I24" s="3"/>
      <c r="J24" s="2">
        <v>5004.79</v>
      </c>
      <c r="K24" s="3"/>
      <c r="L24" s="2">
        <v>5688.57</v>
      </c>
      <c r="M24" s="3"/>
      <c r="N24" s="2">
        <v>5313.38</v>
      </c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"6119", " - ", "SICK LEAVE")</f>
        <v xml:space="preserve">          6119 - SICK LEAVE</v>
      </c>
      <c r="D25" s="2">
        <v>3417.13</v>
      </c>
      <c r="F25" s="2">
        <v>4463.16</v>
      </c>
      <c r="G25" s="3"/>
      <c r="H25" s="2">
        <v>2534.61</v>
      </c>
      <c r="I25" s="3"/>
      <c r="J25" s="2">
        <v>3527.75</v>
      </c>
      <c r="K25" s="3"/>
      <c r="L25" s="2">
        <v>4033.17</v>
      </c>
      <c r="M25" s="3"/>
      <c r="N25" s="2">
        <v>8584.11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"6156", " - ", "EMPLOYEE MEALS")</f>
        <v xml:space="preserve">          6156 - EMPLOYEE MEALS</v>
      </c>
      <c r="D26" s="2"/>
      <c r="F26" s="2"/>
      <c r="G26" s="3"/>
      <c r="H26" s="2">
        <v>0.01</v>
      </c>
      <c r="I26" s="3"/>
      <c r="J26" s="2"/>
      <c r="K26" s="3"/>
      <c r="L26" s="2"/>
      <c r="M26" s="3"/>
      <c r="N26" s="2"/>
      <c r="O26" s="3"/>
      <c r="P26" s="2"/>
      <c r="Q26" s="3"/>
      <c r="R26" s="2"/>
    </row>
    <row r="27" spans="1:18" s="15" customFormat="1" outlineLevel="1" collapsed="1" x14ac:dyDescent="0.35">
      <c r="A27" s="7"/>
      <c r="B27" s="20" t="str">
        <f>CONCATENATE("     ","*Payroll                                          ")</f>
        <v xml:space="preserve">     *Payroll                                          </v>
      </c>
      <c r="C27" s="7"/>
      <c r="D27" s="1">
        <f>SUM(OSRRefD21_1x_0)</f>
        <v>46570.77</v>
      </c>
      <c r="E27" s="19"/>
      <c r="F27" s="1">
        <f>SUM(OSRRefF21_1x_0)</f>
        <v>49121.86</v>
      </c>
      <c r="G27" s="4"/>
      <c r="H27" s="1">
        <f>SUM(OSRRefH21_1x_0)</f>
        <v>49032.7</v>
      </c>
      <c r="I27" s="4"/>
      <c r="J27" s="1">
        <f>SUM(OSRRefJ21_1x_0)</f>
        <v>52600.78</v>
      </c>
      <c r="K27" s="4"/>
      <c r="L27" s="1">
        <f>SUM(OSRRefL21_1x_0)</f>
        <v>51291.93</v>
      </c>
      <c r="M27" s="4"/>
      <c r="N27" s="1">
        <f>SUM(OSRRefN21_1x_0)</f>
        <v>37187.199999999997</v>
      </c>
      <c r="O27" s="4"/>
      <c r="P27" s="1">
        <f>SUM(OSRRefP21_1x_0)</f>
        <v>0</v>
      </c>
      <c r="Q27" s="4"/>
      <c r="R27" s="1">
        <f>SUM(OSRRefR21_1x_0)</f>
        <v>0</v>
      </c>
    </row>
    <row r="28" spans="1:18" s="16" customFormat="1" hidden="1" outlineLevel="2" x14ac:dyDescent="0.35">
      <c r="B28" s="11" t="str">
        <f>CONCATENATE("          ", "6001", " - ", "ADMINISTRATIVE SALARIES")</f>
        <v xml:space="preserve">          6001 - ADMINISTRATIVE SALARIES</v>
      </c>
      <c r="D28" s="2">
        <v>46570.77</v>
      </c>
      <c r="F28" s="2">
        <v>49327.06</v>
      </c>
      <c r="G28" s="3"/>
      <c r="H28" s="2">
        <v>49032.7</v>
      </c>
      <c r="I28" s="3"/>
      <c r="J28" s="2">
        <v>52600.78</v>
      </c>
      <c r="K28" s="3"/>
      <c r="L28" s="2">
        <v>51513.97</v>
      </c>
      <c r="M28" s="3"/>
      <c r="N28" s="2">
        <v>37187.199999999997</v>
      </c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"6002", " - ", "STAFF SALARIES")</f>
        <v xml:space="preserve">          6002 - STAFF SALARIES</v>
      </c>
      <c r="D29" s="2"/>
      <c r="F29" s="2">
        <v>-205.2</v>
      </c>
      <c r="G29" s="3"/>
      <c r="H29" s="2"/>
      <c r="I29" s="3"/>
      <c r="J29" s="2"/>
      <c r="K29" s="3"/>
      <c r="L29" s="2">
        <v>-222.04</v>
      </c>
      <c r="M29" s="3"/>
      <c r="N29" s="2">
        <v>0</v>
      </c>
      <c r="O29" s="3"/>
      <c r="P29" s="2"/>
      <c r="Q29" s="3"/>
      <c r="R29" s="2"/>
    </row>
    <row r="30" spans="1:18" s="15" customFormat="1" outlineLevel="1" collapsed="1" x14ac:dyDescent="0.35">
      <c r="A30" s="7"/>
      <c r="B30" s="20" t="str">
        <f>CONCATENATE("     ","General                                           ")</f>
        <v xml:space="preserve">     General                                           </v>
      </c>
      <c r="C30" s="7"/>
      <c r="D30" s="1">
        <f>SUM(OSRRefD21_2x_0)</f>
        <v>0</v>
      </c>
      <c r="E30" s="19"/>
      <c r="F30" s="1">
        <f>SUM(OSRRefF21_2x_0)</f>
        <v>0</v>
      </c>
      <c r="G30" s="4"/>
      <c r="H30" s="1">
        <f>SUM(OSRRefH21_2x_0)</f>
        <v>0</v>
      </c>
      <c r="I30" s="4"/>
      <c r="J30" s="1">
        <f>SUM(OSRRefJ21_2x_0)</f>
        <v>0</v>
      </c>
      <c r="K30" s="4"/>
      <c r="L30" s="1">
        <f>SUM(OSRRefL21_2x_0)</f>
        <v>16.5</v>
      </c>
      <c r="M30" s="4"/>
      <c r="N30" s="1">
        <f>SUM(OSRRefN21_2x_0)</f>
        <v>0</v>
      </c>
      <c r="O30" s="4"/>
      <c r="P30" s="1">
        <f>SUM(OSRRefP21_2x_0)</f>
        <v>0</v>
      </c>
      <c r="Q30" s="4"/>
      <c r="R30" s="1">
        <f>SUM(OSRRefR21_2x_0)</f>
        <v>0</v>
      </c>
    </row>
    <row r="31" spans="1:18" s="16" customFormat="1" hidden="1" outlineLevel="2" x14ac:dyDescent="0.35">
      <c r="B31" s="11" t="str">
        <f>CONCATENATE("          ", "6279", " - ", "GENERAL EXPENSE")</f>
        <v xml:space="preserve">          6279 - GENERAL EXPENSE</v>
      </c>
      <c r="D31" s="2"/>
      <c r="F31" s="2"/>
      <c r="G31" s="3"/>
      <c r="H31" s="2"/>
      <c r="I31" s="3"/>
      <c r="J31" s="2"/>
      <c r="K31" s="3"/>
      <c r="L31" s="2">
        <v>16.5</v>
      </c>
      <c r="M31" s="3"/>
      <c r="N31" s="2"/>
      <c r="O31" s="3"/>
      <c r="P31" s="2"/>
      <c r="Q31" s="3"/>
      <c r="R31" s="2"/>
    </row>
    <row r="32" spans="1:18" s="15" customFormat="1" outlineLevel="1" collapsed="1" x14ac:dyDescent="0.35">
      <c r="A32" s="7"/>
      <c r="B32" s="20" t="str">
        <f>CONCATENATE("     ","Rent                                              ")</f>
        <v xml:space="preserve">     Rent                                              </v>
      </c>
      <c r="C32" s="7"/>
      <c r="D32" s="1">
        <f>SUM(OSRRefD21_3x_0)</f>
        <v>0</v>
      </c>
      <c r="E32" s="19"/>
      <c r="F32" s="1">
        <f>SUM(OSRRefF21_3x_0)</f>
        <v>0</v>
      </c>
      <c r="G32" s="4"/>
      <c r="H32" s="1">
        <f>SUM(OSRRefH21_3x_0)</f>
        <v>2500</v>
      </c>
      <c r="I32" s="4"/>
      <c r="J32" s="1">
        <f>SUM(OSRRefJ21_3x_0)</f>
        <v>0</v>
      </c>
      <c r="K32" s="4"/>
      <c r="L32" s="1">
        <f>SUM(OSRRefL21_3x_0)</f>
        <v>0</v>
      </c>
      <c r="M32" s="4"/>
      <c r="N32" s="1">
        <f>SUM(OSRRefN21_3x_0)</f>
        <v>0</v>
      </c>
      <c r="O32" s="4"/>
      <c r="P32" s="1">
        <f>SUM(OSRRefP21_3x_0)</f>
        <v>0</v>
      </c>
      <c r="Q32" s="4"/>
      <c r="R32" s="1">
        <f>SUM(OSRRefR21_3x_0)</f>
        <v>0</v>
      </c>
    </row>
    <row r="33" spans="1:18" s="16" customFormat="1" hidden="1" outlineLevel="2" x14ac:dyDescent="0.35">
      <c r="B33" s="11" t="str">
        <f>CONCATENATE("          ", "6273", " - ", "RENT")</f>
        <v xml:space="preserve">          6273 - RENT</v>
      </c>
      <c r="D33" s="2"/>
      <c r="F33" s="2"/>
      <c r="G33" s="3"/>
      <c r="H33" s="2">
        <v>2500</v>
      </c>
      <c r="I33" s="3"/>
      <c r="J33" s="2"/>
      <c r="K33" s="3"/>
      <c r="L33" s="2"/>
      <c r="M33" s="3"/>
      <c r="N33" s="2"/>
      <c r="O33" s="3"/>
      <c r="P33" s="2"/>
      <c r="Q33" s="3"/>
      <c r="R33" s="2"/>
    </row>
    <row r="34" spans="1:18" x14ac:dyDescent="0.35">
      <c r="A34" s="12"/>
      <c r="B34" s="12"/>
      <c r="C34" s="12"/>
      <c r="D34" s="1"/>
      <c r="F34" s="1"/>
      <c r="H34" s="1"/>
      <c r="J34" s="1"/>
      <c r="L34" s="1"/>
      <c r="N34" s="1"/>
      <c r="P34" s="1"/>
      <c r="R34" s="1"/>
    </row>
    <row r="35" spans="1:18" s="7" customFormat="1" collapsed="1" x14ac:dyDescent="0.35">
      <c r="A35" s="36"/>
      <c r="B35" s="34" t="s">
        <v>295</v>
      </c>
      <c r="D35" s="6">
        <f>SUM(OSRRefD24x_0)</f>
        <v>383424.81999999995</v>
      </c>
      <c r="E35" s="12"/>
      <c r="F35" s="6">
        <f>SUM(OSRRefF24x_0)</f>
        <v>339182.53</v>
      </c>
      <c r="G35" s="5"/>
      <c r="H35" s="6">
        <f>SUM(OSRRefH24x_0)</f>
        <v>352626.97</v>
      </c>
      <c r="I35" s="5"/>
      <c r="J35" s="6">
        <f>SUM(OSRRefJ24x_0)</f>
        <v>334637.07</v>
      </c>
      <c r="K35" s="5"/>
      <c r="L35" s="6">
        <f>SUM(OSRRefL24x_0)</f>
        <v>339790.27999999997</v>
      </c>
      <c r="M35" s="5"/>
      <c r="N35" s="6">
        <f>SUM(OSRRefN24x_0)</f>
        <v>397474.1</v>
      </c>
      <c r="O35" s="5"/>
      <c r="P35" s="6">
        <f>SUM(OSRRefP24x_0)</f>
        <v>0</v>
      </c>
      <c r="Q35" s="5"/>
      <c r="R35" s="6">
        <f>SUM(OSRRefR24x_0)</f>
        <v>0</v>
      </c>
    </row>
    <row r="36" spans="1:18" s="7" customFormat="1" hidden="1" outlineLevel="1" x14ac:dyDescent="0.35">
      <c r="A36" s="36"/>
      <c r="B36" s="11" t="str">
        <f>CONCATENATE("          ", "9150", " - ", "MISC. INCOME")</f>
        <v xml:space="preserve">          9150 - MISC. INCOME</v>
      </c>
      <c r="D36" s="11">
        <f>0</f>
        <v>0</v>
      </c>
      <c r="E36" s="16"/>
      <c r="F36" s="11">
        <f>-5000</f>
        <v>-5000</v>
      </c>
      <c r="G36" s="3"/>
      <c r="H36" s="11">
        <f>0</f>
        <v>0</v>
      </c>
      <c r="I36" s="3"/>
      <c r="J36" s="11">
        <f>0</f>
        <v>0</v>
      </c>
      <c r="K36" s="3"/>
      <c r="L36" s="11">
        <f>0</f>
        <v>0</v>
      </c>
      <c r="M36" s="3"/>
      <c r="N36" s="11">
        <f>0</f>
        <v>0</v>
      </c>
      <c r="O36" s="3"/>
      <c r="P36" s="11"/>
      <c r="Q36" s="3"/>
      <c r="R36" s="11"/>
    </row>
    <row r="37" spans="1:18" s="7" customFormat="1" hidden="1" outlineLevel="1" x14ac:dyDescent="0.35">
      <c r="A37" s="36"/>
      <c r="B37" s="11" t="str">
        <f>CONCATENATE("          ", "9160", " - ", "MISC. INCOME")</f>
        <v xml:space="preserve">          9160 - MISC. INCOME</v>
      </c>
      <c r="D37" s="11">
        <f>--111786.72</f>
        <v>111786.72</v>
      </c>
      <c r="E37" s="16"/>
      <c r="F37" s="11">
        <f>--67634.07</f>
        <v>67634.070000000007</v>
      </c>
      <c r="G37" s="3"/>
      <c r="H37" s="11">
        <f>--89774.04</f>
        <v>89774.04</v>
      </c>
      <c r="I37" s="3"/>
      <c r="J37" s="11">
        <f>--84792.87</f>
        <v>84792.87</v>
      </c>
      <c r="K37" s="3"/>
      <c r="L37" s="11">
        <f>--89774.04</f>
        <v>89774.04</v>
      </c>
      <c r="M37" s="3"/>
      <c r="N37" s="11">
        <f>--153039.31</f>
        <v>153039.31</v>
      </c>
      <c r="O37" s="3"/>
      <c r="P37" s="11"/>
      <c r="Q37" s="3"/>
      <c r="R37" s="11"/>
    </row>
    <row r="38" spans="1:18" s="7" customFormat="1" hidden="1" outlineLevel="1" x14ac:dyDescent="0.35">
      <c r="A38" s="36"/>
      <c r="B38" s="11" t="str">
        <f>CONCATENATE("          ", "9165", " - ", "OTHER INCOME")</f>
        <v xml:space="preserve">          9165 - OTHER INCOME</v>
      </c>
      <c r="D38" s="11">
        <f>--271638.1</f>
        <v>271638.09999999998</v>
      </c>
      <c r="E38" s="16"/>
      <c r="F38" s="11">
        <f>--276548.46</f>
        <v>276548.46000000002</v>
      </c>
      <c r="G38" s="3"/>
      <c r="H38" s="11">
        <f>--262852.93</f>
        <v>262852.93</v>
      </c>
      <c r="I38" s="3"/>
      <c r="J38" s="11">
        <f>--249844.2</f>
        <v>249844.2</v>
      </c>
      <c r="K38" s="3"/>
      <c r="L38" s="11">
        <f>--250016.24</f>
        <v>250016.24</v>
      </c>
      <c r="M38" s="3"/>
      <c r="N38" s="11">
        <f>--244434.79</f>
        <v>244434.79</v>
      </c>
      <c r="O38" s="3"/>
      <c r="P38" s="11"/>
      <c r="Q38" s="3"/>
      <c r="R38" s="11"/>
    </row>
    <row r="39" spans="1:18" x14ac:dyDescent="0.35">
      <c r="A39" s="12"/>
      <c r="B39" s="7"/>
      <c r="C39" s="7"/>
      <c r="D39" s="6"/>
      <c r="F39" s="6"/>
      <c r="H39" s="6"/>
      <c r="J39" s="6"/>
      <c r="L39" s="6"/>
      <c r="N39" s="6"/>
      <c r="P39" s="6"/>
      <c r="R39" s="6"/>
    </row>
    <row r="40" spans="1:18" s="15" customFormat="1" x14ac:dyDescent="0.35">
      <c r="A40" s="7"/>
      <c r="B40" s="22" t="s">
        <v>279</v>
      </c>
      <c r="C40" s="22"/>
      <c r="D40" s="10">
        <f>+D14-D17+D35</f>
        <v>307259.80999999994</v>
      </c>
      <c r="E40" s="12"/>
      <c r="F40" s="10">
        <f>+F14-F17+F35</f>
        <v>260020.87000000002</v>
      </c>
      <c r="G40" s="5"/>
      <c r="H40" s="10">
        <f>+H14-H17+H35</f>
        <v>271444.61</v>
      </c>
      <c r="I40" s="5"/>
      <c r="J40" s="10">
        <f>+J14-J17+J35</f>
        <v>250420.08000000002</v>
      </c>
      <c r="K40" s="5"/>
      <c r="L40" s="10">
        <f>+L14-L17+L35</f>
        <v>255609.59999999998</v>
      </c>
      <c r="M40" s="5"/>
      <c r="N40" s="10">
        <f>+N14-N17+N35</f>
        <v>329647</v>
      </c>
      <c r="O40" s="5"/>
      <c r="P40" s="10">
        <f>+P14-P17+P35</f>
        <v>0</v>
      </c>
      <c r="Q40" s="5"/>
      <c r="R40" s="10">
        <f>+R14-R17+R35</f>
        <v>0</v>
      </c>
    </row>
    <row r="41" spans="1:18" s="27" customFormat="1" x14ac:dyDescent="0.35">
      <c r="A41" s="18"/>
      <c r="B41" s="31"/>
      <c r="C41" s="18"/>
      <c r="D41" s="9">
        <f>IFERROR(D40/D10, 0)</f>
        <v>0</v>
      </c>
      <c r="E41" s="18"/>
      <c r="F41" s="9">
        <f>IFERROR(F40/F10, 0)</f>
        <v>0</v>
      </c>
      <c r="G41" s="14"/>
      <c r="H41" s="9">
        <f>IFERROR(H40/H10, 0)</f>
        <v>0</v>
      </c>
      <c r="I41" s="14"/>
      <c r="J41" s="9">
        <f>IFERROR(J40/J10, 0)</f>
        <v>0</v>
      </c>
      <c r="K41" s="14"/>
      <c r="L41" s="9">
        <f>IFERROR(L40/L10, 0)</f>
        <v>0</v>
      </c>
      <c r="M41" s="14"/>
      <c r="N41" s="9">
        <f>IFERROR(N40/N10, 0)</f>
        <v>0</v>
      </c>
      <c r="O41" s="14"/>
      <c r="P41" s="9">
        <f>IFERROR(P40/P10, 0)</f>
        <v>0</v>
      </c>
      <c r="Q41" s="14"/>
      <c r="R41" s="9">
        <f>IFERROR(R40/R10, 0)</f>
        <v>0</v>
      </c>
    </row>
    <row r="42" spans="1:18" s="27" customFormat="1" x14ac:dyDescent="0.35">
      <c r="A42" s="18"/>
      <c r="B42" s="31"/>
      <c r="C42" s="18"/>
      <c r="D42" s="13"/>
      <c r="E42" s="18"/>
      <c r="F42" s="13"/>
      <c r="G42" s="14"/>
      <c r="H42" s="13"/>
      <c r="I42" s="14"/>
      <c r="J42" s="13"/>
      <c r="K42" s="14"/>
      <c r="L42" s="13"/>
      <c r="M42" s="14"/>
      <c r="N42" s="13"/>
      <c r="O42" s="14"/>
      <c r="P42" s="13"/>
      <c r="Q42" s="14"/>
      <c r="R42" s="13"/>
    </row>
    <row r="43" spans="1:18" s="15" customFormat="1" x14ac:dyDescent="0.35">
      <c r="A43" s="37"/>
      <c r="B43" s="7" t="s">
        <v>127</v>
      </c>
      <c r="C43" s="7"/>
      <c r="D43" s="6"/>
      <c r="E43" s="12"/>
      <c r="F43" s="6"/>
      <c r="G43" s="5"/>
      <c r="H43" s="6"/>
      <c r="I43" s="5"/>
      <c r="J43" s="6"/>
      <c r="K43" s="5"/>
      <c r="L43" s="6"/>
      <c r="M43" s="5"/>
      <c r="N43" s="6"/>
      <c r="O43" s="5"/>
      <c r="P43" s="6"/>
      <c r="Q43" s="5"/>
      <c r="R43" s="6"/>
    </row>
    <row r="44" spans="1:18" x14ac:dyDescent="0.35">
      <c r="A44" s="12"/>
      <c r="B44" s="7"/>
      <c r="C44" s="7"/>
      <c r="D44" s="6"/>
      <c r="F44" s="6"/>
      <c r="H44" s="6"/>
      <c r="J44" s="6"/>
      <c r="L44" s="6"/>
      <c r="N44" s="6"/>
      <c r="P44" s="6"/>
      <c r="R44" s="6"/>
    </row>
    <row r="45" spans="1:18" s="15" customFormat="1" x14ac:dyDescent="0.35">
      <c r="A45" s="7"/>
      <c r="B45" s="22" t="s">
        <v>126</v>
      </c>
      <c r="C45" s="22"/>
      <c r="D45" s="10">
        <f>+D40-D43</f>
        <v>307259.80999999994</v>
      </c>
      <c r="E45" s="12"/>
      <c r="F45" s="10">
        <f>+F40-F43</f>
        <v>260020.87000000002</v>
      </c>
      <c r="G45" s="5"/>
      <c r="H45" s="10">
        <f>+H40-H43</f>
        <v>271444.61</v>
      </c>
      <c r="I45" s="5"/>
      <c r="J45" s="10">
        <f>+J40-J43</f>
        <v>250420.08000000002</v>
      </c>
      <c r="K45" s="5"/>
      <c r="L45" s="10">
        <f>+L40-L43</f>
        <v>255609.59999999998</v>
      </c>
      <c r="M45" s="5"/>
      <c r="N45" s="10">
        <f>+N40-N43</f>
        <v>329647</v>
      </c>
      <c r="O45" s="5"/>
      <c r="P45" s="10">
        <f>+P40-P43</f>
        <v>0</v>
      </c>
      <c r="Q45" s="5"/>
      <c r="R45" s="10">
        <f>+R40-R43</f>
        <v>0</v>
      </c>
    </row>
    <row r="46" spans="1:18" s="27" customFormat="1" x14ac:dyDescent="0.35">
      <c r="A46" s="18"/>
      <c r="B46" s="18"/>
      <c r="C46" s="18"/>
      <c r="D46" s="9">
        <f>IFERROR(D45/D10, 0)</f>
        <v>0</v>
      </c>
      <c r="E46" s="18"/>
      <c r="F46" s="9">
        <f>IFERROR(F45/F10, 0)</f>
        <v>0</v>
      </c>
      <c r="G46" s="14"/>
      <c r="H46" s="9">
        <f>IFERROR(H45/H10, 0)</f>
        <v>0</v>
      </c>
      <c r="I46" s="14"/>
      <c r="J46" s="9">
        <f>IFERROR(J45/J10, 0)</f>
        <v>0</v>
      </c>
      <c r="K46" s="14"/>
      <c r="L46" s="9">
        <f>IFERROR(L45/L10, 0)</f>
        <v>0</v>
      </c>
      <c r="M46" s="14"/>
      <c r="N46" s="9">
        <f>IFERROR(N45/N10, 0)</f>
        <v>0</v>
      </c>
      <c r="O46" s="14"/>
      <c r="P46" s="9">
        <f>IFERROR(P45/P10, 0)</f>
        <v>0</v>
      </c>
      <c r="Q46" s="14"/>
      <c r="R46" s="9">
        <f>IFERROR(R45/R10, 0)</f>
        <v>0</v>
      </c>
    </row>
    <row r="47" spans="1:18" s="27" customFormat="1" x14ac:dyDescent="0.35">
      <c r="A47" s="18"/>
      <c r="B47" s="18"/>
      <c r="C47" s="18"/>
      <c r="D47" s="13"/>
      <c r="E47" s="18"/>
      <c r="F47" s="13"/>
      <c r="G47" s="14"/>
      <c r="H47" s="13"/>
      <c r="I47" s="14"/>
      <c r="J47" s="13"/>
      <c r="K47" s="14"/>
      <c r="L47" s="13"/>
      <c r="M47" s="14"/>
      <c r="N47" s="13"/>
      <c r="O47" s="14"/>
      <c r="P47" s="13"/>
      <c r="Q47" s="14"/>
      <c r="R47" s="13"/>
    </row>
    <row r="48" spans="1:18" x14ac:dyDescent="0.35">
      <c r="A48" s="12"/>
      <c r="B48" s="12"/>
      <c r="C48" s="12"/>
      <c r="D48" s="6"/>
      <c r="F48" s="6"/>
      <c r="H48" s="6"/>
      <c r="J48" s="6"/>
      <c r="L48" s="6"/>
      <c r="N48" s="6"/>
      <c r="P48" s="6"/>
      <c r="R48" s="6"/>
    </row>
    <row r="49" spans="1:18" s="15" customFormat="1" x14ac:dyDescent="0.35">
      <c r="A49" s="7"/>
      <c r="B49" s="22" t="s">
        <v>296</v>
      </c>
      <c r="C49" s="22"/>
      <c r="D49" s="10">
        <f>SUM(D45:D48)</f>
        <v>307259.80999999994</v>
      </c>
      <c r="E49" s="12"/>
      <c r="F49" s="10">
        <f>SUM(F45:F48)</f>
        <v>260020.87000000002</v>
      </c>
      <c r="G49" s="5"/>
      <c r="H49" s="10">
        <f>SUM(H45:H48)</f>
        <v>271444.61</v>
      </c>
      <c r="I49" s="5"/>
      <c r="J49" s="10">
        <f>SUM(J45:J48)</f>
        <v>250420.08000000002</v>
      </c>
      <c r="K49" s="5"/>
      <c r="L49" s="10">
        <f>SUM(L45:L48)</f>
        <v>255609.59999999998</v>
      </c>
      <c r="M49" s="5"/>
      <c r="N49" s="10">
        <f>SUM(N45:N48)</f>
        <v>329647</v>
      </c>
      <c r="O49" s="5"/>
      <c r="P49" s="10">
        <f>SUM(P45:P48)</f>
        <v>0</v>
      </c>
      <c r="Q49" s="5"/>
      <c r="R49" s="10">
        <f>SUM(R45:R48)</f>
        <v>0</v>
      </c>
    </row>
    <row r="50" spans="1:18" s="27" customFormat="1" x14ac:dyDescent="0.35">
      <c r="A50" s="18"/>
      <c r="B50" s="41"/>
      <c r="C50" s="18"/>
      <c r="D50" s="9">
        <f>IFERROR(D49/D10, 0)</f>
        <v>0</v>
      </c>
      <c r="E50" s="18"/>
      <c r="F50" s="9">
        <f>IFERROR(F49/F10, 0)</f>
        <v>0</v>
      </c>
      <c r="G50" s="14"/>
      <c r="H50" s="9">
        <f>IFERROR(H49/H10, 0)</f>
        <v>0</v>
      </c>
      <c r="I50" s="14"/>
      <c r="J50" s="9">
        <f>IFERROR(J49/J10, 0)</f>
        <v>0</v>
      </c>
      <c r="K50" s="14"/>
      <c r="L50" s="9">
        <f>IFERROR(L49/L10, 0)</f>
        <v>0</v>
      </c>
      <c r="M50" s="14"/>
      <c r="N50" s="9">
        <f>IFERROR(N49/N10, 0)</f>
        <v>0</v>
      </c>
      <c r="O50" s="14"/>
      <c r="P50" s="9">
        <f>IFERROR(P49/P10, 0)</f>
        <v>0</v>
      </c>
      <c r="Q50" s="14"/>
      <c r="R50" s="9">
        <f>IFERROR(R49/R10, 0)</f>
        <v>0</v>
      </c>
    </row>
    <row r="51" spans="1:18" x14ac:dyDescent="0.35">
      <c r="A51" s="12"/>
      <c r="B51" s="40">
        <v>44319.883572604165</v>
      </c>
      <c r="D51" s="24"/>
      <c r="F51" s="24"/>
      <c r="H51" s="24"/>
      <c r="J51" s="24"/>
      <c r="L51" s="24"/>
      <c r="N51" s="24"/>
      <c r="P51" s="24"/>
      <c r="R51" s="24"/>
    </row>
    <row r="52" spans="1:18" x14ac:dyDescent="0.35">
      <c r="A52" s="12"/>
      <c r="B52" s="39" t="s">
        <v>23</v>
      </c>
      <c r="D52" s="24"/>
      <c r="F52" s="24"/>
      <c r="H52" s="24"/>
      <c r="J52" s="24"/>
      <c r="L52" s="24"/>
      <c r="N52" s="24"/>
      <c r="P52" s="24"/>
      <c r="R52" s="24"/>
    </row>
    <row r="53" spans="1:18" x14ac:dyDescent="0.35">
      <c r="A53" s="12"/>
      <c r="D53" s="24"/>
      <c r="F53" s="24"/>
      <c r="H53" s="24"/>
      <c r="J53" s="24"/>
      <c r="L53" s="24"/>
      <c r="N53" s="24"/>
      <c r="P53" s="24"/>
      <c r="R53" s="24"/>
    </row>
    <row r="54" spans="1:18" x14ac:dyDescent="0.35">
      <c r="D54" s="24"/>
      <c r="F54" s="24"/>
      <c r="H54" s="24"/>
      <c r="J54" s="24"/>
      <c r="L54" s="24"/>
      <c r="N54" s="24"/>
      <c r="P54" s="24"/>
      <c r="R54" s="24"/>
    </row>
  </sheetData>
  <pageMargins left="0.5" right="0.5" top="0.5" bottom="0.5" header="0.3" footer="0.3"/>
  <pageSetup scale="59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8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","501", " - ", "ID Card Services")</f>
        <v>Department 501 - ID Card Services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377671</v>
      </c>
      <c r="F10" s="8">
        <f>SUM(OSRRefF11x_0)</f>
        <v>441679</v>
      </c>
      <c r="G10" s="8"/>
      <c r="H10" s="8">
        <f>SUM(OSRRefH11x_0)</f>
        <v>468058</v>
      </c>
      <c r="I10" s="8"/>
      <c r="J10" s="8">
        <f>SUM(OSRRefJ11x_0)</f>
        <v>492539</v>
      </c>
      <c r="K10" s="8"/>
      <c r="L10" s="8">
        <f>SUM(OSRRefL11x_0)</f>
        <v>488294</v>
      </c>
      <c r="M10" s="8"/>
      <c r="N10" s="8">
        <f>SUM(OSRRefN11x_0)</f>
        <v>491678</v>
      </c>
      <c r="O10" s="8"/>
      <c r="P10" s="8">
        <f>SUM(OSRRefP11x_0)</f>
        <v>600566</v>
      </c>
      <c r="Q10" s="8"/>
      <c r="R10" s="8">
        <f>SUM(OSRRefR11x_0)</f>
        <v>599052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1243</v>
      </c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>-377671*-1</f>
        <v>377671</v>
      </c>
      <c r="F12" s="11">
        <f>-441679*-1</f>
        <v>441679</v>
      </c>
      <c r="G12" s="3"/>
      <c r="H12" s="11">
        <f>-468058*-1</f>
        <v>468058</v>
      </c>
      <c r="I12" s="3"/>
      <c r="J12" s="11">
        <f>--492539</f>
        <v>492539</v>
      </c>
      <c r="K12" s="3"/>
      <c r="L12" s="11">
        <f>--488294</f>
        <v>488294</v>
      </c>
      <c r="M12" s="3"/>
      <c r="N12" s="11">
        <f>--491678</f>
        <v>491678</v>
      </c>
      <c r="O12" s="3"/>
      <c r="P12" s="11">
        <v>599323</v>
      </c>
      <c r="Q12" s="3"/>
      <c r="R12" s="11">
        <v>599052</v>
      </c>
    </row>
    <row r="13" spans="1:18" s="12" customFormat="1" x14ac:dyDescent="0.35">
      <c r="B13" s="7"/>
      <c r="D13" s="6"/>
      <c r="F13" s="6"/>
      <c r="G13" s="5"/>
      <c r="H13" s="6"/>
      <c r="I13" s="5"/>
      <c r="J13" s="6"/>
      <c r="K13" s="5"/>
      <c r="L13" s="6"/>
      <c r="M13" s="5"/>
      <c r="N13" s="6"/>
      <c r="O13" s="5"/>
      <c r="P13" s="6"/>
      <c r="Q13" s="5"/>
      <c r="R13" s="6"/>
    </row>
    <row r="14" spans="1:18" s="12" customFormat="1" x14ac:dyDescent="0.35">
      <c r="B14" s="7" t="s">
        <v>278</v>
      </c>
      <c r="D14" s="8">
        <f>SUM(0)</f>
        <v>0</v>
      </c>
      <c r="E14" s="8"/>
      <c r="F14" s="8">
        <f>SUM(0)</f>
        <v>0</v>
      </c>
      <c r="G14" s="8"/>
      <c r="H14" s="8">
        <f>SUM(0)</f>
        <v>0</v>
      </c>
      <c r="I14" s="8"/>
      <c r="J14" s="8">
        <f>SUM(0)</f>
        <v>0</v>
      </c>
      <c r="K14" s="8"/>
      <c r="L14" s="8">
        <f>SUM(0)</f>
        <v>0</v>
      </c>
      <c r="M14" s="8"/>
      <c r="N14" s="8">
        <f>SUM(0)</f>
        <v>0</v>
      </c>
      <c r="O14" s="8"/>
      <c r="P14" s="8">
        <f>SUM(0)</f>
        <v>0</v>
      </c>
      <c r="Q14" s="8"/>
      <c r="R14" s="8">
        <f>SUM(0)</f>
        <v>0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+D10-D14</f>
        <v>377671</v>
      </c>
      <c r="E16" s="12"/>
      <c r="F16" s="10">
        <f>+F10-F14</f>
        <v>441679</v>
      </c>
      <c r="G16" s="5"/>
      <c r="H16" s="10">
        <f>+H10-H14</f>
        <v>468058</v>
      </c>
      <c r="I16" s="5"/>
      <c r="J16" s="10">
        <f>+J10-J14</f>
        <v>492539</v>
      </c>
      <c r="K16" s="5"/>
      <c r="L16" s="10">
        <f>+L10-L14</f>
        <v>488294</v>
      </c>
      <c r="M16" s="5"/>
      <c r="N16" s="10">
        <f>+N10-N14</f>
        <v>491678</v>
      </c>
      <c r="O16" s="5"/>
      <c r="P16" s="10">
        <f>+P10-P14</f>
        <v>600566</v>
      </c>
      <c r="Q16" s="5"/>
      <c r="R16" s="10">
        <f>+R10-R14</f>
        <v>599052</v>
      </c>
    </row>
    <row r="17" spans="1:18" s="27" customFormat="1" x14ac:dyDescent="0.35">
      <c r="A17" s="18"/>
      <c r="B17" s="31"/>
      <c r="C17" s="18"/>
      <c r="D17" s="9">
        <f>IFERROR(D16/D10, 0)</f>
        <v>1</v>
      </c>
      <c r="E17" s="13"/>
      <c r="F17" s="9">
        <f>IFERROR(F16/F10, 0)</f>
        <v>1</v>
      </c>
      <c r="G17" s="26"/>
      <c r="H17" s="9">
        <f>IFERROR(H16/H10, 0)</f>
        <v>1</v>
      </c>
      <c r="I17" s="26"/>
      <c r="J17" s="9">
        <f>IFERROR(J16/J10, 0)</f>
        <v>1</v>
      </c>
      <c r="K17" s="26"/>
      <c r="L17" s="9">
        <f>IFERROR(L16/L10, 0)</f>
        <v>1</v>
      </c>
      <c r="M17" s="26"/>
      <c r="N17" s="9">
        <f>IFERROR(N16/N10, 0)</f>
        <v>1</v>
      </c>
      <c r="O17" s="26"/>
      <c r="P17" s="9">
        <f>IFERROR(P16/P10, 0)</f>
        <v>1</v>
      </c>
      <c r="Q17" s="26"/>
      <c r="R17" s="9">
        <f>IFERROR(R16/R10, 0)</f>
        <v>1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SUM(OSRRefD21x_0)</f>
        <v>377535.71</v>
      </c>
      <c r="E19" s="19"/>
      <c r="F19" s="8">
        <f>SUM(OSRRefF21x_0)</f>
        <v>422980.31999999995</v>
      </c>
      <c r="G19" s="4"/>
      <c r="H19" s="8">
        <f>SUM(OSRRefH21x_0)</f>
        <v>451990.5400000001</v>
      </c>
      <c r="I19" s="4"/>
      <c r="J19" s="8">
        <f>SUM(OSRRefJ21x_0)</f>
        <v>462121.28000000009</v>
      </c>
      <c r="K19" s="4"/>
      <c r="L19" s="8">
        <f>SUM(OSRRefL21x_0)</f>
        <v>468678.22000000003</v>
      </c>
      <c r="M19" s="4"/>
      <c r="N19" s="8">
        <f>SUM(OSRRefN21x_0)</f>
        <v>461510.73000000004</v>
      </c>
      <c r="O19" s="4"/>
      <c r="P19" s="8">
        <f>SUM(OSRRefP21x_0)</f>
        <v>544454.31009659998</v>
      </c>
      <c r="Q19" s="4"/>
      <c r="R19" s="8">
        <f>SUM(OSRRefR21x_0)</f>
        <v>560341.84563431004</v>
      </c>
    </row>
    <row r="20" spans="1:18" s="15" customFormat="1" outlineLevel="1" collapsed="1" x14ac:dyDescent="0.35">
      <c r="A20" s="7"/>
      <c r="B20" s="20" t="str">
        <f>CONCATENATE("     ","*Benefits                                         ")</f>
        <v xml:space="preserve">     *Benefits                                         </v>
      </c>
      <c r="C20" s="7"/>
      <c r="D20" s="1">
        <f>SUM(OSRRefD21_0x_0)</f>
        <v>46095.009999999995</v>
      </c>
      <c r="E20" s="19"/>
      <c r="F20" s="1">
        <f>SUM(OSRRefF21_0x_0)</f>
        <v>40353.599999999999</v>
      </c>
      <c r="G20" s="4"/>
      <c r="H20" s="1">
        <f>SUM(OSRRefH21_0x_0)</f>
        <v>40328.990000000005</v>
      </c>
      <c r="I20" s="4"/>
      <c r="J20" s="1">
        <f>SUM(OSRRefJ21_0x_0)</f>
        <v>44198.31</v>
      </c>
      <c r="K20" s="4"/>
      <c r="L20" s="1">
        <f>SUM(OSRRefL21_0x_0)</f>
        <v>48309.96</v>
      </c>
      <c r="M20" s="4"/>
      <c r="N20" s="1">
        <f>SUM(OSRRefN21_0x_0)</f>
        <v>52039.48</v>
      </c>
      <c r="O20" s="4"/>
      <c r="P20" s="1">
        <f>SUM(OSRRefP21_0x_0)</f>
        <v>49993.9769466</v>
      </c>
      <c r="Q20" s="4"/>
      <c r="R20" s="1">
        <f>SUM(OSRRefR21_0x_0)</f>
        <v>44740.348484310009</v>
      </c>
    </row>
    <row r="21" spans="1:18" s="16" customFormat="1" hidden="1" outlineLevel="2" x14ac:dyDescent="0.35">
      <c r="B21" s="11" t="str">
        <f>CONCATENATE("          ", "6111", " - ", "F.I.C.A.")</f>
        <v xml:space="preserve">          6111 - F.I.C.A.</v>
      </c>
      <c r="D21" s="2">
        <v>6810.22</v>
      </c>
      <c r="F21" s="2">
        <v>7652.93</v>
      </c>
      <c r="G21" s="3"/>
      <c r="H21" s="2">
        <v>7843.16</v>
      </c>
      <c r="I21" s="3"/>
      <c r="J21" s="2">
        <v>9540.4599999999991</v>
      </c>
      <c r="K21" s="3"/>
      <c r="L21" s="2">
        <v>11382.14</v>
      </c>
      <c r="M21" s="3"/>
      <c r="N21" s="2">
        <v>13042.21</v>
      </c>
      <c r="O21" s="3"/>
      <c r="P21" s="2">
        <v>12209.8311471</v>
      </c>
      <c r="Q21" s="3"/>
      <c r="R21" s="2">
        <v>11300.99354541</v>
      </c>
    </row>
    <row r="22" spans="1:18" s="16" customFormat="1" hidden="1" outlineLevel="2" x14ac:dyDescent="0.35">
      <c r="B22" s="11" t="str">
        <f>CONCATENATE("          ", "6112", " - ", "COMPENSATION INSURANCE")</f>
        <v xml:space="preserve">          6112 - COMPENSATION INSURANCE</v>
      </c>
      <c r="D22" s="2">
        <v>497.49</v>
      </c>
      <c r="F22" s="2">
        <v>874.41</v>
      </c>
      <c r="G22" s="3"/>
      <c r="H22" s="2">
        <v>585.67999999999995</v>
      </c>
      <c r="I22" s="3"/>
      <c r="J22" s="2">
        <v>390.86</v>
      </c>
      <c r="K22" s="3"/>
      <c r="L22" s="2">
        <v>587.69000000000005</v>
      </c>
      <c r="M22" s="3"/>
      <c r="N22" s="2">
        <v>741.24</v>
      </c>
      <c r="O22" s="3"/>
      <c r="P22" s="2">
        <v>4226.4830824999999</v>
      </c>
      <c r="Q22" s="3"/>
      <c r="R22" s="2">
        <v>3900.0311532000001</v>
      </c>
    </row>
    <row r="23" spans="1:18" s="16" customFormat="1" hidden="1" outlineLevel="2" x14ac:dyDescent="0.35">
      <c r="B23" s="11" t="str">
        <f>CONCATENATE("          ", "6113", " - ", "GROUP INSURANCE")</f>
        <v xml:space="preserve">          6113 - GROUP INSURANCE</v>
      </c>
      <c r="D23" s="2">
        <v>18400.11</v>
      </c>
      <c r="F23" s="2">
        <v>13627.62</v>
      </c>
      <c r="G23" s="3"/>
      <c r="H23" s="2">
        <v>13305.6</v>
      </c>
      <c r="I23" s="3"/>
      <c r="J23" s="2">
        <v>14299.41</v>
      </c>
      <c r="K23" s="3"/>
      <c r="L23" s="2">
        <v>14785.84</v>
      </c>
      <c r="M23" s="3"/>
      <c r="N23" s="2">
        <v>15213.59</v>
      </c>
      <c r="O23" s="3"/>
      <c r="P23" s="2">
        <v>12632.5</v>
      </c>
      <c r="Q23" s="3"/>
      <c r="R23" s="2">
        <v>12270</v>
      </c>
    </row>
    <row r="24" spans="1:18" s="16" customFormat="1" hidden="1" outlineLevel="2" x14ac:dyDescent="0.35">
      <c r="B24" s="11" t="str">
        <f>CONCATENATE("          ", "6114", " - ", "STATE UNEMPLOYMENT INSURANCE")</f>
        <v xml:space="preserve">          6114 - STATE UNEMPLOYMENT INSURANCE</v>
      </c>
      <c r="D24" s="2">
        <v>753.23</v>
      </c>
      <c r="F24" s="2">
        <v>882.75</v>
      </c>
      <c r="G24" s="3"/>
      <c r="H24" s="2">
        <v>423.29</v>
      </c>
      <c r="I24" s="3"/>
      <c r="J24" s="2">
        <v>466.07</v>
      </c>
      <c r="K24" s="3"/>
      <c r="L24" s="2">
        <v>532.4</v>
      </c>
      <c r="M24" s="3"/>
      <c r="N24" s="2">
        <v>0</v>
      </c>
      <c r="O24" s="3"/>
      <c r="P24" s="2">
        <v>593.99221699999998</v>
      </c>
      <c r="Q24" s="3"/>
      <c r="R24" s="2">
        <v>525.00419369999997</v>
      </c>
    </row>
    <row r="25" spans="1:18" s="16" customFormat="1" hidden="1" outlineLevel="2" x14ac:dyDescent="0.35">
      <c r="B25" s="11" t="str">
        <f>CONCATENATE("          ", "6115", " - ", "P.E.R.S.")</f>
        <v xml:space="preserve">          6115 - P.E.R.S.</v>
      </c>
      <c r="D25" s="2">
        <v>8852.43</v>
      </c>
      <c r="F25" s="2">
        <v>6370.7</v>
      </c>
      <c r="G25" s="3"/>
      <c r="H25" s="2">
        <v>6557.5</v>
      </c>
      <c r="I25" s="3"/>
      <c r="J25" s="2">
        <v>7159.98</v>
      </c>
      <c r="K25" s="3"/>
      <c r="L25" s="2">
        <v>7125.23</v>
      </c>
      <c r="M25" s="3"/>
      <c r="N25" s="2">
        <v>8309.2900000000009</v>
      </c>
      <c r="O25" s="3"/>
      <c r="P25" s="2">
        <v>7526.9586499999996</v>
      </c>
      <c r="Q25" s="3"/>
      <c r="R25" s="2">
        <v>7500.0597420000104</v>
      </c>
    </row>
    <row r="26" spans="1:18" s="16" customFormat="1" hidden="1" outlineLevel="2" x14ac:dyDescent="0.35">
      <c r="B26" s="11" t="str">
        <f>CONCATENATE("          ", "6116", " - ", "EDUCATIONAL BENEFITS")</f>
        <v xml:space="preserve">          6116 - EDUCATIONAL BENEFITS</v>
      </c>
      <c r="D26" s="2"/>
      <c r="F26" s="2"/>
      <c r="G26" s="3"/>
      <c r="H26" s="2"/>
      <c r="I26" s="3"/>
      <c r="J26" s="2"/>
      <c r="K26" s="3"/>
      <c r="L26" s="2"/>
      <c r="M26" s="3"/>
      <c r="N26" s="2"/>
      <c r="O26" s="3"/>
      <c r="P26" s="2">
        <v>0</v>
      </c>
      <c r="Q26" s="3"/>
      <c r="R26" s="2">
        <v>0</v>
      </c>
    </row>
    <row r="27" spans="1:18" s="16" customFormat="1" hidden="1" outlineLevel="2" x14ac:dyDescent="0.35">
      <c r="B27" s="11" t="str">
        <f>CONCATENATE("          ", "6118", " - ", "VACATION")</f>
        <v xml:space="preserve">          6118 - VACATION</v>
      </c>
      <c r="D27" s="2">
        <v>4613.8500000000004</v>
      </c>
      <c r="F27" s="2">
        <v>6955.54</v>
      </c>
      <c r="G27" s="3"/>
      <c r="H27" s="2">
        <v>6612.33</v>
      </c>
      <c r="I27" s="3"/>
      <c r="J27" s="2">
        <v>7190.03</v>
      </c>
      <c r="K27" s="3"/>
      <c r="L27" s="2">
        <v>7543.74</v>
      </c>
      <c r="M27" s="3"/>
      <c r="N27" s="2">
        <v>8433.2199999999993</v>
      </c>
      <c r="O27" s="3"/>
      <c r="P27" s="2">
        <v>2625.68325</v>
      </c>
      <c r="Q27" s="3"/>
      <c r="R27" s="2">
        <v>2616.2999100000002</v>
      </c>
    </row>
    <row r="28" spans="1:18" s="16" customFormat="1" hidden="1" outlineLevel="2" x14ac:dyDescent="0.35">
      <c r="B28" s="11" t="str">
        <f>CONCATENATE("          ", "6119", " - ", "SICK LEAVE")</f>
        <v xml:space="preserve">          6119 - SICK LEAVE</v>
      </c>
      <c r="D28" s="2">
        <v>2950.64</v>
      </c>
      <c r="F28" s="2">
        <v>2075.83</v>
      </c>
      <c r="G28" s="3"/>
      <c r="H28" s="2">
        <v>3301.74</v>
      </c>
      <c r="I28" s="3"/>
      <c r="J28" s="2">
        <v>3474.19</v>
      </c>
      <c r="K28" s="3"/>
      <c r="L28" s="2">
        <v>4076.74</v>
      </c>
      <c r="M28" s="3"/>
      <c r="N28" s="2">
        <v>4824.46</v>
      </c>
      <c r="O28" s="3"/>
      <c r="P28" s="2">
        <v>5978.5285999999996</v>
      </c>
      <c r="Q28" s="3"/>
      <c r="R28" s="2">
        <v>6627.9599399999997</v>
      </c>
    </row>
    <row r="29" spans="1:18" s="16" customFormat="1" hidden="1" outlineLevel="2" x14ac:dyDescent="0.35">
      <c r="B29" s="11" t="str">
        <f>CONCATENATE("          ", "6156", " - ", "EMPLOYEE MEALS")</f>
        <v xml:space="preserve">          6156 - EMPLOYEE MEALS</v>
      </c>
      <c r="D29" s="2">
        <v>3217.04</v>
      </c>
      <c r="F29" s="2">
        <v>1913.82</v>
      </c>
      <c r="G29" s="3"/>
      <c r="H29" s="2">
        <v>1699.69</v>
      </c>
      <c r="I29" s="3"/>
      <c r="J29" s="2">
        <v>1677.31</v>
      </c>
      <c r="K29" s="3"/>
      <c r="L29" s="2">
        <v>2276.1799999999998</v>
      </c>
      <c r="M29" s="3"/>
      <c r="N29" s="2">
        <v>1475.47</v>
      </c>
      <c r="O29" s="3"/>
      <c r="P29" s="2">
        <v>4200</v>
      </c>
      <c r="Q29" s="3"/>
      <c r="R29" s="2"/>
    </row>
    <row r="30" spans="1:18" s="15" customFormat="1" outlineLevel="1" collapsed="1" x14ac:dyDescent="0.35">
      <c r="A30" s="7"/>
      <c r="B30" s="20" t="str">
        <f>CONCATENATE("     ","*Payroll                                          ")</f>
        <v xml:space="preserve">     *Payroll                                          </v>
      </c>
      <c r="C30" s="7"/>
      <c r="D30" s="1">
        <f>SUM(OSRRefD21_1x_0)</f>
        <v>118072.02000000002</v>
      </c>
      <c r="E30" s="19"/>
      <c r="F30" s="1">
        <f>SUM(OSRRefF21_1x_0)</f>
        <v>127845.76000000001</v>
      </c>
      <c r="G30" s="4"/>
      <c r="H30" s="1">
        <f>SUM(OSRRefH21_1x_0)</f>
        <v>141542.38999999998</v>
      </c>
      <c r="I30" s="4"/>
      <c r="J30" s="1">
        <f>SUM(OSRRefJ21_1x_0)</f>
        <v>151779.78</v>
      </c>
      <c r="K30" s="4"/>
      <c r="L30" s="1">
        <f>SUM(OSRRefL21_1x_0)</f>
        <v>190968.61000000002</v>
      </c>
      <c r="M30" s="4"/>
      <c r="N30" s="1">
        <f>SUM(OSRRefN21_1x_0)</f>
        <v>190012.33</v>
      </c>
      <c r="O30" s="4"/>
      <c r="P30" s="1">
        <f>SUM(OSRRefP21_1x_0)</f>
        <v>219854.33315000002</v>
      </c>
      <c r="Q30" s="4"/>
      <c r="R30" s="1">
        <f>SUM(OSRRefR21_1x_0)</f>
        <v>245641.49715000001</v>
      </c>
    </row>
    <row r="31" spans="1:18" s="16" customFormat="1" hidden="1" outlineLevel="2" x14ac:dyDescent="0.35">
      <c r="B31" s="11" t="str">
        <f>CONCATENATE("          ", "6001", " - ", "ADMINISTRATIVE SALARIES")</f>
        <v xml:space="preserve">          6001 - ADMINISTRATIVE SALARIES</v>
      </c>
      <c r="D31" s="2"/>
      <c r="F31" s="2">
        <v>-222.75</v>
      </c>
      <c r="G31" s="3"/>
      <c r="H31" s="2"/>
      <c r="I31" s="3"/>
      <c r="J31" s="2"/>
      <c r="K31" s="3"/>
      <c r="L31" s="2"/>
      <c r="M31" s="3"/>
      <c r="N31" s="2"/>
      <c r="O31" s="3"/>
      <c r="P31" s="2">
        <v>52250</v>
      </c>
      <c r="Q31" s="3"/>
      <c r="R31" s="2">
        <v>53817.5</v>
      </c>
    </row>
    <row r="32" spans="1:18" s="16" customFormat="1" hidden="1" outlineLevel="2" x14ac:dyDescent="0.35">
      <c r="B32" s="11" t="str">
        <f>CONCATENATE("          ", "6002", " - ", "STAFF SALARIES")</f>
        <v xml:space="preserve">          6002 - STAFF SALARIES</v>
      </c>
      <c r="D32" s="2">
        <v>61874.400000000001</v>
      </c>
      <c r="F32" s="2">
        <v>60797.96</v>
      </c>
      <c r="G32" s="3"/>
      <c r="H32" s="2">
        <v>69654</v>
      </c>
      <c r="I32" s="3"/>
      <c r="J32" s="2">
        <v>64870.02</v>
      </c>
      <c r="K32" s="3"/>
      <c r="L32" s="2">
        <v>67973.009999999995</v>
      </c>
      <c r="M32" s="3"/>
      <c r="N32" s="2">
        <v>70386.490000000005</v>
      </c>
      <c r="O32" s="3"/>
      <c r="P32" s="2">
        <v>30896.63625</v>
      </c>
      <c r="Q32" s="3"/>
      <c r="R32" s="2">
        <v>29031.997149999999</v>
      </c>
    </row>
    <row r="33" spans="1:18" s="16" customFormat="1" hidden="1" outlineLevel="2" x14ac:dyDescent="0.35">
      <c r="B33" s="11" t="str">
        <f>CONCATENATE("          ", "6003", " - ", "STAFF HOURLY-9 MONTH")</f>
        <v xml:space="preserve">          6003 - STAFF HOURLY-9 MONTH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"6004", " - ", "STAFF HOURLY")</f>
        <v xml:space="preserve">          6004 - STAFF HOURLY</v>
      </c>
      <c r="D34" s="2"/>
      <c r="F34" s="2"/>
      <c r="G34" s="3"/>
      <c r="H34" s="2"/>
      <c r="I34" s="3"/>
      <c r="J34" s="2"/>
      <c r="K34" s="3"/>
      <c r="L34" s="2">
        <v>11061</v>
      </c>
      <c r="M34" s="3"/>
      <c r="N34" s="2"/>
      <c r="O34" s="3"/>
      <c r="P34" s="2">
        <v>38742.6924</v>
      </c>
      <c r="Q34" s="3"/>
      <c r="R34" s="2">
        <v>26622</v>
      </c>
    </row>
    <row r="35" spans="1:18" s="16" customFormat="1" hidden="1" outlineLevel="2" x14ac:dyDescent="0.35">
      <c r="B35" s="11" t="str">
        <f>CONCATENATE("          ", "6005", " - ", "TEMPORARY WAGES-HOURLY")</f>
        <v xml:space="preserve">          6005 - TEMPORARY WAGES-HOURLY</v>
      </c>
      <c r="D35" s="2">
        <v>10343.81</v>
      </c>
      <c r="F35" s="2">
        <v>20333.14</v>
      </c>
      <c r="G35" s="3"/>
      <c r="H35" s="2">
        <v>20252.98</v>
      </c>
      <c r="I35" s="3"/>
      <c r="J35" s="2">
        <v>29286.34</v>
      </c>
      <c r="K35" s="3"/>
      <c r="L35" s="2">
        <v>42800.02</v>
      </c>
      <c r="M35" s="3"/>
      <c r="N35" s="2">
        <v>87917.69</v>
      </c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"6006", " - ", "TEMPORARY PART TIME")</f>
        <v xml:space="preserve">          6006 - TEMPORARY PART TIME</v>
      </c>
      <c r="D36" s="2">
        <v>5648.16</v>
      </c>
      <c r="F36" s="2">
        <v>2854.47</v>
      </c>
      <c r="G36" s="3"/>
      <c r="H36" s="2">
        <v>6595.7</v>
      </c>
      <c r="I36" s="3"/>
      <c r="J36" s="2">
        <v>10385.4</v>
      </c>
      <c r="K36" s="3"/>
      <c r="L36" s="2">
        <v>10984.32</v>
      </c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"6007", " - ", "STUDENT HOURLY")</f>
        <v xml:space="preserve">          6007 - STUDENT HOURLY</v>
      </c>
      <c r="D37" s="2">
        <v>39330.269999999997</v>
      </c>
      <c r="F37" s="2">
        <v>44082.94</v>
      </c>
      <c r="G37" s="3"/>
      <c r="H37" s="2">
        <v>45039.71</v>
      </c>
      <c r="I37" s="3"/>
      <c r="J37" s="2">
        <v>47238.02</v>
      </c>
      <c r="K37" s="3"/>
      <c r="L37" s="2">
        <v>54621.72</v>
      </c>
      <c r="M37" s="3"/>
      <c r="N37" s="2">
        <v>25787.41</v>
      </c>
      <c r="O37" s="3"/>
      <c r="P37" s="2">
        <v>31116.993750000001</v>
      </c>
      <c r="Q37" s="3"/>
      <c r="R37" s="2">
        <v>33835.5</v>
      </c>
    </row>
    <row r="38" spans="1:18" s="16" customFormat="1" hidden="1" outlineLevel="2" x14ac:dyDescent="0.35">
      <c r="B38" s="11" t="str">
        <f>CONCATENATE("          ", "6008", " - ", "STUDENT HOURLY-FICA EXEMPT")</f>
        <v xml:space="preserve">          6008 - STUDENT HOURLY-FICA EXEMPT</v>
      </c>
      <c r="D38" s="2">
        <v>875.38</v>
      </c>
      <c r="F38" s="2"/>
      <c r="G38" s="3"/>
      <c r="H38" s="2"/>
      <c r="I38" s="3"/>
      <c r="J38" s="2"/>
      <c r="K38" s="3"/>
      <c r="L38" s="2">
        <v>3528.54</v>
      </c>
      <c r="M38" s="3"/>
      <c r="N38" s="2">
        <v>5920.74</v>
      </c>
      <c r="O38" s="3"/>
      <c r="P38" s="2">
        <v>66848.010750000001</v>
      </c>
      <c r="Q38" s="3"/>
      <c r="R38" s="2">
        <v>102334.5</v>
      </c>
    </row>
    <row r="39" spans="1:18" s="16" customFormat="1" hidden="1" outlineLevel="2" x14ac:dyDescent="0.35">
      <c r="B39" s="11" t="str">
        <f>CONCATENATE("          ", "6009", " - ", "TEMPORARY-SEASONAL")</f>
        <v xml:space="preserve">          6009 - TEMPORARY-SEASONAL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"6010", " - ", "GRATUITY")</f>
        <v xml:space="preserve">          6010 - GRATUITY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>
        <v>0</v>
      </c>
    </row>
    <row r="41" spans="1:18" s="15" customFormat="1" outlineLevel="1" collapsed="1" x14ac:dyDescent="0.35">
      <c r="A41" s="7"/>
      <c r="B41" s="20" t="str">
        <f>CONCATENATE("     ","Advertising/Promo                                 ")</f>
        <v xml:space="preserve">     Advertising/Promo                                 </v>
      </c>
      <c r="C41" s="7"/>
      <c r="D41" s="1">
        <f>SUM(OSRRefD21_2x_0)</f>
        <v>2391.39</v>
      </c>
      <c r="E41" s="19"/>
      <c r="F41" s="1">
        <f>SUM(OSRRefF21_2x_0)</f>
        <v>2619.73</v>
      </c>
      <c r="G41" s="4"/>
      <c r="H41" s="1">
        <f>SUM(OSRRefH21_2x_0)</f>
        <v>670.67</v>
      </c>
      <c r="I41" s="4"/>
      <c r="J41" s="1">
        <f>SUM(OSRRefJ21_2x_0)</f>
        <v>1744.88</v>
      </c>
      <c r="K41" s="4"/>
      <c r="L41" s="1">
        <f>SUM(OSRRefL21_2x_0)</f>
        <v>3183.09</v>
      </c>
      <c r="M41" s="4"/>
      <c r="N41" s="1">
        <f>SUM(OSRRefN21_2x_0)</f>
        <v>2066.92</v>
      </c>
      <c r="O41" s="4"/>
      <c r="P41" s="1">
        <f>SUM(OSRRefP21_2x_0)</f>
        <v>1200</v>
      </c>
      <c r="Q41" s="4"/>
      <c r="R41" s="1">
        <f>SUM(OSRRefR21_2x_0)</f>
        <v>1200</v>
      </c>
    </row>
    <row r="42" spans="1:18" s="16" customFormat="1" hidden="1" outlineLevel="2" x14ac:dyDescent="0.35">
      <c r="B42" s="11" t="str">
        <f>CONCATENATE("          ", "6362", " - ", "ADVERTISING EXPENSE")</f>
        <v xml:space="preserve">          6362 - ADVERTISING EXPENSE</v>
      </c>
      <c r="D42" s="2">
        <v>2391.39</v>
      </c>
      <c r="F42" s="2">
        <v>2619.73</v>
      </c>
      <c r="G42" s="3"/>
      <c r="H42" s="2">
        <v>670.67</v>
      </c>
      <c r="I42" s="3"/>
      <c r="J42" s="2">
        <v>1744.88</v>
      </c>
      <c r="K42" s="3"/>
      <c r="L42" s="2">
        <v>3183.09</v>
      </c>
      <c r="M42" s="3"/>
      <c r="N42" s="2">
        <v>2066.92</v>
      </c>
      <c r="O42" s="3"/>
      <c r="P42" s="2">
        <v>1200</v>
      </c>
      <c r="Q42" s="3"/>
      <c r="R42" s="2">
        <v>1200</v>
      </c>
    </row>
    <row r="43" spans="1:18" s="15" customFormat="1" outlineLevel="1" collapsed="1" x14ac:dyDescent="0.35">
      <c r="A43" s="7"/>
      <c r="B43" s="20" t="str">
        <f>CONCATENATE("     ","Bank/card Fees                                    ")</f>
        <v xml:space="preserve">     Bank/card Fees                                    </v>
      </c>
      <c r="C43" s="7"/>
      <c r="D43" s="1">
        <f>SUM(OSRRefD21_3x_0)</f>
        <v>12021.73</v>
      </c>
      <c r="E43" s="19"/>
      <c r="F43" s="1">
        <f>SUM(OSRRefF21_3x_0)</f>
        <v>12322.55</v>
      </c>
      <c r="G43" s="4"/>
      <c r="H43" s="1">
        <f>SUM(OSRRefH21_3x_0)</f>
        <v>14382.19</v>
      </c>
      <c r="I43" s="4"/>
      <c r="J43" s="1">
        <f>SUM(OSRRefJ21_3x_0)</f>
        <v>16412.580000000002</v>
      </c>
      <c r="K43" s="4"/>
      <c r="L43" s="1">
        <f>SUM(OSRRefL21_3x_0)</f>
        <v>22577.18</v>
      </c>
      <c r="M43" s="4"/>
      <c r="N43" s="1">
        <f>SUM(OSRRefN21_3x_0)</f>
        <v>17997.099999999999</v>
      </c>
      <c r="O43" s="4"/>
      <c r="P43" s="1">
        <f>SUM(OSRRefP21_3x_0)</f>
        <v>21700</v>
      </c>
      <c r="Q43" s="4"/>
      <c r="R43" s="1">
        <f>SUM(OSRRefR21_3x_0)</f>
        <v>15000</v>
      </c>
    </row>
    <row r="44" spans="1:18" s="16" customFormat="1" hidden="1" outlineLevel="2" x14ac:dyDescent="0.35">
      <c r="B44" s="11" t="str">
        <f>CONCATENATE("          ", "6381", " - ", "BANK/CREDIT CARD FEES")</f>
        <v xml:space="preserve">          6381 - BANK/CREDIT CARD FEES</v>
      </c>
      <c r="D44" s="2">
        <v>12021.73</v>
      </c>
      <c r="F44" s="2">
        <v>12322.55</v>
      </c>
      <c r="G44" s="3"/>
      <c r="H44" s="2">
        <v>14382.19</v>
      </c>
      <c r="I44" s="3"/>
      <c r="J44" s="2">
        <v>16412.580000000002</v>
      </c>
      <c r="K44" s="3"/>
      <c r="L44" s="2">
        <v>22577.18</v>
      </c>
      <c r="M44" s="3"/>
      <c r="N44" s="2">
        <v>17997.099999999999</v>
      </c>
      <c r="O44" s="3"/>
      <c r="P44" s="2">
        <v>21700</v>
      </c>
      <c r="Q44" s="3"/>
      <c r="R44" s="2">
        <v>15000</v>
      </c>
    </row>
    <row r="45" spans="1:18" s="15" customFormat="1" outlineLevel="1" collapsed="1" x14ac:dyDescent="0.35">
      <c r="A45" s="7"/>
      <c r="B45" s="20" t="str">
        <f>CONCATENATE("     ","Depreciation                                      ")</f>
        <v xml:space="preserve">     Depreciation                                      </v>
      </c>
      <c r="C45" s="7"/>
      <c r="D45" s="1">
        <f>SUM(OSRRefD21_4x_0)</f>
        <v>1232.44</v>
      </c>
      <c r="E45" s="19"/>
      <c r="F45" s="1">
        <f>SUM(OSRRefF21_4x_0)</f>
        <v>1232.44</v>
      </c>
      <c r="G45" s="4"/>
      <c r="H45" s="1">
        <f>SUM(OSRRefH21_4x_0)</f>
        <v>1129.74</v>
      </c>
      <c r="I45" s="4"/>
      <c r="J45" s="1">
        <f>SUM(OSRRefJ21_4x_0)</f>
        <v>0</v>
      </c>
      <c r="K45" s="4"/>
      <c r="L45" s="1">
        <f>SUM(OSRRefL21_4x_0)</f>
        <v>0</v>
      </c>
      <c r="M45" s="4"/>
      <c r="N45" s="1">
        <f>SUM(OSRRefN21_4x_0)</f>
        <v>0</v>
      </c>
      <c r="O45" s="4"/>
      <c r="P45" s="1">
        <f>SUM(OSRRefP21_4x_0)</f>
        <v>0</v>
      </c>
      <c r="Q45" s="4"/>
      <c r="R45" s="1">
        <f>SUM(OSRRefR21_4x_0)</f>
        <v>0</v>
      </c>
    </row>
    <row r="46" spans="1:18" s="16" customFormat="1" hidden="1" outlineLevel="2" x14ac:dyDescent="0.35">
      <c r="B46" s="11" t="str">
        <f>CONCATENATE("          ", "6322", " - ", "EQUIPMENT DEPRECIATION EXPENSE")</f>
        <v xml:space="preserve">          6322 - EQUIPMENT DEPRECIATION EXPENSE</v>
      </c>
      <c r="D46" s="2">
        <v>1232.44</v>
      </c>
      <c r="F46" s="2">
        <v>1232.44</v>
      </c>
      <c r="G46" s="3"/>
      <c r="H46" s="2">
        <v>1129.74</v>
      </c>
      <c r="I46" s="3"/>
      <c r="J46" s="2"/>
      <c r="K46" s="3"/>
      <c r="L46" s="2"/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","Employees' Appreciation                           ")</f>
        <v xml:space="preserve">     Employees' Appreciation                           </v>
      </c>
      <c r="C47" s="7"/>
      <c r="D47" s="1">
        <f>SUM(OSRRefD21_5x_0)</f>
        <v>0</v>
      </c>
      <c r="E47" s="19"/>
      <c r="F47" s="1">
        <f>SUM(OSRRefF21_5x_0)</f>
        <v>231</v>
      </c>
      <c r="G47" s="4"/>
      <c r="H47" s="1">
        <f>SUM(OSRRefH21_5x_0)</f>
        <v>301.41000000000003</v>
      </c>
      <c r="I47" s="4"/>
      <c r="J47" s="1">
        <f>SUM(OSRRefJ21_5x_0)</f>
        <v>131.25</v>
      </c>
      <c r="K47" s="4"/>
      <c r="L47" s="1">
        <f>SUM(OSRRefL21_5x_0)</f>
        <v>92.16</v>
      </c>
      <c r="M47" s="4"/>
      <c r="N47" s="1">
        <f>SUM(OSRRefN21_5x_0)</f>
        <v>64.239999999999995</v>
      </c>
      <c r="O47" s="4"/>
      <c r="P47" s="1">
        <f>SUM(OSRRefP21_5x_0)</f>
        <v>240</v>
      </c>
      <c r="Q47" s="4"/>
      <c r="R47" s="1">
        <f>SUM(OSRRefR21_5x_0)</f>
        <v>240</v>
      </c>
    </row>
    <row r="48" spans="1:18" s="16" customFormat="1" hidden="1" outlineLevel="2" x14ac:dyDescent="0.35">
      <c r="B48" s="11" t="str">
        <f>CONCATENATE("          ", "6277", " - ", "EMPLOYEE APPRECIATION")</f>
        <v xml:space="preserve">          6277 - EMPLOYEE APPRECIATION</v>
      </c>
      <c r="D48" s="2"/>
      <c r="F48" s="2">
        <v>231</v>
      </c>
      <c r="G48" s="3"/>
      <c r="H48" s="2">
        <v>301.41000000000003</v>
      </c>
      <c r="I48" s="3"/>
      <c r="J48" s="2">
        <v>131.25</v>
      </c>
      <c r="K48" s="3"/>
      <c r="L48" s="2">
        <v>92.16</v>
      </c>
      <c r="M48" s="3"/>
      <c r="N48" s="2">
        <v>64.239999999999995</v>
      </c>
      <c r="O48" s="3"/>
      <c r="P48" s="2">
        <v>240</v>
      </c>
      <c r="Q48" s="3"/>
      <c r="R48" s="2">
        <v>240</v>
      </c>
    </row>
    <row r="49" spans="1:18" s="15" customFormat="1" outlineLevel="1" collapsed="1" x14ac:dyDescent="0.35">
      <c r="A49" s="7"/>
      <c r="B49" s="20" t="str">
        <f>CONCATENATE("     ","Freight out/Postage                               ")</f>
        <v xml:space="preserve">     Freight out/Postage                               </v>
      </c>
      <c r="C49" s="7"/>
      <c r="D49" s="1">
        <f>SUM(OSRRefD21_6x_0)</f>
        <v>104.81</v>
      </c>
      <c r="E49" s="19"/>
      <c r="F49" s="1">
        <f>SUM(OSRRefF21_6x_0)</f>
        <v>49.050000000000004</v>
      </c>
      <c r="G49" s="4"/>
      <c r="H49" s="1">
        <f>SUM(OSRRefH21_6x_0)</f>
        <v>14.63</v>
      </c>
      <c r="I49" s="4"/>
      <c r="J49" s="1">
        <f>SUM(OSRRefJ21_6x_0)</f>
        <v>151.11000000000001</v>
      </c>
      <c r="K49" s="4"/>
      <c r="L49" s="1">
        <f>SUM(OSRRefL21_6x_0)</f>
        <v>102.21000000000001</v>
      </c>
      <c r="M49" s="4"/>
      <c r="N49" s="1">
        <f>SUM(OSRRefN21_6x_0)</f>
        <v>0</v>
      </c>
      <c r="O49" s="4"/>
      <c r="P49" s="1">
        <f>SUM(OSRRefP21_6x_0)</f>
        <v>120</v>
      </c>
      <c r="Q49" s="4"/>
      <c r="R49" s="1">
        <f>SUM(OSRRefR21_6x_0)</f>
        <v>120</v>
      </c>
    </row>
    <row r="50" spans="1:18" s="16" customFormat="1" hidden="1" outlineLevel="2" x14ac:dyDescent="0.35">
      <c r="B50" s="11" t="str">
        <f>CONCATENATE("          ", "6305", " - ", "FREIGHT OUT")</f>
        <v xml:space="preserve">          6305 - FREIGHT OUT</v>
      </c>
      <c r="D50" s="2">
        <v>84.36</v>
      </c>
      <c r="F50" s="2">
        <v>40.42</v>
      </c>
      <c r="G50" s="3"/>
      <c r="H50" s="2">
        <v>14.16</v>
      </c>
      <c r="I50" s="3"/>
      <c r="J50" s="2">
        <v>148.80000000000001</v>
      </c>
      <c r="K50" s="3"/>
      <c r="L50" s="2">
        <v>54.57</v>
      </c>
      <c r="M50" s="3"/>
      <c r="N50" s="2"/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"6307", " - ", "POSTAGE")</f>
        <v xml:space="preserve">          6307 - POSTAGE</v>
      </c>
      <c r="D51" s="2">
        <v>20.45</v>
      </c>
      <c r="F51" s="2">
        <v>8.6300000000000008</v>
      </c>
      <c r="G51" s="3"/>
      <c r="H51" s="2">
        <v>0.47</v>
      </c>
      <c r="I51" s="3"/>
      <c r="J51" s="2">
        <v>2.31</v>
      </c>
      <c r="K51" s="3"/>
      <c r="L51" s="2">
        <v>47.64</v>
      </c>
      <c r="M51" s="3"/>
      <c r="N51" s="2"/>
      <c r="O51" s="3"/>
      <c r="P51" s="2">
        <v>120</v>
      </c>
      <c r="Q51" s="3"/>
      <c r="R51" s="2">
        <v>120</v>
      </c>
    </row>
    <row r="52" spans="1:18" s="15" customFormat="1" outlineLevel="1" collapsed="1" x14ac:dyDescent="0.35">
      <c r="A52" s="7"/>
      <c r="B52" s="20" t="str">
        <f>CONCATENATE("     ","General                                           ")</f>
        <v xml:space="preserve">     General                                           </v>
      </c>
      <c r="C52" s="7"/>
      <c r="D52" s="1">
        <f>SUM(OSRRefD21_7x_0)</f>
        <v>-998</v>
      </c>
      <c r="E52" s="19"/>
      <c r="F52" s="1">
        <f>SUM(OSRRefF21_7x_0)</f>
        <v>0</v>
      </c>
      <c r="G52" s="4"/>
      <c r="H52" s="1">
        <f>SUM(OSRRefH21_7x_0)</f>
        <v>214.91</v>
      </c>
      <c r="I52" s="4"/>
      <c r="J52" s="1">
        <f>SUM(OSRRefJ21_7x_0)</f>
        <v>11.92</v>
      </c>
      <c r="K52" s="4"/>
      <c r="L52" s="1">
        <f>SUM(OSRRefL21_7x_0)</f>
        <v>661</v>
      </c>
      <c r="M52" s="4"/>
      <c r="N52" s="1">
        <f>SUM(OSRRefN21_7x_0)</f>
        <v>47.34</v>
      </c>
      <c r="O52" s="4"/>
      <c r="P52" s="1">
        <f>SUM(OSRRefP21_7x_0)</f>
        <v>600</v>
      </c>
      <c r="Q52" s="4"/>
      <c r="R52" s="1">
        <f>SUM(OSRRefR21_7x_0)</f>
        <v>600</v>
      </c>
    </row>
    <row r="53" spans="1:18" s="16" customFormat="1" hidden="1" outlineLevel="2" x14ac:dyDescent="0.35">
      <c r="B53" s="11" t="str">
        <f>CONCATENATE("          ", "6279", " - ", "GENERAL EXPENSE")</f>
        <v xml:space="preserve">          6279 - GENERAL EXPENSE</v>
      </c>
      <c r="D53" s="2">
        <v>-998</v>
      </c>
      <c r="F53" s="2"/>
      <c r="G53" s="3"/>
      <c r="H53" s="2">
        <v>214.91</v>
      </c>
      <c r="I53" s="3"/>
      <c r="J53" s="2">
        <v>11.92</v>
      </c>
      <c r="K53" s="3"/>
      <c r="L53" s="2">
        <v>661</v>
      </c>
      <c r="M53" s="3"/>
      <c r="N53" s="2">
        <v>47.34</v>
      </c>
      <c r="O53" s="3"/>
      <c r="P53" s="2">
        <v>600</v>
      </c>
      <c r="Q53" s="3"/>
      <c r="R53" s="2">
        <v>600</v>
      </c>
    </row>
    <row r="54" spans="1:18" s="15" customFormat="1" outlineLevel="1" collapsed="1" x14ac:dyDescent="0.35">
      <c r="A54" s="7"/>
      <c r="B54" s="20" t="str">
        <f>CONCATENATE("     ","Insurance                                         ")</f>
        <v xml:space="preserve">     Insurance                                         </v>
      </c>
      <c r="C54" s="7"/>
      <c r="D54" s="1">
        <f>SUM(OSRRefD21_8x_0)</f>
        <v>325.04000000000002</v>
      </c>
      <c r="E54" s="19"/>
      <c r="F54" s="1">
        <f>SUM(OSRRefF21_8x_0)</f>
        <v>393.48</v>
      </c>
      <c r="G54" s="4"/>
      <c r="H54" s="1">
        <f>SUM(OSRRefH21_8x_0)</f>
        <v>257.26</v>
      </c>
      <c r="I54" s="4"/>
      <c r="J54" s="1">
        <f>SUM(OSRRefJ21_8x_0)</f>
        <v>287.49</v>
      </c>
      <c r="K54" s="4"/>
      <c r="L54" s="1">
        <f>SUM(OSRRefL21_8x_0)</f>
        <v>279.19</v>
      </c>
      <c r="M54" s="4"/>
      <c r="N54" s="1">
        <f>SUM(OSRRefN21_8x_0)</f>
        <v>348.12</v>
      </c>
      <c r="O54" s="4"/>
      <c r="P54" s="1">
        <f>SUM(OSRRefP21_8x_0)</f>
        <v>396</v>
      </c>
      <c r="Q54" s="4"/>
      <c r="R54" s="1">
        <f>SUM(OSRRefR21_8x_0)</f>
        <v>480</v>
      </c>
    </row>
    <row r="55" spans="1:18" s="16" customFormat="1" hidden="1" outlineLevel="2" x14ac:dyDescent="0.35">
      <c r="B55" s="11" t="str">
        <f>CONCATENATE("          ", "6314", " - ", "LIABILITY INSURANCE")</f>
        <v xml:space="preserve">          6314 - LIABILITY INSURANCE</v>
      </c>
      <c r="D55" s="2">
        <v>325.04000000000002</v>
      </c>
      <c r="F55" s="2">
        <v>393.48</v>
      </c>
      <c r="G55" s="3"/>
      <c r="H55" s="2">
        <v>257.26</v>
      </c>
      <c r="I55" s="3"/>
      <c r="J55" s="2">
        <v>287.49</v>
      </c>
      <c r="K55" s="3"/>
      <c r="L55" s="2">
        <v>279.19</v>
      </c>
      <c r="M55" s="3"/>
      <c r="N55" s="2">
        <v>348.12</v>
      </c>
      <c r="O55" s="3"/>
      <c r="P55" s="2">
        <v>396</v>
      </c>
      <c r="Q55" s="3"/>
      <c r="R55" s="2">
        <v>480</v>
      </c>
    </row>
    <row r="56" spans="1:18" s="15" customFormat="1" outlineLevel="1" collapsed="1" x14ac:dyDescent="0.35">
      <c r="A56" s="7"/>
      <c r="B56" s="20" t="str">
        <f>CONCATENATE("     ","Professional Services                             ")</f>
        <v xml:space="preserve">     Professional Services                             </v>
      </c>
      <c r="C56" s="7"/>
      <c r="D56" s="1">
        <f>SUM(OSRRefD21_9x_0)</f>
        <v>0</v>
      </c>
      <c r="E56" s="19"/>
      <c r="F56" s="1">
        <f>SUM(OSRRefF21_9x_0)</f>
        <v>0</v>
      </c>
      <c r="G56" s="4"/>
      <c r="H56" s="1">
        <f>SUM(OSRRefH21_9x_0)</f>
        <v>0</v>
      </c>
      <c r="I56" s="4"/>
      <c r="J56" s="1">
        <f>SUM(OSRRefJ21_9x_0)</f>
        <v>0</v>
      </c>
      <c r="K56" s="4"/>
      <c r="L56" s="1">
        <f>SUM(OSRRefL21_9x_0)</f>
        <v>1680</v>
      </c>
      <c r="M56" s="4"/>
      <c r="N56" s="1">
        <f>SUM(OSRRefN21_9x_0)</f>
        <v>0</v>
      </c>
      <c r="O56" s="4"/>
      <c r="P56" s="1">
        <f>SUM(OSRRefP21_9x_0)</f>
        <v>0</v>
      </c>
      <c r="Q56" s="4"/>
      <c r="R56" s="1">
        <f>SUM(OSRRefR21_9x_0)</f>
        <v>0</v>
      </c>
    </row>
    <row r="57" spans="1:18" s="16" customFormat="1" hidden="1" outlineLevel="2" x14ac:dyDescent="0.35">
      <c r="B57" s="11" t="str">
        <f>CONCATENATE("          ", "6336", " - ", "PROFESSIONAL SERVICES")</f>
        <v xml:space="preserve">          6336 - PROFESSIONAL SERVICES</v>
      </c>
      <c r="D57" s="2"/>
      <c r="F57" s="2"/>
      <c r="G57" s="3"/>
      <c r="H57" s="2"/>
      <c r="I57" s="3"/>
      <c r="J57" s="2"/>
      <c r="K57" s="3"/>
      <c r="L57" s="2">
        <v>1680</v>
      </c>
      <c r="M57" s="3"/>
      <c r="N57" s="2"/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","Rent                                              ")</f>
        <v xml:space="preserve">     Rent                                              </v>
      </c>
      <c r="C58" s="7"/>
      <c r="D58" s="1">
        <f>SUM(OSRRefD21_10x_0)</f>
        <v>9600</v>
      </c>
      <c r="E58" s="19"/>
      <c r="F58" s="1">
        <f>SUM(OSRRefF21_10x_0)</f>
        <v>9600</v>
      </c>
      <c r="G58" s="4"/>
      <c r="H58" s="1">
        <f>SUM(OSRRefH21_10x_0)</f>
        <v>9600</v>
      </c>
      <c r="I58" s="4"/>
      <c r="J58" s="1">
        <f>SUM(OSRRefJ21_10x_0)</f>
        <v>9600</v>
      </c>
      <c r="K58" s="4"/>
      <c r="L58" s="1">
        <f>SUM(OSRRefL21_10x_0)</f>
        <v>8800</v>
      </c>
      <c r="M58" s="4"/>
      <c r="N58" s="1">
        <f>SUM(OSRRefN21_10x_0)</f>
        <v>8000</v>
      </c>
      <c r="O58" s="4"/>
      <c r="P58" s="1">
        <f>SUM(OSRRefP21_10x_0)</f>
        <v>9600</v>
      </c>
      <c r="Q58" s="4"/>
      <c r="R58" s="1">
        <f>SUM(OSRRefR21_10x_0)</f>
        <v>9600</v>
      </c>
    </row>
    <row r="59" spans="1:18" s="16" customFormat="1" hidden="1" outlineLevel="2" x14ac:dyDescent="0.35">
      <c r="B59" s="11" t="str">
        <f>CONCATENATE("          ", "6273", " - ", "RENT")</f>
        <v xml:space="preserve">          6273 - RENT</v>
      </c>
      <c r="D59" s="2">
        <v>9600</v>
      </c>
      <c r="F59" s="2">
        <v>9600</v>
      </c>
      <c r="G59" s="3"/>
      <c r="H59" s="2">
        <v>9600</v>
      </c>
      <c r="I59" s="3"/>
      <c r="J59" s="2">
        <v>9600</v>
      </c>
      <c r="K59" s="3"/>
      <c r="L59" s="2">
        <v>8800</v>
      </c>
      <c r="M59" s="3"/>
      <c r="N59" s="2">
        <v>8000</v>
      </c>
      <c r="O59" s="3"/>
      <c r="P59" s="2">
        <v>9600</v>
      </c>
      <c r="Q59" s="3"/>
      <c r="R59" s="2">
        <v>9600</v>
      </c>
    </row>
    <row r="60" spans="1:18" s="15" customFormat="1" outlineLevel="1" collapsed="1" x14ac:dyDescent="0.35">
      <c r="A60" s="7"/>
      <c r="B60" s="20" t="str">
        <f>CONCATENATE("     ","Repair and Maintenance                            ")</f>
        <v xml:space="preserve">     Repair and Maintenance                            </v>
      </c>
      <c r="C60" s="7"/>
      <c r="D60" s="1">
        <f>SUM(OSRRefD21_11x_0)</f>
        <v>161110.20000000001</v>
      </c>
      <c r="E60" s="19"/>
      <c r="F60" s="1">
        <f>SUM(OSRRefF21_11x_0)</f>
        <v>173993.87</v>
      </c>
      <c r="G60" s="4"/>
      <c r="H60" s="1">
        <f>SUM(OSRRefH21_11x_0)</f>
        <v>168189.73</v>
      </c>
      <c r="I60" s="4"/>
      <c r="J60" s="1">
        <f>SUM(OSRRefJ21_11x_0)</f>
        <v>172757.54</v>
      </c>
      <c r="K60" s="4"/>
      <c r="L60" s="1">
        <f>SUM(OSRRefL21_11x_0)</f>
        <v>121575.56</v>
      </c>
      <c r="M60" s="4"/>
      <c r="N60" s="1">
        <f>SUM(OSRRefN21_11x_0)</f>
        <v>119203.11</v>
      </c>
      <c r="O60" s="4"/>
      <c r="P60" s="1">
        <f>SUM(OSRRefP21_11x_0)</f>
        <v>143000</v>
      </c>
      <c r="Q60" s="4"/>
      <c r="R60" s="1">
        <f>SUM(OSRRefR21_11x_0)</f>
        <v>163400</v>
      </c>
    </row>
    <row r="61" spans="1:18" s="16" customFormat="1" hidden="1" outlineLevel="2" x14ac:dyDescent="0.35">
      <c r="B61" s="11" t="str">
        <f>CONCATENATE("          ", "6371", " - ", "COMPUTER SOFTWARE MAINTENANCE")</f>
        <v xml:space="preserve">          6371 - COMPUTER SOFTWARE MAINTENANCE</v>
      </c>
      <c r="D61" s="2"/>
      <c r="F61" s="2"/>
      <c r="G61" s="3"/>
      <c r="H61" s="2"/>
      <c r="I61" s="3"/>
      <c r="J61" s="2">
        <v>420.75</v>
      </c>
      <c r="K61" s="3"/>
      <c r="L61" s="2"/>
      <c r="M61" s="3"/>
      <c r="N61" s="2">
        <v>437.31</v>
      </c>
      <c r="O61" s="3"/>
      <c r="P61" s="2">
        <v>125000</v>
      </c>
      <c r="Q61" s="3"/>
      <c r="R61" s="2">
        <v>125000</v>
      </c>
    </row>
    <row r="62" spans="1:18" s="16" customFormat="1" hidden="1" outlineLevel="2" x14ac:dyDescent="0.35">
      <c r="B62" s="11" t="str">
        <f>CONCATENATE("          ", "6372", " - ", "COMPUTER HARDWARE MAINTENANCE")</f>
        <v xml:space="preserve">          6372 - COMPUTER HARDWARE MAINTENANCE</v>
      </c>
      <c r="D62" s="2"/>
      <c r="F62" s="2"/>
      <c r="G62" s="3"/>
      <c r="H62" s="2"/>
      <c r="I62" s="3"/>
      <c r="J62" s="2"/>
      <c r="K62" s="3"/>
      <c r="L62" s="2"/>
      <c r="M62" s="3"/>
      <c r="N62" s="2"/>
      <c r="O62" s="3"/>
      <c r="P62" s="2">
        <v>18000</v>
      </c>
      <c r="Q62" s="3"/>
      <c r="R62" s="2">
        <v>38400</v>
      </c>
    </row>
    <row r="63" spans="1:18" s="16" customFormat="1" hidden="1" outlineLevel="2" x14ac:dyDescent="0.35">
      <c r="B63" s="11" t="str">
        <f>CONCATENATE("          ", "6373", " - ", "MAINTENANCE CONTRACTS")</f>
        <v xml:space="preserve">          6373 - MAINTENANCE CONTRACTS</v>
      </c>
      <c r="D63" s="2">
        <v>157217</v>
      </c>
      <c r="F63" s="2">
        <v>173032.26</v>
      </c>
      <c r="G63" s="3"/>
      <c r="H63" s="2">
        <v>167929</v>
      </c>
      <c r="I63" s="3"/>
      <c r="J63" s="2">
        <v>170759.45</v>
      </c>
      <c r="K63" s="3"/>
      <c r="L63" s="2">
        <v>115431.56</v>
      </c>
      <c r="M63" s="3"/>
      <c r="N63" s="2">
        <v>117094</v>
      </c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"6375", " - ", "OUTSIDE REPAIRS &amp; MAINTENANCE")</f>
        <v xml:space="preserve">          6375 - OUTSIDE REPAIRS &amp; MAINTENANCE</v>
      </c>
      <c r="D64" s="2">
        <v>3893.2</v>
      </c>
      <c r="F64" s="2">
        <v>961.61</v>
      </c>
      <c r="G64" s="3"/>
      <c r="H64" s="2">
        <v>260.73</v>
      </c>
      <c r="I64" s="3"/>
      <c r="J64" s="2">
        <v>1577.34</v>
      </c>
      <c r="K64" s="3"/>
      <c r="L64" s="2">
        <v>6144</v>
      </c>
      <c r="M64" s="3"/>
      <c r="N64" s="2">
        <v>1671.8</v>
      </c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","Subscriptions &amp; Dues                              ")</f>
        <v xml:space="preserve">     Subscriptions &amp; Dues                              </v>
      </c>
      <c r="C65" s="7"/>
      <c r="D65" s="1">
        <f>SUM(OSRRefD21_12x_0)</f>
        <v>1680</v>
      </c>
      <c r="E65" s="19"/>
      <c r="F65" s="1">
        <f>SUM(OSRRefF21_12x_0)</f>
        <v>0</v>
      </c>
      <c r="G65" s="4"/>
      <c r="H65" s="1">
        <f>SUM(OSRRefH21_12x_0)</f>
        <v>895</v>
      </c>
      <c r="I65" s="4"/>
      <c r="J65" s="1">
        <f>SUM(OSRRefJ21_12x_0)</f>
        <v>895</v>
      </c>
      <c r="K65" s="4"/>
      <c r="L65" s="1">
        <f>SUM(OSRRefL21_12x_0)</f>
        <v>915</v>
      </c>
      <c r="M65" s="4"/>
      <c r="N65" s="1">
        <f>SUM(OSRRefN21_12x_0)</f>
        <v>1740</v>
      </c>
      <c r="O65" s="4"/>
      <c r="P65" s="1">
        <f>SUM(OSRRefP21_12x_0)</f>
        <v>850</v>
      </c>
      <c r="Q65" s="4"/>
      <c r="R65" s="1">
        <f>SUM(OSRRefR21_12x_0)</f>
        <v>1020</v>
      </c>
    </row>
    <row r="66" spans="1:18" s="16" customFormat="1" hidden="1" outlineLevel="2" x14ac:dyDescent="0.35">
      <c r="B66" s="11" t="str">
        <f>CONCATENATE("          ", "6258", " - ", "MEMBERSHIP DUES")</f>
        <v xml:space="preserve">          6258 - MEMBERSHIP DUES</v>
      </c>
      <c r="D66" s="2">
        <v>1680</v>
      </c>
      <c r="F66" s="2"/>
      <c r="G66" s="3"/>
      <c r="H66" s="2">
        <v>895</v>
      </c>
      <c r="I66" s="3"/>
      <c r="J66" s="2">
        <v>895</v>
      </c>
      <c r="K66" s="3"/>
      <c r="L66" s="2">
        <v>915</v>
      </c>
      <c r="M66" s="3"/>
      <c r="N66" s="2">
        <v>1740</v>
      </c>
      <c r="O66" s="3"/>
      <c r="P66" s="2">
        <v>850</v>
      </c>
      <c r="Q66" s="3"/>
      <c r="R66" s="2">
        <v>1020</v>
      </c>
    </row>
    <row r="67" spans="1:18" s="15" customFormat="1" outlineLevel="1" collapsed="1" x14ac:dyDescent="0.35">
      <c r="A67" s="7"/>
      <c r="B67" s="20" t="str">
        <f>CONCATENATE("     ","Supplies                                          ")</f>
        <v xml:space="preserve">     Supplies                                          </v>
      </c>
      <c r="C67" s="7"/>
      <c r="D67" s="1">
        <f>SUM(OSRRefD21_13x_0)</f>
        <v>17728.13</v>
      </c>
      <c r="E67" s="19"/>
      <c r="F67" s="1">
        <f>SUM(OSRRefF21_13x_0)</f>
        <v>39331.65</v>
      </c>
      <c r="G67" s="4"/>
      <c r="H67" s="1">
        <f>SUM(OSRRefH21_13x_0)</f>
        <v>62506.679999999993</v>
      </c>
      <c r="I67" s="4"/>
      <c r="J67" s="1">
        <f>SUM(OSRRefJ21_13x_0)</f>
        <v>54435.73</v>
      </c>
      <c r="K67" s="4"/>
      <c r="L67" s="1">
        <f>SUM(OSRRefL21_13x_0)</f>
        <v>60839.12</v>
      </c>
      <c r="M67" s="4"/>
      <c r="N67" s="1">
        <f>SUM(OSRRefN21_13x_0)</f>
        <v>64725.189999999995</v>
      </c>
      <c r="O67" s="4"/>
      <c r="P67" s="1">
        <f>SUM(OSRRefP21_13x_0)</f>
        <v>84000</v>
      </c>
      <c r="Q67" s="4"/>
      <c r="R67" s="1">
        <f>SUM(OSRRefR21_13x_0)</f>
        <v>69600</v>
      </c>
    </row>
    <row r="68" spans="1:18" s="16" customFormat="1" hidden="1" outlineLevel="2" x14ac:dyDescent="0.35">
      <c r="B68" s="11" t="str">
        <f>CONCATENATE("          ", "6234", " - ", "EXPENDABLE SUPPLIES &amp; EQUIPMEN")</f>
        <v xml:space="preserve">          6234 - EXPENDABLE SUPPLIES &amp; EQUIPMEN</v>
      </c>
      <c r="D68" s="2"/>
      <c r="F68" s="2"/>
      <c r="G68" s="3"/>
      <c r="H68" s="2">
        <v>1242.5899999999999</v>
      </c>
      <c r="I68" s="3"/>
      <c r="J68" s="2">
        <v>292.14999999999998</v>
      </c>
      <c r="K68" s="3"/>
      <c r="L68" s="2"/>
      <c r="M68" s="3"/>
      <c r="N68" s="2">
        <v>413.27</v>
      </c>
      <c r="O68" s="3"/>
      <c r="P68" s="2">
        <v>84000</v>
      </c>
      <c r="Q68" s="3"/>
      <c r="R68" s="2">
        <v>69600</v>
      </c>
    </row>
    <row r="69" spans="1:18" s="16" customFormat="1" hidden="1" outlineLevel="2" x14ac:dyDescent="0.35">
      <c r="B69" s="11" t="str">
        <f>CONCATENATE("          ", "6241", " - ", "OFFICE EXPENSE")</f>
        <v xml:space="preserve">          6241 - OFFICE EXPENSE</v>
      </c>
      <c r="D69" s="2">
        <v>17460.560000000001</v>
      </c>
      <c r="F69" s="2">
        <v>38897.040000000001</v>
      </c>
      <c r="G69" s="3"/>
      <c r="H69" s="2">
        <v>43883.67</v>
      </c>
      <c r="I69" s="3"/>
      <c r="J69" s="2">
        <v>52937.9</v>
      </c>
      <c r="K69" s="3"/>
      <c r="L69" s="2">
        <v>59419.1</v>
      </c>
      <c r="M69" s="3"/>
      <c r="N69" s="2">
        <v>64108.4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"6245", " - ", "PRINTING")</f>
        <v xml:space="preserve">          6245 - PRINTING</v>
      </c>
      <c r="D70" s="2">
        <v>9.57</v>
      </c>
      <c r="F70" s="2">
        <v>434.61</v>
      </c>
      <c r="G70" s="3"/>
      <c r="H70" s="2">
        <v>1301.02</v>
      </c>
      <c r="I70" s="3"/>
      <c r="J70" s="2">
        <v>1205.68</v>
      </c>
      <c r="K70" s="3"/>
      <c r="L70" s="2">
        <v>1364.9</v>
      </c>
      <c r="M70" s="3"/>
      <c r="N70" s="2">
        <v>203.52</v>
      </c>
      <c r="O70" s="3"/>
      <c r="P70" s="2"/>
      <c r="Q70" s="3"/>
      <c r="R70" s="2"/>
    </row>
    <row r="71" spans="1:18" s="16" customFormat="1" hidden="1" outlineLevel="2" x14ac:dyDescent="0.35">
      <c r="B71" s="11" t="str">
        <f>CONCATENATE("          ", "6247", " - ", "STORE SUPPLIES")</f>
        <v xml:space="preserve">          6247 - STORE SUPPLIES</v>
      </c>
      <c r="D71" s="2">
        <v>258</v>
      </c>
      <c r="F71" s="2"/>
      <c r="G71" s="3"/>
      <c r="H71" s="2">
        <v>16079.4</v>
      </c>
      <c r="I71" s="3"/>
      <c r="J71" s="2"/>
      <c r="K71" s="3"/>
      <c r="L71" s="2">
        <v>55.12</v>
      </c>
      <c r="M71" s="3"/>
      <c r="N71" s="2"/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","Telephone/Data Lines                              ")</f>
        <v xml:space="preserve">     Telephone/Data Lines                              </v>
      </c>
      <c r="C72" s="7"/>
      <c r="D72" s="1">
        <f>SUM(OSRRefD21_14x_0)</f>
        <v>4570.72</v>
      </c>
      <c r="E72" s="19"/>
      <c r="F72" s="1">
        <f>SUM(OSRRefF21_14x_0)</f>
        <v>4709.38</v>
      </c>
      <c r="G72" s="4"/>
      <c r="H72" s="1">
        <f>SUM(OSRRefH21_14x_0)</f>
        <v>4052.62</v>
      </c>
      <c r="I72" s="4"/>
      <c r="J72" s="1">
        <f>SUM(OSRRefJ21_14x_0)</f>
        <v>4538.2299999999996</v>
      </c>
      <c r="K72" s="4"/>
      <c r="L72" s="1">
        <f>SUM(OSRRefL21_14x_0)</f>
        <v>4103.9399999999996</v>
      </c>
      <c r="M72" s="4"/>
      <c r="N72" s="1">
        <f>SUM(OSRRefN21_14x_0)</f>
        <v>2080.66</v>
      </c>
      <c r="O72" s="4"/>
      <c r="P72" s="1">
        <f>SUM(OSRRefP21_14x_0)</f>
        <v>8400</v>
      </c>
      <c r="Q72" s="4"/>
      <c r="R72" s="1">
        <f>SUM(OSRRefR21_14x_0)</f>
        <v>4200</v>
      </c>
    </row>
    <row r="73" spans="1:18" s="16" customFormat="1" hidden="1" outlineLevel="2" x14ac:dyDescent="0.35">
      <c r="B73" s="11" t="str">
        <f>CONCATENATE("          ", "6309", " - ", "TELEPHONE")</f>
        <v xml:space="preserve">          6309 - TELEPHONE</v>
      </c>
      <c r="D73" s="2">
        <v>4570.72</v>
      </c>
      <c r="F73" s="2">
        <v>4709.38</v>
      </c>
      <c r="G73" s="3"/>
      <c r="H73" s="2">
        <v>4052.62</v>
      </c>
      <c r="I73" s="3"/>
      <c r="J73" s="2">
        <v>4538.2299999999996</v>
      </c>
      <c r="K73" s="3"/>
      <c r="L73" s="2">
        <v>4103.9399999999996</v>
      </c>
      <c r="M73" s="3"/>
      <c r="N73" s="2">
        <v>2080.66</v>
      </c>
      <c r="O73" s="3"/>
      <c r="P73" s="2">
        <v>8400</v>
      </c>
      <c r="Q73" s="3"/>
      <c r="R73" s="2">
        <v>4200</v>
      </c>
    </row>
    <row r="74" spans="1:18" s="15" customFormat="1" outlineLevel="1" collapsed="1" x14ac:dyDescent="0.35">
      <c r="A74" s="7"/>
      <c r="B74" s="20" t="str">
        <f>CONCATENATE("     ","Training                                          ")</f>
        <v xml:space="preserve">     Training                                          </v>
      </c>
      <c r="C74" s="7"/>
      <c r="D74" s="1">
        <f>SUM(OSRRefD21_15x_0)</f>
        <v>3602.22</v>
      </c>
      <c r="E74" s="19"/>
      <c r="F74" s="1">
        <f>SUM(OSRRefF21_15x_0)</f>
        <v>10297.81</v>
      </c>
      <c r="G74" s="4"/>
      <c r="H74" s="1">
        <f>SUM(OSRRefH21_15x_0)</f>
        <v>6528.82</v>
      </c>
      <c r="I74" s="4"/>
      <c r="J74" s="1">
        <f>SUM(OSRRefJ21_15x_0)</f>
        <v>5177.46</v>
      </c>
      <c r="K74" s="4"/>
      <c r="L74" s="1">
        <f>SUM(OSRRefL21_15x_0)</f>
        <v>4591.2</v>
      </c>
      <c r="M74" s="4"/>
      <c r="N74" s="1">
        <f>SUM(OSRRefN21_15x_0)</f>
        <v>3186.24</v>
      </c>
      <c r="O74" s="4"/>
      <c r="P74" s="1">
        <f>SUM(OSRRefP21_15x_0)</f>
        <v>4500</v>
      </c>
      <c r="Q74" s="4"/>
      <c r="R74" s="1">
        <f>SUM(OSRRefR21_15x_0)</f>
        <v>4500</v>
      </c>
    </row>
    <row r="75" spans="1:18" s="16" customFormat="1" hidden="1" outlineLevel="2" x14ac:dyDescent="0.35">
      <c r="B75" s="11" t="str">
        <f>CONCATENATE("          ", "6376", " - ", "TRAINING")</f>
        <v xml:space="preserve">          6376 - TRAINING</v>
      </c>
      <c r="D75" s="2">
        <v>3602.22</v>
      </c>
      <c r="F75" s="2">
        <v>10297.81</v>
      </c>
      <c r="G75" s="3"/>
      <c r="H75" s="2">
        <v>6528.82</v>
      </c>
      <c r="I75" s="3"/>
      <c r="J75" s="2">
        <v>5177.46</v>
      </c>
      <c r="K75" s="3"/>
      <c r="L75" s="2">
        <v>4591.2</v>
      </c>
      <c r="M75" s="3"/>
      <c r="N75" s="2">
        <v>3186.24</v>
      </c>
      <c r="O75" s="3"/>
      <c r="P75" s="2">
        <v>4500</v>
      </c>
      <c r="Q75" s="3"/>
      <c r="R75" s="2">
        <v>4500</v>
      </c>
    </row>
    <row r="76" spans="1:18" s="15" customFormat="1" outlineLevel="1" collapsed="1" x14ac:dyDescent="0.35">
      <c r="A76" s="7"/>
      <c r="B76" s="20" t="str">
        <f>CONCATENATE("     ","Travel                                            ")</f>
        <v xml:space="preserve">     Travel                                            </v>
      </c>
      <c r="C76" s="7"/>
      <c r="D76" s="1">
        <f>SUM(OSRRefD21_16x_0)</f>
        <v>0</v>
      </c>
      <c r="E76" s="19"/>
      <c r="F76" s="1">
        <f>SUM(OSRRefF21_16x_0)</f>
        <v>0</v>
      </c>
      <c r="G76" s="4"/>
      <c r="H76" s="1">
        <f>SUM(OSRRefH21_16x_0)</f>
        <v>1375.5</v>
      </c>
      <c r="I76" s="4"/>
      <c r="J76" s="1">
        <f>SUM(OSRRefJ21_16x_0)</f>
        <v>0</v>
      </c>
      <c r="K76" s="4"/>
      <c r="L76" s="1">
        <f>SUM(OSRRefL21_16x_0)</f>
        <v>0</v>
      </c>
      <c r="M76" s="4"/>
      <c r="N76" s="1">
        <f>SUM(OSRRefN21_16x_0)</f>
        <v>0</v>
      </c>
      <c r="O76" s="4"/>
      <c r="P76" s="1">
        <f>SUM(OSRRefP21_16x_0)</f>
        <v>0</v>
      </c>
      <c r="Q76" s="4"/>
      <c r="R76" s="1">
        <f>SUM(OSRRefR21_16x_0)</f>
        <v>0</v>
      </c>
    </row>
    <row r="77" spans="1:18" s="16" customFormat="1" hidden="1" outlineLevel="2" x14ac:dyDescent="0.35">
      <c r="B77" s="11" t="str">
        <f>CONCATENATE("          ", "6292", " - ", "TRAVEL/CONFERENCE")</f>
        <v xml:space="preserve">          6292 - TRAVEL/CONFERENCE</v>
      </c>
      <c r="D77" s="2"/>
      <c r="F77" s="2"/>
      <c r="G77" s="3"/>
      <c r="H77" s="2">
        <v>1375.5</v>
      </c>
      <c r="I77" s="3"/>
      <c r="J77" s="2"/>
      <c r="K77" s="3"/>
      <c r="L77" s="2"/>
      <c r="M77" s="3"/>
      <c r="N77" s="2"/>
      <c r="O77" s="3"/>
      <c r="P77" s="2"/>
      <c r="Q77" s="3"/>
      <c r="R77" s="2"/>
    </row>
    <row r="78" spans="1:18" x14ac:dyDescent="0.35">
      <c r="A78" s="12"/>
      <c r="B78" s="12"/>
      <c r="C78" s="12"/>
      <c r="D78" s="1"/>
      <c r="F78" s="1"/>
      <c r="H78" s="1"/>
      <c r="J78" s="1"/>
      <c r="L78" s="1"/>
      <c r="N78" s="1"/>
      <c r="P78" s="1"/>
      <c r="R78" s="1"/>
    </row>
    <row r="79" spans="1:18" s="7" customFormat="1" collapsed="1" x14ac:dyDescent="0.35">
      <c r="A79" s="36"/>
      <c r="B79" s="34" t="s">
        <v>295</v>
      </c>
      <c r="D79" s="6">
        <f>SUM(OSRRefD24x_0)</f>
        <v>35663.440000000002</v>
      </c>
      <c r="E79" s="12"/>
      <c r="F79" s="6">
        <f>SUM(OSRRefF24x_0)</f>
        <v>26154.74</v>
      </c>
      <c r="G79" s="5"/>
      <c r="H79" s="6">
        <f>SUM(OSRRefH24x_0)</f>
        <v>27548.26</v>
      </c>
      <c r="I79" s="5"/>
      <c r="J79" s="6">
        <f>SUM(OSRRefJ24x_0)</f>
        <v>33130.629999999997</v>
      </c>
      <c r="K79" s="5"/>
      <c r="L79" s="6">
        <f>SUM(OSRRefL24x_0)</f>
        <v>28167.539999999997</v>
      </c>
      <c r="M79" s="5"/>
      <c r="N79" s="6">
        <f>SUM(OSRRefN24x_0)</f>
        <v>20670.75</v>
      </c>
      <c r="O79" s="5"/>
      <c r="P79" s="6">
        <f>SUM(OSRRefP24x_0)</f>
        <v>35650</v>
      </c>
      <c r="Q79" s="5"/>
      <c r="R79" s="6">
        <f>SUM(OSRRefR24x_0)</f>
        <v>28800</v>
      </c>
    </row>
    <row r="80" spans="1:18" s="7" customFormat="1" hidden="1" outlineLevel="1" x14ac:dyDescent="0.35">
      <c r="A80" s="36"/>
      <c r="B80" s="11" t="str">
        <f>CONCATENATE("          ", "9150", " - ", "MISC. INCOME")</f>
        <v xml:space="preserve">          9150 - MISC. INCOME</v>
      </c>
      <c r="D80" s="11">
        <f>--35163.44</f>
        <v>35163.440000000002</v>
      </c>
      <c r="E80" s="16"/>
      <c r="F80" s="11">
        <f>--26154.74</f>
        <v>26154.74</v>
      </c>
      <c r="G80" s="3"/>
      <c r="H80" s="11">
        <f>--27446.26</f>
        <v>27446.26</v>
      </c>
      <c r="I80" s="3"/>
      <c r="J80" s="11">
        <f>--33130.63</f>
        <v>33130.629999999997</v>
      </c>
      <c r="K80" s="3"/>
      <c r="L80" s="11">
        <f>--27997.19</f>
        <v>27997.19</v>
      </c>
      <c r="M80" s="3"/>
      <c r="N80" s="11">
        <f>--20670.75</f>
        <v>20670.75</v>
      </c>
      <c r="O80" s="3"/>
      <c r="P80" s="11">
        <v>35650</v>
      </c>
      <c r="Q80" s="3"/>
      <c r="R80" s="11">
        <v>28800</v>
      </c>
    </row>
    <row r="81" spans="1:18" s="7" customFormat="1" hidden="1" outlineLevel="1" x14ac:dyDescent="0.35">
      <c r="A81" s="36"/>
      <c r="B81" s="11" t="str">
        <f>CONCATENATE("          ", "9151", " - ", "MISC. INCOME")</f>
        <v xml:space="preserve">          9151 - MISC. INCOME</v>
      </c>
      <c r="D81" s="11">
        <f>--500</f>
        <v>500</v>
      </c>
      <c r="E81" s="16"/>
      <c r="F81" s="11">
        <f t="shared" ref="F81:F82" si="0">0</f>
        <v>0</v>
      </c>
      <c r="G81" s="3"/>
      <c r="H81" s="11">
        <f>--102</f>
        <v>102</v>
      </c>
      <c r="I81" s="3"/>
      <c r="J81" s="11">
        <f t="shared" ref="J81:J82" si="1">0</f>
        <v>0</v>
      </c>
      <c r="K81" s="3"/>
      <c r="L81" s="11">
        <f>0</f>
        <v>0</v>
      </c>
      <c r="M81" s="3"/>
      <c r="N81" s="11">
        <f t="shared" ref="N81:N82" si="2">0</f>
        <v>0</v>
      </c>
      <c r="O81" s="3"/>
      <c r="P81" s="11"/>
      <c r="Q81" s="3"/>
      <c r="R81" s="11"/>
    </row>
    <row r="82" spans="1:18" s="7" customFormat="1" hidden="1" outlineLevel="1" x14ac:dyDescent="0.35">
      <c r="A82" s="36"/>
      <c r="B82" s="11" t="str">
        <f>CONCATENATE("          ", "9160", " - ", "MISC. INCOME")</f>
        <v xml:space="preserve">          9160 - MISC. INCOME</v>
      </c>
      <c r="D82" s="11">
        <f>0</f>
        <v>0</v>
      </c>
      <c r="E82" s="16"/>
      <c r="F82" s="11">
        <f t="shared" si="0"/>
        <v>0</v>
      </c>
      <c r="G82" s="3"/>
      <c r="H82" s="11">
        <f>0</f>
        <v>0</v>
      </c>
      <c r="I82" s="3"/>
      <c r="J82" s="11">
        <f t="shared" si="1"/>
        <v>0</v>
      </c>
      <c r="K82" s="3"/>
      <c r="L82" s="11">
        <f>--170.35</f>
        <v>170.35</v>
      </c>
      <c r="M82" s="3"/>
      <c r="N82" s="11">
        <f t="shared" si="2"/>
        <v>0</v>
      </c>
      <c r="O82" s="3"/>
      <c r="P82" s="11"/>
      <c r="Q82" s="3"/>
      <c r="R82" s="11"/>
    </row>
    <row r="83" spans="1:18" x14ac:dyDescent="0.35">
      <c r="A83" s="12"/>
      <c r="B83" s="7"/>
      <c r="C83" s="7"/>
      <c r="D83" s="6"/>
      <c r="F83" s="6"/>
      <c r="H83" s="6"/>
      <c r="J83" s="6"/>
      <c r="L83" s="6"/>
      <c r="N83" s="6"/>
      <c r="P83" s="6"/>
      <c r="R83" s="6"/>
    </row>
    <row r="84" spans="1:18" s="15" customFormat="1" x14ac:dyDescent="0.35">
      <c r="A84" s="7"/>
      <c r="B84" s="22" t="s">
        <v>279</v>
      </c>
      <c r="C84" s="22"/>
      <c r="D84" s="10">
        <f>+D16-D19+D79</f>
        <v>35798.729999999981</v>
      </c>
      <c r="E84" s="12"/>
      <c r="F84" s="10">
        <f>+F16-F19+F79</f>
        <v>44853.420000000056</v>
      </c>
      <c r="G84" s="5"/>
      <c r="H84" s="10">
        <f>+H16-H19+H79</f>
        <v>43615.719999999899</v>
      </c>
      <c r="I84" s="5"/>
      <c r="J84" s="10">
        <f>+J16-J19+J79</f>
        <v>63548.349999999911</v>
      </c>
      <c r="K84" s="5"/>
      <c r="L84" s="10">
        <f>+L16-L19+L79</f>
        <v>47783.319999999963</v>
      </c>
      <c r="M84" s="5"/>
      <c r="N84" s="10">
        <f>+N16-N19+N79</f>
        <v>50838.01999999996</v>
      </c>
      <c r="O84" s="5"/>
      <c r="P84" s="10">
        <f>+P16-P19+P79</f>
        <v>91761.689903400023</v>
      </c>
      <c r="Q84" s="5"/>
      <c r="R84" s="10">
        <f>+R16-R19+R79</f>
        <v>67510.154365689959</v>
      </c>
    </row>
    <row r="85" spans="1:18" s="27" customFormat="1" x14ac:dyDescent="0.35">
      <c r="A85" s="18"/>
      <c r="B85" s="31"/>
      <c r="C85" s="18"/>
      <c r="D85" s="9">
        <f>IFERROR(D84/D10, 0)</f>
        <v>9.4788135705415513E-2</v>
      </c>
      <c r="E85" s="18"/>
      <c r="F85" s="9">
        <f>IFERROR(F84/F10, 0)</f>
        <v>0.10155207741368745</v>
      </c>
      <c r="G85" s="14"/>
      <c r="H85" s="9">
        <f>IFERROR(H84/H10, 0)</f>
        <v>9.3184434407701397E-2</v>
      </c>
      <c r="I85" s="14"/>
      <c r="J85" s="9">
        <f>IFERROR(J84/J10, 0)</f>
        <v>0.12902196577326855</v>
      </c>
      <c r="K85" s="14"/>
      <c r="L85" s="9">
        <f>IFERROR(L84/L10, 0)</f>
        <v>9.7857684100152706E-2</v>
      </c>
      <c r="M85" s="14"/>
      <c r="N85" s="9">
        <f>IFERROR(N84/N10, 0)</f>
        <v>0.10339697932386635</v>
      </c>
      <c r="O85" s="14"/>
      <c r="P85" s="9">
        <f>IFERROR(P84/P10, 0)</f>
        <v>0.15279201603720494</v>
      </c>
      <c r="Q85" s="14"/>
      <c r="R85" s="9">
        <f>IFERROR(R84/R10, 0)</f>
        <v>0.11269498201439936</v>
      </c>
    </row>
    <row r="86" spans="1:18" s="27" customFormat="1" x14ac:dyDescent="0.35">
      <c r="A86" s="18"/>
      <c r="B86" s="31"/>
      <c r="C86" s="18"/>
      <c r="D86" s="13"/>
      <c r="E86" s="18"/>
      <c r="F86" s="13"/>
      <c r="G86" s="14"/>
      <c r="H86" s="13"/>
      <c r="I86" s="14"/>
      <c r="J86" s="13"/>
      <c r="K86" s="14"/>
      <c r="L86" s="13"/>
      <c r="M86" s="14"/>
      <c r="N86" s="13"/>
      <c r="O86" s="14"/>
      <c r="P86" s="13"/>
      <c r="Q86" s="14"/>
      <c r="R86" s="13"/>
    </row>
    <row r="87" spans="1:18" s="15" customFormat="1" x14ac:dyDescent="0.35">
      <c r="A87" s="37"/>
      <c r="B87" s="7" t="s">
        <v>127</v>
      </c>
      <c r="C87" s="7"/>
      <c r="D87" s="6">
        <v>82069.289999999994</v>
      </c>
      <c r="E87" s="12"/>
      <c r="F87" s="6">
        <v>62876.06</v>
      </c>
      <c r="G87" s="5"/>
      <c r="H87" s="6">
        <v>62582.05</v>
      </c>
      <c r="I87" s="5"/>
      <c r="J87" s="6">
        <v>66105.37</v>
      </c>
      <c r="K87" s="5"/>
      <c r="L87" s="6">
        <v>34804.18</v>
      </c>
      <c r="M87" s="5"/>
      <c r="N87" s="6">
        <v>74451.17</v>
      </c>
      <c r="O87" s="5"/>
      <c r="P87" s="6">
        <v>101273</v>
      </c>
      <c r="Q87" s="5"/>
      <c r="R87" s="6">
        <v>67920</v>
      </c>
    </row>
    <row r="88" spans="1:18" x14ac:dyDescent="0.35">
      <c r="A88" s="12"/>
      <c r="B88" s="7"/>
      <c r="C88" s="7"/>
      <c r="D88" s="6"/>
      <c r="F88" s="6"/>
      <c r="H88" s="6"/>
      <c r="J88" s="6"/>
      <c r="L88" s="6"/>
      <c r="N88" s="6"/>
      <c r="P88" s="6"/>
      <c r="R88" s="6"/>
    </row>
    <row r="89" spans="1:18" s="15" customFormat="1" x14ac:dyDescent="0.35">
      <c r="A89" s="7"/>
      <c r="B89" s="22" t="s">
        <v>126</v>
      </c>
      <c r="C89" s="22"/>
      <c r="D89" s="10">
        <f>+D84-D87</f>
        <v>-46270.560000000012</v>
      </c>
      <c r="E89" s="12"/>
      <c r="F89" s="10">
        <f>+F84-F87</f>
        <v>-18022.639999999941</v>
      </c>
      <c r="G89" s="5"/>
      <c r="H89" s="10">
        <f>+H84-H87</f>
        <v>-18966.330000000104</v>
      </c>
      <c r="I89" s="5"/>
      <c r="J89" s="10">
        <f>+J84-J87</f>
        <v>-2557.0200000000841</v>
      </c>
      <c r="K89" s="5"/>
      <c r="L89" s="10">
        <f>+L84-L87</f>
        <v>12979.139999999963</v>
      </c>
      <c r="M89" s="5"/>
      <c r="N89" s="10">
        <f>+N84-N87</f>
        <v>-23613.150000000038</v>
      </c>
      <c r="O89" s="5"/>
      <c r="P89" s="10">
        <f>+P84-P87</f>
        <v>-9511.3100965999765</v>
      </c>
      <c r="Q89" s="5"/>
      <c r="R89" s="10">
        <f>+R84-R87</f>
        <v>-409.84563431004062</v>
      </c>
    </row>
    <row r="90" spans="1:18" s="27" customFormat="1" x14ac:dyDescent="0.35">
      <c r="A90" s="18"/>
      <c r="B90" s="18"/>
      <c r="C90" s="18"/>
      <c r="D90" s="9">
        <f>IFERROR(D89/D10, 0)</f>
        <v>-0.12251552276981821</v>
      </c>
      <c r="E90" s="18"/>
      <c r="F90" s="9">
        <f>IFERROR(F89/F10, 0)</f>
        <v>-4.0804837902639564E-2</v>
      </c>
      <c r="G90" s="14"/>
      <c r="H90" s="9">
        <f>IFERROR(H89/H10, 0)</f>
        <v>-4.0521324280324456E-2</v>
      </c>
      <c r="I90" s="14"/>
      <c r="J90" s="9">
        <f>IFERROR(J89/J10, 0)</f>
        <v>-5.1915076775647896E-3</v>
      </c>
      <c r="K90" s="14"/>
      <c r="L90" s="9">
        <f>IFERROR(L89/L10, 0)</f>
        <v>2.6580584647773603E-2</v>
      </c>
      <c r="M90" s="14"/>
      <c r="N90" s="9">
        <f>IFERROR(N89/N10, 0)</f>
        <v>-4.8025638731039495E-2</v>
      </c>
      <c r="O90" s="14"/>
      <c r="P90" s="9">
        <f>IFERROR(P89/P10, 0)</f>
        <v>-1.5837243694448198E-2</v>
      </c>
      <c r="Q90" s="14"/>
      <c r="R90" s="9">
        <f>IFERROR(R89/R10, 0)</f>
        <v>-6.8415702528334878E-4</v>
      </c>
    </row>
    <row r="91" spans="1:18" s="27" customFormat="1" x14ac:dyDescent="0.35">
      <c r="A91" s="18"/>
      <c r="B91" s="18"/>
      <c r="C91" s="18"/>
      <c r="D91" s="13"/>
      <c r="E91" s="18"/>
      <c r="F91" s="13"/>
      <c r="G91" s="14"/>
      <c r="H91" s="13"/>
      <c r="I91" s="14"/>
      <c r="J91" s="13"/>
      <c r="K91" s="14"/>
      <c r="L91" s="13"/>
      <c r="M91" s="14"/>
      <c r="N91" s="13"/>
      <c r="O91" s="14"/>
      <c r="P91" s="13"/>
      <c r="Q91" s="14"/>
      <c r="R91" s="13"/>
    </row>
    <row r="92" spans="1:18" x14ac:dyDescent="0.35">
      <c r="A92" s="12"/>
      <c r="B92" s="12"/>
      <c r="C92" s="12"/>
      <c r="D92" s="6"/>
      <c r="F92" s="6"/>
      <c r="H92" s="6"/>
      <c r="J92" s="6"/>
      <c r="L92" s="6"/>
      <c r="N92" s="6"/>
      <c r="P92" s="6"/>
      <c r="R92" s="6"/>
    </row>
    <row r="93" spans="1:18" s="15" customFormat="1" x14ac:dyDescent="0.35">
      <c r="A93" s="7"/>
      <c r="B93" s="22" t="s">
        <v>296</v>
      </c>
      <c r="C93" s="22"/>
      <c r="D93" s="10">
        <f>SUM(D89:D92)</f>
        <v>-46270.682515522785</v>
      </c>
      <c r="E93" s="12"/>
      <c r="F93" s="10">
        <f>SUM(F89:F92)</f>
        <v>-18022.680804837844</v>
      </c>
      <c r="G93" s="5"/>
      <c r="H93" s="10">
        <f>SUM(H89:H92)</f>
        <v>-18966.370521324385</v>
      </c>
      <c r="I93" s="5"/>
      <c r="J93" s="10">
        <f>SUM(J89:J92)</f>
        <v>-2557.0251915077615</v>
      </c>
      <c r="K93" s="5"/>
      <c r="L93" s="10">
        <f>SUM(L89:L92)</f>
        <v>12979.166580584611</v>
      </c>
      <c r="M93" s="5"/>
      <c r="N93" s="10">
        <f>SUM(N89:N92)</f>
        <v>-23613.198025638769</v>
      </c>
      <c r="O93" s="5"/>
      <c r="P93" s="10">
        <f>SUM(P89:P92)</f>
        <v>-9511.325933843671</v>
      </c>
      <c r="Q93" s="5"/>
      <c r="R93" s="10">
        <f>SUM(R89:R92)</f>
        <v>-409.84631846706588</v>
      </c>
    </row>
    <row r="94" spans="1:18" s="27" customFormat="1" x14ac:dyDescent="0.35">
      <c r="A94" s="18"/>
      <c r="B94" s="41"/>
      <c r="C94" s="18"/>
      <c r="D94" s="9">
        <f>IFERROR(D93/D10, 0)</f>
        <v>-0.12251584716730378</v>
      </c>
      <c r="E94" s="18"/>
      <c r="F94" s="9">
        <f>IFERROR(F93/F10, 0)</f>
        <v>-4.0804930288371975E-2</v>
      </c>
      <c r="G94" s="14"/>
      <c r="H94" s="9">
        <f>IFERROR(H93/H10, 0)</f>
        <v>-4.0521410853621528E-2</v>
      </c>
      <c r="I94" s="14"/>
      <c r="J94" s="9">
        <f>IFERROR(J93/J10, 0)</f>
        <v>-5.1915182178624668E-3</v>
      </c>
      <c r="K94" s="14"/>
      <c r="L94" s="9">
        <f>IFERROR(L93/L10, 0)</f>
        <v>2.6580639083389538E-2</v>
      </c>
      <c r="M94" s="14"/>
      <c r="N94" s="9">
        <f>IFERROR(N93/N10, 0)</f>
        <v>-4.8025736408053174E-2</v>
      </c>
      <c r="O94" s="14"/>
      <c r="P94" s="9">
        <f>IFERROR(P93/P10, 0)</f>
        <v>-1.5837270064978155E-2</v>
      </c>
      <c r="Q94" s="14"/>
      <c r="R94" s="9">
        <f>IFERROR(R93/R10, 0)</f>
        <v>-6.8415816734952208E-4</v>
      </c>
    </row>
    <row r="95" spans="1:18" x14ac:dyDescent="0.35">
      <c r="A95" s="12"/>
      <c r="B95" s="40">
        <v>44319.883572604165</v>
      </c>
      <c r="D95" s="24"/>
      <c r="F95" s="24"/>
      <c r="H95" s="24"/>
      <c r="J95" s="24"/>
      <c r="L95" s="24"/>
      <c r="N95" s="24"/>
      <c r="P95" s="24"/>
      <c r="R95" s="24"/>
    </row>
    <row r="96" spans="1:18" x14ac:dyDescent="0.35">
      <c r="A96" s="12"/>
      <c r="B96" s="39" t="s">
        <v>23</v>
      </c>
      <c r="D96" s="24"/>
      <c r="F96" s="24"/>
      <c r="H96" s="24"/>
      <c r="J96" s="24"/>
      <c r="L96" s="24"/>
      <c r="N96" s="24"/>
      <c r="P96" s="24"/>
      <c r="R96" s="24"/>
    </row>
    <row r="97" spans="1:18" x14ac:dyDescent="0.35">
      <c r="A97" s="12"/>
      <c r="D97" s="24"/>
      <c r="F97" s="24"/>
      <c r="H97" s="24"/>
      <c r="J97" s="24"/>
      <c r="L97" s="24"/>
      <c r="N97" s="24"/>
      <c r="P97" s="24"/>
      <c r="R97" s="24"/>
    </row>
    <row r="98" spans="1:18" x14ac:dyDescent="0.35">
      <c r="D98" s="24"/>
      <c r="F98" s="24"/>
      <c r="H98" s="24"/>
      <c r="J98" s="24"/>
      <c r="L98" s="24"/>
      <c r="N98" s="24"/>
      <c r="P98" s="24"/>
      <c r="R98" s="24"/>
    </row>
  </sheetData>
  <pageMargins left="0.5" right="0.5" top="0.5" bottom="0.5" header="0.3" footer="0.3"/>
  <pageSetup scale="59" orientation="landscape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",_xll.OneStop.ReportPlayer.OSRFunctions.OSRGet("d_dim0","Code"), " - ", _xll.OneStop.ReportPlayer.OSRFunctions.OSRGet("d_dim0","Description"))</f>
        <v>Department [d_dim0.Code] - [d_dim0.Description]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",_xll.OneStop.ReportPlayer.OSRFunctions.OSRGet("d_dim0","Code"), " - ", _xll.OneStop.ReportPlayer.OSRFunctions.OSRGet("d_dim0","Description"))</f>
        <v>Department [d_dim0.Code] - [d_dim0.Description]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",_xll.OneStop.ReportPlayer.OSRFunctions.OSRGet("d_dim0","Code"), " - ", _xll.OneStop.ReportPlayer.OSRFunctions.OSRGet("d_dim0","Description"))</f>
        <v>Department [d_dim0.Code] - [d_dim0.Description]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138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38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16777804.960000016</v>
      </c>
      <c r="F10" s="8">
        <f>SUM(OSRRefF11x_0)</f>
        <v>16443304.999999998</v>
      </c>
      <c r="G10" s="8"/>
      <c r="H10" s="8">
        <f>SUM(OSRRefH11x_0)</f>
        <v>16199071.60999999</v>
      </c>
      <c r="I10" s="8"/>
      <c r="J10" s="8">
        <f>SUM(OSRRefJ11x_0)</f>
        <v>15629569.920000007</v>
      </c>
      <c r="K10" s="8"/>
      <c r="L10" s="8">
        <f>SUM(OSRRefL11x_0)</f>
        <v>14518525.95999999</v>
      </c>
      <c r="M10" s="8"/>
      <c r="N10" s="8">
        <f>SUM(OSRRefN11x_0)</f>
        <v>11602586.080000002</v>
      </c>
      <c r="O10" s="8"/>
      <c r="P10" s="8">
        <f>SUM(OSRRefP11x_0)</f>
        <v>9754680</v>
      </c>
      <c r="Q10" s="8"/>
      <c r="R10" s="8">
        <f>SUM(OSRRefR11x_0)</f>
        <v>9392326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--1532.75</f>
        <v>1532.75</v>
      </c>
      <c r="M11" s="3"/>
      <c r="N11" s="11">
        <f>0</f>
        <v>0</v>
      </c>
      <c r="O11" s="3"/>
      <c r="P11" s="11">
        <v>8895074</v>
      </c>
      <c r="Q11" s="3"/>
      <c r="R11" s="11">
        <v>8600088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-5629087.99*-1</f>
        <v>5629087.9900000002</v>
      </c>
      <c r="F12" s="11">
        <f>-4830911.55*-1</f>
        <v>4830911.55</v>
      </c>
      <c r="G12" s="3"/>
      <c r="H12" s="11">
        <f>-4243327.57*-1</f>
        <v>4243327.57</v>
      </c>
      <c r="I12" s="3"/>
      <c r="J12" s="11">
        <f>--3955085.18</f>
        <v>3955085.18</v>
      </c>
      <c r="K12" s="3"/>
      <c r="L12" s="11">
        <f>--3126487.75</f>
        <v>3126487.75</v>
      </c>
      <c r="M12" s="3"/>
      <c r="N12" s="11">
        <f>--2451163.71</f>
        <v>2451163.71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-1780006.45*-1</f>
        <v>1780006.45</v>
      </c>
      <c r="F13" s="11">
        <f>-1930957.06*-1</f>
        <v>1930957.06</v>
      </c>
      <c r="G13" s="3"/>
      <c r="H13" s="11">
        <f>-1615125.52*-1</f>
        <v>1615125.52</v>
      </c>
      <c r="I13" s="3"/>
      <c r="J13" s="11">
        <f>--1442432.66</f>
        <v>1442432.66</v>
      </c>
      <c r="K13" s="3"/>
      <c r="L13" s="11">
        <f>--1404207.63</f>
        <v>1404207.63</v>
      </c>
      <c r="M13" s="3"/>
      <c r="N13" s="11">
        <f>--1271803.19</f>
        <v>1271803.19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--5496.9</f>
        <v>5496.9</v>
      </c>
      <c r="K14" s="3"/>
      <c r="L14" s="11">
        <f>--15422.64</f>
        <v>15422.64</v>
      </c>
      <c r="M14" s="3"/>
      <c r="N14" s="11">
        <f>--34659.88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--46</f>
        <v>46</v>
      </c>
      <c r="K15" s="3"/>
      <c r="L15" s="11">
        <f>--70418.64</f>
        <v>70418.64</v>
      </c>
      <c r="M15" s="3"/>
      <c r="N15" s="11">
        <f>--42195.3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>-43.1*-1</f>
        <v>43.1</v>
      </c>
      <c r="F16" s="11">
        <f>-2508.97*-1</f>
        <v>2508.9699999999998</v>
      </c>
      <c r="G16" s="3"/>
      <c r="H16" s="11">
        <f>-0.01*-1</f>
        <v>0.01</v>
      </c>
      <c r="I16" s="3"/>
      <c r="J16" s="11">
        <f>--48.23</f>
        <v>48.23</v>
      </c>
      <c r="K16" s="3"/>
      <c r="L16" s="11">
        <f>--9.71</f>
        <v>9.7100000000000009</v>
      </c>
      <c r="M16" s="3"/>
      <c r="N16" s="11">
        <f>--1052.48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"4012", " - ", "TAXABLE SALES-MAGAZINES")</f>
        <v xml:space="preserve">          4012 - TAXABLE SALES-MAGAZINES</v>
      </c>
      <c r="D17" s="11">
        <f>-53.7*-1</f>
        <v>53.7</v>
      </c>
      <c r="F17" s="11">
        <f>-156.05*-1</f>
        <v>156.05000000000001</v>
      </c>
      <c r="G17" s="3"/>
      <c r="H17" s="11">
        <f>-44.75*-1</f>
        <v>44.75</v>
      </c>
      <c r="I17" s="3"/>
      <c r="J17" s="11">
        <f>0</f>
        <v>0</v>
      </c>
      <c r="K17" s="3"/>
      <c r="L17" s="11">
        <f>0</f>
        <v>0</v>
      </c>
      <c r="M17" s="3"/>
      <c r="N17" s="11">
        <f>0</f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"4013", " - ", "TAXABLE SALES-TRADE BOOKS")</f>
        <v xml:space="preserve">          4013 - TAXABLE SALES-TRADE BOOKS</v>
      </c>
      <c r="D18" s="11">
        <f>-38609.93*-1</f>
        <v>38609.93</v>
      </c>
      <c r="F18" s="11">
        <f>-33144.5*-1</f>
        <v>33144.5</v>
      </c>
      <c r="G18" s="3"/>
      <c r="H18" s="11">
        <f>-15930.49*-1</f>
        <v>15930.49</v>
      </c>
      <c r="I18" s="3"/>
      <c r="J18" s="11">
        <f>--8409.57</f>
        <v>8409.57</v>
      </c>
      <c r="K18" s="3"/>
      <c r="L18" s="11">
        <f>--7572.79</f>
        <v>7572.79</v>
      </c>
      <c r="M18" s="3"/>
      <c r="N18" s="11">
        <f>--2778.35</f>
        <v>2778.35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"4014", " - ", "TAXABLE SALES-REMAINDERS")</f>
        <v xml:space="preserve">          4014 - TAXABLE SALES-REMAINDERS</v>
      </c>
      <c r="D19" s="11">
        <f>-2636.61*-1</f>
        <v>2636.61</v>
      </c>
      <c r="F19" s="11">
        <f>-2218.41*-1</f>
        <v>2218.41</v>
      </c>
      <c r="G19" s="3"/>
      <c r="H19" s="11">
        <f>-736.04*-1</f>
        <v>736.04</v>
      </c>
      <c r="I19" s="3"/>
      <c r="J19" s="11">
        <f>--3759.76</f>
        <v>3759.76</v>
      </c>
      <c r="K19" s="3"/>
      <c r="L19" s="11">
        <f>--2221.33</f>
        <v>2221.33</v>
      </c>
      <c r="M19" s="3"/>
      <c r="N19" s="11">
        <f>--1233.88</f>
        <v>1233.8800000000001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"4015", " - ", "TAXABLE SALES-CALENDARS")</f>
        <v xml:space="preserve">          4015 - TAXABLE SALES-CALENDARS</v>
      </c>
      <c r="D20" s="11">
        <f>-4640.46*-1</f>
        <v>4640.46</v>
      </c>
      <c r="F20" s="11">
        <f>-4266.02*-1</f>
        <v>4266.0200000000004</v>
      </c>
      <c r="G20" s="3"/>
      <c r="H20" s="11">
        <f>-166.8*-1</f>
        <v>166.8</v>
      </c>
      <c r="I20" s="3"/>
      <c r="J20" s="11">
        <f>0</f>
        <v>0</v>
      </c>
      <c r="K20" s="3"/>
      <c r="L20" s="11">
        <f>0</f>
        <v>0</v>
      </c>
      <c r="M20" s="3"/>
      <c r="N20" s="11">
        <f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"4017", " - ", "TAXABLE SALES-DORM/HOUSEWARES")</f>
        <v xml:space="preserve">          4017 - TAXABLE SALES-DORM/HOUSEWARES</v>
      </c>
      <c r="D21" s="11">
        <f>-544.67*-1</f>
        <v>544.66999999999996</v>
      </c>
      <c r="F21" s="11">
        <f>-2054.11*-1</f>
        <v>2054.11</v>
      </c>
      <c r="G21" s="3"/>
      <c r="H21" s="11">
        <f>-44.7*-1</f>
        <v>44.7</v>
      </c>
      <c r="I21" s="3"/>
      <c r="J21" s="11">
        <f>--524.99</f>
        <v>524.99</v>
      </c>
      <c r="K21" s="3"/>
      <c r="L21" s="11">
        <f>--1055.55</f>
        <v>1055.55</v>
      </c>
      <c r="M21" s="3"/>
      <c r="N21" s="11">
        <f>--347.52</f>
        <v>347.52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"4018", " - ", "TAXABLE SALES-STUDY GUIDES")</f>
        <v xml:space="preserve">          4018 - TAXABLE SALES-STUDY GUIDES</v>
      </c>
      <c r="D22" s="11">
        <f>-15442.23*-1</f>
        <v>15442.23</v>
      </c>
      <c r="F22" s="11">
        <f>-9203.96*-1</f>
        <v>9203.9599999999991</v>
      </c>
      <c r="G22" s="3"/>
      <c r="H22" s="11">
        <f>-8469.9*-1</f>
        <v>8469.9</v>
      </c>
      <c r="I22" s="3"/>
      <c r="J22" s="11">
        <f>--7616.72</f>
        <v>7616.72</v>
      </c>
      <c r="K22" s="3"/>
      <c r="L22" s="11">
        <f>--6524.46</f>
        <v>6524.46</v>
      </c>
      <c r="M22" s="3"/>
      <c r="N22" s="11">
        <f>--4179.3</f>
        <v>4179.3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"4019", " - ", "TAXABLE SALES-BOOK RELATED")</f>
        <v xml:space="preserve">          4019 - TAXABLE SALES-BOOK RELATED</v>
      </c>
      <c r="D23" s="11">
        <f>-12332.23*-1</f>
        <v>12332.23</v>
      </c>
      <c r="F23" s="11">
        <f>-11610.6*-1</f>
        <v>11610.6</v>
      </c>
      <c r="G23" s="3"/>
      <c r="H23" s="11">
        <f>-4849.34*-1</f>
        <v>4849.34</v>
      </c>
      <c r="I23" s="3"/>
      <c r="J23" s="11">
        <f>--584.61</f>
        <v>584.61</v>
      </c>
      <c r="K23" s="3"/>
      <c r="L23" s="11">
        <f>--81.89</f>
        <v>81.89</v>
      </c>
      <c r="M23" s="3"/>
      <c r="N23" s="11">
        <f>--42.85</f>
        <v>42.85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"4025", " - ", "TAXABLE SALES-TEST FORMS")</f>
        <v xml:space="preserve">          4025 - TAXABLE SALES-TEST FORMS</v>
      </c>
      <c r="D24" s="11">
        <f>-51956.53*-1</f>
        <v>51956.53</v>
      </c>
      <c r="F24" s="11">
        <f>-49379.15*-1</f>
        <v>49379.15</v>
      </c>
      <c r="G24" s="3"/>
      <c r="H24" s="11">
        <f>-55016.19*-1</f>
        <v>55016.19</v>
      </c>
      <c r="I24" s="3"/>
      <c r="J24" s="11">
        <f>--61493.16</f>
        <v>61493.16</v>
      </c>
      <c r="K24" s="3"/>
      <c r="L24" s="11">
        <f>--61223.1</f>
        <v>61223.1</v>
      </c>
      <c r="M24" s="3"/>
      <c r="N24" s="11">
        <f>--57819.85</f>
        <v>57819.85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"4026", " - ", "TAXABLE SALES-WRITING INSTRUME")</f>
        <v xml:space="preserve">          4026 - TAXABLE SALES-WRITING INSTRUME</v>
      </c>
      <c r="D25" s="11">
        <f>-83537.66*-1</f>
        <v>83537.66</v>
      </c>
      <c r="F25" s="11">
        <f>-97805.14*-1</f>
        <v>97805.14</v>
      </c>
      <c r="G25" s="3"/>
      <c r="H25" s="11">
        <f>-95318.43*-1</f>
        <v>95318.43</v>
      </c>
      <c r="I25" s="3"/>
      <c r="J25" s="11">
        <f>--84348.15</f>
        <v>84348.15</v>
      </c>
      <c r="K25" s="3"/>
      <c r="L25" s="11">
        <f>--84530.93</f>
        <v>84530.93</v>
      </c>
      <c r="M25" s="3"/>
      <c r="N25" s="11">
        <f>--83341.48</f>
        <v>83341.48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"4027", " - ", "TAXABLE SALES-SCHOOL SUPPLIES")</f>
        <v xml:space="preserve">          4027 - TAXABLE SALES-SCHOOL SUPPLIES</v>
      </c>
      <c r="D26" s="11">
        <f>-319354.8*-1</f>
        <v>319354.8</v>
      </c>
      <c r="F26" s="11">
        <f>-335265.6*-1</f>
        <v>335265.59999999998</v>
      </c>
      <c r="G26" s="3"/>
      <c r="H26" s="11">
        <f>-307441.53*-1</f>
        <v>307441.53000000003</v>
      </c>
      <c r="I26" s="3"/>
      <c r="J26" s="11">
        <f>--291064.08</f>
        <v>291064.08</v>
      </c>
      <c r="K26" s="3"/>
      <c r="L26" s="11">
        <f>--308997.93</f>
        <v>308997.93</v>
      </c>
      <c r="M26" s="3"/>
      <c r="N26" s="11">
        <f>--280850.13</f>
        <v>280850.13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"4028", " - ", "TAXABLE SALES-ART/TECH")</f>
        <v xml:space="preserve">          4028 - TAXABLE SALES-ART/TECH</v>
      </c>
      <c r="D27" s="11">
        <f>-333796.97*-1</f>
        <v>333796.96999999997</v>
      </c>
      <c r="F27" s="11">
        <f>-358576.17*-1</f>
        <v>358576.17</v>
      </c>
      <c r="G27" s="3"/>
      <c r="H27" s="11">
        <f>-349330.18*-1</f>
        <v>349330.18</v>
      </c>
      <c r="I27" s="3"/>
      <c r="J27" s="11">
        <f>--343847.2</f>
        <v>343847.2</v>
      </c>
      <c r="K27" s="3"/>
      <c r="L27" s="11">
        <f>--346880.65</f>
        <v>346880.65</v>
      </c>
      <c r="M27" s="3"/>
      <c r="N27" s="11">
        <f>--293577.64</f>
        <v>293577.64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"4031", " - ", "TAXABLE SALES-FOOD")</f>
        <v xml:space="preserve">          4031 - TAXABLE SALES-FOOD</v>
      </c>
      <c r="D28" s="11">
        <f>-1019.28*-1</f>
        <v>1019.28</v>
      </c>
      <c r="F28" s="11">
        <f>-2622.63*-1</f>
        <v>2622.63</v>
      </c>
      <c r="G28" s="3"/>
      <c r="H28" s="11">
        <f>-1010.63*-1</f>
        <v>1010.63</v>
      </c>
      <c r="I28" s="3"/>
      <c r="J28" s="11">
        <f>--992.43</f>
        <v>992.43</v>
      </c>
      <c r="K28" s="3"/>
      <c r="L28" s="11">
        <f>--834.06</f>
        <v>834.06</v>
      </c>
      <c r="M28" s="3"/>
      <c r="N28" s="11">
        <f>--486.34</f>
        <v>486.34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"4032", " - ", "TAXABLE SALES-JUICE")</f>
        <v xml:space="preserve">          4032 - TAXABLE SALES-JUICE</v>
      </c>
      <c r="D29" s="11">
        <f>-378705.83*-1</f>
        <v>378705.83</v>
      </c>
      <c r="F29" s="11">
        <f>-324085.6*-1</f>
        <v>324085.59999999998</v>
      </c>
      <c r="G29" s="3"/>
      <c r="H29" s="11">
        <f>-328818.5*-1</f>
        <v>328818.5</v>
      </c>
      <c r="I29" s="3"/>
      <c r="J29" s="11">
        <f>--367109.02</f>
        <v>367109.02</v>
      </c>
      <c r="K29" s="3"/>
      <c r="L29" s="11">
        <f>--370657.73</f>
        <v>370657.73</v>
      </c>
      <c r="M29" s="3"/>
      <c r="N29" s="11">
        <f>--277654.52</f>
        <v>277654.52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"4033", " - ", "TAXABLE SALES-CANDY")</f>
        <v xml:space="preserve">          4033 - TAXABLE SALES-CANDY</v>
      </c>
      <c r="D30" s="11">
        <f>-0.89*-1</f>
        <v>0.89</v>
      </c>
      <c r="F30" s="11">
        <f>-334.92*-1</f>
        <v>334.92</v>
      </c>
      <c r="G30" s="3"/>
      <c r="H30" s="11">
        <f>-241.06*-1</f>
        <v>241.06</v>
      </c>
      <c r="I30" s="3"/>
      <c r="J30" s="11">
        <f>--203.94</f>
        <v>203.94</v>
      </c>
      <c r="K30" s="3"/>
      <c r="L30" s="11">
        <f>--284.14</f>
        <v>284.14</v>
      </c>
      <c r="M30" s="3"/>
      <c r="N30" s="11">
        <f>--205.53</f>
        <v>205.53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"4034", " - ", "TAXABLE SALES-SODA")</f>
        <v xml:space="preserve">          4034 - TAXABLE SALES-SODA</v>
      </c>
      <c r="D31" s="11">
        <f>-7787.4*-1</f>
        <v>7787.4</v>
      </c>
      <c r="F31" s="11">
        <f>-7781.86*-1</f>
        <v>7781.86</v>
      </c>
      <c r="G31" s="3"/>
      <c r="H31" s="11">
        <f>-12296.84*-1</f>
        <v>12296.84</v>
      </c>
      <c r="I31" s="3"/>
      <c r="J31" s="11">
        <f>--12956.32</f>
        <v>12956.32</v>
      </c>
      <c r="K31" s="3"/>
      <c r="L31" s="11">
        <f>--12143.32</f>
        <v>12143.32</v>
      </c>
      <c r="M31" s="3"/>
      <c r="N31" s="11">
        <f>--10925.46</f>
        <v>10925.46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"4035", " - ", "TAXABLE SALES-HEALTH &amp; BEAUTY")</f>
        <v xml:space="preserve">          4035 - TAXABLE SALES-HEALTH &amp; BEAUTY</v>
      </c>
      <c r="D32" s="11">
        <f>-1445.9*-1</f>
        <v>1445.9</v>
      </c>
      <c r="F32" s="11">
        <f>-2194.79*-1</f>
        <v>2194.79</v>
      </c>
      <c r="G32" s="3"/>
      <c r="H32" s="11">
        <f>-2583.5*-1</f>
        <v>2583.5</v>
      </c>
      <c r="I32" s="3"/>
      <c r="J32" s="11">
        <f>--2742.74</f>
        <v>2742.74</v>
      </c>
      <c r="K32" s="3"/>
      <c r="L32" s="11">
        <f>--2675.56</f>
        <v>2675.56</v>
      </c>
      <c r="M32" s="3"/>
      <c r="N32" s="11">
        <f>--1981.84</f>
        <v>1981.84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"4037", " - ", "TAXABLE SALES-WATER")</f>
        <v xml:space="preserve">          4037 - TAXABLE SALES-WATER</v>
      </c>
      <c r="D33" s="11">
        <f>0*-1</f>
        <v>0</v>
      </c>
      <c r="F33" s="11">
        <f>-165.87*-1</f>
        <v>165.87</v>
      </c>
      <c r="G33" s="3"/>
      <c r="H33" s="11">
        <f>-797.05*-1</f>
        <v>797.05</v>
      </c>
      <c r="I33" s="3"/>
      <c r="J33" s="11">
        <f>--705.4</f>
        <v>705.4</v>
      </c>
      <c r="K33" s="3"/>
      <c r="L33" s="11">
        <f>--881.19</f>
        <v>881.19</v>
      </c>
      <c r="M33" s="3"/>
      <c r="N33" s="11">
        <f>--513.51</f>
        <v>513.51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"4040", " - ", "TAXABLE SALES-LOGO CLOTHING")</f>
        <v xml:space="preserve">          4040 - TAXABLE SALES-LOGO CLOTHING</v>
      </c>
      <c r="D34" s="11">
        <f>-2091546.66*-1</f>
        <v>2091546.66</v>
      </c>
      <c r="F34" s="11">
        <f>-2361034.68*-1</f>
        <v>2361034.6800000002</v>
      </c>
      <c r="G34" s="3"/>
      <c r="H34" s="11">
        <f>-2542019.78*-1</f>
        <v>2542019.7799999998</v>
      </c>
      <c r="I34" s="3"/>
      <c r="J34" s="11">
        <f>--2496988.94</f>
        <v>2496988.94</v>
      </c>
      <c r="K34" s="3"/>
      <c r="L34" s="11">
        <f>--2503852.42</f>
        <v>2503852.42</v>
      </c>
      <c r="M34" s="3"/>
      <c r="N34" s="11">
        <f>--1941274.42</f>
        <v>1941274.42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"4041", " - ", "TAXABLE SALES-LOGO GIFTS")</f>
        <v xml:space="preserve">          4041 - TAXABLE SALES-LOGO GIFTS</v>
      </c>
      <c r="D35" s="11">
        <f>-872583.71*-1</f>
        <v>872583.71</v>
      </c>
      <c r="F35" s="11">
        <f>-912522.76*-1</f>
        <v>912522.76</v>
      </c>
      <c r="G35" s="3"/>
      <c r="H35" s="11">
        <f>-914844.45*-1</f>
        <v>914844.45</v>
      </c>
      <c r="I35" s="3"/>
      <c r="J35" s="11">
        <f>--914522.14</f>
        <v>914522.14</v>
      </c>
      <c r="K35" s="3"/>
      <c r="L35" s="11">
        <f>--859767.82</f>
        <v>859767.82</v>
      </c>
      <c r="M35" s="3"/>
      <c r="N35" s="11">
        <f>--556536.79</f>
        <v>556536.79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"4042", " - ", "TAXABLE SALES-EVERYDAY GIFTS")</f>
        <v xml:space="preserve">          4042 - TAXABLE SALES-EVERYDAY GIFTS</v>
      </c>
      <c r="D36" s="11">
        <f>-216339.99*-1</f>
        <v>216339.99</v>
      </c>
      <c r="F36" s="11">
        <f>-224508.74*-1</f>
        <v>224508.74</v>
      </c>
      <c r="G36" s="3"/>
      <c r="H36" s="11">
        <f>-243721.82*-1</f>
        <v>243721.82</v>
      </c>
      <c r="I36" s="3"/>
      <c r="J36" s="11">
        <f>--342271.68</f>
        <v>342271.68</v>
      </c>
      <c r="K36" s="3"/>
      <c r="L36" s="11">
        <f>--334175.22</f>
        <v>334175.21999999997</v>
      </c>
      <c r="M36" s="3"/>
      <c r="N36" s="11">
        <f>--285558.05</f>
        <v>285558.05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"4043", " - ", "TAXABLE SALES-CARDS")</f>
        <v xml:space="preserve">          4043 - TAXABLE SALES-CARDS</v>
      </c>
      <c r="D37" s="11">
        <f>-31993.73*-1</f>
        <v>31993.73</v>
      </c>
      <c r="F37" s="11">
        <f>-33431.2*-1</f>
        <v>33431.199999999997</v>
      </c>
      <c r="G37" s="3"/>
      <c r="H37" s="11">
        <f>-13466.67*-1</f>
        <v>13466.67</v>
      </c>
      <c r="I37" s="3"/>
      <c r="J37" s="11">
        <f>--9233.79</f>
        <v>9233.7900000000009</v>
      </c>
      <c r="K37" s="3"/>
      <c r="L37" s="11">
        <f>--4859.22</f>
        <v>4859.22</v>
      </c>
      <c r="M37" s="3"/>
      <c r="N37" s="11">
        <f>--77324.14</f>
        <v>77324.14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"4044", " - ", "TAXABLE SALES-ACCESSORIES")</f>
        <v xml:space="preserve">          4044 - TAXABLE SALES-ACCESSORIES</v>
      </c>
      <c r="D38" s="11">
        <f>-72513.34*-1</f>
        <v>72513.34</v>
      </c>
      <c r="F38" s="11">
        <f>-88358.95*-1</f>
        <v>88358.95</v>
      </c>
      <c r="G38" s="3"/>
      <c r="H38" s="11">
        <f>-84270.22*-1</f>
        <v>84270.22</v>
      </c>
      <c r="I38" s="3"/>
      <c r="J38" s="11">
        <f>--74129.41</f>
        <v>74129.41</v>
      </c>
      <c r="K38" s="3"/>
      <c r="L38" s="11">
        <f>--87817.61</f>
        <v>87817.61</v>
      </c>
      <c r="M38" s="3"/>
      <c r="N38" s="11">
        <f>--73780.56</f>
        <v>73780.56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"4045", " - ", "TAXABLE SALES-SPECIAL ORDERS")</f>
        <v xml:space="preserve">          4045 - TAXABLE SALES-SPECIAL ORDERS</v>
      </c>
      <c r="D39" s="11">
        <f>-122181.44*-1</f>
        <v>122181.44</v>
      </c>
      <c r="F39" s="11">
        <f>-106486.25*-1</f>
        <v>106486.25</v>
      </c>
      <c r="G39" s="3"/>
      <c r="H39" s="11">
        <f>-192412.91*-1</f>
        <v>192412.91</v>
      </c>
      <c r="I39" s="3"/>
      <c r="J39" s="11">
        <f>--185422.86</f>
        <v>185422.86</v>
      </c>
      <c r="K39" s="3"/>
      <c r="L39" s="11">
        <f>--219240.28</f>
        <v>219240.28</v>
      </c>
      <c r="M39" s="3"/>
      <c r="N39" s="11">
        <f>--123103.09</f>
        <v>123103.09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"4047", " - ", "TAXABLE SALES-MISC")</f>
        <v xml:space="preserve">          4047 - TAXABLE SALES-MISC</v>
      </c>
      <c r="D40" s="11">
        <f>-7763.72*-1</f>
        <v>7763.72</v>
      </c>
      <c r="F40" s="11">
        <f>-3475.74*-1</f>
        <v>3475.74</v>
      </c>
      <c r="G40" s="3"/>
      <c r="H40" s="11">
        <f>-5619.91*-1</f>
        <v>5619.91</v>
      </c>
      <c r="I40" s="3"/>
      <c r="J40" s="11">
        <f>--5136.78</f>
        <v>5136.78</v>
      </c>
      <c r="K40" s="3"/>
      <c r="L40" s="11">
        <f>--5818.6</f>
        <v>5818.6</v>
      </c>
      <c r="M40" s="3"/>
      <c r="N40" s="11">
        <f>--2676.14</f>
        <v>2676.14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"4051", " - ", "TAXABLE SALES-FOOD")</f>
        <v xml:space="preserve">          4051 - TAXABLE SALES-FOOD</v>
      </c>
      <c r="D41" s="11">
        <f>-184573.18*-1</f>
        <v>184573.18</v>
      </c>
      <c r="F41" s="11">
        <f>-163643.19*-1</f>
        <v>163643.19</v>
      </c>
      <c r="G41" s="3"/>
      <c r="H41" s="11">
        <f>-222337.93*-1</f>
        <v>222337.93</v>
      </c>
      <c r="I41" s="3"/>
      <c r="J41" s="11">
        <f>--285696.46</f>
        <v>285696.46000000002</v>
      </c>
      <c r="K41" s="3"/>
      <c r="L41" s="11">
        <f>--238608.7</f>
        <v>238608.7</v>
      </c>
      <c r="M41" s="3"/>
      <c r="N41" s="11">
        <f>--149404.53</f>
        <v>149404.53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"4081", " - ", "TAXABLE SALES-ELECTRONICS")</f>
        <v xml:space="preserve">          4081 - TAXABLE SALES-ELECTRONICS</v>
      </c>
      <c r="D42" s="11">
        <f>-1428.29*-1</f>
        <v>1428.29</v>
      </c>
      <c r="F42" s="11">
        <f>-1294.61*-1</f>
        <v>1294.6099999999999</v>
      </c>
      <c r="G42" s="3"/>
      <c r="H42" s="11">
        <f>-3518.08*-1</f>
        <v>3518.08</v>
      </c>
      <c r="I42" s="3"/>
      <c r="J42" s="11">
        <f>--5235.06</f>
        <v>5235.0600000000004</v>
      </c>
      <c r="K42" s="3"/>
      <c r="L42" s="11">
        <f>--4426.51</f>
        <v>4426.51</v>
      </c>
      <c r="M42" s="3"/>
      <c r="N42" s="11">
        <f>--3174.93</f>
        <v>3174.93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"4082", " - ", "TAXABLE SALES-COMPUTER HARDWAR")</f>
        <v xml:space="preserve">          4082 - TAXABLE SALES-COMPUTER HARDWAR</v>
      </c>
      <c r="D43" s="11">
        <f>0*-1</f>
        <v>0</v>
      </c>
      <c r="F43" s="11">
        <f>0*-1</f>
        <v>0</v>
      </c>
      <c r="G43" s="3"/>
      <c r="H43" s="11">
        <f>-775.83*-1</f>
        <v>775.83</v>
      </c>
      <c r="I43" s="3"/>
      <c r="J43" s="11">
        <f>--1439.96</f>
        <v>1439.96</v>
      </c>
      <c r="K43" s="3"/>
      <c r="L43" s="11">
        <f>--1650</f>
        <v>1650</v>
      </c>
      <c r="M43" s="3"/>
      <c r="N43" s="11">
        <f>--363.94</f>
        <v>363.94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"4083", " - ", "TAXABLE SALES-COMPUTER EQUIPME")</f>
        <v xml:space="preserve">          4083 - TAXABLE SALES-COMPUTER EQUIPME</v>
      </c>
      <c r="D44" s="11">
        <f>-597.05*-1</f>
        <v>597.04999999999995</v>
      </c>
      <c r="F44" s="11">
        <f>-810.29*-1</f>
        <v>810.29</v>
      </c>
      <c r="G44" s="3"/>
      <c r="H44" s="11">
        <f>-1003.1*-1</f>
        <v>1003.1</v>
      </c>
      <c r="I44" s="3"/>
      <c r="J44" s="11">
        <f>--1491.86</f>
        <v>1491.86</v>
      </c>
      <c r="K44" s="3"/>
      <c r="L44" s="11">
        <f>--1403.83</f>
        <v>1403.83</v>
      </c>
      <c r="M44" s="3"/>
      <c r="N44" s="11">
        <f>--914.33</f>
        <v>914.33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"4086", " - ", "TAXABLE SALES-COMPUTER SUPPLIE")</f>
        <v xml:space="preserve">          4086 - TAXABLE SALES-COMPUTER SUPPLIE</v>
      </c>
      <c r="D45" s="11">
        <f>-178.09*-1</f>
        <v>178.09</v>
      </c>
      <c r="F45" s="11">
        <f>-419.92*-1</f>
        <v>419.92</v>
      </c>
      <c r="G45" s="3"/>
      <c r="H45" s="11">
        <f>-1498.25*-1</f>
        <v>1498.25</v>
      </c>
      <c r="I45" s="3"/>
      <c r="J45" s="11">
        <f>--2714.01</f>
        <v>2714.01</v>
      </c>
      <c r="K45" s="3"/>
      <c r="L45" s="11">
        <f>--2115.11</f>
        <v>2115.11</v>
      </c>
      <c r="M45" s="3"/>
      <c r="N45" s="11">
        <f>--813.74</f>
        <v>813.74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"4088", " - ", "TAXABLE SALES-MUSIC")</f>
        <v xml:space="preserve">          4088 - TAXABLE SALES-MUSIC</v>
      </c>
      <c r="D46" s="11">
        <f>0*-1</f>
        <v>0</v>
      </c>
      <c r="F46" s="11">
        <f>0*-1</f>
        <v>0</v>
      </c>
      <c r="G46" s="3"/>
      <c r="H46" s="11">
        <f>0*-1</f>
        <v>0</v>
      </c>
      <c r="I46" s="3"/>
      <c r="J46" s="11">
        <f>--59</f>
        <v>59</v>
      </c>
      <c r="K46" s="3"/>
      <c r="L46" s="11">
        <f t="shared" ref="L46:L47" si="0">0</f>
        <v>0</v>
      </c>
      <c r="M46" s="3"/>
      <c r="N46" s="11">
        <f t="shared" ref="N46:N47" si="1">0</f>
        <v>0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"4091", " - ", "TAXABLE SALES-GRAD ANNOUNCEMEN")</f>
        <v xml:space="preserve">          4091 - TAXABLE SALES-GRAD ANNOUNCEMEN</v>
      </c>
      <c r="D47" s="11">
        <f>-1250.64*-1</f>
        <v>1250.6400000000001</v>
      </c>
      <c r="F47" s="11">
        <f>-2134.69*-1</f>
        <v>2134.69</v>
      </c>
      <c r="G47" s="3"/>
      <c r="H47" s="11">
        <f>-927.2*-1</f>
        <v>927.2</v>
      </c>
      <c r="I47" s="3"/>
      <c r="J47" s="11">
        <f>--1013.94</f>
        <v>1013.94</v>
      </c>
      <c r="K47" s="3"/>
      <c r="L47" s="11">
        <f t="shared" si="0"/>
        <v>0</v>
      </c>
      <c r="M47" s="3"/>
      <c r="N47" s="11">
        <f t="shared" si="1"/>
        <v>0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"4092", " - ", "TAXABLE SALES-GRAD MERCH")</f>
        <v xml:space="preserve">          4092 - TAXABLE SALES-GRAD MERCH</v>
      </c>
      <c r="D48" s="11">
        <f>-345184.89*-1</f>
        <v>345184.89</v>
      </c>
      <c r="F48" s="11">
        <f>-400900.6*-1</f>
        <v>400900.6</v>
      </c>
      <c r="G48" s="3"/>
      <c r="H48" s="11">
        <f>-436215.05*-1</f>
        <v>436215.05</v>
      </c>
      <c r="I48" s="3"/>
      <c r="J48" s="11">
        <f>--521288.3</f>
        <v>521288.3</v>
      </c>
      <c r="K48" s="3"/>
      <c r="L48" s="11">
        <f>--223303.91</f>
        <v>223303.91</v>
      </c>
      <c r="M48" s="3"/>
      <c r="N48" s="11">
        <f>--41685.94</f>
        <v>41685.94</v>
      </c>
      <c r="O48" s="3"/>
      <c r="P48" s="11"/>
      <c r="Q48" s="3"/>
      <c r="R48" s="11"/>
    </row>
    <row r="49" spans="2:18" s="16" customFormat="1" hidden="1" outlineLevel="1" x14ac:dyDescent="0.35">
      <c r="B49" s="35" t="str">
        <f>CONCATENATE("          ", "4093", " - ", "TAXABLE SALES-CATALOGS")</f>
        <v xml:space="preserve">          4093 - TAXABLE SALES-CATALOGS</v>
      </c>
      <c r="D49" s="11">
        <f>0*-1</f>
        <v>0</v>
      </c>
      <c r="F49" s="11">
        <f>0*-1</f>
        <v>0</v>
      </c>
      <c r="G49" s="3"/>
      <c r="H49" s="11">
        <f>0*-1</f>
        <v>0</v>
      </c>
      <c r="I49" s="3"/>
      <c r="J49" s="11">
        <f>0</f>
        <v>0</v>
      </c>
      <c r="K49" s="3"/>
      <c r="L49" s="11">
        <f>0</f>
        <v>0</v>
      </c>
      <c r="M49" s="3"/>
      <c r="N49" s="11">
        <f>0</f>
        <v>0</v>
      </c>
      <c r="O49" s="3"/>
      <c r="P49" s="11"/>
      <c r="Q49" s="3"/>
      <c r="R49" s="11"/>
    </row>
    <row r="50" spans="2:18" s="16" customFormat="1" hidden="1" outlineLevel="1" x14ac:dyDescent="0.35">
      <c r="B50" s="35" t="str">
        <f>CONCATENATE("          ", "4095", " - ", "TAXABLE SALES-CUSTOMER SERVICE")</f>
        <v xml:space="preserve">          4095 - TAXABLE SALES-CUSTOMER SERVICE</v>
      </c>
      <c r="D50" s="11">
        <f>-3526.03*-1</f>
        <v>3526.03</v>
      </c>
      <c r="F50" s="11">
        <f>-2766.9*-1</f>
        <v>2766.9</v>
      </c>
      <c r="G50" s="3"/>
      <c r="H50" s="11">
        <f>-2405.17*-1</f>
        <v>2405.17</v>
      </c>
      <c r="I50" s="3"/>
      <c r="J50" s="11">
        <f>--1686.52</f>
        <v>1686.52</v>
      </c>
      <c r="K50" s="3"/>
      <c r="L50" s="11">
        <f>--2235.12</f>
        <v>2235.12</v>
      </c>
      <c r="M50" s="3"/>
      <c r="N50" s="11">
        <f>--309.26</f>
        <v>309.26</v>
      </c>
      <c r="O50" s="3"/>
      <c r="P50" s="11"/>
      <c r="Q50" s="3"/>
      <c r="R50" s="11"/>
    </row>
    <row r="51" spans="2:18" s="16" customFormat="1" hidden="1" outlineLevel="1" x14ac:dyDescent="0.35">
      <c r="B51" s="35" t="str">
        <f>CONCATENATE("          ", "4100", " - ", "NON-TAXABLE SALES")</f>
        <v xml:space="preserve">          4100 - NON-TAXABLE SALES</v>
      </c>
      <c r="D51" s="11">
        <f>-1174665.03*-1</f>
        <v>1174665.03</v>
      </c>
      <c r="F51" s="11">
        <f>-957549.38*-1</f>
        <v>957549.38</v>
      </c>
      <c r="G51" s="3"/>
      <c r="H51" s="11">
        <f>-812045.06*-1</f>
        <v>812045.06</v>
      </c>
      <c r="I51" s="3"/>
      <c r="J51" s="11">
        <f>--961357.32</f>
        <v>961357.32</v>
      </c>
      <c r="K51" s="3"/>
      <c r="L51" s="11">
        <f>--792359.45</f>
        <v>792359.45</v>
      </c>
      <c r="M51" s="3"/>
      <c r="N51" s="11">
        <f>--591246.5</f>
        <v>591246.5</v>
      </c>
      <c r="O51" s="3"/>
      <c r="P51" s="11">
        <v>859606</v>
      </c>
      <c r="Q51" s="3"/>
      <c r="R51" s="11">
        <v>792238</v>
      </c>
    </row>
    <row r="52" spans="2:18" s="16" customFormat="1" hidden="1" outlineLevel="1" x14ac:dyDescent="0.35">
      <c r="B52" s="35" t="str">
        <f>CONCATENATE("          ", "4101", " - ", "NON-TAXABLE SALES-NEW TEXT")</f>
        <v xml:space="preserve">          4101 - NON-TAXABLE SALES-NEW TEXT</v>
      </c>
      <c r="D52" s="11">
        <f>-333541.05*-1</f>
        <v>333541.05</v>
      </c>
      <c r="F52" s="11">
        <f>-331768.56*-1</f>
        <v>331768.56</v>
      </c>
      <c r="G52" s="3"/>
      <c r="H52" s="11">
        <f>-436453.6*-1</f>
        <v>436453.6</v>
      </c>
      <c r="I52" s="3"/>
      <c r="J52" s="11">
        <f>--176688.8</f>
        <v>176688.8</v>
      </c>
      <c r="K52" s="3"/>
      <c r="L52" s="11">
        <f>--281995.26</f>
        <v>281995.26</v>
      </c>
      <c r="M52" s="3"/>
      <c r="N52" s="11">
        <f>--153953.68</f>
        <v>153953.68</v>
      </c>
      <c r="O52" s="3"/>
      <c r="P52" s="11"/>
      <c r="Q52" s="3"/>
      <c r="R52" s="11"/>
    </row>
    <row r="53" spans="2:18" s="16" customFormat="1" hidden="1" outlineLevel="1" x14ac:dyDescent="0.35">
      <c r="B53" s="35" t="str">
        <f>CONCATENATE("          ", "4102", " - ", "NON-TAXABLE SALES-USED TEXT")</f>
        <v xml:space="preserve">          4102 - NON-TAXABLE SALES-USED TEXT</v>
      </c>
      <c r="D53" s="11">
        <f>-169093.51*-1</f>
        <v>169093.51</v>
      </c>
      <c r="F53" s="11">
        <f>-105992.28*-1</f>
        <v>105992.28</v>
      </c>
      <c r="G53" s="3"/>
      <c r="H53" s="11">
        <f>-102473.76*-1</f>
        <v>102473.76</v>
      </c>
      <c r="I53" s="3"/>
      <c r="J53" s="11">
        <f>--115900.77</f>
        <v>115900.77</v>
      </c>
      <c r="K53" s="3"/>
      <c r="L53" s="11">
        <f>--98541.39</f>
        <v>98541.39</v>
      </c>
      <c r="M53" s="3"/>
      <c r="N53" s="11">
        <f>--71943.61</f>
        <v>71943.61</v>
      </c>
      <c r="O53" s="3"/>
      <c r="P53" s="11"/>
      <c r="Q53" s="3"/>
      <c r="R53" s="11"/>
    </row>
    <row r="54" spans="2:18" s="16" customFormat="1" hidden="1" outlineLevel="1" x14ac:dyDescent="0.35">
      <c r="B54" s="35" t="str">
        <f>CONCATENATE("          ", "4103", " - ", "NON-TAXABLE SALES-RENTAL TEXT")</f>
        <v xml:space="preserve">          4103 - NON-TAXABLE SALES-RENTAL TEXT</v>
      </c>
      <c r="D54" s="11">
        <f>0*-1</f>
        <v>0</v>
      </c>
      <c r="F54" s="11">
        <f>0*-1</f>
        <v>0</v>
      </c>
      <c r="G54" s="3"/>
      <c r="H54" s="11">
        <f>0*-1</f>
        <v>0</v>
      </c>
      <c r="I54" s="3"/>
      <c r="J54" s="11">
        <f>0</f>
        <v>0</v>
      </c>
      <c r="K54" s="3"/>
      <c r="L54" s="11">
        <f>--830.85</f>
        <v>830.85</v>
      </c>
      <c r="M54" s="3"/>
      <c r="N54" s="11">
        <f>--664.97</f>
        <v>664.97</v>
      </c>
      <c r="O54" s="3"/>
      <c r="P54" s="11"/>
      <c r="Q54" s="3"/>
      <c r="R54" s="11"/>
    </row>
    <row r="55" spans="2:18" s="16" customFormat="1" hidden="1" outlineLevel="1" x14ac:dyDescent="0.35">
      <c r="B55" s="35" t="str">
        <f>CONCATENATE("          ", "4104", " - ", "NON-TAXABLE SALES-DIGITAL TEXT")</f>
        <v xml:space="preserve">          4104 - NON-TAXABLE SALES-DIGITAL TEXT</v>
      </c>
      <c r="D55" s="11">
        <f>-35063.14*-1</f>
        <v>35063.14</v>
      </c>
      <c r="F55" s="11">
        <f>-87423.09*-1</f>
        <v>87423.09</v>
      </c>
      <c r="G55" s="3"/>
      <c r="H55" s="11">
        <f>-168064.67*-1</f>
        <v>168064.67</v>
      </c>
      <c r="I55" s="3"/>
      <c r="J55" s="11">
        <f>--514704.82</f>
        <v>514704.82</v>
      </c>
      <c r="K55" s="3"/>
      <c r="L55" s="11">
        <f>--535221.75</f>
        <v>535221.75</v>
      </c>
      <c r="M55" s="3"/>
      <c r="N55" s="11">
        <f>--533640.31</f>
        <v>533640.31000000006</v>
      </c>
      <c r="O55" s="3"/>
      <c r="P55" s="11"/>
      <c r="Q55" s="3"/>
      <c r="R55" s="11"/>
    </row>
    <row r="56" spans="2:18" s="16" customFormat="1" hidden="1" outlineLevel="1" x14ac:dyDescent="0.35">
      <c r="B56" s="35" t="str">
        <f>CONCATENATE("          ", "4111", " - ", "NON-TAXABLE SALES-NO VALUE TEX")</f>
        <v xml:space="preserve">          4111 - NON-TAXABLE SALES-NO VALUE TEX</v>
      </c>
      <c r="D56" s="11">
        <f>-43256.3*-1</f>
        <v>43256.3</v>
      </c>
      <c r="F56" s="11">
        <f>-43259.52*-1</f>
        <v>43259.519999999997</v>
      </c>
      <c r="G56" s="3"/>
      <c r="H56" s="11">
        <f>-44203.6*-1</f>
        <v>44203.6</v>
      </c>
      <c r="I56" s="3"/>
      <c r="J56" s="11">
        <f>--38359.07</f>
        <v>38359.07</v>
      </c>
      <c r="K56" s="3"/>
      <c r="L56" s="11">
        <f>--25086.75</f>
        <v>25086.75</v>
      </c>
      <c r="M56" s="3"/>
      <c r="N56" s="11">
        <f>--16342.67</f>
        <v>16342.67</v>
      </c>
      <c r="O56" s="3"/>
      <c r="P56" s="11"/>
      <c r="Q56" s="3"/>
      <c r="R56" s="11"/>
    </row>
    <row r="57" spans="2:18" s="16" customFormat="1" hidden="1" outlineLevel="1" x14ac:dyDescent="0.35">
      <c r="B57" s="35" t="str">
        <f>CONCATENATE("          ", "4113", " - ", "NON-TAXABLE SALES-TRADE BOOKS")</f>
        <v xml:space="preserve">          4113 - NON-TAXABLE SALES-TRADE BOOKS</v>
      </c>
      <c r="D57" s="11">
        <f>-1319.69*-1</f>
        <v>1319.69</v>
      </c>
      <c r="F57" s="11">
        <f>-1790.87*-1</f>
        <v>1790.87</v>
      </c>
      <c r="G57" s="3"/>
      <c r="H57" s="11">
        <f>-5971.51*-1</f>
        <v>5971.51</v>
      </c>
      <c r="I57" s="3"/>
      <c r="J57" s="11">
        <f>--1947.27</f>
        <v>1947.27</v>
      </c>
      <c r="K57" s="3"/>
      <c r="L57" s="11">
        <f>--5373</f>
        <v>5373</v>
      </c>
      <c r="M57" s="3"/>
      <c r="N57" s="11">
        <f>--8266.16</f>
        <v>8266.16</v>
      </c>
      <c r="O57" s="3"/>
      <c r="P57" s="11"/>
      <c r="Q57" s="3"/>
      <c r="R57" s="11"/>
    </row>
    <row r="58" spans="2:18" s="16" customFormat="1" hidden="1" outlineLevel="1" x14ac:dyDescent="0.35">
      <c r="B58" s="35" t="str">
        <f>CONCATENATE("          ", "4114", " - ", "NON-TAXABLE SALES-REMAINDERS")</f>
        <v xml:space="preserve">          4114 - NON-TAXABLE SALES-REMAINDERS</v>
      </c>
      <c r="D58" s="11">
        <f>0*-1</f>
        <v>0</v>
      </c>
      <c r="F58" s="11">
        <f>0*-1</f>
        <v>0</v>
      </c>
      <c r="G58" s="3"/>
      <c r="H58" s="11">
        <f t="shared" ref="H58:H59" si="2">0*-1</f>
        <v>0</v>
      </c>
      <c r="I58" s="3"/>
      <c r="J58" s="11">
        <f t="shared" ref="J58:J59" si="3">0</f>
        <v>0</v>
      </c>
      <c r="K58" s="3"/>
      <c r="L58" s="11">
        <f t="shared" ref="L58:L59" si="4">0</f>
        <v>0</v>
      </c>
      <c r="M58" s="3"/>
      <c r="N58" s="11">
        <f>--3.19</f>
        <v>3.19</v>
      </c>
      <c r="O58" s="3"/>
      <c r="P58" s="11"/>
      <c r="Q58" s="3"/>
      <c r="R58" s="11"/>
    </row>
    <row r="59" spans="2:18" s="16" customFormat="1" hidden="1" outlineLevel="1" x14ac:dyDescent="0.35">
      <c r="B59" s="35" t="str">
        <f>CONCATENATE("          ", "4115", " - ", "NON-TAXABLE SALES-CALENDARS")</f>
        <v xml:space="preserve">          4115 - NON-TAXABLE SALES-CALENDARS</v>
      </c>
      <c r="D59" s="11">
        <f>-2*-1</f>
        <v>2</v>
      </c>
      <c r="F59" s="11">
        <f>-158.37*-1</f>
        <v>158.37</v>
      </c>
      <c r="G59" s="3"/>
      <c r="H59" s="11">
        <f t="shared" si="2"/>
        <v>0</v>
      </c>
      <c r="I59" s="3"/>
      <c r="J59" s="11">
        <f t="shared" si="3"/>
        <v>0</v>
      </c>
      <c r="K59" s="3"/>
      <c r="L59" s="11">
        <f t="shared" si="4"/>
        <v>0</v>
      </c>
      <c r="M59" s="3"/>
      <c r="N59" s="11">
        <f>0</f>
        <v>0</v>
      </c>
      <c r="O59" s="3"/>
      <c r="P59" s="11"/>
      <c r="Q59" s="3"/>
      <c r="R59" s="11"/>
    </row>
    <row r="60" spans="2:18" s="16" customFormat="1" hidden="1" outlineLevel="1" x14ac:dyDescent="0.35">
      <c r="B60" s="35" t="str">
        <f>CONCATENATE("          ", "4118", " - ", "NON-TAXABLE SALES-STUDY GUIDES")</f>
        <v xml:space="preserve">          4118 - NON-TAXABLE SALES-STUDY GUIDES</v>
      </c>
      <c r="D60" s="11">
        <f>-353.8*-1</f>
        <v>353.8</v>
      </c>
      <c r="F60" s="11">
        <f>-548.94*-1</f>
        <v>548.94000000000005</v>
      </c>
      <c r="G60" s="3"/>
      <c r="H60" s="11">
        <f>-571.8*-1</f>
        <v>571.79999999999995</v>
      </c>
      <c r="I60" s="3"/>
      <c r="J60" s="11">
        <f>--4573.16</f>
        <v>4573.16</v>
      </c>
      <c r="K60" s="3"/>
      <c r="L60" s="11">
        <f>--2773.48</f>
        <v>2773.48</v>
      </c>
      <c r="M60" s="3"/>
      <c r="N60" s="11">
        <f>--126.03</f>
        <v>126.03</v>
      </c>
      <c r="O60" s="3"/>
      <c r="P60" s="11"/>
      <c r="Q60" s="3"/>
      <c r="R60" s="11"/>
    </row>
    <row r="61" spans="2:18" s="16" customFormat="1" hidden="1" outlineLevel="1" x14ac:dyDescent="0.35">
      <c r="B61" s="35" t="str">
        <f>CONCATENATE("          ", "4119", " - ", "NON-TAXABLE SALES-BOOK RELATED")</f>
        <v xml:space="preserve">          4119 - NON-TAXABLE SALES-BOOK RELATED</v>
      </c>
      <c r="D61" s="11">
        <f>-151.27*-1</f>
        <v>151.27000000000001</v>
      </c>
      <c r="F61" s="11">
        <f>-120.62*-1</f>
        <v>120.62</v>
      </c>
      <c r="G61" s="3"/>
      <c r="H61" s="11">
        <f>-88.12*-1</f>
        <v>88.12</v>
      </c>
      <c r="I61" s="3"/>
      <c r="J61" s="11">
        <f>0</f>
        <v>0</v>
      </c>
      <c r="K61" s="3"/>
      <c r="L61" s="11">
        <f>0</f>
        <v>0</v>
      </c>
      <c r="M61" s="3"/>
      <c r="N61" s="11">
        <f>0</f>
        <v>0</v>
      </c>
      <c r="O61" s="3"/>
      <c r="P61" s="11"/>
      <c r="Q61" s="3"/>
      <c r="R61" s="11"/>
    </row>
    <row r="62" spans="2:18" s="16" customFormat="1" hidden="1" outlineLevel="1" x14ac:dyDescent="0.35">
      <c r="B62" s="35" t="str">
        <f>CONCATENATE("          ", "4125", " - ", "NON-TAXABLE SALES-TEST FORMS")</f>
        <v xml:space="preserve">          4125 - NON-TAXABLE SALES-TEST FORMS</v>
      </c>
      <c r="D62" s="11">
        <f>-224.26*-1</f>
        <v>224.26</v>
      </c>
      <c r="F62" s="11">
        <f>-235.54*-1</f>
        <v>235.54</v>
      </c>
      <c r="G62" s="3"/>
      <c r="H62" s="11">
        <f>-283.63*-1</f>
        <v>283.63</v>
      </c>
      <c r="I62" s="3"/>
      <c r="J62" s="11">
        <f>--349.35</f>
        <v>349.35</v>
      </c>
      <c r="K62" s="3"/>
      <c r="L62" s="11">
        <f>--331.15</f>
        <v>331.15</v>
      </c>
      <c r="M62" s="3"/>
      <c r="N62" s="11">
        <f>--452.61</f>
        <v>452.61</v>
      </c>
      <c r="O62" s="3"/>
      <c r="P62" s="11"/>
      <c r="Q62" s="3"/>
      <c r="R62" s="11"/>
    </row>
    <row r="63" spans="2:18" s="16" customFormat="1" hidden="1" outlineLevel="1" x14ac:dyDescent="0.35">
      <c r="B63" s="35" t="str">
        <f>CONCATENATE("          ", "4126", " - ", "NON-TAXABLE SALES-WRITING INST")</f>
        <v xml:space="preserve">          4126 - NON-TAXABLE SALES-WRITING INST</v>
      </c>
      <c r="D63" s="11">
        <f>-1895.22*-1</f>
        <v>1895.22</v>
      </c>
      <c r="F63" s="11">
        <f>-2640.93*-1</f>
        <v>2640.93</v>
      </c>
      <c r="G63" s="3"/>
      <c r="H63" s="11">
        <f>-3640.17*-1</f>
        <v>3640.17</v>
      </c>
      <c r="I63" s="3"/>
      <c r="J63" s="11">
        <f>--3799.86</f>
        <v>3799.86</v>
      </c>
      <c r="K63" s="3"/>
      <c r="L63" s="11">
        <f>--4171.98</f>
        <v>4171.9799999999996</v>
      </c>
      <c r="M63" s="3"/>
      <c r="N63" s="11">
        <f>--3301.44</f>
        <v>3301.44</v>
      </c>
      <c r="O63" s="3"/>
      <c r="P63" s="11"/>
      <c r="Q63" s="3"/>
      <c r="R63" s="11"/>
    </row>
    <row r="64" spans="2:18" s="16" customFormat="1" hidden="1" outlineLevel="1" x14ac:dyDescent="0.35">
      <c r="B64" s="35" t="str">
        <f>CONCATENATE("          ", "4127", " - ", "NON-TAXABLE SALES-SCHOOL SUPPL")</f>
        <v xml:space="preserve">          4127 - NON-TAXABLE SALES-SCHOOL SUPPL</v>
      </c>
      <c r="D64" s="11">
        <f>-5369.89*-1</f>
        <v>5369.89</v>
      </c>
      <c r="F64" s="11">
        <f>-5919.43*-1</f>
        <v>5919.43</v>
      </c>
      <c r="G64" s="3"/>
      <c r="H64" s="11">
        <f>-14303.61*-1</f>
        <v>14303.61</v>
      </c>
      <c r="I64" s="3"/>
      <c r="J64" s="11">
        <f>--6297.47</f>
        <v>6297.47</v>
      </c>
      <c r="K64" s="3"/>
      <c r="L64" s="11">
        <f>--12627.65</f>
        <v>12627.65</v>
      </c>
      <c r="M64" s="3"/>
      <c r="N64" s="11">
        <f>--6471.33</f>
        <v>6471.33</v>
      </c>
      <c r="O64" s="3"/>
      <c r="P64" s="11"/>
      <c r="Q64" s="3"/>
      <c r="R64" s="11"/>
    </row>
    <row r="65" spans="2:18" s="16" customFormat="1" hidden="1" outlineLevel="1" x14ac:dyDescent="0.35">
      <c r="B65" s="35" t="str">
        <f>CONCATENATE("          ", "4128", " - ", "NON-TAXABLE SALES-ART/TECH")</f>
        <v xml:space="preserve">          4128 - NON-TAXABLE SALES-ART/TECH</v>
      </c>
      <c r="D65" s="11">
        <f>-2829.75*-1</f>
        <v>2829.75</v>
      </c>
      <c r="F65" s="11">
        <f>-942.73*-1</f>
        <v>942.73</v>
      </c>
      <c r="G65" s="3"/>
      <c r="H65" s="11">
        <f>-1352.73*-1</f>
        <v>1352.73</v>
      </c>
      <c r="I65" s="3"/>
      <c r="J65" s="11">
        <f>--947.46</f>
        <v>947.46</v>
      </c>
      <c r="K65" s="3"/>
      <c r="L65" s="11">
        <f>--894.51</f>
        <v>894.51</v>
      </c>
      <c r="M65" s="3"/>
      <c r="N65" s="11">
        <f>--731.36</f>
        <v>731.36</v>
      </c>
      <c r="O65" s="3"/>
      <c r="P65" s="11"/>
      <c r="Q65" s="3"/>
      <c r="R65" s="11"/>
    </row>
    <row r="66" spans="2:18" s="16" customFormat="1" hidden="1" outlineLevel="1" x14ac:dyDescent="0.35">
      <c r="B66" s="35" t="str">
        <f>CONCATENATE("          ", "4131", " - ", "NON-TAXABLE SALES-FOOD")</f>
        <v xml:space="preserve">          4131 - NON-TAXABLE SALES-FOOD</v>
      </c>
      <c r="D66" s="11">
        <f>-50230.44*-1</f>
        <v>50230.44</v>
      </c>
      <c r="F66" s="11">
        <f>-64320.19*-1</f>
        <v>64320.19</v>
      </c>
      <c r="G66" s="3"/>
      <c r="H66" s="11">
        <f>-85366.38*-1</f>
        <v>85366.38</v>
      </c>
      <c r="I66" s="3"/>
      <c r="J66" s="11">
        <f>--84180.45</f>
        <v>84180.45</v>
      </c>
      <c r="K66" s="3"/>
      <c r="L66" s="11">
        <f>--74222.68</f>
        <v>74222.679999999993</v>
      </c>
      <c r="M66" s="3"/>
      <c r="N66" s="11">
        <f>--57960.32</f>
        <v>57960.32</v>
      </c>
      <c r="O66" s="3"/>
      <c r="P66" s="11"/>
      <c r="Q66" s="3"/>
      <c r="R66" s="11"/>
    </row>
    <row r="67" spans="2:18" s="16" customFormat="1" hidden="1" outlineLevel="1" x14ac:dyDescent="0.35">
      <c r="B67" s="35" t="str">
        <f>CONCATENATE("          ", "4132", " - ", "NON-TAXABLE SALES-JUICE")</f>
        <v xml:space="preserve">          4132 - NON-TAXABLE SALES-JUICE</v>
      </c>
      <c r="D67" s="11">
        <f>-1289130.26*-1</f>
        <v>1289130.26</v>
      </c>
      <c r="F67" s="11">
        <f>-1387672.52*-1</f>
        <v>1387672.52</v>
      </c>
      <c r="G67" s="3"/>
      <c r="H67" s="11">
        <f>-1516568.93*-1</f>
        <v>1516568.93</v>
      </c>
      <c r="I67" s="3"/>
      <c r="J67" s="11">
        <f>--1302465.9</f>
        <v>1302465.8999999999</v>
      </c>
      <c r="K67" s="3"/>
      <c r="L67" s="11">
        <f>--1323494.5</f>
        <v>1323494.5</v>
      </c>
      <c r="M67" s="3"/>
      <c r="N67" s="11">
        <f>--1110092.26</f>
        <v>1110092.26</v>
      </c>
      <c r="O67" s="3"/>
      <c r="P67" s="11"/>
      <c r="Q67" s="3"/>
      <c r="R67" s="11"/>
    </row>
    <row r="68" spans="2:18" s="16" customFormat="1" hidden="1" outlineLevel="1" x14ac:dyDescent="0.35">
      <c r="B68" s="35" t="str">
        <f>CONCATENATE("          ", "4133", " - ", "NON-TAXABLE SALES-CANDY")</f>
        <v xml:space="preserve">          4133 - NON-TAXABLE SALES-CANDY</v>
      </c>
      <c r="D68" s="11">
        <f>-32529.65*-1</f>
        <v>32529.65</v>
      </c>
      <c r="F68" s="11">
        <f>-41584.42*-1</f>
        <v>41584.42</v>
      </c>
      <c r="G68" s="3"/>
      <c r="H68" s="11">
        <f>-26619.85*-1</f>
        <v>26619.85</v>
      </c>
      <c r="I68" s="3"/>
      <c r="J68" s="11">
        <f>--23860.4</f>
        <v>23860.400000000001</v>
      </c>
      <c r="K68" s="3"/>
      <c r="L68" s="11">
        <f>--23768.73</f>
        <v>23768.73</v>
      </c>
      <c r="M68" s="3"/>
      <c r="N68" s="11">
        <f>--18151.79</f>
        <v>18151.79</v>
      </c>
      <c r="O68" s="3"/>
      <c r="P68" s="11"/>
      <c r="Q68" s="3"/>
      <c r="R68" s="11"/>
    </row>
    <row r="69" spans="2:18" s="16" customFormat="1" hidden="1" outlineLevel="1" x14ac:dyDescent="0.35">
      <c r="B69" s="35" t="str">
        <f>CONCATENATE("          ", "4134", " - ", "NON-TAXABLE SALES-SODA")</f>
        <v xml:space="preserve">          4134 - NON-TAXABLE SALES-SODA</v>
      </c>
      <c r="D69" s="11">
        <f>-786.93*-1</f>
        <v>786.93</v>
      </c>
      <c r="F69" s="11">
        <f>-2703.22*-1</f>
        <v>2703.22</v>
      </c>
      <c r="G69" s="3"/>
      <c r="H69" s="11">
        <f>-448.98*-1</f>
        <v>448.98</v>
      </c>
      <c r="I69" s="3"/>
      <c r="J69" s="11">
        <f>--806.16</f>
        <v>806.16</v>
      </c>
      <c r="K69" s="3"/>
      <c r="L69" s="11">
        <f>--167.19</f>
        <v>167.19</v>
      </c>
      <c r="M69" s="3"/>
      <c r="N69" s="11">
        <f>--101.72</f>
        <v>101.72</v>
      </c>
      <c r="O69" s="3"/>
      <c r="P69" s="11"/>
      <c r="Q69" s="3"/>
      <c r="R69" s="11"/>
    </row>
    <row r="70" spans="2:18" s="16" customFormat="1" hidden="1" outlineLevel="1" x14ac:dyDescent="0.35">
      <c r="B70" s="35" t="str">
        <f>CONCATENATE("          ", "4135", " - ", "NON-TAXABLE SALES")</f>
        <v xml:space="preserve">          4135 - NON-TAXABLE SALES</v>
      </c>
      <c r="D70" s="11">
        <f>0*-1</f>
        <v>0</v>
      </c>
      <c r="F70" s="11">
        <f>0*-1</f>
        <v>0</v>
      </c>
      <c r="G70" s="3"/>
      <c r="H70" s="11">
        <f>-429.05*-1</f>
        <v>429.05</v>
      </c>
      <c r="I70" s="3"/>
      <c r="J70" s="11">
        <f>--469.36</f>
        <v>469.36</v>
      </c>
      <c r="K70" s="3"/>
      <c r="L70" s="11">
        <f>--383.81</f>
        <v>383.81</v>
      </c>
      <c r="M70" s="3"/>
      <c r="N70" s="11">
        <f>--161.4</f>
        <v>161.4</v>
      </c>
      <c r="O70" s="3"/>
      <c r="P70" s="11"/>
      <c r="Q70" s="3"/>
      <c r="R70" s="11"/>
    </row>
    <row r="71" spans="2:18" s="16" customFormat="1" hidden="1" outlineLevel="1" x14ac:dyDescent="0.35">
      <c r="B71" s="35" t="str">
        <f>CONCATENATE("          ", "4137", " - ", "NON-TAXABLE SALES-WATER")</f>
        <v xml:space="preserve">          4137 - NON-TAXABLE SALES-WATER</v>
      </c>
      <c r="D71" s="11">
        <f>-13259.95*-1</f>
        <v>13259.95</v>
      </c>
      <c r="F71" s="11">
        <f>-16052.68*-1</f>
        <v>16052.68</v>
      </c>
      <c r="G71" s="3"/>
      <c r="H71" s="11">
        <f>-15337.92*-1</f>
        <v>15337.92</v>
      </c>
      <c r="I71" s="3"/>
      <c r="J71" s="11">
        <f>--13779.09</f>
        <v>13779.09</v>
      </c>
      <c r="K71" s="3"/>
      <c r="L71" s="11">
        <f>--12501.55</f>
        <v>12501.55</v>
      </c>
      <c r="M71" s="3"/>
      <c r="N71" s="11">
        <f>--10094.74</f>
        <v>10094.74</v>
      </c>
      <c r="O71" s="3"/>
      <c r="P71" s="11"/>
      <c r="Q71" s="3"/>
      <c r="R71" s="11"/>
    </row>
    <row r="72" spans="2:18" s="16" customFormat="1" hidden="1" outlineLevel="1" x14ac:dyDescent="0.35">
      <c r="B72" s="35" t="str">
        <f>CONCATENATE("          ", "4140", " - ", "NON-TAXABLE SALES-LOGO CLOTHIN")</f>
        <v xml:space="preserve">          4140 - NON-TAXABLE SALES-LOGO CLOTHIN</v>
      </c>
      <c r="D72" s="11">
        <f>-66659.64*-1</f>
        <v>66659.64</v>
      </c>
      <c r="F72" s="11">
        <f>-54768.83*-1</f>
        <v>54768.83</v>
      </c>
      <c r="G72" s="3"/>
      <c r="H72" s="11">
        <f>-69204.87*-1</f>
        <v>69204.87</v>
      </c>
      <c r="I72" s="3"/>
      <c r="J72" s="11">
        <f>--67516.34</f>
        <v>67516.34</v>
      </c>
      <c r="K72" s="3"/>
      <c r="L72" s="11">
        <f>--62811.11</f>
        <v>62811.11</v>
      </c>
      <c r="M72" s="3"/>
      <c r="N72" s="11">
        <f>--176221.13</f>
        <v>176221.13</v>
      </c>
      <c r="O72" s="3"/>
      <c r="P72" s="11"/>
      <c r="Q72" s="3"/>
      <c r="R72" s="11"/>
    </row>
    <row r="73" spans="2:18" s="16" customFormat="1" hidden="1" outlineLevel="1" x14ac:dyDescent="0.35">
      <c r="B73" s="35" t="str">
        <f>CONCATENATE("          ", "4141", " - ", "NON-TAXABLE SALES-LOGO GIFTS")</f>
        <v xml:space="preserve">          4141 - NON-TAXABLE SALES-LOGO GIFTS</v>
      </c>
      <c r="D73" s="11">
        <f>-10801.42*-1</f>
        <v>10801.42</v>
      </c>
      <c r="F73" s="11">
        <f>-8388.38*-1</f>
        <v>8388.3799999999992</v>
      </c>
      <c r="G73" s="3"/>
      <c r="H73" s="11">
        <f>-7282.43*-1</f>
        <v>7282.43</v>
      </c>
      <c r="I73" s="3"/>
      <c r="J73" s="11">
        <f>--6513.46</f>
        <v>6513.46</v>
      </c>
      <c r="K73" s="3"/>
      <c r="L73" s="11">
        <f>--6856.03</f>
        <v>6856.03</v>
      </c>
      <c r="M73" s="3"/>
      <c r="N73" s="11">
        <f>--23601.45</f>
        <v>23601.45</v>
      </c>
      <c r="O73" s="3"/>
      <c r="P73" s="11"/>
      <c r="Q73" s="3"/>
      <c r="R73" s="11"/>
    </row>
    <row r="74" spans="2:18" s="16" customFormat="1" hidden="1" outlineLevel="1" x14ac:dyDescent="0.35">
      <c r="B74" s="35" t="str">
        <f>CONCATENATE("          ", "4142", " - ", "NON-TAXABLE SALES-EVERYDAY GIF")</f>
        <v xml:space="preserve">          4142 - NON-TAXABLE SALES-EVERYDAY GIF</v>
      </c>
      <c r="D74" s="11">
        <f>-8395.9*-1</f>
        <v>8395.9</v>
      </c>
      <c r="F74" s="11">
        <f>-11594.47*-1</f>
        <v>11594.47</v>
      </c>
      <c r="G74" s="3"/>
      <c r="H74" s="11">
        <f>-24990.14*-1</f>
        <v>24990.14</v>
      </c>
      <c r="I74" s="3"/>
      <c r="J74" s="11">
        <f>--19557.21</f>
        <v>19557.21</v>
      </c>
      <c r="K74" s="3"/>
      <c r="L74" s="11">
        <f>--21317.71</f>
        <v>21317.71</v>
      </c>
      <c r="M74" s="3"/>
      <c r="N74" s="11">
        <f>--19400.17</f>
        <v>19400.169999999998</v>
      </c>
      <c r="O74" s="3"/>
      <c r="P74" s="11"/>
      <c r="Q74" s="3"/>
      <c r="R74" s="11"/>
    </row>
    <row r="75" spans="2:18" s="16" customFormat="1" hidden="1" outlineLevel="1" x14ac:dyDescent="0.35">
      <c r="B75" s="35" t="str">
        <f>CONCATENATE("          ", "4143", " - ", "NON-TAXABLE SALES-CARDS")</f>
        <v xml:space="preserve">          4143 - NON-TAXABLE SALES-CARDS</v>
      </c>
      <c r="D75" s="11">
        <f>-1.5*-1</f>
        <v>1.5</v>
      </c>
      <c r="F75" s="11">
        <f>-7.95*-1</f>
        <v>7.95</v>
      </c>
      <c r="G75" s="3"/>
      <c r="H75" s="11">
        <f>0*-1</f>
        <v>0</v>
      </c>
      <c r="I75" s="3"/>
      <c r="J75" s="11">
        <f>0</f>
        <v>0</v>
      </c>
      <c r="K75" s="3"/>
      <c r="L75" s="11">
        <f>0</f>
        <v>0</v>
      </c>
      <c r="M75" s="3"/>
      <c r="N75" s="11">
        <f>--19.98</f>
        <v>19.98</v>
      </c>
      <c r="O75" s="3"/>
      <c r="P75" s="11"/>
      <c r="Q75" s="3"/>
      <c r="R75" s="11"/>
    </row>
    <row r="76" spans="2:18" s="16" customFormat="1" hidden="1" outlineLevel="1" x14ac:dyDescent="0.35">
      <c r="B76" s="35" t="str">
        <f>CONCATENATE("          ", "4144", " - ", "NON-TAXABLE SALES-ACCESSORIES")</f>
        <v xml:space="preserve">          4144 - NON-TAXABLE SALES-ACCESSORIES</v>
      </c>
      <c r="D76" s="11">
        <f>-1524.08*-1</f>
        <v>1524.08</v>
      </c>
      <c r="F76" s="11">
        <f>-1919.05*-1</f>
        <v>1919.05</v>
      </c>
      <c r="G76" s="3"/>
      <c r="H76" s="11">
        <f>-7162.32*-1</f>
        <v>7162.32</v>
      </c>
      <c r="I76" s="3"/>
      <c r="J76" s="11">
        <f>--1934.37</f>
        <v>1934.37</v>
      </c>
      <c r="K76" s="3"/>
      <c r="L76" s="11">
        <f>--659.84</f>
        <v>659.84</v>
      </c>
      <c r="M76" s="3"/>
      <c r="N76" s="11">
        <f>--3710.92</f>
        <v>3710.92</v>
      </c>
      <c r="O76" s="3"/>
      <c r="P76" s="11"/>
      <c r="Q76" s="3"/>
      <c r="R76" s="11"/>
    </row>
    <row r="77" spans="2:18" s="16" customFormat="1" hidden="1" outlineLevel="1" x14ac:dyDescent="0.35">
      <c r="B77" s="35" t="str">
        <f>CONCATENATE("          ", "4145", " - ", "NON-TAXABLE SALES-SPECIAL ORDE")</f>
        <v xml:space="preserve">          4145 - NON-TAXABLE SALES-SPECIAL ORDE</v>
      </c>
      <c r="D77" s="11">
        <f>-2024.48*-1</f>
        <v>2024.48</v>
      </c>
      <c r="F77" s="11">
        <f>270*-1</f>
        <v>-270</v>
      </c>
      <c r="G77" s="3"/>
      <c r="H77" s="11">
        <f>-183*-1</f>
        <v>183</v>
      </c>
      <c r="I77" s="3"/>
      <c r="J77" s="11">
        <f>--5341.94</f>
        <v>5341.94</v>
      </c>
      <c r="K77" s="3"/>
      <c r="L77" s="11">
        <f>--2382.85</f>
        <v>2382.85</v>
      </c>
      <c r="M77" s="3"/>
      <c r="N77" s="11">
        <f>--27208.18</f>
        <v>27208.18</v>
      </c>
      <c r="O77" s="3"/>
      <c r="P77" s="11"/>
      <c r="Q77" s="3"/>
      <c r="R77" s="11"/>
    </row>
    <row r="78" spans="2:18" s="16" customFormat="1" hidden="1" outlineLevel="1" x14ac:dyDescent="0.35">
      <c r="B78" s="35" t="str">
        <f>CONCATENATE("          ", "4146", " - ", "NON-TAXABLE SALES-COIN OP MACH")</f>
        <v xml:space="preserve">          4146 - NON-TAXABLE SALES-COIN OP MACH</v>
      </c>
      <c r="D78" s="11">
        <f>-319810.41*-1</f>
        <v>319810.40999999997</v>
      </c>
      <c r="F78" s="11">
        <f>-367498.96*-1</f>
        <v>367498.96</v>
      </c>
      <c r="G78" s="3"/>
      <c r="H78" s="11">
        <f>-347130.16*-1</f>
        <v>347130.16</v>
      </c>
      <c r="I78" s="3"/>
      <c r="J78" s="11">
        <f>--299409.05</f>
        <v>299409.05</v>
      </c>
      <c r="K78" s="3"/>
      <c r="L78" s="11">
        <f>--288251.29</f>
        <v>288251.28999999998</v>
      </c>
      <c r="M78" s="3"/>
      <c r="N78" s="11">
        <f>--205908.65</f>
        <v>205908.65</v>
      </c>
      <c r="O78" s="3"/>
      <c r="P78" s="11"/>
      <c r="Q78" s="3"/>
      <c r="R78" s="11"/>
    </row>
    <row r="79" spans="2:18" s="16" customFormat="1" hidden="1" outlineLevel="1" x14ac:dyDescent="0.35">
      <c r="B79" s="35" t="str">
        <f>CONCATENATE("          ", "4147", " - ", "NON-TAXABLE SALES-MISC")</f>
        <v xml:space="preserve">          4147 - NON-TAXABLE SALES-MISC</v>
      </c>
      <c r="D79" s="11">
        <f>-19396.27*-1</f>
        <v>19396.27</v>
      </c>
      <c r="F79" s="11">
        <f>-2120.65*-1</f>
        <v>2120.65</v>
      </c>
      <c r="G79" s="3"/>
      <c r="H79" s="11">
        <f>-1465.7*-1</f>
        <v>1465.7</v>
      </c>
      <c r="I79" s="3"/>
      <c r="J79" s="11">
        <f>--885</f>
        <v>885</v>
      </c>
      <c r="K79" s="3"/>
      <c r="L79" s="11">
        <f>--959.73</f>
        <v>959.73</v>
      </c>
      <c r="M79" s="3"/>
      <c r="N79" s="11">
        <f>--3446.37</f>
        <v>3446.37</v>
      </c>
      <c r="O79" s="3"/>
      <c r="P79" s="11"/>
      <c r="Q79" s="3"/>
      <c r="R79" s="11"/>
    </row>
    <row r="80" spans="2:18" s="16" customFormat="1" hidden="1" outlineLevel="1" x14ac:dyDescent="0.35">
      <c r="B80" s="35" t="str">
        <f>CONCATENATE("          ", "4151", " - ", "NON-TAXABLE SALES-FOOD")</f>
        <v xml:space="preserve">          4151 - NON-TAXABLE SALES-FOOD</v>
      </c>
      <c r="D80" s="11">
        <f>-1216496.87*-1</f>
        <v>1216496.8700000001</v>
      </c>
      <c r="F80" s="11">
        <f>-1188377.46*-1</f>
        <v>1188377.46</v>
      </c>
      <c r="G80" s="3"/>
      <c r="H80" s="11">
        <f>-1282369.7*-1</f>
        <v>1282369.7</v>
      </c>
      <c r="I80" s="3"/>
      <c r="J80" s="11">
        <f>--1129477.44</f>
        <v>1129477.44</v>
      </c>
      <c r="K80" s="3"/>
      <c r="L80" s="11">
        <f>--1094407.35</f>
        <v>1094407.3500000001</v>
      </c>
      <c r="M80" s="3"/>
      <c r="N80" s="11">
        <f>--828068.07</f>
        <v>828068.07</v>
      </c>
      <c r="O80" s="3"/>
      <c r="P80" s="11"/>
      <c r="Q80" s="3"/>
      <c r="R80" s="11"/>
    </row>
    <row r="81" spans="2:18" s="16" customFormat="1" hidden="1" outlineLevel="1" x14ac:dyDescent="0.35">
      <c r="B81" s="35" t="str">
        <f>CONCATENATE("          ", "4153", " - ", "NON-TAXABLE SALES-FOOD")</f>
        <v xml:space="preserve">          4153 - NON-TAXABLE SALES-FOOD</v>
      </c>
      <c r="D81" s="11">
        <f>-7563.42*-1</f>
        <v>7563.42</v>
      </c>
      <c r="F81" s="11">
        <f>-9645*-1</f>
        <v>9645</v>
      </c>
      <c r="G81" s="3"/>
      <c r="H81" s="11">
        <f>-14634.25*-1</f>
        <v>14634.25</v>
      </c>
      <c r="I81" s="3"/>
      <c r="J81" s="11">
        <f>--12715.51</f>
        <v>12715.51</v>
      </c>
      <c r="K81" s="3"/>
      <c r="L81" s="11">
        <f>--14530.67</f>
        <v>14530.67</v>
      </c>
      <c r="M81" s="3"/>
      <c r="N81" s="11">
        <f>--12812.5</f>
        <v>12812.5</v>
      </c>
      <c r="O81" s="3"/>
      <c r="P81" s="11"/>
      <c r="Q81" s="3"/>
      <c r="R81" s="11"/>
    </row>
    <row r="82" spans="2:18" s="16" customFormat="1" hidden="1" outlineLevel="1" x14ac:dyDescent="0.35">
      <c r="B82" s="35" t="str">
        <f>CONCATENATE("          ", "4186", " - ", "NON-TAXABLE SALES-COMPUTER SUP")</f>
        <v xml:space="preserve">          4186 - NON-TAXABLE SALES-COMPUTER SUP</v>
      </c>
      <c r="D82" s="11">
        <f>0*-1</f>
        <v>0</v>
      </c>
      <c r="F82" s="11">
        <f>0*-1</f>
        <v>0</v>
      </c>
      <c r="G82" s="3"/>
      <c r="H82" s="11">
        <f>-4.99*-1</f>
        <v>4.99</v>
      </c>
      <c r="I82" s="3"/>
      <c r="J82" s="11">
        <f>-52.98</f>
        <v>-52.98</v>
      </c>
      <c r="K82" s="3"/>
      <c r="L82" s="11">
        <f>-174.68</f>
        <v>-174.68</v>
      </c>
      <c r="M82" s="3"/>
      <c r="N82" s="11">
        <f>-30.97</f>
        <v>-30.97</v>
      </c>
      <c r="O82" s="3"/>
      <c r="P82" s="11"/>
      <c r="Q82" s="3"/>
      <c r="R82" s="11"/>
    </row>
    <row r="83" spans="2:18" s="16" customFormat="1" hidden="1" outlineLevel="1" x14ac:dyDescent="0.35">
      <c r="B83" s="35" t="str">
        <f>CONCATENATE("          ", "4192", " - ", "NON-TAXABLE SALES-GRAD MERCH")</f>
        <v xml:space="preserve">          4192 - NON-TAXABLE SALES-GRAD MERCH</v>
      </c>
      <c r="D83" s="11">
        <f>-1271.01*-1</f>
        <v>1271.01</v>
      </c>
      <c r="F83" s="11">
        <f>-413.78*-1</f>
        <v>413.78</v>
      </c>
      <c r="G83" s="3"/>
      <c r="H83" s="11">
        <f>0*-1</f>
        <v>0</v>
      </c>
      <c r="I83" s="3"/>
      <c r="J83" s="11">
        <f t="shared" ref="J83:J84" si="5">0</f>
        <v>0</v>
      </c>
      <c r="K83" s="3"/>
      <c r="L83" s="11">
        <f>--21.25</f>
        <v>21.25</v>
      </c>
      <c r="M83" s="3"/>
      <c r="N83" s="11">
        <f>--119.4</f>
        <v>119.4</v>
      </c>
      <c r="O83" s="3"/>
      <c r="P83" s="11"/>
      <c r="Q83" s="3"/>
      <c r="R83" s="11"/>
    </row>
    <row r="84" spans="2:18" s="16" customFormat="1" hidden="1" outlineLevel="1" x14ac:dyDescent="0.35">
      <c r="B84" s="35" t="str">
        <f>CONCATENATE("          ", "4195", " - ", "NON-TAXABLE SALES-CUSTOMER SER")</f>
        <v xml:space="preserve">          4195 - NON-TAXABLE SALES-CUSTOMER SER</v>
      </c>
      <c r="D84" s="11">
        <f>-10.94*-1</f>
        <v>10.94</v>
      </c>
      <c r="F84" s="11">
        <f>0*-1</f>
        <v>0</v>
      </c>
      <c r="G84" s="3"/>
      <c r="H84" s="11">
        <f>-1.98*-1</f>
        <v>1.98</v>
      </c>
      <c r="I84" s="3"/>
      <c r="J84" s="11">
        <f t="shared" si="5"/>
        <v>0</v>
      </c>
      <c r="K84" s="3"/>
      <c r="L84" s="11">
        <f>0</f>
        <v>0</v>
      </c>
      <c r="M84" s="3"/>
      <c r="N84" s="11">
        <f>0</f>
        <v>0</v>
      </c>
      <c r="O84" s="3"/>
      <c r="P84" s="11"/>
      <c r="Q84" s="3"/>
      <c r="R84" s="11"/>
    </row>
    <row r="85" spans="2:18" s="16" customFormat="1" hidden="1" outlineLevel="1" x14ac:dyDescent="0.35">
      <c r="B85" s="35" t="str">
        <f>CONCATENATE("          ", "4201", " - ", "SALES RETURN TAXABLE-NEW TEXT")</f>
        <v xml:space="preserve">          4201 - SALES RETURN TAXABLE-NEW TEXT</v>
      </c>
      <c r="D85" s="11">
        <f>365569.91*-1</f>
        <v>-365569.91</v>
      </c>
      <c r="F85" s="11">
        <f>331351.34*-1</f>
        <v>-331351.34000000003</v>
      </c>
      <c r="G85" s="3"/>
      <c r="H85" s="11">
        <f>338311.16*-1</f>
        <v>-338311.16</v>
      </c>
      <c r="I85" s="3"/>
      <c r="J85" s="11">
        <f>-274197.84</f>
        <v>-274197.84000000003</v>
      </c>
      <c r="K85" s="3"/>
      <c r="L85" s="11">
        <f>-180616.86</f>
        <v>-180616.86</v>
      </c>
      <c r="M85" s="3"/>
      <c r="N85" s="11">
        <f>-121451.61</f>
        <v>-121451.61</v>
      </c>
      <c r="O85" s="3"/>
      <c r="P85" s="11"/>
      <c r="Q85" s="3"/>
      <c r="R85" s="11"/>
    </row>
    <row r="86" spans="2:18" s="16" customFormat="1" hidden="1" outlineLevel="1" x14ac:dyDescent="0.35">
      <c r="B86" s="35" t="str">
        <f>CONCATENATE("          ", "4202", " - ", "SALES RETURN TAXABLE-USED TEXT")</f>
        <v xml:space="preserve">          4202 - SALES RETURN TAXABLE-USED TEXT</v>
      </c>
      <c r="D86" s="11">
        <f>119446.59*-1</f>
        <v>-119446.59</v>
      </c>
      <c r="F86" s="11">
        <f>111075.8*-1</f>
        <v>-111075.8</v>
      </c>
      <c r="G86" s="3"/>
      <c r="H86" s="11">
        <f>93513.58*-1</f>
        <v>-93513.58</v>
      </c>
      <c r="I86" s="3"/>
      <c r="J86" s="11">
        <f>-66220.07</f>
        <v>-66220.070000000007</v>
      </c>
      <c r="K86" s="3"/>
      <c r="L86" s="11">
        <f>-47688.8</f>
        <v>-47688.800000000003</v>
      </c>
      <c r="M86" s="3"/>
      <c r="N86" s="11">
        <f>-45799.46</f>
        <v>-45799.46</v>
      </c>
      <c r="O86" s="3"/>
      <c r="P86" s="11"/>
      <c r="Q86" s="3"/>
      <c r="R86" s="11"/>
    </row>
    <row r="87" spans="2:18" s="16" customFormat="1" hidden="1" outlineLevel="1" x14ac:dyDescent="0.35">
      <c r="B87" s="35" t="str">
        <f>CONCATENATE("          ", "4203", " - ", "SALES RETURN TAXABLE-RENTAL TE")</f>
        <v xml:space="preserve">          4203 - SALES RETURN TAXABLE-RENTAL TE</v>
      </c>
      <c r="D87" s="11">
        <f>0*-1</f>
        <v>0</v>
      </c>
      <c r="F87" s="11">
        <f>0*-1</f>
        <v>0</v>
      </c>
      <c r="G87" s="3"/>
      <c r="H87" s="11">
        <f>0*-1</f>
        <v>0</v>
      </c>
      <c r="I87" s="3"/>
      <c r="J87" s="11">
        <f>-457.7</f>
        <v>-457.7</v>
      </c>
      <c r="K87" s="3"/>
      <c r="L87" s="11">
        <f>-1699.5</f>
        <v>-1699.5</v>
      </c>
      <c r="M87" s="3"/>
      <c r="N87" s="11">
        <f>-144.99</f>
        <v>-144.99</v>
      </c>
      <c r="O87" s="3"/>
      <c r="P87" s="11"/>
      <c r="Q87" s="3"/>
      <c r="R87" s="11"/>
    </row>
    <row r="88" spans="2:18" s="16" customFormat="1" hidden="1" outlineLevel="1" x14ac:dyDescent="0.35">
      <c r="B88" s="35" t="str">
        <f>CONCATENATE("          ", "4204", " - ", "SALES RETURN TAXABLE-DIGITAL T")</f>
        <v xml:space="preserve">          4204 - SALES RETURN TAXABLE-DIGITAL T</v>
      </c>
      <c r="D88" s="11">
        <f>10124.95*-1</f>
        <v>-10124.950000000001</v>
      </c>
      <c r="F88" s="11">
        <f>20461.65*-1</f>
        <v>-20461.650000000001</v>
      </c>
      <c r="G88" s="3"/>
      <c r="H88" s="11">
        <f>30518.8*-1</f>
        <v>-30518.799999999999</v>
      </c>
      <c r="I88" s="3"/>
      <c r="J88" s="11">
        <f>-202.45</f>
        <v>-202.45</v>
      </c>
      <c r="K88" s="3"/>
      <c r="L88" s="11">
        <f>-27147</f>
        <v>-27147</v>
      </c>
      <c r="M88" s="3"/>
      <c r="N88" s="11">
        <f>-17255.33</f>
        <v>-17255.330000000002</v>
      </c>
      <c r="O88" s="3"/>
      <c r="P88" s="11"/>
      <c r="Q88" s="3"/>
      <c r="R88" s="11"/>
    </row>
    <row r="89" spans="2:18" s="16" customFormat="1" hidden="1" outlineLevel="1" x14ac:dyDescent="0.35">
      <c r="B89" s="35" t="str">
        <f>CONCATENATE("          ", "4211", " - ", "SALES RETURN TAXABLE-NO VALUE")</f>
        <v xml:space="preserve">          4211 - SALES RETURN TAXABLE-NO VALUE</v>
      </c>
      <c r="D89" s="11">
        <f t="shared" ref="D89:D90" si="6">0*-1</f>
        <v>0</v>
      </c>
      <c r="F89" s="11">
        <f>0*-1</f>
        <v>0</v>
      </c>
      <c r="G89" s="3"/>
      <c r="H89" s="11">
        <f>0*-1</f>
        <v>0</v>
      </c>
      <c r="I89" s="3"/>
      <c r="J89" s="11">
        <f>-90.83</f>
        <v>-90.83</v>
      </c>
      <c r="K89" s="3"/>
      <c r="L89" s="11">
        <f t="shared" ref="L89:L90" si="7">0</f>
        <v>0</v>
      </c>
      <c r="M89" s="3"/>
      <c r="N89" s="11">
        <f t="shared" ref="N89:N90" si="8">0</f>
        <v>0</v>
      </c>
      <c r="O89" s="3"/>
      <c r="P89" s="11"/>
      <c r="Q89" s="3"/>
      <c r="R89" s="11"/>
    </row>
    <row r="90" spans="2:18" s="16" customFormat="1" hidden="1" outlineLevel="1" x14ac:dyDescent="0.35">
      <c r="B90" s="35" t="str">
        <f>CONCATENATE("          ", "4212", " - ", "SALES RETURN TAXABLE-MAGAZINES")</f>
        <v xml:space="preserve">          4212 - SALES RETURN TAXABLE-MAGAZINES</v>
      </c>
      <c r="D90" s="11">
        <f t="shared" si="6"/>
        <v>0</v>
      </c>
      <c r="F90" s="11">
        <f>26.85*-1</f>
        <v>-26.85</v>
      </c>
      <c r="G90" s="3"/>
      <c r="H90" s="11">
        <f>17.9*-1</f>
        <v>-17.899999999999999</v>
      </c>
      <c r="I90" s="3"/>
      <c r="J90" s="11">
        <f>0</f>
        <v>0</v>
      </c>
      <c r="K90" s="3"/>
      <c r="L90" s="11">
        <f t="shared" si="7"/>
        <v>0</v>
      </c>
      <c r="M90" s="3"/>
      <c r="N90" s="11">
        <f t="shared" si="8"/>
        <v>0</v>
      </c>
      <c r="O90" s="3"/>
      <c r="P90" s="11"/>
      <c r="Q90" s="3"/>
      <c r="R90" s="11"/>
    </row>
    <row r="91" spans="2:18" s="16" customFormat="1" hidden="1" outlineLevel="1" x14ac:dyDescent="0.35">
      <c r="B91" s="35" t="str">
        <f>CONCATENATE("          ", "4213", " - ", "NON-TAXABLE SALES-TRADE BOOKS")</f>
        <v xml:space="preserve">          4213 - NON-TAXABLE SALES-TRADE BOOKS</v>
      </c>
      <c r="D91" s="11">
        <f>881.78*-1</f>
        <v>-881.78</v>
      </c>
      <c r="F91" s="11">
        <f>1135.32*-1</f>
        <v>-1135.32</v>
      </c>
      <c r="G91" s="3"/>
      <c r="H91" s="11">
        <f>1397.88*-1</f>
        <v>-1397.88</v>
      </c>
      <c r="I91" s="3"/>
      <c r="J91" s="11">
        <f>-283.02</f>
        <v>-283.02</v>
      </c>
      <c r="K91" s="3"/>
      <c r="L91" s="11">
        <f>-1554.3</f>
        <v>-1554.3</v>
      </c>
      <c r="M91" s="3"/>
      <c r="N91" s="11">
        <f>-2869.37</f>
        <v>-2869.37</v>
      </c>
      <c r="O91" s="3"/>
      <c r="P91" s="11"/>
      <c r="Q91" s="3"/>
      <c r="R91" s="11"/>
    </row>
    <row r="92" spans="2:18" s="16" customFormat="1" hidden="1" outlineLevel="1" x14ac:dyDescent="0.35">
      <c r="B92" s="35" t="str">
        <f>CONCATENATE("          ", "4214", " - ", "SALES RETURN TAXABLE-REMAINDER")</f>
        <v xml:space="preserve">          4214 - SALES RETURN TAXABLE-REMAINDER</v>
      </c>
      <c r="D92" s="11">
        <f>0*-1</f>
        <v>0</v>
      </c>
      <c r="F92" s="11">
        <f>9.73*-1</f>
        <v>-9.73</v>
      </c>
      <c r="G92" s="3"/>
      <c r="H92" s="11">
        <f t="shared" ref="H92:H94" si="9">0*-1</f>
        <v>0</v>
      </c>
      <c r="I92" s="3"/>
      <c r="J92" s="11">
        <f t="shared" ref="J92:J93" si="10">0</f>
        <v>0</v>
      </c>
      <c r="K92" s="3"/>
      <c r="L92" s="11">
        <f>-19.84</f>
        <v>-19.84</v>
      </c>
      <c r="M92" s="3"/>
      <c r="N92" s="11">
        <f>-11.94</f>
        <v>-11.94</v>
      </c>
      <c r="O92" s="3"/>
      <c r="P92" s="11"/>
      <c r="Q92" s="3"/>
      <c r="R92" s="11"/>
    </row>
    <row r="93" spans="2:18" s="16" customFormat="1" hidden="1" outlineLevel="1" x14ac:dyDescent="0.35">
      <c r="B93" s="35" t="str">
        <f>CONCATENATE("          ", "4215", " - ", "SALES RETURN TAXABLE-CALENDARS")</f>
        <v xml:space="preserve">          4215 - SALES RETURN TAXABLE-CALENDARS</v>
      </c>
      <c r="D93" s="11">
        <f>23.98*-1</f>
        <v>-23.98</v>
      </c>
      <c r="F93" s="11">
        <f>21.86*-1</f>
        <v>-21.86</v>
      </c>
      <c r="G93" s="3"/>
      <c r="H93" s="11">
        <f t="shared" si="9"/>
        <v>0</v>
      </c>
      <c r="I93" s="3"/>
      <c r="J93" s="11">
        <f t="shared" si="10"/>
        <v>0</v>
      </c>
      <c r="K93" s="3"/>
      <c r="L93" s="11">
        <f>0</f>
        <v>0</v>
      </c>
      <c r="M93" s="3"/>
      <c r="N93" s="11">
        <f>0</f>
        <v>0</v>
      </c>
      <c r="O93" s="3"/>
      <c r="P93" s="11"/>
      <c r="Q93" s="3"/>
      <c r="R93" s="11"/>
    </row>
    <row r="94" spans="2:18" s="16" customFormat="1" hidden="1" outlineLevel="1" x14ac:dyDescent="0.35">
      <c r="B94" s="35" t="str">
        <f>CONCATENATE("          ", "4217", " - ", "NON-TAXABLE SALES-DORM/HOUSEWA")</f>
        <v xml:space="preserve">          4217 - NON-TAXABLE SALES-DORM/HOUSEWA</v>
      </c>
      <c r="D94" s="11">
        <f>45.97*-1</f>
        <v>-45.97</v>
      </c>
      <c r="F94" s="11">
        <f>10.87*-1</f>
        <v>-10.87</v>
      </c>
      <c r="G94" s="3"/>
      <c r="H94" s="11">
        <f t="shared" si="9"/>
        <v>0</v>
      </c>
      <c r="I94" s="3"/>
      <c r="J94" s="11">
        <f>-5.96</f>
        <v>-5.96</v>
      </c>
      <c r="K94" s="3"/>
      <c r="L94" s="11">
        <f>-2.99</f>
        <v>-2.99</v>
      </c>
      <c r="M94" s="3"/>
      <c r="N94" s="11">
        <f>-2.98</f>
        <v>-2.98</v>
      </c>
      <c r="O94" s="3"/>
      <c r="P94" s="11"/>
      <c r="Q94" s="3"/>
      <c r="R94" s="11"/>
    </row>
    <row r="95" spans="2:18" s="16" customFormat="1" hidden="1" outlineLevel="1" x14ac:dyDescent="0.35">
      <c r="B95" s="35" t="str">
        <f>CONCATENATE("          ", "4218", " - ", "SALES RETURN TAXABLE-STUDY GUI")</f>
        <v xml:space="preserve">          4218 - SALES RETURN TAXABLE-STUDY GUI</v>
      </c>
      <c r="D95" s="11">
        <f>503.09*-1</f>
        <v>-503.09</v>
      </c>
      <c r="F95" s="11">
        <f>273.78*-1</f>
        <v>-273.77999999999997</v>
      </c>
      <c r="G95" s="3"/>
      <c r="H95" s="11">
        <f>349.67*-1</f>
        <v>-349.67</v>
      </c>
      <c r="I95" s="3"/>
      <c r="J95" s="11">
        <f>-234.52</f>
        <v>-234.52</v>
      </c>
      <c r="K95" s="3"/>
      <c r="L95" s="11">
        <f>-67.6</f>
        <v>-67.599999999999994</v>
      </c>
      <c r="M95" s="3"/>
      <c r="N95" s="11">
        <f>-39.25</f>
        <v>-39.25</v>
      </c>
      <c r="O95" s="3"/>
      <c r="P95" s="11"/>
      <c r="Q95" s="3"/>
      <c r="R95" s="11"/>
    </row>
    <row r="96" spans="2:18" s="16" customFormat="1" hidden="1" outlineLevel="1" x14ac:dyDescent="0.35">
      <c r="B96" s="35" t="str">
        <f>CONCATENATE("          ", "4219", " - ", "SALES RETURN TAXABLE-BOOK RELA")</f>
        <v xml:space="preserve">          4219 - SALES RETURN TAXABLE-BOOK RELA</v>
      </c>
      <c r="D96" s="11">
        <f>106.68*-1</f>
        <v>-106.68</v>
      </c>
      <c r="F96" s="11">
        <f>236.39*-1</f>
        <v>-236.39</v>
      </c>
      <c r="G96" s="3"/>
      <c r="H96" s="11">
        <f>126.81*-1</f>
        <v>-126.81</v>
      </c>
      <c r="I96" s="3"/>
      <c r="J96" s="11">
        <f>-42.59</f>
        <v>-42.59</v>
      </c>
      <c r="K96" s="3"/>
      <c r="L96" s="11">
        <f>0</f>
        <v>0</v>
      </c>
      <c r="M96" s="3"/>
      <c r="N96" s="11">
        <f>0</f>
        <v>0</v>
      </c>
      <c r="O96" s="3"/>
      <c r="P96" s="11"/>
      <c r="Q96" s="3"/>
      <c r="R96" s="11"/>
    </row>
    <row r="97" spans="2:18" s="16" customFormat="1" hidden="1" outlineLevel="1" x14ac:dyDescent="0.35">
      <c r="B97" s="35" t="str">
        <f>CONCATENATE("          ", "4225", " - ", "SALES RETURN TAXABLE-TEST FORM")</f>
        <v xml:space="preserve">          4225 - SALES RETURN TAXABLE-TEST FORM</v>
      </c>
      <c r="D97" s="11">
        <f>4449.52*-1</f>
        <v>-4449.5200000000004</v>
      </c>
      <c r="F97" s="11">
        <f>375.44*-1</f>
        <v>-375.44</v>
      </c>
      <c r="G97" s="3"/>
      <c r="H97" s="11">
        <f>249.91*-1</f>
        <v>-249.91</v>
      </c>
      <c r="I97" s="3"/>
      <c r="J97" s="11">
        <f>-667.94</f>
        <v>-667.94</v>
      </c>
      <c r="K97" s="3"/>
      <c r="L97" s="11">
        <f>-191.21</f>
        <v>-191.21</v>
      </c>
      <c r="M97" s="3"/>
      <c r="N97" s="11">
        <f>-205.91</f>
        <v>-205.91</v>
      </c>
      <c r="O97" s="3"/>
      <c r="P97" s="11"/>
      <c r="Q97" s="3"/>
      <c r="R97" s="11"/>
    </row>
    <row r="98" spans="2:18" s="16" customFormat="1" hidden="1" outlineLevel="1" x14ac:dyDescent="0.35">
      <c r="B98" s="35" t="str">
        <f>CONCATENATE("          ", "4226", " - ", "SALES RETURN TAXABLE-WRITING I")</f>
        <v xml:space="preserve">          4226 - SALES RETURN TAXABLE-WRITING I</v>
      </c>
      <c r="D98" s="11">
        <f>446.88*-1</f>
        <v>-446.88</v>
      </c>
      <c r="F98" s="11">
        <f>912.62*-1</f>
        <v>-912.62</v>
      </c>
      <c r="G98" s="3"/>
      <c r="H98" s="11">
        <f>1358.13*-1</f>
        <v>-1358.13</v>
      </c>
      <c r="I98" s="3"/>
      <c r="J98" s="11">
        <f>-540.77</f>
        <v>-540.77</v>
      </c>
      <c r="K98" s="3"/>
      <c r="L98" s="11">
        <f>-766.52</f>
        <v>-766.52</v>
      </c>
      <c r="M98" s="3"/>
      <c r="N98" s="11">
        <f>-924.44</f>
        <v>-924.44</v>
      </c>
      <c r="O98" s="3"/>
      <c r="P98" s="11"/>
      <c r="Q98" s="3"/>
      <c r="R98" s="11"/>
    </row>
    <row r="99" spans="2:18" s="16" customFormat="1" hidden="1" outlineLevel="1" x14ac:dyDescent="0.35">
      <c r="B99" s="35" t="str">
        <f>CONCATENATE("          ", "4227", " - ", "SALES RETURN TAXABLE-SCHOOL SU")</f>
        <v xml:space="preserve">          4227 - SALES RETURN TAXABLE-SCHOOL SU</v>
      </c>
      <c r="D99" s="11">
        <f>11137.35*-1</f>
        <v>-11137.35</v>
      </c>
      <c r="F99" s="11">
        <f>8179.42*-1</f>
        <v>-8179.42</v>
      </c>
      <c r="G99" s="3"/>
      <c r="H99" s="11">
        <f>11174.72*-1</f>
        <v>-11174.72</v>
      </c>
      <c r="I99" s="3"/>
      <c r="J99" s="11">
        <f>-5104.74</f>
        <v>-5104.74</v>
      </c>
      <c r="K99" s="3"/>
      <c r="L99" s="11">
        <f>-6986.53</f>
        <v>-6986.53</v>
      </c>
      <c r="M99" s="3"/>
      <c r="N99" s="11">
        <f>-8728.9</f>
        <v>-8728.9</v>
      </c>
      <c r="O99" s="3"/>
      <c r="P99" s="11"/>
      <c r="Q99" s="3"/>
      <c r="R99" s="11"/>
    </row>
    <row r="100" spans="2:18" s="16" customFormat="1" hidden="1" outlineLevel="1" x14ac:dyDescent="0.35">
      <c r="B100" s="35" t="str">
        <f>CONCATENATE("          ", "4228", " - ", "SALES RETURN TAXABLE-ART/TECH")</f>
        <v xml:space="preserve">          4228 - SALES RETURN TAXABLE-ART/TECH</v>
      </c>
      <c r="D100" s="11">
        <f>7205.97*-1</f>
        <v>-7205.97</v>
      </c>
      <c r="F100" s="11">
        <f>9466.39*-1</f>
        <v>-9466.39</v>
      </c>
      <c r="G100" s="3"/>
      <c r="H100" s="11">
        <f>9563.97*-1</f>
        <v>-9563.9699999999993</v>
      </c>
      <c r="I100" s="3"/>
      <c r="J100" s="11">
        <f>-7513.66</f>
        <v>-7513.66</v>
      </c>
      <c r="K100" s="3"/>
      <c r="L100" s="11">
        <f>-8342.73</f>
        <v>-8342.73</v>
      </c>
      <c r="M100" s="3"/>
      <c r="N100" s="11">
        <f>-4739.1</f>
        <v>-4739.1000000000004</v>
      </c>
      <c r="O100" s="3"/>
      <c r="P100" s="11"/>
      <c r="Q100" s="3"/>
      <c r="R100" s="11"/>
    </row>
    <row r="101" spans="2:18" s="16" customFormat="1" hidden="1" outlineLevel="1" x14ac:dyDescent="0.35">
      <c r="B101" s="35" t="str">
        <f>CONCATENATE("          ", "4233", " - ", "SALES RETURN TAXABLE-CANDY")</f>
        <v xml:space="preserve">          4233 - SALES RETURN TAXABLE-CANDY</v>
      </c>
      <c r="D101" s="11">
        <f>4.97*-1</f>
        <v>-4.97</v>
      </c>
      <c r="F101" s="11">
        <f>83.19*-1</f>
        <v>-83.19</v>
      </c>
      <c r="G101" s="3"/>
      <c r="H101" s="11">
        <f>59.27*-1</f>
        <v>-59.27</v>
      </c>
      <c r="I101" s="3"/>
      <c r="J101" s="11">
        <f>-2.91</f>
        <v>-2.91</v>
      </c>
      <c r="K101" s="3"/>
      <c r="L101" s="11">
        <f>-145.19</f>
        <v>-145.19</v>
      </c>
      <c r="M101" s="3"/>
      <c r="N101" s="11">
        <f>-8.25</f>
        <v>-8.25</v>
      </c>
      <c r="O101" s="3"/>
      <c r="P101" s="11"/>
      <c r="Q101" s="3"/>
      <c r="R101" s="11"/>
    </row>
    <row r="102" spans="2:18" s="16" customFormat="1" hidden="1" outlineLevel="1" x14ac:dyDescent="0.35">
      <c r="B102" s="35" t="str">
        <f>CONCATENATE("          ", "4234", " - ", "SALES RETURN TAXABLE-SODA")</f>
        <v xml:space="preserve">          4234 - SALES RETURN TAXABLE-SODA</v>
      </c>
      <c r="D102" s="11">
        <f>5.25*-1</f>
        <v>-5.25</v>
      </c>
      <c r="F102" s="11">
        <f>12.53*-1</f>
        <v>-12.53</v>
      </c>
      <c r="G102" s="3"/>
      <c r="H102" s="11">
        <f>21*-1</f>
        <v>-21</v>
      </c>
      <c r="I102" s="3"/>
      <c r="J102" s="11">
        <f>0</f>
        <v>0</v>
      </c>
      <c r="K102" s="3"/>
      <c r="L102" s="11">
        <f>-368.16</f>
        <v>-368.16</v>
      </c>
      <c r="M102" s="3"/>
      <c r="N102" s="11">
        <f>0</f>
        <v>0</v>
      </c>
      <c r="O102" s="3"/>
      <c r="P102" s="11"/>
      <c r="Q102" s="3"/>
      <c r="R102" s="11"/>
    </row>
    <row r="103" spans="2:18" s="16" customFormat="1" hidden="1" outlineLevel="1" x14ac:dyDescent="0.35">
      <c r="B103" s="35" t="str">
        <f>CONCATENATE("          ", "4240", " - ", "SALES RETURN TAXABLE-LOGO CLOT")</f>
        <v xml:space="preserve">          4240 - SALES RETURN TAXABLE-LOGO CLOT</v>
      </c>
      <c r="D103" s="11">
        <f>96968.18*-1</f>
        <v>-96968.18</v>
      </c>
      <c r="F103" s="11">
        <f>100700.23*-1</f>
        <v>-100700.23</v>
      </c>
      <c r="G103" s="3"/>
      <c r="H103" s="11">
        <f>107081.87*-1</f>
        <v>-107081.87</v>
      </c>
      <c r="I103" s="3"/>
      <c r="J103" s="11">
        <f>-107854.41</f>
        <v>-107854.41</v>
      </c>
      <c r="K103" s="3"/>
      <c r="L103" s="11">
        <f>-98015.21</f>
        <v>-98015.21</v>
      </c>
      <c r="M103" s="3"/>
      <c r="N103" s="11">
        <f>-80387.11</f>
        <v>-80387.11</v>
      </c>
      <c r="O103" s="3"/>
      <c r="P103" s="11"/>
      <c r="Q103" s="3"/>
      <c r="R103" s="11"/>
    </row>
    <row r="104" spans="2:18" s="16" customFormat="1" hidden="1" outlineLevel="1" x14ac:dyDescent="0.35">
      <c r="B104" s="35" t="str">
        <f>CONCATENATE("          ", "4241", " - ", "SALES RETURN TAXABLE-LOGO GIFT")</f>
        <v xml:space="preserve">          4241 - SALES RETURN TAXABLE-LOGO GIFT</v>
      </c>
      <c r="D104" s="11">
        <f>21345.17*-1</f>
        <v>-21345.17</v>
      </c>
      <c r="F104" s="11">
        <f>20857.19*-1</f>
        <v>-20857.189999999999</v>
      </c>
      <c r="G104" s="3"/>
      <c r="H104" s="11">
        <f>62952.05*-1</f>
        <v>-62952.05</v>
      </c>
      <c r="I104" s="3"/>
      <c r="J104" s="11">
        <f>-48717.69</f>
        <v>-48717.69</v>
      </c>
      <c r="K104" s="3"/>
      <c r="L104" s="11">
        <f>-16238.22</f>
        <v>-16238.22</v>
      </c>
      <c r="M104" s="3"/>
      <c r="N104" s="11">
        <f>-7990.78</f>
        <v>-7990.78</v>
      </c>
      <c r="O104" s="3"/>
      <c r="P104" s="11"/>
      <c r="Q104" s="3"/>
      <c r="R104" s="11"/>
    </row>
    <row r="105" spans="2:18" s="16" customFormat="1" hidden="1" outlineLevel="1" x14ac:dyDescent="0.35">
      <c r="B105" s="35" t="str">
        <f>CONCATENATE("          ", "4242", " - ", "SALES RETURN TAXABLE-EVERYDAY")</f>
        <v xml:space="preserve">          4242 - SALES RETURN TAXABLE-EVERYDAY</v>
      </c>
      <c r="D105" s="11">
        <f>4810.4*-1</f>
        <v>-4810.3999999999996</v>
      </c>
      <c r="F105" s="11">
        <f>1835.78*-1</f>
        <v>-1835.78</v>
      </c>
      <c r="G105" s="3"/>
      <c r="H105" s="11">
        <f>1799.31*-1</f>
        <v>-1799.31</v>
      </c>
      <c r="I105" s="3"/>
      <c r="J105" s="11">
        <f>-4419.39</f>
        <v>-4419.3900000000003</v>
      </c>
      <c r="K105" s="3"/>
      <c r="L105" s="11">
        <f>-5238.15</f>
        <v>-5238.1499999999996</v>
      </c>
      <c r="M105" s="3"/>
      <c r="N105" s="11">
        <f>-4232.85</f>
        <v>-4232.8500000000004</v>
      </c>
      <c r="O105" s="3"/>
      <c r="P105" s="11"/>
      <c r="Q105" s="3"/>
      <c r="R105" s="11"/>
    </row>
    <row r="106" spans="2:18" s="16" customFormat="1" hidden="1" outlineLevel="1" x14ac:dyDescent="0.35">
      <c r="B106" s="35" t="str">
        <f>CONCATENATE("          ", "4243", " - ", "SALES RETURN TAXABLE-CARDS")</f>
        <v xml:space="preserve">          4243 - SALES RETURN TAXABLE-CARDS</v>
      </c>
      <c r="D106" s="11">
        <f>234.28*-1</f>
        <v>-234.28</v>
      </c>
      <c r="F106" s="11">
        <f>355.88*-1</f>
        <v>-355.88</v>
      </c>
      <c r="G106" s="3"/>
      <c r="H106" s="11">
        <f>63.25*-1</f>
        <v>-63.25</v>
      </c>
      <c r="I106" s="3"/>
      <c r="J106" s="11">
        <f>-70.29</f>
        <v>-70.290000000000006</v>
      </c>
      <c r="K106" s="3"/>
      <c r="L106" s="11">
        <f>-25.94</f>
        <v>-25.94</v>
      </c>
      <c r="M106" s="3"/>
      <c r="N106" s="11">
        <f>-3026.3</f>
        <v>-3026.3</v>
      </c>
      <c r="O106" s="3"/>
      <c r="P106" s="11"/>
      <c r="Q106" s="3"/>
      <c r="R106" s="11"/>
    </row>
    <row r="107" spans="2:18" s="16" customFormat="1" hidden="1" outlineLevel="1" x14ac:dyDescent="0.35">
      <c r="B107" s="35" t="str">
        <f>CONCATENATE("          ", "4244", " - ", "SALES RETURN TAXABLE-ACCESSORI")</f>
        <v xml:space="preserve">          4244 - SALES RETURN TAXABLE-ACCESSORI</v>
      </c>
      <c r="D107" s="11">
        <f>2618.91*-1</f>
        <v>-2618.91</v>
      </c>
      <c r="F107" s="11">
        <f>3348.98*-1</f>
        <v>-3348.98</v>
      </c>
      <c r="G107" s="3"/>
      <c r="H107" s="11">
        <f>3937.3*-1</f>
        <v>-3937.3</v>
      </c>
      <c r="I107" s="3"/>
      <c r="J107" s="11">
        <f>-3142.99</f>
        <v>-3142.99</v>
      </c>
      <c r="K107" s="3"/>
      <c r="L107" s="11">
        <f>-3985.97</f>
        <v>-3985.97</v>
      </c>
      <c r="M107" s="3"/>
      <c r="N107" s="11">
        <f>-2726.41</f>
        <v>-2726.41</v>
      </c>
      <c r="O107" s="3"/>
      <c r="P107" s="11"/>
      <c r="Q107" s="3"/>
      <c r="R107" s="11"/>
    </row>
    <row r="108" spans="2:18" s="16" customFormat="1" hidden="1" outlineLevel="1" x14ac:dyDescent="0.35">
      <c r="B108" s="35" t="str">
        <f>CONCATENATE("          ", "4245", " - ", "SALES RETURN TAXABLE-SPECIAL O")</f>
        <v xml:space="preserve">          4245 - SALES RETURN TAXABLE-SPECIAL O</v>
      </c>
      <c r="D108" s="11">
        <f>9720.55*-1</f>
        <v>-9720.5499999999993</v>
      </c>
      <c r="F108" s="11">
        <f>2945.35*-1</f>
        <v>-2945.35</v>
      </c>
      <c r="G108" s="3"/>
      <c r="H108" s="11">
        <f>10919.43*-1</f>
        <v>-10919.43</v>
      </c>
      <c r="I108" s="3"/>
      <c r="J108" s="11">
        <f>-4473.01</f>
        <v>-4473.01</v>
      </c>
      <c r="K108" s="3"/>
      <c r="L108" s="11">
        <f>-2848.22</f>
        <v>-2848.22</v>
      </c>
      <c r="M108" s="3"/>
      <c r="N108" s="11">
        <f>-4097.53</f>
        <v>-4097.53</v>
      </c>
      <c r="O108" s="3"/>
      <c r="P108" s="11"/>
      <c r="Q108" s="3"/>
      <c r="R108" s="11"/>
    </row>
    <row r="109" spans="2:18" s="16" customFormat="1" hidden="1" outlineLevel="1" x14ac:dyDescent="0.35">
      <c r="B109" s="35" t="str">
        <f>CONCATENATE("          ", "4247", " - ", "SALES RETURN TAXABLE-MISC")</f>
        <v xml:space="preserve">          4247 - SALES RETURN TAXABLE-MISC</v>
      </c>
      <c r="D109" s="11">
        <f>41.94*-1</f>
        <v>-41.94</v>
      </c>
      <c r="F109" s="11">
        <f>25.97*-1</f>
        <v>-25.97</v>
      </c>
      <c r="G109" s="3"/>
      <c r="H109" s="11">
        <f>0*-1</f>
        <v>0</v>
      </c>
      <c r="I109" s="3"/>
      <c r="J109" s="11">
        <f>-50.01</f>
        <v>-50.01</v>
      </c>
      <c r="K109" s="3"/>
      <c r="L109" s="11">
        <f>0</f>
        <v>0</v>
      </c>
      <c r="M109" s="3"/>
      <c r="N109" s="11">
        <f>0</f>
        <v>0</v>
      </c>
      <c r="O109" s="3"/>
      <c r="P109" s="11"/>
      <c r="Q109" s="3"/>
      <c r="R109" s="11"/>
    </row>
    <row r="110" spans="2:18" s="16" customFormat="1" hidden="1" outlineLevel="1" x14ac:dyDescent="0.35">
      <c r="B110" s="35" t="str">
        <f>CONCATENATE("          ", "4281", " - ", "SALES RETURN TAXABLE-ELECTRONI")</f>
        <v xml:space="preserve">          4281 - SALES RETURN TAXABLE-ELECTRONI</v>
      </c>
      <c r="D110" s="11">
        <f>19.98*-1</f>
        <v>-19.98</v>
      </c>
      <c r="F110" s="11">
        <f>14.99*-1</f>
        <v>-14.99</v>
      </c>
      <c r="G110" s="3"/>
      <c r="H110" s="11">
        <f>19.99*-1</f>
        <v>-19.989999999999998</v>
      </c>
      <c r="I110" s="3"/>
      <c r="J110" s="11">
        <f>-97.96</f>
        <v>-97.96</v>
      </c>
      <c r="K110" s="3"/>
      <c r="L110" s="11">
        <f>-64.95</f>
        <v>-64.95</v>
      </c>
      <c r="M110" s="3"/>
      <c r="N110" s="11">
        <f>-54.97</f>
        <v>-54.97</v>
      </c>
      <c r="O110" s="3"/>
      <c r="P110" s="11"/>
      <c r="Q110" s="3"/>
      <c r="R110" s="11"/>
    </row>
    <row r="111" spans="2:18" s="16" customFormat="1" hidden="1" outlineLevel="1" x14ac:dyDescent="0.35">
      <c r="B111" s="35" t="str">
        <f>CONCATENATE("          ", "4283", " - ", "SALES RETURN TAXABLE-COMPUTER")</f>
        <v xml:space="preserve">          4283 - SALES RETURN TAXABLE-COMPUTER</v>
      </c>
      <c r="D111" s="11">
        <f>19.95*-1</f>
        <v>-19.95</v>
      </c>
      <c r="F111" s="11">
        <f>0*-1</f>
        <v>0</v>
      </c>
      <c r="G111" s="3"/>
      <c r="H111" s="11">
        <f>0*-1</f>
        <v>0</v>
      </c>
      <c r="I111" s="3"/>
      <c r="J111" s="11">
        <f t="shared" ref="J111:J112" si="11">0</f>
        <v>0</v>
      </c>
      <c r="K111" s="3"/>
      <c r="L111" s="11">
        <f t="shared" ref="L111:L112" si="12">0</f>
        <v>0</v>
      </c>
      <c r="M111" s="3"/>
      <c r="N111" s="11">
        <f t="shared" ref="N111:N112" si="13">0</f>
        <v>0</v>
      </c>
      <c r="O111" s="3"/>
      <c r="P111" s="11"/>
      <c r="Q111" s="3"/>
      <c r="R111" s="11"/>
    </row>
    <row r="112" spans="2:18" s="16" customFormat="1" hidden="1" outlineLevel="1" x14ac:dyDescent="0.35">
      <c r="B112" s="35" t="str">
        <f>CONCATENATE("          ", "4291", " - ", "SALES RETURN TAXABLE-GRAD ANNO")</f>
        <v xml:space="preserve">          4291 - SALES RETURN TAXABLE-GRAD ANNO</v>
      </c>
      <c r="D112" s="11">
        <f>976.49*-1</f>
        <v>-976.49</v>
      </c>
      <c r="F112" s="11">
        <f>678.04*-1</f>
        <v>-678.04</v>
      </c>
      <c r="G112" s="3"/>
      <c r="H112" s="11">
        <f>459.6*-1</f>
        <v>-459.6</v>
      </c>
      <c r="I112" s="3"/>
      <c r="J112" s="11">
        <f t="shared" si="11"/>
        <v>0</v>
      </c>
      <c r="K112" s="3"/>
      <c r="L112" s="11">
        <f t="shared" si="12"/>
        <v>0</v>
      </c>
      <c r="M112" s="3"/>
      <c r="N112" s="11">
        <f t="shared" si="13"/>
        <v>0</v>
      </c>
      <c r="O112" s="3"/>
      <c r="P112" s="11"/>
      <c r="Q112" s="3"/>
      <c r="R112" s="11"/>
    </row>
    <row r="113" spans="2:18" s="16" customFormat="1" hidden="1" outlineLevel="1" x14ac:dyDescent="0.35">
      <c r="B113" s="35" t="str">
        <f>CONCATENATE("          ", "4292", " - ", "SALES RETURN TAXABLE-GRAD MERC")</f>
        <v xml:space="preserve">          4292 - SALES RETURN TAXABLE-GRAD MERC</v>
      </c>
      <c r="D113" s="11">
        <f>21697.5*-1</f>
        <v>-21697.5</v>
      </c>
      <c r="F113" s="11">
        <f>14483.28*-1</f>
        <v>-14483.28</v>
      </c>
      <c r="G113" s="3"/>
      <c r="H113" s="11">
        <f>12378.21*-1</f>
        <v>-12378.21</v>
      </c>
      <c r="I113" s="3"/>
      <c r="J113" s="11">
        <f>-39897.48</f>
        <v>-39897.480000000003</v>
      </c>
      <c r="K113" s="3"/>
      <c r="L113" s="11">
        <f>-8552.26</f>
        <v>-8552.26</v>
      </c>
      <c r="M113" s="3"/>
      <c r="N113" s="11">
        <f>-793.52</f>
        <v>-793.52</v>
      </c>
      <c r="O113" s="3"/>
      <c r="P113" s="11"/>
      <c r="Q113" s="3"/>
      <c r="R113" s="11"/>
    </row>
    <row r="114" spans="2:18" s="16" customFormat="1" hidden="1" outlineLevel="1" x14ac:dyDescent="0.35">
      <c r="B114" s="35" t="str">
        <f>CONCATENATE("          ", "4295", " - ", "SALES RETURN TAXABLE-CUSTOMER")</f>
        <v xml:space="preserve">          4295 - SALES RETURN TAXABLE-CUSTOMER</v>
      </c>
      <c r="D114" s="11">
        <f>300.22*-1</f>
        <v>-300.22000000000003</v>
      </c>
      <c r="F114" s="11">
        <f>324.09*-1</f>
        <v>-324.08999999999997</v>
      </c>
      <c r="G114" s="3"/>
      <c r="H114" s="11">
        <f>9.9*-1</f>
        <v>-9.9</v>
      </c>
      <c r="I114" s="3"/>
      <c r="J114" s="11">
        <f>-2.03</f>
        <v>-2.0299999999999998</v>
      </c>
      <c r="K114" s="3"/>
      <c r="L114" s="11">
        <f>-126.72</f>
        <v>-126.72</v>
      </c>
      <c r="M114" s="3"/>
      <c r="N114" s="11">
        <f>--0.99</f>
        <v>0.99</v>
      </c>
      <c r="O114" s="3"/>
      <c r="P114" s="11"/>
      <c r="Q114" s="3"/>
      <c r="R114" s="11"/>
    </row>
    <row r="115" spans="2:18" s="16" customFormat="1" hidden="1" outlineLevel="1" x14ac:dyDescent="0.35">
      <c r="B115" s="35" t="str">
        <f>CONCATENATE("          ", "4301", " - ", "SALES RETURN NON TAXABLE-NEW T")</f>
        <v xml:space="preserve">          4301 - SALES RETURN NON TAXABLE-NEW T</v>
      </c>
      <c r="D115" s="11">
        <f>23238.51*-1</f>
        <v>-23238.51</v>
      </c>
      <c r="F115" s="11">
        <f>41726.46*-1</f>
        <v>-41726.46</v>
      </c>
      <c r="G115" s="3"/>
      <c r="H115" s="11">
        <f>37606.44*-1</f>
        <v>-37606.44</v>
      </c>
      <c r="I115" s="3"/>
      <c r="J115" s="11">
        <f>--6537.73</f>
        <v>6537.73</v>
      </c>
      <c r="K115" s="3"/>
      <c r="L115" s="11">
        <f>-51917.32</f>
        <v>-51917.32</v>
      </c>
      <c r="M115" s="3"/>
      <c r="N115" s="11">
        <f>-21543.36</f>
        <v>-21543.360000000001</v>
      </c>
      <c r="O115" s="3"/>
      <c r="P115" s="11"/>
      <c r="Q115" s="3"/>
      <c r="R115" s="11"/>
    </row>
    <row r="116" spans="2:18" s="16" customFormat="1" hidden="1" outlineLevel="1" x14ac:dyDescent="0.35">
      <c r="B116" s="35" t="str">
        <f>CONCATENATE("          ", "4302", " - ", "SALES RETURN NON TAXABLE-TEXT")</f>
        <v xml:space="preserve">          4302 - SALES RETURN NON TAXABLE-TEXT</v>
      </c>
      <c r="D116" s="11">
        <f>5954.54*-1</f>
        <v>-5954.54</v>
      </c>
      <c r="F116" s="11">
        <f>7432.62*-1</f>
        <v>-7432.62</v>
      </c>
      <c r="G116" s="3"/>
      <c r="H116" s="11">
        <f>6604.68*-1</f>
        <v>-6604.68</v>
      </c>
      <c r="I116" s="3"/>
      <c r="J116" s="11">
        <f>-5507.21</f>
        <v>-5507.21</v>
      </c>
      <c r="K116" s="3"/>
      <c r="L116" s="11">
        <f>-6780.29</f>
        <v>-6780.29</v>
      </c>
      <c r="M116" s="3"/>
      <c r="N116" s="11">
        <f>-1475.62</f>
        <v>-1475.62</v>
      </c>
      <c r="O116" s="3"/>
      <c r="P116" s="11"/>
      <c r="Q116" s="3"/>
      <c r="R116" s="11"/>
    </row>
    <row r="117" spans="2:18" s="16" customFormat="1" hidden="1" outlineLevel="1" x14ac:dyDescent="0.35">
      <c r="B117" s="35" t="str">
        <f>CONCATENATE("          ", "4303", " - ", "SALES RETURN NON-TAXABLE-RENTA")</f>
        <v xml:space="preserve">          4303 - SALES RETURN NON-TAXABLE-RENTA</v>
      </c>
      <c r="D117" s="11">
        <f>0*-1</f>
        <v>0</v>
      </c>
      <c r="F117" s="11">
        <f>0*-1</f>
        <v>0</v>
      </c>
      <c r="G117" s="3"/>
      <c r="H117" s="11">
        <f>0*-1</f>
        <v>0</v>
      </c>
      <c r="I117" s="3"/>
      <c r="J117" s="11">
        <f>0</f>
        <v>0</v>
      </c>
      <c r="K117" s="3"/>
      <c r="L117" s="11">
        <f>-509.85</f>
        <v>-509.85</v>
      </c>
      <c r="M117" s="3"/>
      <c r="N117" s="11">
        <f>-184.99</f>
        <v>-184.99</v>
      </c>
      <c r="O117" s="3"/>
      <c r="P117" s="11"/>
      <c r="Q117" s="3"/>
      <c r="R117" s="11"/>
    </row>
    <row r="118" spans="2:18" s="16" customFormat="1" hidden="1" outlineLevel="1" x14ac:dyDescent="0.35">
      <c r="B118" s="35" t="str">
        <f>CONCATENATE("          ", "4304", " - ", "SALES RETURN NON TAXABLE-DIGIT")</f>
        <v xml:space="preserve">          4304 - SALES RETURN NON TAXABLE-DIGIT</v>
      </c>
      <c r="D118" s="11">
        <f>469.45*-1</f>
        <v>-469.45</v>
      </c>
      <c r="F118" s="11">
        <f>1065.09*-1</f>
        <v>-1065.0899999999999</v>
      </c>
      <c r="G118" s="3"/>
      <c r="H118" s="11">
        <f>1950.45*-1</f>
        <v>-1950.45</v>
      </c>
      <c r="I118" s="3"/>
      <c r="J118" s="11">
        <f>-34135.02</f>
        <v>-34135.019999999997</v>
      </c>
      <c r="K118" s="3"/>
      <c r="L118" s="11">
        <f>-6171.97</f>
        <v>-6171.97</v>
      </c>
      <c r="M118" s="3"/>
      <c r="N118" s="11">
        <f>-19873.2</f>
        <v>-19873.2</v>
      </c>
      <c r="O118" s="3"/>
      <c r="P118" s="11"/>
      <c r="Q118" s="3"/>
      <c r="R118" s="11"/>
    </row>
    <row r="119" spans="2:18" s="16" customFormat="1" hidden="1" outlineLevel="1" x14ac:dyDescent="0.35">
      <c r="B119" s="35" t="str">
        <f>CONCATENATE("          ", "4311", " - ", "SALES RETURN NON TAXABLE-NO VA")</f>
        <v xml:space="preserve">          4311 - SALES RETURN NON TAXABLE-NO VA</v>
      </c>
      <c r="D119" s="11">
        <f>1157.4*-1</f>
        <v>-1157.4000000000001</v>
      </c>
      <c r="F119" s="11">
        <f>2960.66*-1</f>
        <v>-2960.66</v>
      </c>
      <c r="G119" s="3"/>
      <c r="H119" s="11">
        <f>2203.9*-1</f>
        <v>-2203.9</v>
      </c>
      <c r="I119" s="3"/>
      <c r="J119" s="11">
        <f>-1836.02</f>
        <v>-1836.02</v>
      </c>
      <c r="K119" s="3"/>
      <c r="L119" s="11">
        <f>-2399.84</f>
        <v>-2399.84</v>
      </c>
      <c r="M119" s="3"/>
      <c r="N119" s="11">
        <f>-1011.65</f>
        <v>-1011.65</v>
      </c>
      <c r="O119" s="3"/>
      <c r="P119" s="11"/>
      <c r="Q119" s="3"/>
      <c r="R119" s="11"/>
    </row>
    <row r="120" spans="2:18" s="16" customFormat="1" hidden="1" outlineLevel="1" x14ac:dyDescent="0.35">
      <c r="B120" s="35" t="str">
        <f>CONCATENATE("          ", "4313", " - ", "SALES RETURN NON TAXABLE-TRADE")</f>
        <v xml:space="preserve">          4313 - SALES RETURN NON TAXABLE-TRADE</v>
      </c>
      <c r="D120" s="11">
        <f>63.74*-1</f>
        <v>-63.74</v>
      </c>
      <c r="F120" s="11">
        <f>17.35*-1</f>
        <v>-17.350000000000001</v>
      </c>
      <c r="G120" s="3"/>
      <c r="H120" s="11">
        <f>0*-1</f>
        <v>0</v>
      </c>
      <c r="I120" s="3"/>
      <c r="J120" s="11">
        <f>0</f>
        <v>0</v>
      </c>
      <c r="K120" s="3"/>
      <c r="L120" s="11">
        <f>-800</f>
        <v>-800</v>
      </c>
      <c r="M120" s="3"/>
      <c r="N120" s="11">
        <f>-2481.44</f>
        <v>-2481.44</v>
      </c>
      <c r="O120" s="3"/>
      <c r="P120" s="11"/>
      <c r="Q120" s="3"/>
      <c r="R120" s="11"/>
    </row>
    <row r="121" spans="2:18" s="16" customFormat="1" hidden="1" outlineLevel="1" x14ac:dyDescent="0.35">
      <c r="B121" s="35" t="str">
        <f>CONCATENATE("          ", "4318", " - ", "SALES RETURN NON TAXABLE-STUDY")</f>
        <v xml:space="preserve">          4318 - SALES RETURN NON TAXABLE-STUDY</v>
      </c>
      <c r="D121" s="11">
        <f>0*-1</f>
        <v>0</v>
      </c>
      <c r="F121" s="11">
        <f t="shared" ref="F121:F122" si="14">0*-1</f>
        <v>0</v>
      </c>
      <c r="G121" s="3"/>
      <c r="H121" s="11">
        <f>5.95*-1</f>
        <v>-5.95</v>
      </c>
      <c r="I121" s="3"/>
      <c r="J121" s="11">
        <f>-2025</f>
        <v>-2025</v>
      </c>
      <c r="K121" s="3"/>
      <c r="L121" s="11">
        <f>-1258.54</f>
        <v>-1258.54</v>
      </c>
      <c r="M121" s="3"/>
      <c r="N121" s="11">
        <f t="shared" ref="N121:N123" si="15">0</f>
        <v>0</v>
      </c>
      <c r="O121" s="3"/>
      <c r="P121" s="11"/>
      <c r="Q121" s="3"/>
      <c r="R121" s="11"/>
    </row>
    <row r="122" spans="2:18" s="16" customFormat="1" hidden="1" outlineLevel="1" x14ac:dyDescent="0.35">
      <c r="B122" s="35" t="str">
        <f>CONCATENATE("          ", "4319", " - ", "SALES RETURN NON TAXABLE-BOOK")</f>
        <v xml:space="preserve">          4319 - SALES RETURN NON TAXABLE-BOOK</v>
      </c>
      <c r="D122" s="11">
        <f>5.19*-1</f>
        <v>-5.19</v>
      </c>
      <c r="F122" s="11">
        <f t="shared" si="14"/>
        <v>0</v>
      </c>
      <c r="G122" s="3"/>
      <c r="H122" s="11">
        <f t="shared" ref="H122:H123" si="16">0*-1</f>
        <v>0</v>
      </c>
      <c r="I122" s="3"/>
      <c r="J122" s="11">
        <f t="shared" ref="J122:J123" si="17">0</f>
        <v>0</v>
      </c>
      <c r="K122" s="3"/>
      <c r="L122" s="11">
        <f t="shared" ref="L122:L123" si="18">0</f>
        <v>0</v>
      </c>
      <c r="M122" s="3"/>
      <c r="N122" s="11">
        <f t="shared" si="15"/>
        <v>0</v>
      </c>
      <c r="O122" s="3"/>
      <c r="P122" s="11"/>
      <c r="Q122" s="3"/>
      <c r="R122" s="11"/>
    </row>
    <row r="123" spans="2:18" s="16" customFormat="1" hidden="1" outlineLevel="1" x14ac:dyDescent="0.35">
      <c r="B123" s="35" t="str">
        <f>CONCATENATE("          ", "4325", " - ", "SALES RETURN NON TAXABLE-TEST")</f>
        <v xml:space="preserve">          4325 - SALES RETURN NON TAXABLE-TEST</v>
      </c>
      <c r="D123" s="11">
        <f t="shared" ref="D123:D124" si="19">0*-1</f>
        <v>0</v>
      </c>
      <c r="F123" s="11">
        <f>3.33*-1</f>
        <v>-3.33</v>
      </c>
      <c r="G123" s="3"/>
      <c r="H123" s="11">
        <f t="shared" si="16"/>
        <v>0</v>
      </c>
      <c r="I123" s="3"/>
      <c r="J123" s="11">
        <f t="shared" si="17"/>
        <v>0</v>
      </c>
      <c r="K123" s="3"/>
      <c r="L123" s="11">
        <f t="shared" si="18"/>
        <v>0</v>
      </c>
      <c r="M123" s="3"/>
      <c r="N123" s="11">
        <f t="shared" si="15"/>
        <v>0</v>
      </c>
      <c r="O123" s="3"/>
      <c r="P123" s="11"/>
      <c r="Q123" s="3"/>
      <c r="R123" s="11"/>
    </row>
    <row r="124" spans="2:18" s="16" customFormat="1" hidden="1" outlineLevel="1" x14ac:dyDescent="0.35">
      <c r="B124" s="35" t="str">
        <f>CONCATENATE("          ", "4326", " - ", "SALES RETURN NON TAXABLE-WRITI")</f>
        <v xml:space="preserve">          4326 - SALES RETURN NON TAXABLE-WRITI</v>
      </c>
      <c r="D124" s="11">
        <f t="shared" si="19"/>
        <v>0</v>
      </c>
      <c r="F124" s="11">
        <f t="shared" ref="F124:F126" si="20">0*-1</f>
        <v>0</v>
      </c>
      <c r="G124" s="3"/>
      <c r="H124" s="11">
        <f>3.38*-1</f>
        <v>-3.38</v>
      </c>
      <c r="I124" s="3"/>
      <c r="J124" s="11">
        <f>-3.78</f>
        <v>-3.78</v>
      </c>
      <c r="K124" s="3"/>
      <c r="L124" s="11">
        <f>-28.23</f>
        <v>-28.23</v>
      </c>
      <c r="M124" s="3"/>
      <c r="N124" s="11">
        <f>-2.98</f>
        <v>-2.98</v>
      </c>
      <c r="O124" s="3"/>
      <c r="P124" s="11"/>
      <c r="Q124" s="3"/>
      <c r="R124" s="11"/>
    </row>
    <row r="125" spans="2:18" s="16" customFormat="1" hidden="1" outlineLevel="1" x14ac:dyDescent="0.35">
      <c r="B125" s="35" t="str">
        <f>CONCATENATE("          ", "4327", " - ", "SALES RETURN NON TAXABLE-SCHOO")</f>
        <v xml:space="preserve">          4327 - SALES RETURN NON TAXABLE-SCHOO</v>
      </c>
      <c r="D125" s="11">
        <f>30.57*-1</f>
        <v>-30.57</v>
      </c>
      <c r="F125" s="11">
        <f t="shared" si="20"/>
        <v>0</v>
      </c>
      <c r="G125" s="3"/>
      <c r="H125" s="11">
        <f>81.8*-1</f>
        <v>-81.8</v>
      </c>
      <c r="I125" s="3"/>
      <c r="J125" s="11">
        <f>-10.78</f>
        <v>-10.78</v>
      </c>
      <c r="K125" s="3"/>
      <c r="L125" s="11">
        <f>-4.99</f>
        <v>-4.99</v>
      </c>
      <c r="M125" s="3"/>
      <c r="N125" s="11">
        <f>-21.87</f>
        <v>-21.87</v>
      </c>
      <c r="O125" s="3"/>
      <c r="P125" s="11"/>
      <c r="Q125" s="3"/>
      <c r="R125" s="11"/>
    </row>
    <row r="126" spans="2:18" s="16" customFormat="1" hidden="1" outlineLevel="1" x14ac:dyDescent="0.35">
      <c r="B126" s="35" t="str">
        <f>CONCATENATE("          ", "4328", " - ", "SALES RETURN NON TAXABLE-ART/T")</f>
        <v xml:space="preserve">          4328 - SALES RETURN NON TAXABLE-ART/T</v>
      </c>
      <c r="D126" s="11">
        <f>11.29*-1</f>
        <v>-11.29</v>
      </c>
      <c r="F126" s="11">
        <f t="shared" si="20"/>
        <v>0</v>
      </c>
      <c r="G126" s="3"/>
      <c r="H126" s="11">
        <f t="shared" ref="H126:H127" si="21">0*-1</f>
        <v>0</v>
      </c>
      <c r="I126" s="3"/>
      <c r="J126" s="11">
        <f t="shared" ref="J126:J130" si="22">0</f>
        <v>0</v>
      </c>
      <c r="K126" s="3"/>
      <c r="L126" s="11">
        <f t="shared" ref="L126:L130" si="23">0</f>
        <v>0</v>
      </c>
      <c r="M126" s="3"/>
      <c r="N126" s="11">
        <f>0</f>
        <v>0</v>
      </c>
      <c r="O126" s="3"/>
      <c r="P126" s="11"/>
      <c r="Q126" s="3"/>
      <c r="R126" s="11"/>
    </row>
    <row r="127" spans="2:18" s="16" customFormat="1" hidden="1" outlineLevel="1" x14ac:dyDescent="0.35">
      <c r="B127" s="35" t="str">
        <f>CONCATENATE("          ", "4331", " - ", "SALES RETURN NON TAXABLE-FOOD")</f>
        <v xml:space="preserve">          4331 - SALES RETURN NON TAXABLE-FOOD</v>
      </c>
      <c r="D127" s="11">
        <f>40.61*-1</f>
        <v>-40.61</v>
      </c>
      <c r="F127" s="11">
        <f>57.11*-1</f>
        <v>-57.11</v>
      </c>
      <c r="G127" s="3"/>
      <c r="H127" s="11">
        <f t="shared" si="21"/>
        <v>0</v>
      </c>
      <c r="I127" s="3"/>
      <c r="J127" s="11">
        <f t="shared" si="22"/>
        <v>0</v>
      </c>
      <c r="K127" s="3"/>
      <c r="L127" s="11">
        <f t="shared" si="23"/>
        <v>0</v>
      </c>
      <c r="M127" s="3"/>
      <c r="N127" s="11">
        <f>-12.57</f>
        <v>-12.57</v>
      </c>
      <c r="O127" s="3"/>
      <c r="P127" s="11"/>
      <c r="Q127" s="3"/>
      <c r="R127" s="11"/>
    </row>
    <row r="128" spans="2:18" s="16" customFormat="1" hidden="1" outlineLevel="1" x14ac:dyDescent="0.35">
      <c r="B128" s="35" t="str">
        <f>CONCATENATE("          ", "4332", " - ", "SALES RETURN NON TAXABLE-JUICE")</f>
        <v xml:space="preserve">          4332 - SALES RETURN NON TAXABLE-JUICE</v>
      </c>
      <c r="D128" s="11">
        <f>4.29*-1</f>
        <v>-4.29</v>
      </c>
      <c r="F128" s="11">
        <f>315.75*-1</f>
        <v>-315.75</v>
      </c>
      <c r="G128" s="3"/>
      <c r="H128" s="11">
        <f>2.3*-1</f>
        <v>-2.2999999999999998</v>
      </c>
      <c r="I128" s="3"/>
      <c r="J128" s="11">
        <f t="shared" si="22"/>
        <v>0</v>
      </c>
      <c r="K128" s="3"/>
      <c r="L128" s="11">
        <f t="shared" si="23"/>
        <v>0</v>
      </c>
      <c r="M128" s="3"/>
      <c r="N128" s="11">
        <f>-2.79</f>
        <v>-2.79</v>
      </c>
      <c r="O128" s="3"/>
      <c r="P128" s="11"/>
      <c r="Q128" s="3"/>
      <c r="R128" s="11"/>
    </row>
    <row r="129" spans="1:18" s="16" customFormat="1" hidden="1" outlineLevel="1" x14ac:dyDescent="0.35">
      <c r="B129" s="35" t="str">
        <f>CONCATENATE("          ", "4333", " - ", "SALES RETURN NON TAXABLE-CANDY")</f>
        <v xml:space="preserve">          4333 - SALES RETURN NON TAXABLE-CANDY</v>
      </c>
      <c r="D129" s="11">
        <f>19.2*-1</f>
        <v>-19.2</v>
      </c>
      <c r="F129" s="11">
        <f>15.54*-1</f>
        <v>-15.54</v>
      </c>
      <c r="G129" s="3"/>
      <c r="H129" s="11">
        <f t="shared" ref="H129:H130" si="24">0*-1</f>
        <v>0</v>
      </c>
      <c r="I129" s="3"/>
      <c r="J129" s="11">
        <f t="shared" si="22"/>
        <v>0</v>
      </c>
      <c r="K129" s="3"/>
      <c r="L129" s="11">
        <f t="shared" si="23"/>
        <v>0</v>
      </c>
      <c r="M129" s="3"/>
      <c r="N129" s="11">
        <f t="shared" ref="N129:N130" si="25">0</f>
        <v>0</v>
      </c>
      <c r="O129" s="3"/>
      <c r="P129" s="11"/>
      <c r="Q129" s="3"/>
      <c r="R129" s="11"/>
    </row>
    <row r="130" spans="1:18" s="16" customFormat="1" hidden="1" outlineLevel="1" x14ac:dyDescent="0.35">
      <c r="B130" s="35" t="str">
        <f>CONCATENATE("          ", "4337", " - ", "SALES RETURN NON TAXABLE-WATER")</f>
        <v xml:space="preserve">          4337 - SALES RETURN NON TAXABLE-WATER</v>
      </c>
      <c r="D130" s="11">
        <f>21.78*-1</f>
        <v>-21.78</v>
      </c>
      <c r="F130" s="11">
        <f>0*-1</f>
        <v>0</v>
      </c>
      <c r="G130" s="3"/>
      <c r="H130" s="11">
        <f t="shared" si="24"/>
        <v>0</v>
      </c>
      <c r="I130" s="3"/>
      <c r="J130" s="11">
        <f t="shared" si="22"/>
        <v>0</v>
      </c>
      <c r="K130" s="3"/>
      <c r="L130" s="11">
        <f t="shared" si="23"/>
        <v>0</v>
      </c>
      <c r="M130" s="3"/>
      <c r="N130" s="11">
        <f t="shared" si="25"/>
        <v>0</v>
      </c>
      <c r="O130" s="3"/>
      <c r="P130" s="11"/>
      <c r="Q130" s="3"/>
      <c r="R130" s="11"/>
    </row>
    <row r="131" spans="1:18" s="16" customFormat="1" hidden="1" outlineLevel="1" x14ac:dyDescent="0.35">
      <c r="B131" s="35" t="str">
        <f>CONCATENATE("          ", "4340", " - ", "SALES RETURN NON TAXABLE-LOGO")</f>
        <v xml:space="preserve">          4340 - SALES RETURN NON TAXABLE-LOGO</v>
      </c>
      <c r="D131" s="11">
        <f>1278.54*-1</f>
        <v>-1278.54</v>
      </c>
      <c r="F131" s="11">
        <f>973.95*-1</f>
        <v>-973.95</v>
      </c>
      <c r="G131" s="3"/>
      <c r="H131" s="11">
        <f>937.35*-1</f>
        <v>-937.35</v>
      </c>
      <c r="I131" s="3"/>
      <c r="J131" s="11">
        <f>-602.86</f>
        <v>-602.86</v>
      </c>
      <c r="K131" s="3"/>
      <c r="L131" s="11">
        <f>-1132.72</f>
        <v>-1132.72</v>
      </c>
      <c r="M131" s="3"/>
      <c r="N131" s="11">
        <f>-2664.48</f>
        <v>-2664.48</v>
      </c>
      <c r="O131" s="3"/>
      <c r="P131" s="11"/>
      <c r="Q131" s="3"/>
      <c r="R131" s="11"/>
    </row>
    <row r="132" spans="1:18" s="16" customFormat="1" hidden="1" outlineLevel="1" x14ac:dyDescent="0.35">
      <c r="B132" s="35" t="str">
        <f>CONCATENATE("          ", "4341", " - ", "SALES RETURN NON TAXABLE-LOGO")</f>
        <v xml:space="preserve">          4341 - SALES RETURN NON TAXABLE-LOGO</v>
      </c>
      <c r="D132" s="11">
        <f>821.6*-1</f>
        <v>-821.6</v>
      </c>
      <c r="F132" s="11">
        <f>176*-1</f>
        <v>-176</v>
      </c>
      <c r="G132" s="3"/>
      <c r="H132" s="11">
        <f>238.55*-1</f>
        <v>-238.55</v>
      </c>
      <c r="I132" s="3"/>
      <c r="J132" s="11">
        <f>-91.9</f>
        <v>-91.9</v>
      </c>
      <c r="K132" s="3"/>
      <c r="L132" s="11">
        <f>-335.8</f>
        <v>-335.8</v>
      </c>
      <c r="M132" s="3"/>
      <c r="N132" s="11">
        <f>-295.35</f>
        <v>-295.35000000000002</v>
      </c>
      <c r="O132" s="3"/>
      <c r="P132" s="11"/>
      <c r="Q132" s="3"/>
      <c r="R132" s="11"/>
    </row>
    <row r="133" spans="1:18" s="16" customFormat="1" hidden="1" outlineLevel="1" x14ac:dyDescent="0.35">
      <c r="B133" s="35" t="str">
        <f>CONCATENATE("          ", "4342", " - ", "SALES RETURN NON TAXABLE-EVERY")</f>
        <v xml:space="preserve">          4342 - SALES RETURN NON TAXABLE-EVERY</v>
      </c>
      <c r="D133" s="11">
        <f>12.75*-1</f>
        <v>-12.75</v>
      </c>
      <c r="F133" s="11">
        <f>2*-1</f>
        <v>-2</v>
      </c>
      <c r="G133" s="3"/>
      <c r="H133" s="11">
        <f>1*-1</f>
        <v>-1</v>
      </c>
      <c r="I133" s="3"/>
      <c r="J133" s="11">
        <f>-46.8</f>
        <v>-46.8</v>
      </c>
      <c r="K133" s="3"/>
      <c r="L133" s="11">
        <f>-128.55</f>
        <v>-128.55000000000001</v>
      </c>
      <c r="M133" s="3"/>
      <c r="N133" s="11">
        <f>-186.02</f>
        <v>-186.02</v>
      </c>
      <c r="O133" s="3"/>
      <c r="P133" s="11"/>
      <c r="Q133" s="3"/>
      <c r="R133" s="11"/>
    </row>
    <row r="134" spans="1:18" s="16" customFormat="1" hidden="1" outlineLevel="1" x14ac:dyDescent="0.35">
      <c r="B134" s="35" t="str">
        <f>CONCATENATE("          ", "4346", " - ", "SALES RETURN NON TAXABLE-COIN-")</f>
        <v xml:space="preserve">          4346 - SALES RETURN NON TAXABLE-COIN-</v>
      </c>
      <c r="D134" s="11">
        <f t="shared" ref="D134:D136" si="26">0*-1</f>
        <v>0</v>
      </c>
      <c r="F134" s="11">
        <f>0*-1</f>
        <v>0</v>
      </c>
      <c r="G134" s="3"/>
      <c r="H134" s="11">
        <f t="shared" ref="H134:H135" si="27">0*-1</f>
        <v>0</v>
      </c>
      <c r="I134" s="3"/>
      <c r="J134" s="11">
        <f t="shared" ref="J134:J136" si="28">0</f>
        <v>0</v>
      </c>
      <c r="K134" s="3"/>
      <c r="L134" s="11">
        <f t="shared" ref="L134:L136" si="29">0</f>
        <v>0</v>
      </c>
      <c r="M134" s="3"/>
      <c r="N134" s="11">
        <f>-8.15</f>
        <v>-8.15</v>
      </c>
      <c r="O134" s="3"/>
      <c r="P134" s="11"/>
      <c r="Q134" s="3"/>
      <c r="R134" s="11"/>
    </row>
    <row r="135" spans="1:18" s="16" customFormat="1" hidden="1" outlineLevel="1" x14ac:dyDescent="0.35">
      <c r="B135" s="35" t="str">
        <f>CONCATENATE("          ", "4347", " - ", "SALES RETURN NON TAXABLE-MISC")</f>
        <v xml:space="preserve">          4347 - SALES RETURN NON TAXABLE-MISC</v>
      </c>
      <c r="D135" s="11">
        <f t="shared" si="26"/>
        <v>0</v>
      </c>
      <c r="F135" s="11">
        <f>7.5*-1</f>
        <v>-7.5</v>
      </c>
      <c r="G135" s="3"/>
      <c r="H135" s="11">
        <f t="shared" si="27"/>
        <v>0</v>
      </c>
      <c r="I135" s="3"/>
      <c r="J135" s="11">
        <f t="shared" si="28"/>
        <v>0</v>
      </c>
      <c r="K135" s="3"/>
      <c r="L135" s="11">
        <f t="shared" si="29"/>
        <v>0</v>
      </c>
      <c r="M135" s="3"/>
      <c r="N135" s="11">
        <f>-84</f>
        <v>-84</v>
      </c>
      <c r="O135" s="3"/>
      <c r="P135" s="11"/>
      <c r="Q135" s="3"/>
      <c r="R135" s="11"/>
    </row>
    <row r="136" spans="1:18" s="16" customFormat="1" hidden="1" outlineLevel="1" x14ac:dyDescent="0.35">
      <c r="B136" s="35" t="str">
        <f>CONCATENATE("          ", "4392", " - ", "SALES RETURN NON TAXABLE-GRAD")</f>
        <v xml:space="preserve">          4392 - SALES RETURN NON TAXABLE-GRAD</v>
      </c>
      <c r="D136" s="11">
        <f t="shared" si="26"/>
        <v>0</v>
      </c>
      <c r="F136" s="11">
        <f>0*-1</f>
        <v>0</v>
      </c>
      <c r="G136" s="3"/>
      <c r="H136" s="11">
        <f>36.95*-1</f>
        <v>-36.950000000000003</v>
      </c>
      <c r="I136" s="3"/>
      <c r="J136" s="11">
        <f t="shared" si="28"/>
        <v>0</v>
      </c>
      <c r="K136" s="3"/>
      <c r="L136" s="11">
        <f t="shared" si="29"/>
        <v>0</v>
      </c>
      <c r="M136" s="3"/>
      <c r="N136" s="11">
        <f>0</f>
        <v>0</v>
      </c>
      <c r="O136" s="3"/>
      <c r="P136" s="11"/>
      <c r="Q136" s="3"/>
      <c r="R136" s="11"/>
    </row>
    <row r="137" spans="1:18" s="12" customFormat="1" x14ac:dyDescent="0.35">
      <c r="B137" s="7"/>
      <c r="D137" s="6"/>
      <c r="F137" s="6"/>
      <c r="G137" s="5"/>
      <c r="H137" s="6"/>
      <c r="I137" s="5"/>
      <c r="J137" s="6"/>
      <c r="K137" s="5"/>
      <c r="L137" s="6"/>
      <c r="M137" s="5"/>
      <c r="N137" s="6"/>
      <c r="O137" s="5"/>
      <c r="P137" s="6"/>
      <c r="Q137" s="5"/>
      <c r="R137" s="6"/>
    </row>
    <row r="138" spans="1:18" s="12" customFormat="1" collapsed="1" x14ac:dyDescent="0.35">
      <c r="B138" s="7" t="s">
        <v>278</v>
      </c>
      <c r="D138" s="8">
        <f>SUM(OSRRefD14x_0)</f>
        <v>10160459.209999999</v>
      </c>
      <c r="E138" s="8"/>
      <c r="F138" s="8">
        <f>SUM(OSRRefF14x_0)</f>
        <v>9547757.320000004</v>
      </c>
      <c r="G138" s="8"/>
      <c r="H138" s="8">
        <f>SUM(OSRRefH14x_0)</f>
        <v>9194418.9699999988</v>
      </c>
      <c r="I138" s="8"/>
      <c r="J138" s="8">
        <f>SUM(OSRRefJ14x_0)</f>
        <v>8874345.4299999997</v>
      </c>
      <c r="K138" s="8"/>
      <c r="L138" s="8">
        <f>SUM(OSRRefL14x_0)</f>
        <v>8183147.9600000018</v>
      </c>
      <c r="M138" s="8"/>
      <c r="N138" s="8">
        <f>SUM(OSRRefN14x_0)</f>
        <v>6748711.3300000001</v>
      </c>
      <c r="O138" s="8"/>
      <c r="P138" s="8">
        <f>SUM(OSRRefP14x_0)</f>
        <v>5502164</v>
      </c>
      <c r="Q138" s="8"/>
      <c r="R138" s="8">
        <f>SUM(OSRRefR14x_0)</f>
        <v>5604615</v>
      </c>
    </row>
    <row r="139" spans="1:18" s="44" customFormat="1" hidden="1" outlineLevel="1" x14ac:dyDescent="0.35">
      <c r="A139" s="16"/>
      <c r="B139" s="35" t="str">
        <f>CONCATENATE("          ", "5000", " - ", "PURCHASES @ COST")</f>
        <v xml:space="preserve">          5000 - PURCHASES @ COST</v>
      </c>
      <c r="C139" s="16"/>
      <c r="D139" s="11"/>
      <c r="E139" s="16"/>
      <c r="F139" s="11"/>
      <c r="G139" s="3"/>
      <c r="H139" s="11"/>
      <c r="I139" s="3"/>
      <c r="J139" s="11">
        <v>172.8</v>
      </c>
      <c r="K139" s="3"/>
      <c r="L139" s="11">
        <v>20</v>
      </c>
      <c r="M139" s="3"/>
      <c r="N139" s="11">
        <v>0</v>
      </c>
      <c r="O139" s="3"/>
      <c r="P139" s="11">
        <v>5502164</v>
      </c>
      <c r="Q139" s="3"/>
      <c r="R139" s="11">
        <v>5604615</v>
      </c>
    </row>
    <row r="140" spans="1:18" s="44" customFormat="1" hidden="1" outlineLevel="1" x14ac:dyDescent="0.35">
      <c r="A140" s="16"/>
      <c r="B140" s="35" t="str">
        <f>CONCATENATE("          ", "5001", " - ", "PURCHASES @ COST-NEW TEXT")</f>
        <v xml:space="preserve">          5001 - PURCHASES @ COST-NEW TEXT</v>
      </c>
      <c r="C140" s="16"/>
      <c r="D140" s="11">
        <v>4879202.72</v>
      </c>
      <c r="E140" s="16"/>
      <c r="F140" s="11">
        <v>3900047.23</v>
      </c>
      <c r="G140" s="3"/>
      <c r="H140" s="11">
        <v>3863075.84</v>
      </c>
      <c r="I140" s="3"/>
      <c r="J140" s="11">
        <v>3273700.71</v>
      </c>
      <c r="K140" s="3"/>
      <c r="L140" s="11">
        <v>2431202.9900000002</v>
      </c>
      <c r="M140" s="3"/>
      <c r="N140" s="11">
        <v>1662669.27</v>
      </c>
      <c r="O140" s="3"/>
      <c r="P140" s="11"/>
      <c r="Q140" s="3"/>
      <c r="R140" s="11"/>
    </row>
    <row r="141" spans="1:18" s="44" customFormat="1" hidden="1" outlineLevel="1" x14ac:dyDescent="0.35">
      <c r="A141" s="16"/>
      <c r="B141" s="35" t="str">
        <f>CONCATENATE("          ", "5002", " - ", "PURCHASES @ COST-USED TEXT")</f>
        <v xml:space="preserve">          5002 - PURCHASES @ COST-USED TEXT</v>
      </c>
      <c r="C141" s="16"/>
      <c r="D141" s="11">
        <v>1724866.84</v>
      </c>
      <c r="E141" s="16"/>
      <c r="F141" s="11">
        <v>1525233.92</v>
      </c>
      <c r="G141" s="3"/>
      <c r="H141" s="11">
        <v>1225459.8899999999</v>
      </c>
      <c r="I141" s="3"/>
      <c r="J141" s="11">
        <v>1258537.1399999999</v>
      </c>
      <c r="K141" s="3"/>
      <c r="L141" s="11">
        <v>1006777.41</v>
      </c>
      <c r="M141" s="3"/>
      <c r="N141" s="11">
        <v>731343.19</v>
      </c>
      <c r="O141" s="3"/>
      <c r="P141" s="11"/>
      <c r="Q141" s="3"/>
      <c r="R141" s="11"/>
    </row>
    <row r="142" spans="1:18" s="44" customFormat="1" hidden="1" outlineLevel="1" x14ac:dyDescent="0.35">
      <c r="A142" s="16"/>
      <c r="B142" s="35" t="str">
        <f>CONCATENATE("          ", "5003", " - ", "PURCHASES @ COST-RENTAL TEXT")</f>
        <v xml:space="preserve">          5003 - PURCHASES @ COST-RENTAL TEXT</v>
      </c>
      <c r="C142" s="16"/>
      <c r="D142" s="11"/>
      <c r="E142" s="16"/>
      <c r="F142" s="11"/>
      <c r="G142" s="3"/>
      <c r="H142" s="11"/>
      <c r="I142" s="3"/>
      <c r="J142" s="11">
        <v>6149.3</v>
      </c>
      <c r="K142" s="3"/>
      <c r="L142" s="11">
        <v>15917.98</v>
      </c>
      <c r="M142" s="3"/>
      <c r="N142" s="11">
        <v>24578.2</v>
      </c>
      <c r="O142" s="3"/>
      <c r="P142" s="11"/>
      <c r="Q142" s="3"/>
      <c r="R142" s="11"/>
    </row>
    <row r="143" spans="1:18" s="44" customFormat="1" hidden="1" outlineLevel="1" x14ac:dyDescent="0.35">
      <c r="A143" s="16"/>
      <c r="B143" s="35" t="str">
        <f>CONCATENATE("          ", "5004", " - ", "PURCHASES @ COST-DIGITAL TEXT")</f>
        <v xml:space="preserve">          5004 - PURCHASES @ COST-DIGITAL TEXT</v>
      </c>
      <c r="C143" s="16"/>
      <c r="D143" s="11">
        <v>132546.79999999999</v>
      </c>
      <c r="E143" s="16"/>
      <c r="F143" s="11">
        <v>145666.69</v>
      </c>
      <c r="G143" s="3"/>
      <c r="H143" s="11">
        <v>240791.2</v>
      </c>
      <c r="I143" s="3"/>
      <c r="J143" s="11">
        <v>358061.45</v>
      </c>
      <c r="K143" s="3"/>
      <c r="L143" s="11">
        <v>507143.45</v>
      </c>
      <c r="M143" s="3"/>
      <c r="N143" s="11">
        <v>451308.6</v>
      </c>
      <c r="O143" s="3"/>
      <c r="P143" s="11"/>
      <c r="Q143" s="3"/>
      <c r="R143" s="11"/>
    </row>
    <row r="144" spans="1:18" s="44" customFormat="1" hidden="1" outlineLevel="1" x14ac:dyDescent="0.35">
      <c r="A144" s="16"/>
      <c r="B144" s="35" t="str">
        <f>CONCATENATE("          ", "5011", " - ", "PURCHASES @ COST-NO VALUE TEXT")</f>
        <v xml:space="preserve">          5011 - PURCHASES @ COST-NO VALUE TEXT</v>
      </c>
      <c r="C144" s="16"/>
      <c r="D144" s="11">
        <v>6675</v>
      </c>
      <c r="E144" s="16"/>
      <c r="F144" s="11">
        <v>7296</v>
      </c>
      <c r="G144" s="3"/>
      <c r="H144" s="11">
        <v>5721</v>
      </c>
      <c r="I144" s="3"/>
      <c r="J144" s="11">
        <v>6765</v>
      </c>
      <c r="K144" s="3"/>
      <c r="L144" s="11">
        <v>5295</v>
      </c>
      <c r="M144" s="3"/>
      <c r="N144" s="11">
        <v>6462</v>
      </c>
      <c r="O144" s="3"/>
      <c r="P144" s="11"/>
      <c r="Q144" s="3"/>
      <c r="R144" s="11"/>
    </row>
    <row r="145" spans="1:18" s="44" customFormat="1" hidden="1" outlineLevel="1" x14ac:dyDescent="0.35">
      <c r="A145" s="16"/>
      <c r="B145" s="35" t="str">
        <f>CONCATENATE("          ", "5012", " - ", "PURCHASES @ COST-MAGAZINES")</f>
        <v xml:space="preserve">          5012 - PURCHASES @ COST-MAGAZINES</v>
      </c>
      <c r="C145" s="16"/>
      <c r="D145" s="11"/>
      <c r="E145" s="16"/>
      <c r="F145" s="11">
        <v>48.61</v>
      </c>
      <c r="G145" s="3"/>
      <c r="H145" s="11"/>
      <c r="I145" s="3"/>
      <c r="J145" s="11"/>
      <c r="K145" s="3"/>
      <c r="L145" s="11"/>
      <c r="M145" s="3"/>
      <c r="N145" s="11"/>
      <c r="O145" s="3"/>
      <c r="P145" s="11"/>
      <c r="Q145" s="3"/>
      <c r="R145" s="11"/>
    </row>
    <row r="146" spans="1:18" s="44" customFormat="1" hidden="1" outlineLevel="1" x14ac:dyDescent="0.35">
      <c r="A146" s="16"/>
      <c r="B146" s="35" t="str">
        <f>CONCATENATE("          ", "5013", " - ", "PURCHASES @ COST-TRADE BOOKS")</f>
        <v xml:space="preserve">          5013 - PURCHASES @ COST-TRADE BOOKS</v>
      </c>
      <c r="C146" s="16"/>
      <c r="D146" s="11">
        <v>23643.49</v>
      </c>
      <c r="E146" s="16"/>
      <c r="F146" s="11">
        <v>15893.73</v>
      </c>
      <c r="G146" s="3"/>
      <c r="H146" s="11">
        <v>7649.14</v>
      </c>
      <c r="I146" s="3"/>
      <c r="J146" s="11">
        <v>7603.03</v>
      </c>
      <c r="K146" s="3"/>
      <c r="L146" s="11">
        <v>6715.59</v>
      </c>
      <c r="M146" s="3"/>
      <c r="N146" s="11">
        <v>2777.09</v>
      </c>
      <c r="O146" s="3"/>
      <c r="P146" s="11"/>
      <c r="Q146" s="3"/>
      <c r="R146" s="11"/>
    </row>
    <row r="147" spans="1:18" s="44" customFormat="1" hidden="1" outlineLevel="1" x14ac:dyDescent="0.35">
      <c r="A147" s="16"/>
      <c r="B147" s="35" t="str">
        <f>CONCATENATE("          ", "5014", " - ", "PURCHASES @ COST-REMAINDERS")</f>
        <v xml:space="preserve">          5014 - PURCHASES @ COST-REMAINDERS</v>
      </c>
      <c r="C147" s="16"/>
      <c r="D147" s="11"/>
      <c r="E147" s="16"/>
      <c r="F147" s="11">
        <v>1308.4100000000001</v>
      </c>
      <c r="G147" s="3"/>
      <c r="H147" s="11">
        <v>0</v>
      </c>
      <c r="I147" s="3"/>
      <c r="J147" s="11">
        <v>2568.8000000000002</v>
      </c>
      <c r="K147" s="3"/>
      <c r="L147" s="11">
        <v>1261.47</v>
      </c>
      <c r="M147" s="3"/>
      <c r="N147" s="11">
        <v>747.07</v>
      </c>
      <c r="O147" s="3"/>
      <c r="P147" s="11"/>
      <c r="Q147" s="3"/>
      <c r="R147" s="11"/>
    </row>
    <row r="148" spans="1:18" s="44" customFormat="1" hidden="1" outlineLevel="1" x14ac:dyDescent="0.35">
      <c r="A148" s="16"/>
      <c r="B148" s="35" t="str">
        <f>CONCATENATE("          ", "5015", " - ", "PURCHASES @ COST-CALENDARS")</f>
        <v xml:space="preserve">          5015 - PURCHASES @ COST-CALENDARS</v>
      </c>
      <c r="C148" s="16"/>
      <c r="D148" s="11">
        <v>2530.37</v>
      </c>
      <c r="E148" s="16"/>
      <c r="F148" s="11">
        <v>2659.06</v>
      </c>
      <c r="G148" s="3"/>
      <c r="H148" s="11"/>
      <c r="I148" s="3"/>
      <c r="J148" s="11"/>
      <c r="K148" s="3"/>
      <c r="L148" s="11"/>
      <c r="M148" s="3"/>
      <c r="N148" s="11"/>
      <c r="O148" s="3"/>
      <c r="P148" s="11"/>
      <c r="Q148" s="3"/>
      <c r="R148" s="11"/>
    </row>
    <row r="149" spans="1:18" s="44" customFormat="1" hidden="1" outlineLevel="1" x14ac:dyDescent="0.35">
      <c r="A149" s="16"/>
      <c r="B149" s="35" t="str">
        <f>CONCATENATE("          ", "5017", " - ", "PURCHASES @ COST-DORM/HOUSEWAR")</f>
        <v xml:space="preserve">          5017 - PURCHASES @ COST-DORM/HOUSEWAR</v>
      </c>
      <c r="C149" s="16"/>
      <c r="D149" s="11">
        <v>1414.67</v>
      </c>
      <c r="E149" s="16"/>
      <c r="F149" s="11"/>
      <c r="G149" s="3"/>
      <c r="H149" s="11"/>
      <c r="I149" s="3"/>
      <c r="J149" s="11">
        <v>3451.82</v>
      </c>
      <c r="K149" s="3"/>
      <c r="L149" s="11">
        <v>239.9</v>
      </c>
      <c r="M149" s="3"/>
      <c r="N149" s="11">
        <v>14.46</v>
      </c>
      <c r="O149" s="3"/>
      <c r="P149" s="11"/>
      <c r="Q149" s="3"/>
      <c r="R149" s="11"/>
    </row>
    <row r="150" spans="1:18" s="44" customFormat="1" hidden="1" outlineLevel="1" x14ac:dyDescent="0.35">
      <c r="A150" s="16"/>
      <c r="B150" s="35" t="str">
        <f>CONCATENATE("          ", "5018", " - ", "PURCHASES @ COST-STUDY GUIDES")</f>
        <v xml:space="preserve">          5018 - PURCHASES @ COST-STUDY GUIDES</v>
      </c>
      <c r="C150" s="16"/>
      <c r="D150" s="11">
        <v>5816.04</v>
      </c>
      <c r="E150" s="16"/>
      <c r="F150" s="11">
        <v>4459.92</v>
      </c>
      <c r="G150" s="3"/>
      <c r="H150" s="11">
        <v>4716.9799999999996</v>
      </c>
      <c r="I150" s="3"/>
      <c r="J150" s="11">
        <v>6227.2</v>
      </c>
      <c r="K150" s="3"/>
      <c r="L150" s="11">
        <v>3717</v>
      </c>
      <c r="M150" s="3"/>
      <c r="N150" s="11">
        <v>-454.52</v>
      </c>
      <c r="O150" s="3"/>
      <c r="P150" s="11"/>
      <c r="Q150" s="3"/>
      <c r="R150" s="11"/>
    </row>
    <row r="151" spans="1:18" s="44" customFormat="1" hidden="1" outlineLevel="1" x14ac:dyDescent="0.35">
      <c r="A151" s="16"/>
      <c r="B151" s="35" t="str">
        <f>CONCATENATE("          ", "5019", " - ", "PURCHASES @ COST-BOOK RELATED")</f>
        <v xml:space="preserve">          5019 - PURCHASES @ COST-BOOK RELATED</v>
      </c>
      <c r="C151" s="16"/>
      <c r="D151" s="11">
        <v>5234.41</v>
      </c>
      <c r="E151" s="16"/>
      <c r="F151" s="11">
        <v>6086.85</v>
      </c>
      <c r="G151" s="3"/>
      <c r="H151" s="11">
        <v>659.98</v>
      </c>
      <c r="I151" s="3"/>
      <c r="J151" s="11">
        <v>148.38</v>
      </c>
      <c r="K151" s="3"/>
      <c r="L151" s="11"/>
      <c r="M151" s="3"/>
      <c r="N151" s="11"/>
      <c r="O151" s="3"/>
      <c r="P151" s="11"/>
      <c r="Q151" s="3"/>
      <c r="R151" s="11"/>
    </row>
    <row r="152" spans="1:18" s="44" customFormat="1" hidden="1" outlineLevel="1" x14ac:dyDescent="0.35">
      <c r="A152" s="16"/>
      <c r="B152" s="35" t="str">
        <f>CONCATENATE("          ", "5025", " - ", "PURCHASES @ COST-TEST FORMS")</f>
        <v xml:space="preserve">          5025 - PURCHASES @ COST-TEST FORMS</v>
      </c>
      <c r="C152" s="16"/>
      <c r="D152" s="11">
        <v>21074.42</v>
      </c>
      <c r="E152" s="16"/>
      <c r="F152" s="11">
        <v>27919.040000000001</v>
      </c>
      <c r="G152" s="3"/>
      <c r="H152" s="11">
        <v>26579.64</v>
      </c>
      <c r="I152" s="3"/>
      <c r="J152" s="11">
        <v>27885.29</v>
      </c>
      <c r="K152" s="3"/>
      <c r="L152" s="11">
        <v>21295.599999999999</v>
      </c>
      <c r="M152" s="3"/>
      <c r="N152" s="11">
        <v>26400.39</v>
      </c>
      <c r="O152" s="3"/>
      <c r="P152" s="11"/>
      <c r="Q152" s="3"/>
      <c r="R152" s="11"/>
    </row>
    <row r="153" spans="1:18" s="44" customFormat="1" hidden="1" outlineLevel="1" x14ac:dyDescent="0.35">
      <c r="A153" s="16"/>
      <c r="B153" s="35" t="str">
        <f>CONCATENATE("          ", "5026", " - ", "PURCHASES @ COST-WRITING INSTR")</f>
        <v xml:space="preserve">          5026 - PURCHASES @ COST-WRITING INSTR</v>
      </c>
      <c r="C153" s="16"/>
      <c r="D153" s="11">
        <v>46008.37</v>
      </c>
      <c r="E153" s="16"/>
      <c r="F153" s="11">
        <v>51715.06</v>
      </c>
      <c r="G153" s="3"/>
      <c r="H153" s="11">
        <v>55045.67</v>
      </c>
      <c r="I153" s="3"/>
      <c r="J153" s="11">
        <v>44843.66</v>
      </c>
      <c r="K153" s="3"/>
      <c r="L153" s="11">
        <v>54938.31</v>
      </c>
      <c r="M153" s="3"/>
      <c r="N153" s="11">
        <v>44186.57</v>
      </c>
      <c r="O153" s="3"/>
      <c r="P153" s="11"/>
      <c r="Q153" s="3"/>
      <c r="R153" s="11"/>
    </row>
    <row r="154" spans="1:18" s="44" customFormat="1" hidden="1" outlineLevel="1" x14ac:dyDescent="0.35">
      <c r="A154" s="16"/>
      <c r="B154" s="35" t="str">
        <f>CONCATENATE("          ", "5027", " - ", "PURCHASES @ COST-SCHOOL SUPPLI")</f>
        <v xml:space="preserve">          5027 - PURCHASES @ COST-SCHOOL SUPPLI</v>
      </c>
      <c r="C154" s="16"/>
      <c r="D154" s="11">
        <v>164788.62</v>
      </c>
      <c r="E154" s="16"/>
      <c r="F154" s="11">
        <v>178356.07</v>
      </c>
      <c r="G154" s="3"/>
      <c r="H154" s="11">
        <v>155465.81</v>
      </c>
      <c r="I154" s="3"/>
      <c r="J154" s="11">
        <v>172464.31</v>
      </c>
      <c r="K154" s="3"/>
      <c r="L154" s="11">
        <v>168868.3</v>
      </c>
      <c r="M154" s="3"/>
      <c r="N154" s="11">
        <v>153162.12</v>
      </c>
      <c r="O154" s="3"/>
      <c r="P154" s="11"/>
      <c r="Q154" s="3"/>
      <c r="R154" s="11"/>
    </row>
    <row r="155" spans="1:18" s="44" customFormat="1" hidden="1" outlineLevel="1" x14ac:dyDescent="0.35">
      <c r="A155" s="16"/>
      <c r="B155" s="35" t="str">
        <f>CONCATENATE("          ", "5028", " - ", "PURCHASES @ COST-ART/TECH")</f>
        <v xml:space="preserve">          5028 - PURCHASES @ COST-ART/TECH</v>
      </c>
      <c r="C155" s="16"/>
      <c r="D155" s="11">
        <v>183333.92</v>
      </c>
      <c r="E155" s="16"/>
      <c r="F155" s="11">
        <v>197868.04</v>
      </c>
      <c r="G155" s="3"/>
      <c r="H155" s="11">
        <v>186438.47</v>
      </c>
      <c r="I155" s="3"/>
      <c r="J155" s="11">
        <v>196144.24</v>
      </c>
      <c r="K155" s="3"/>
      <c r="L155" s="11">
        <v>178081.3</v>
      </c>
      <c r="M155" s="3"/>
      <c r="N155" s="11">
        <v>158554.31</v>
      </c>
      <c r="O155" s="3"/>
      <c r="P155" s="11"/>
      <c r="Q155" s="3"/>
      <c r="R155" s="11"/>
    </row>
    <row r="156" spans="1:18" s="44" customFormat="1" hidden="1" outlineLevel="1" x14ac:dyDescent="0.35">
      <c r="A156" s="16"/>
      <c r="B156" s="35" t="str">
        <f>CONCATENATE("          ", "5031", " - ", "PURCHASES @ COST-FOOD")</f>
        <v xml:space="preserve">          5031 - PURCHASES @ COST-FOOD</v>
      </c>
      <c r="C156" s="16"/>
      <c r="D156" s="11">
        <v>27168.41</v>
      </c>
      <c r="E156" s="16"/>
      <c r="F156" s="11">
        <v>33416.9</v>
      </c>
      <c r="G156" s="3"/>
      <c r="H156" s="11">
        <v>45727.41</v>
      </c>
      <c r="I156" s="3"/>
      <c r="J156" s="11">
        <v>42979.55</v>
      </c>
      <c r="K156" s="3"/>
      <c r="L156" s="11">
        <v>39394.629999999997</v>
      </c>
      <c r="M156" s="3"/>
      <c r="N156" s="11">
        <v>33239.879999999997</v>
      </c>
      <c r="O156" s="3"/>
      <c r="P156" s="11"/>
      <c r="Q156" s="3"/>
      <c r="R156" s="11"/>
    </row>
    <row r="157" spans="1:18" s="44" customFormat="1" hidden="1" outlineLevel="1" x14ac:dyDescent="0.35">
      <c r="A157" s="16"/>
      <c r="B157" s="35" t="str">
        <f>CONCATENATE("          ", "5032", " - ", "PURCHASES @ COST-JUICE")</f>
        <v xml:space="preserve">          5032 - PURCHASES @ COST-JUICE</v>
      </c>
      <c r="C157" s="16"/>
      <c r="D157" s="11">
        <v>11186.97</v>
      </c>
      <c r="E157" s="16"/>
      <c r="F157" s="11">
        <v>12614.91</v>
      </c>
      <c r="G157" s="3"/>
      <c r="H157" s="11">
        <v>12192.02</v>
      </c>
      <c r="I157" s="3"/>
      <c r="J157" s="11">
        <v>10424.870000000001</v>
      </c>
      <c r="K157" s="3"/>
      <c r="L157" s="11">
        <v>10038.59</v>
      </c>
      <c r="M157" s="3"/>
      <c r="N157" s="11">
        <v>7802.45</v>
      </c>
      <c r="O157" s="3"/>
      <c r="P157" s="11"/>
      <c r="Q157" s="3"/>
      <c r="R157" s="11"/>
    </row>
    <row r="158" spans="1:18" s="44" customFormat="1" hidden="1" outlineLevel="1" x14ac:dyDescent="0.35">
      <c r="A158" s="16"/>
      <c r="B158" s="35" t="str">
        <f>CONCATENATE("          ", "5033", " - ", "PURCHASES @ COST-CANDY")</f>
        <v xml:space="preserve">          5033 - PURCHASES @ COST-CANDY</v>
      </c>
      <c r="C158" s="16"/>
      <c r="D158" s="11">
        <v>15944.82</v>
      </c>
      <c r="E158" s="16"/>
      <c r="F158" s="11">
        <v>18911.07</v>
      </c>
      <c r="G158" s="3"/>
      <c r="H158" s="11">
        <v>14003.16</v>
      </c>
      <c r="I158" s="3"/>
      <c r="J158" s="11">
        <v>9927</v>
      </c>
      <c r="K158" s="3"/>
      <c r="L158" s="11">
        <v>10043.27</v>
      </c>
      <c r="M158" s="3"/>
      <c r="N158" s="11">
        <v>9998.41</v>
      </c>
      <c r="O158" s="3"/>
      <c r="P158" s="11"/>
      <c r="Q158" s="3"/>
      <c r="R158" s="11"/>
    </row>
    <row r="159" spans="1:18" s="44" customFormat="1" hidden="1" outlineLevel="1" x14ac:dyDescent="0.35">
      <c r="A159" s="16"/>
      <c r="B159" s="35" t="str">
        <f>CONCATENATE("          ", "5034", " - ", "PURCHASES @ COST-SODA")</f>
        <v xml:space="preserve">          5034 - PURCHASES @ COST-SODA</v>
      </c>
      <c r="C159" s="16"/>
      <c r="D159" s="11">
        <v>3990.6</v>
      </c>
      <c r="E159" s="16"/>
      <c r="F159" s="11">
        <v>3908.57</v>
      </c>
      <c r="G159" s="3"/>
      <c r="H159" s="11">
        <v>4978.3900000000003</v>
      </c>
      <c r="I159" s="3"/>
      <c r="J159" s="11">
        <v>5525.26</v>
      </c>
      <c r="K159" s="3"/>
      <c r="L159" s="11">
        <v>3996.87</v>
      </c>
      <c r="M159" s="3"/>
      <c r="N159" s="11">
        <v>4033.88</v>
      </c>
      <c r="O159" s="3"/>
      <c r="P159" s="11"/>
      <c r="Q159" s="3"/>
      <c r="R159" s="11"/>
    </row>
    <row r="160" spans="1:18" s="44" customFormat="1" hidden="1" outlineLevel="1" x14ac:dyDescent="0.35">
      <c r="A160" s="16"/>
      <c r="B160" s="35" t="str">
        <f>CONCATENATE("          ", "5035", " - ", "PURCHASES @ COST-HEALTH &amp; BEAU")</f>
        <v xml:space="preserve">          5035 - PURCHASES @ COST-HEALTH &amp; BEAU</v>
      </c>
      <c r="C160" s="16"/>
      <c r="D160" s="11">
        <v>792.67</v>
      </c>
      <c r="E160" s="16"/>
      <c r="F160" s="11">
        <v>1167.97</v>
      </c>
      <c r="G160" s="3"/>
      <c r="H160" s="11">
        <v>1842.37</v>
      </c>
      <c r="I160" s="3"/>
      <c r="J160" s="11">
        <v>1744.79</v>
      </c>
      <c r="K160" s="3"/>
      <c r="L160" s="11">
        <v>1219.07</v>
      </c>
      <c r="M160" s="3"/>
      <c r="N160" s="11">
        <v>1117.6500000000001</v>
      </c>
      <c r="O160" s="3"/>
      <c r="P160" s="11"/>
      <c r="Q160" s="3"/>
      <c r="R160" s="11"/>
    </row>
    <row r="161" spans="1:18" s="44" customFormat="1" hidden="1" outlineLevel="1" x14ac:dyDescent="0.35">
      <c r="A161" s="16"/>
      <c r="B161" s="35" t="str">
        <f>CONCATENATE("          ", "5037", " - ", "PURCHASES @ COST-WATER")</f>
        <v xml:space="preserve">          5037 - PURCHASES @ COST-WATER</v>
      </c>
      <c r="C161" s="16"/>
      <c r="D161" s="11">
        <v>6123.42</v>
      </c>
      <c r="E161" s="16"/>
      <c r="F161" s="11">
        <v>6136.26</v>
      </c>
      <c r="G161" s="3"/>
      <c r="H161" s="11">
        <v>5251.91</v>
      </c>
      <c r="I161" s="3"/>
      <c r="J161" s="11">
        <v>5729.06</v>
      </c>
      <c r="K161" s="3"/>
      <c r="L161" s="11">
        <v>6290.29</v>
      </c>
      <c r="M161" s="3"/>
      <c r="N161" s="11">
        <v>5693.57</v>
      </c>
      <c r="O161" s="3"/>
      <c r="P161" s="11"/>
      <c r="Q161" s="3"/>
      <c r="R161" s="11"/>
    </row>
    <row r="162" spans="1:18" s="44" customFormat="1" hidden="1" outlineLevel="1" x14ac:dyDescent="0.35">
      <c r="A162" s="16"/>
      <c r="B162" s="35" t="str">
        <f>CONCATENATE("          ", "5040", " - ", "PURCHASES @ COST-LOGO CLOTHING")</f>
        <v xml:space="preserve">          5040 - PURCHASES @ COST-LOGO CLOTHING</v>
      </c>
      <c r="C162" s="16"/>
      <c r="D162" s="11">
        <v>847287.44</v>
      </c>
      <c r="E162" s="16"/>
      <c r="F162" s="11">
        <v>991136.65</v>
      </c>
      <c r="G162" s="3"/>
      <c r="H162" s="11">
        <v>1087573.07</v>
      </c>
      <c r="I162" s="3"/>
      <c r="J162" s="11">
        <v>1108851</v>
      </c>
      <c r="K162" s="3"/>
      <c r="L162" s="11">
        <v>1080553.1200000001</v>
      </c>
      <c r="M162" s="3"/>
      <c r="N162" s="11">
        <v>982941.51</v>
      </c>
      <c r="O162" s="3"/>
      <c r="P162" s="11"/>
      <c r="Q162" s="3"/>
      <c r="R162" s="11"/>
    </row>
    <row r="163" spans="1:18" s="44" customFormat="1" hidden="1" outlineLevel="1" x14ac:dyDescent="0.35">
      <c r="A163" s="16"/>
      <c r="B163" s="35" t="str">
        <f>CONCATENATE("          ", "5041", " - ", "PURCHASES @ COST-LOGO GIFTS")</f>
        <v xml:space="preserve">          5041 - PURCHASES @ COST-LOGO GIFTS</v>
      </c>
      <c r="C163" s="16"/>
      <c r="D163" s="11">
        <v>249651.27</v>
      </c>
      <c r="E163" s="16"/>
      <c r="F163" s="11">
        <v>266168.43</v>
      </c>
      <c r="G163" s="3"/>
      <c r="H163" s="11">
        <v>290516.88</v>
      </c>
      <c r="I163" s="3"/>
      <c r="J163" s="11">
        <v>293142.75</v>
      </c>
      <c r="K163" s="3"/>
      <c r="L163" s="11">
        <v>323814.98</v>
      </c>
      <c r="M163" s="3"/>
      <c r="N163" s="11">
        <v>162844.63</v>
      </c>
      <c r="O163" s="3"/>
      <c r="P163" s="11"/>
      <c r="Q163" s="3"/>
      <c r="R163" s="11"/>
    </row>
    <row r="164" spans="1:18" s="44" customFormat="1" hidden="1" outlineLevel="1" x14ac:dyDescent="0.35">
      <c r="A164" s="16"/>
      <c r="B164" s="35" t="str">
        <f>CONCATENATE("          ", "5042", " - ", "PURCHASES @ COST-EVERYDAY GIFT")</f>
        <v xml:space="preserve">          5042 - PURCHASES @ COST-EVERYDAY GIFT</v>
      </c>
      <c r="C164" s="16"/>
      <c r="D164" s="11">
        <v>46184.45</v>
      </c>
      <c r="E164" s="16"/>
      <c r="F164" s="11">
        <v>57437.81</v>
      </c>
      <c r="G164" s="3"/>
      <c r="H164" s="11">
        <v>63500.18</v>
      </c>
      <c r="I164" s="3"/>
      <c r="J164" s="11">
        <v>127577.98</v>
      </c>
      <c r="K164" s="3"/>
      <c r="L164" s="11">
        <v>143887.1</v>
      </c>
      <c r="M164" s="3"/>
      <c r="N164" s="11">
        <v>125778.55</v>
      </c>
      <c r="O164" s="3"/>
      <c r="P164" s="11"/>
      <c r="Q164" s="3"/>
      <c r="R164" s="11"/>
    </row>
    <row r="165" spans="1:18" s="44" customFormat="1" hidden="1" outlineLevel="1" x14ac:dyDescent="0.35">
      <c r="A165" s="16"/>
      <c r="B165" s="35" t="str">
        <f>CONCATENATE("          ", "5043", " - ", "PURCHASES @ COST-CARDS")</f>
        <v xml:space="preserve">          5043 - PURCHASES @ COST-CARDS</v>
      </c>
      <c r="C165" s="16"/>
      <c r="D165" s="11">
        <v>18266.72</v>
      </c>
      <c r="E165" s="16"/>
      <c r="F165" s="11">
        <v>16408.27</v>
      </c>
      <c r="G165" s="3"/>
      <c r="H165" s="11">
        <v>2227.88</v>
      </c>
      <c r="I165" s="3"/>
      <c r="J165" s="11">
        <v>4641.3599999999997</v>
      </c>
      <c r="K165" s="3"/>
      <c r="L165" s="11">
        <v>3631.23</v>
      </c>
      <c r="M165" s="3"/>
      <c r="N165" s="11">
        <v>30914.66</v>
      </c>
      <c r="O165" s="3"/>
      <c r="P165" s="11"/>
      <c r="Q165" s="3"/>
      <c r="R165" s="11"/>
    </row>
    <row r="166" spans="1:18" s="44" customFormat="1" hidden="1" outlineLevel="1" x14ac:dyDescent="0.35">
      <c r="A166" s="16"/>
      <c r="B166" s="35" t="str">
        <f>CONCATENATE("          ", "5044", " - ", "PURCHASES @ COST-ACCESSORIES")</f>
        <v xml:space="preserve">          5044 - PURCHASES @ COST-ACCESSORIES</v>
      </c>
      <c r="C166" s="16"/>
      <c r="D166" s="11">
        <v>37989.160000000003</v>
      </c>
      <c r="E166" s="16"/>
      <c r="F166" s="11">
        <v>43577.53</v>
      </c>
      <c r="G166" s="3"/>
      <c r="H166" s="11">
        <v>29753.37</v>
      </c>
      <c r="I166" s="3"/>
      <c r="J166" s="11">
        <v>39851.769999999997</v>
      </c>
      <c r="K166" s="3"/>
      <c r="L166" s="11">
        <v>37653.61</v>
      </c>
      <c r="M166" s="3"/>
      <c r="N166" s="11">
        <v>37869.03</v>
      </c>
      <c r="O166" s="3"/>
      <c r="P166" s="11"/>
      <c r="Q166" s="3"/>
      <c r="R166" s="11"/>
    </row>
    <row r="167" spans="1:18" s="44" customFormat="1" hidden="1" outlineLevel="1" x14ac:dyDescent="0.35">
      <c r="A167" s="16"/>
      <c r="B167" s="35" t="str">
        <f>CONCATENATE("          ", "5045", " - ", "PURCHASES @ COST-SPECIAL ORDER")</f>
        <v xml:space="preserve">          5045 - PURCHASES @ COST-SPECIAL ORDER</v>
      </c>
      <c r="C167" s="16"/>
      <c r="D167" s="11">
        <v>80402.06</v>
      </c>
      <c r="E167" s="16"/>
      <c r="F167" s="11">
        <v>75693.570000000007</v>
      </c>
      <c r="G167" s="3"/>
      <c r="H167" s="11">
        <v>138273.57999999999</v>
      </c>
      <c r="I167" s="3"/>
      <c r="J167" s="11">
        <v>125479.66</v>
      </c>
      <c r="K167" s="3"/>
      <c r="L167" s="11">
        <v>157881.60999999999</v>
      </c>
      <c r="M167" s="3"/>
      <c r="N167" s="11">
        <v>131614.81</v>
      </c>
      <c r="O167" s="3"/>
      <c r="P167" s="11"/>
      <c r="Q167" s="3"/>
      <c r="R167" s="11"/>
    </row>
    <row r="168" spans="1:18" s="44" customFormat="1" hidden="1" outlineLevel="1" x14ac:dyDescent="0.35">
      <c r="A168" s="16"/>
      <c r="B168" s="35" t="str">
        <f>CONCATENATE("          ", "5053", " - ", "PURCHASES @ COST-FOOD")</f>
        <v xml:space="preserve">          5053 - PURCHASES @ COST-FOOD</v>
      </c>
      <c r="C168" s="16"/>
      <c r="D168" s="11">
        <v>1351718.29</v>
      </c>
      <c r="E168" s="16"/>
      <c r="F168" s="11">
        <v>1434752.6</v>
      </c>
      <c r="G168" s="3"/>
      <c r="H168" s="11">
        <v>1528100.42</v>
      </c>
      <c r="I168" s="3"/>
      <c r="J168" s="11">
        <v>1408208.59</v>
      </c>
      <c r="K168" s="3"/>
      <c r="L168" s="11">
        <v>1367213.59</v>
      </c>
      <c r="M168" s="3"/>
      <c r="N168" s="11">
        <v>1155614.1000000001</v>
      </c>
      <c r="O168" s="3"/>
      <c r="P168" s="11"/>
      <c r="Q168" s="3"/>
      <c r="R168" s="11"/>
    </row>
    <row r="169" spans="1:18" s="44" customFormat="1" hidden="1" outlineLevel="1" x14ac:dyDescent="0.35">
      <c r="A169" s="16"/>
      <c r="B169" s="35" t="str">
        <f>CONCATENATE("          ", "5059", " - ", "PURCHASES @ COST-FOOD")</f>
        <v xml:space="preserve">          5059 - PURCHASES @ COST-FOOD</v>
      </c>
      <c r="C169" s="16"/>
      <c r="D169" s="11">
        <v>213701.88</v>
      </c>
      <c r="E169" s="16"/>
      <c r="F169" s="11">
        <v>162435.59</v>
      </c>
      <c r="G169" s="3"/>
      <c r="H169" s="11">
        <v>111549.17</v>
      </c>
      <c r="I169" s="3"/>
      <c r="J169" s="11">
        <v>208369.86</v>
      </c>
      <c r="K169" s="3"/>
      <c r="L169" s="11">
        <v>114364.88</v>
      </c>
      <c r="M169" s="3"/>
      <c r="N169" s="11">
        <v>80305.8</v>
      </c>
      <c r="O169" s="3"/>
      <c r="P169" s="11"/>
      <c r="Q169" s="3"/>
      <c r="R169" s="11"/>
    </row>
    <row r="170" spans="1:18" s="44" customFormat="1" hidden="1" outlineLevel="1" x14ac:dyDescent="0.35">
      <c r="A170" s="16"/>
      <c r="B170" s="35" t="str">
        <f>CONCATENATE("          ", "5081", " - ", "PURCHASES @ COST-ELECTRONICS")</f>
        <v xml:space="preserve">          5081 - PURCHASES @ COST-ELECTRONICS</v>
      </c>
      <c r="C170" s="16"/>
      <c r="D170" s="11">
        <v>725.68</v>
      </c>
      <c r="E170" s="16"/>
      <c r="F170" s="11">
        <v>871.87</v>
      </c>
      <c r="G170" s="3"/>
      <c r="H170" s="11">
        <v>2695.65</v>
      </c>
      <c r="I170" s="3"/>
      <c r="J170" s="11">
        <v>2043.38</v>
      </c>
      <c r="K170" s="3"/>
      <c r="L170" s="11">
        <v>2676.75</v>
      </c>
      <c r="M170" s="3"/>
      <c r="N170" s="11">
        <v>2008.03</v>
      </c>
      <c r="O170" s="3"/>
      <c r="P170" s="11"/>
      <c r="Q170" s="3"/>
      <c r="R170" s="11"/>
    </row>
    <row r="171" spans="1:18" s="44" customFormat="1" hidden="1" outlineLevel="1" x14ac:dyDescent="0.35">
      <c r="A171" s="16"/>
      <c r="B171" s="35" t="str">
        <f>CONCATENATE("          ", "5082", " - ", "PURCHASES @ COST-COMPUTER HARD")</f>
        <v xml:space="preserve">          5082 - PURCHASES @ COST-COMPUTER HARD</v>
      </c>
      <c r="C171" s="16"/>
      <c r="D171" s="11"/>
      <c r="E171" s="16"/>
      <c r="F171" s="11"/>
      <c r="G171" s="3"/>
      <c r="H171" s="11">
        <v>962</v>
      </c>
      <c r="I171" s="3"/>
      <c r="J171" s="11">
        <v>1428.18</v>
      </c>
      <c r="K171" s="3"/>
      <c r="L171" s="11">
        <v>1118</v>
      </c>
      <c r="M171" s="3"/>
      <c r="N171" s="11">
        <v>349.6</v>
      </c>
      <c r="O171" s="3"/>
      <c r="P171" s="11"/>
      <c r="Q171" s="3"/>
      <c r="R171" s="11"/>
    </row>
    <row r="172" spans="1:18" s="44" customFormat="1" hidden="1" outlineLevel="1" x14ac:dyDescent="0.35">
      <c r="A172" s="16"/>
      <c r="B172" s="35" t="str">
        <f>CONCATENATE("          ", "5083", " - ", "PURCHASES @ COST-COMPUTER EQUI")</f>
        <v xml:space="preserve">          5083 - PURCHASES @ COST-COMPUTER EQUI</v>
      </c>
      <c r="C172" s="16"/>
      <c r="D172" s="11">
        <v>153.53</v>
      </c>
      <c r="E172" s="16"/>
      <c r="F172" s="11">
        <v>283.38</v>
      </c>
      <c r="G172" s="3"/>
      <c r="H172" s="11">
        <v>872.08</v>
      </c>
      <c r="I172" s="3"/>
      <c r="J172" s="11">
        <v>974.62</v>
      </c>
      <c r="K172" s="3"/>
      <c r="L172" s="11">
        <v>653.19000000000005</v>
      </c>
      <c r="M172" s="3"/>
      <c r="N172" s="11">
        <v>395.06</v>
      </c>
      <c r="O172" s="3"/>
      <c r="P172" s="11"/>
      <c r="Q172" s="3"/>
      <c r="R172" s="11"/>
    </row>
    <row r="173" spans="1:18" s="44" customFormat="1" hidden="1" outlineLevel="1" x14ac:dyDescent="0.35">
      <c r="A173" s="16"/>
      <c r="B173" s="35" t="str">
        <f>CONCATENATE("          ", "5086", " - ", "PURCHASES @ COST-COMPUTER SUPP")</f>
        <v xml:space="preserve">          5086 - PURCHASES @ COST-COMPUTER SUPP</v>
      </c>
      <c r="C173" s="16"/>
      <c r="D173" s="11">
        <v>118.65</v>
      </c>
      <c r="E173" s="16"/>
      <c r="F173" s="11">
        <v>371.27</v>
      </c>
      <c r="G173" s="3"/>
      <c r="H173" s="11">
        <v>847.13</v>
      </c>
      <c r="I173" s="3"/>
      <c r="J173" s="11">
        <v>583.21</v>
      </c>
      <c r="K173" s="3"/>
      <c r="L173" s="11">
        <v>971.76</v>
      </c>
      <c r="M173" s="3"/>
      <c r="N173" s="11">
        <v>426.22</v>
      </c>
      <c r="O173" s="3"/>
      <c r="P173" s="11"/>
      <c r="Q173" s="3"/>
      <c r="R173" s="11"/>
    </row>
    <row r="174" spans="1:18" s="44" customFormat="1" hidden="1" outlineLevel="1" x14ac:dyDescent="0.35">
      <c r="A174" s="16"/>
      <c r="B174" s="35" t="str">
        <f>CONCATENATE("          ", "5088", " - ", "PURCHASES @ COST-MUSIC")</f>
        <v xml:space="preserve">          5088 - PURCHASES @ COST-MUSIC</v>
      </c>
      <c r="C174" s="16"/>
      <c r="D174" s="11"/>
      <c r="E174" s="16"/>
      <c r="F174" s="11"/>
      <c r="G174" s="3"/>
      <c r="H174" s="11"/>
      <c r="I174" s="3"/>
      <c r="J174" s="11">
        <v>40</v>
      </c>
      <c r="K174" s="3"/>
      <c r="L174" s="11"/>
      <c r="M174" s="3"/>
      <c r="N174" s="11"/>
      <c r="O174" s="3"/>
      <c r="P174" s="11"/>
      <c r="Q174" s="3"/>
      <c r="R174" s="11"/>
    </row>
    <row r="175" spans="1:18" s="44" customFormat="1" hidden="1" outlineLevel="1" x14ac:dyDescent="0.35">
      <c r="A175" s="16"/>
      <c r="B175" s="35" t="str">
        <f>CONCATENATE("          ", "5091", " - ", "PURCHASES @ COST-GRAD ANNOUNCE")</f>
        <v xml:space="preserve">          5091 - PURCHASES @ COST-GRAD ANNOUNCE</v>
      </c>
      <c r="C175" s="16"/>
      <c r="D175" s="11">
        <v>478.5</v>
      </c>
      <c r="E175" s="16"/>
      <c r="F175" s="11">
        <v>715</v>
      </c>
      <c r="G175" s="3"/>
      <c r="H175" s="11"/>
      <c r="I175" s="3"/>
      <c r="J175" s="11">
        <v>0</v>
      </c>
      <c r="K175" s="3"/>
      <c r="L175" s="11"/>
      <c r="M175" s="3"/>
      <c r="N175" s="11"/>
      <c r="O175" s="3"/>
      <c r="P175" s="11"/>
      <c r="Q175" s="3"/>
      <c r="R175" s="11"/>
    </row>
    <row r="176" spans="1:18" s="44" customFormat="1" hidden="1" outlineLevel="1" x14ac:dyDescent="0.35">
      <c r="A176" s="16"/>
      <c r="B176" s="35" t="str">
        <f>CONCATENATE("          ", "5092", " - ", "PURCHASES @ COST-GRAD MERCH")</f>
        <v xml:space="preserve">          5092 - PURCHASES @ COST-GRAD MERCH</v>
      </c>
      <c r="C176" s="16"/>
      <c r="D176" s="11">
        <v>128753.82</v>
      </c>
      <c r="E176" s="16"/>
      <c r="F176" s="11">
        <v>155039.99</v>
      </c>
      <c r="G176" s="3"/>
      <c r="H176" s="11">
        <v>187802.28</v>
      </c>
      <c r="I176" s="3"/>
      <c r="J176" s="11">
        <v>207987.96</v>
      </c>
      <c r="K176" s="3"/>
      <c r="L176" s="11">
        <v>96915.8</v>
      </c>
      <c r="M176" s="3"/>
      <c r="N176" s="11">
        <v>13839.98</v>
      </c>
      <c r="O176" s="3"/>
      <c r="P176" s="11"/>
      <c r="Q176" s="3"/>
      <c r="R176" s="11"/>
    </row>
    <row r="177" spans="1:18" s="44" customFormat="1" hidden="1" outlineLevel="1" x14ac:dyDescent="0.35">
      <c r="A177" s="16"/>
      <c r="B177" s="35" t="str">
        <f>CONCATENATE("          ", "5095", " - ", "PURCHASES @ COST-CUSTOMER SERV")</f>
        <v xml:space="preserve">          5095 - PURCHASES @ COST-CUSTOMER SERV</v>
      </c>
      <c r="C177" s="16"/>
      <c r="D177" s="11">
        <v>0</v>
      </c>
      <c r="E177" s="16"/>
      <c r="F177" s="11">
        <v>-1.68</v>
      </c>
      <c r="G177" s="3"/>
      <c r="H177" s="11">
        <v>0</v>
      </c>
      <c r="I177" s="3"/>
      <c r="J177" s="11">
        <v>0</v>
      </c>
      <c r="K177" s="3"/>
      <c r="L177" s="11">
        <v>0</v>
      </c>
      <c r="M177" s="3"/>
      <c r="N177" s="11">
        <v>0</v>
      </c>
      <c r="O177" s="3"/>
      <c r="P177" s="11"/>
      <c r="Q177" s="3"/>
      <c r="R177" s="11"/>
    </row>
    <row r="178" spans="1:18" s="44" customFormat="1" hidden="1" outlineLevel="1" x14ac:dyDescent="0.35">
      <c r="A178" s="16"/>
      <c r="B178" s="35" t="str">
        <f>CONCATENATE("          ", "5200", " - ", "PURCHASES OFFSET")</f>
        <v xml:space="preserve">          5200 - PURCHASES OFFSET</v>
      </c>
      <c r="C178" s="16"/>
      <c r="D178" s="11">
        <v>-6855121</v>
      </c>
      <c r="E178" s="16"/>
      <c r="F178" s="11">
        <v>-6111946</v>
      </c>
      <c r="G178" s="3"/>
      <c r="H178" s="11">
        <v>-6349043</v>
      </c>
      <c r="I178" s="3"/>
      <c r="J178" s="11">
        <v>-5748217</v>
      </c>
      <c r="K178" s="3"/>
      <c r="L178" s="11">
        <v>-4932261</v>
      </c>
      <c r="M178" s="3"/>
      <c r="N178" s="11">
        <v>-3777245</v>
      </c>
      <c r="O178" s="3"/>
      <c r="P178" s="11"/>
      <c r="Q178" s="3"/>
      <c r="R178" s="11"/>
    </row>
    <row r="179" spans="1:18" s="44" customFormat="1" hidden="1" outlineLevel="1" x14ac:dyDescent="0.35">
      <c r="A179" s="16"/>
      <c r="B179" s="35" t="str">
        <f>CONCATENATE("          ", "5300", " - ", "COG$ OFFSET")</f>
        <v xml:space="preserve">          5300 - COG$ OFFSET</v>
      </c>
      <c r="C179" s="16"/>
      <c r="D179" s="11">
        <v>6597224</v>
      </c>
      <c r="E179" s="16"/>
      <c r="F179" s="11">
        <v>6152501</v>
      </c>
      <c r="G179" s="3"/>
      <c r="H179" s="11">
        <v>6105711</v>
      </c>
      <c r="I179" s="3"/>
      <c r="J179" s="11">
        <v>5512963</v>
      </c>
      <c r="K179" s="3"/>
      <c r="L179" s="11">
        <v>5167505</v>
      </c>
      <c r="M179" s="3"/>
      <c r="N179" s="11">
        <v>4336696</v>
      </c>
      <c r="O179" s="3"/>
      <c r="P179" s="11"/>
      <c r="Q179" s="3"/>
      <c r="R179" s="11"/>
    </row>
    <row r="180" spans="1:18" s="44" customFormat="1" hidden="1" outlineLevel="1" x14ac:dyDescent="0.35">
      <c r="A180" s="16"/>
      <c r="B180" s="35" t="str">
        <f>CONCATENATE("          ", "5500", " - ", "FREIGHT-IN")</f>
        <v xml:space="preserve">          5500 - FREIGHT-IN</v>
      </c>
      <c r="C180" s="16"/>
      <c r="D180" s="11"/>
      <c r="E180" s="16"/>
      <c r="F180" s="11"/>
      <c r="G180" s="3"/>
      <c r="H180" s="11"/>
      <c r="I180" s="3"/>
      <c r="J180" s="11">
        <v>253.26</v>
      </c>
      <c r="K180" s="3"/>
      <c r="L180" s="11">
        <v>188.91</v>
      </c>
      <c r="M180" s="3"/>
      <c r="N180" s="11">
        <v>239.61</v>
      </c>
      <c r="O180" s="3"/>
      <c r="P180" s="11"/>
      <c r="Q180" s="3"/>
      <c r="R180" s="11"/>
    </row>
    <row r="181" spans="1:18" s="44" customFormat="1" hidden="1" outlineLevel="1" x14ac:dyDescent="0.35">
      <c r="A181" s="16"/>
      <c r="B181" s="35" t="str">
        <f>CONCATENATE("          ", "5501", " - ", "FREIGHT-IN-NEW TEXT")</f>
        <v xml:space="preserve">          5501 - FREIGHT-IN-NEW TEXT</v>
      </c>
      <c r="C181" s="16"/>
      <c r="D181" s="11">
        <v>113122.15</v>
      </c>
      <c r="E181" s="16"/>
      <c r="F181" s="11">
        <v>81075.98</v>
      </c>
      <c r="G181" s="3"/>
      <c r="H181" s="11">
        <v>66269.36</v>
      </c>
      <c r="I181" s="3"/>
      <c r="J181" s="11">
        <v>72413.94</v>
      </c>
      <c r="K181" s="3"/>
      <c r="L181" s="11">
        <v>66019.19</v>
      </c>
      <c r="M181" s="3"/>
      <c r="N181" s="11">
        <v>72230.789999999994</v>
      </c>
      <c r="O181" s="3"/>
      <c r="P181" s="11"/>
      <c r="Q181" s="3"/>
      <c r="R181" s="11"/>
    </row>
    <row r="182" spans="1:18" s="44" customFormat="1" hidden="1" outlineLevel="1" x14ac:dyDescent="0.35">
      <c r="A182" s="16"/>
      <c r="B182" s="35" t="str">
        <f>CONCATENATE("          ", "5502", " - ", "FREIGHT-IN-USED TEXT")</f>
        <v xml:space="preserve">          5502 - FREIGHT-IN-USED TEXT</v>
      </c>
      <c r="C182" s="16"/>
      <c r="D182" s="11">
        <v>25064.61</v>
      </c>
      <c r="E182" s="16"/>
      <c r="F182" s="11">
        <v>23788.51</v>
      </c>
      <c r="G182" s="3"/>
      <c r="H182" s="11">
        <v>22503.66</v>
      </c>
      <c r="I182" s="3"/>
      <c r="J182" s="11">
        <v>20515.400000000001</v>
      </c>
      <c r="K182" s="3"/>
      <c r="L182" s="11">
        <v>14394.46</v>
      </c>
      <c r="M182" s="3"/>
      <c r="N182" s="11">
        <v>16200.12</v>
      </c>
      <c r="O182" s="3"/>
      <c r="P182" s="11"/>
      <c r="Q182" s="3"/>
      <c r="R182" s="11"/>
    </row>
    <row r="183" spans="1:18" s="44" customFormat="1" hidden="1" outlineLevel="1" x14ac:dyDescent="0.35">
      <c r="A183" s="16"/>
      <c r="B183" s="35" t="str">
        <f>CONCATENATE("          ", "5504", " - ", "FREIGHT-IN-DIGITAL TEXT")</f>
        <v xml:space="preserve">          5504 - FREIGHT-IN-DIGITAL TEXT</v>
      </c>
      <c r="C183" s="16"/>
      <c r="D183" s="11">
        <v>10</v>
      </c>
      <c r="E183" s="16"/>
      <c r="F183" s="11"/>
      <c r="G183" s="3"/>
      <c r="H183" s="11">
        <v>36.46</v>
      </c>
      <c r="I183" s="3"/>
      <c r="J183" s="11">
        <v>84.51</v>
      </c>
      <c r="K183" s="3"/>
      <c r="L183" s="11">
        <v>243.53</v>
      </c>
      <c r="M183" s="3"/>
      <c r="N183" s="11">
        <v>118.75</v>
      </c>
      <c r="O183" s="3"/>
      <c r="P183" s="11"/>
      <c r="Q183" s="3"/>
      <c r="R183" s="11"/>
    </row>
    <row r="184" spans="1:18" s="44" customFormat="1" hidden="1" outlineLevel="1" x14ac:dyDescent="0.35">
      <c r="A184" s="16"/>
      <c r="B184" s="35" t="str">
        <f>CONCATENATE("          ", "5505", " - ", "FREIGHT-IN-NCSU")</f>
        <v xml:space="preserve">          5505 - FREIGHT-IN-NCSU</v>
      </c>
      <c r="C184" s="16"/>
      <c r="D184" s="11"/>
      <c r="E184" s="16"/>
      <c r="F184" s="11"/>
      <c r="G184" s="3"/>
      <c r="H184" s="11"/>
      <c r="I184" s="3"/>
      <c r="J184" s="11"/>
      <c r="K184" s="3"/>
      <c r="L184" s="11">
        <v>0</v>
      </c>
      <c r="M184" s="3"/>
      <c r="N184" s="11"/>
      <c r="O184" s="3"/>
      <c r="P184" s="11"/>
      <c r="Q184" s="3"/>
      <c r="R184" s="11"/>
    </row>
    <row r="185" spans="1:18" s="44" customFormat="1" hidden="1" outlineLevel="1" x14ac:dyDescent="0.35">
      <c r="A185" s="16"/>
      <c r="B185" s="35" t="str">
        <f>CONCATENATE("          ", "5507", " - ", "FREIGHT-IN-NPUB")</f>
        <v xml:space="preserve">          5507 - FREIGHT-IN-NPUB</v>
      </c>
      <c r="C185" s="16"/>
      <c r="D185" s="11"/>
      <c r="E185" s="16"/>
      <c r="F185" s="11"/>
      <c r="G185" s="3"/>
      <c r="H185" s="11"/>
      <c r="I185" s="3"/>
      <c r="J185" s="11">
        <v>1.75</v>
      </c>
      <c r="K185" s="3"/>
      <c r="L185" s="11"/>
      <c r="M185" s="3"/>
      <c r="N185" s="11"/>
      <c r="O185" s="3"/>
      <c r="P185" s="11"/>
      <c r="Q185" s="3"/>
      <c r="R185" s="11"/>
    </row>
    <row r="186" spans="1:18" s="44" customFormat="1" hidden="1" outlineLevel="1" x14ac:dyDescent="0.35">
      <c r="A186" s="16"/>
      <c r="B186" s="35" t="str">
        <f>CONCATENATE("          ", "5513", " - ", "FREIGHT-IN-TRADE BOOKS")</f>
        <v xml:space="preserve">          5513 - FREIGHT-IN-TRADE BOOKS</v>
      </c>
      <c r="C186" s="16"/>
      <c r="D186" s="11">
        <v>689.7</v>
      </c>
      <c r="E186" s="16"/>
      <c r="F186" s="11">
        <v>584.27</v>
      </c>
      <c r="G186" s="3"/>
      <c r="H186" s="11">
        <v>202.25</v>
      </c>
      <c r="I186" s="3"/>
      <c r="J186" s="11">
        <v>129.78</v>
      </c>
      <c r="K186" s="3"/>
      <c r="L186" s="11">
        <v>54.9</v>
      </c>
      <c r="M186" s="3"/>
      <c r="N186" s="11">
        <v>30.24</v>
      </c>
      <c r="O186" s="3"/>
      <c r="P186" s="11"/>
      <c r="Q186" s="3"/>
      <c r="R186" s="11"/>
    </row>
    <row r="187" spans="1:18" s="44" customFormat="1" hidden="1" outlineLevel="1" x14ac:dyDescent="0.35">
      <c r="A187" s="16"/>
      <c r="B187" s="35" t="str">
        <f>CONCATENATE("          ", "5514", " - ", "FREIGHT-IN-REMAINDERS")</f>
        <v xml:space="preserve">          5514 - FREIGHT-IN-REMAINDERS</v>
      </c>
      <c r="C187" s="16"/>
      <c r="D187" s="11"/>
      <c r="E187" s="16"/>
      <c r="F187" s="11">
        <v>243.14</v>
      </c>
      <c r="G187" s="3"/>
      <c r="H187" s="11"/>
      <c r="I187" s="3"/>
      <c r="J187" s="11"/>
      <c r="K187" s="3"/>
      <c r="L187" s="11"/>
      <c r="M187" s="3"/>
      <c r="N187" s="11"/>
      <c r="O187" s="3"/>
      <c r="P187" s="11"/>
      <c r="Q187" s="3"/>
      <c r="R187" s="11"/>
    </row>
    <row r="188" spans="1:18" s="44" customFormat="1" hidden="1" outlineLevel="1" x14ac:dyDescent="0.35">
      <c r="A188" s="16"/>
      <c r="B188" s="35" t="str">
        <f>CONCATENATE("          ", "5515", " - ", "FREIGHT-IN-CALENDARS")</f>
        <v xml:space="preserve">          5515 - FREIGHT-IN-CALENDARS</v>
      </c>
      <c r="C188" s="16"/>
      <c r="D188" s="11">
        <v>9.69</v>
      </c>
      <c r="E188" s="16"/>
      <c r="F188" s="11"/>
      <c r="G188" s="3"/>
      <c r="H188" s="11"/>
      <c r="I188" s="3"/>
      <c r="J188" s="11"/>
      <c r="K188" s="3"/>
      <c r="L188" s="11"/>
      <c r="M188" s="3"/>
      <c r="N188" s="11"/>
      <c r="O188" s="3"/>
      <c r="P188" s="11"/>
      <c r="Q188" s="3"/>
      <c r="R188" s="11"/>
    </row>
    <row r="189" spans="1:18" s="44" customFormat="1" hidden="1" outlineLevel="1" x14ac:dyDescent="0.35">
      <c r="A189" s="16"/>
      <c r="B189" s="35" t="str">
        <f>CONCATENATE("          ", "5517", " - ", "FREIGHT-IN-DORM/HOUSEWARES")</f>
        <v xml:space="preserve">          5517 - FREIGHT-IN-DORM/HOUSEWARES</v>
      </c>
      <c r="C189" s="16"/>
      <c r="D189" s="11">
        <v>33</v>
      </c>
      <c r="E189" s="16"/>
      <c r="F189" s="11"/>
      <c r="G189" s="3"/>
      <c r="H189" s="11"/>
      <c r="I189" s="3"/>
      <c r="J189" s="11">
        <v>21.57</v>
      </c>
      <c r="K189" s="3"/>
      <c r="L189" s="11"/>
      <c r="M189" s="3"/>
      <c r="N189" s="11"/>
      <c r="O189" s="3"/>
      <c r="P189" s="11"/>
      <c r="Q189" s="3"/>
      <c r="R189" s="11"/>
    </row>
    <row r="190" spans="1:18" s="44" customFormat="1" hidden="1" outlineLevel="1" x14ac:dyDescent="0.35">
      <c r="A190" s="16"/>
      <c r="B190" s="35" t="str">
        <f>CONCATENATE("          ", "5518", " - ", "FREIGHT-IN-STUDY GUIDES")</f>
        <v xml:space="preserve">          5518 - FREIGHT-IN-STUDY GUIDES</v>
      </c>
      <c r="C190" s="16"/>
      <c r="D190" s="11">
        <v>37.56</v>
      </c>
      <c r="E190" s="16"/>
      <c r="F190" s="11">
        <v>11.63</v>
      </c>
      <c r="G190" s="3"/>
      <c r="H190" s="11">
        <v>16.38</v>
      </c>
      <c r="I190" s="3"/>
      <c r="J190" s="11"/>
      <c r="K190" s="3"/>
      <c r="L190" s="11"/>
      <c r="M190" s="3"/>
      <c r="N190" s="11">
        <v>21.13</v>
      </c>
      <c r="O190" s="3"/>
      <c r="P190" s="11"/>
      <c r="Q190" s="3"/>
      <c r="R190" s="11"/>
    </row>
    <row r="191" spans="1:18" s="44" customFormat="1" hidden="1" outlineLevel="1" x14ac:dyDescent="0.35">
      <c r="A191" s="16"/>
      <c r="B191" s="35" t="str">
        <f>CONCATENATE("          ", "5519", " - ", "FREIGHT-IN-BOOK RELATED")</f>
        <v xml:space="preserve">          5519 - FREIGHT-IN-BOOK RELATED</v>
      </c>
      <c r="C191" s="16"/>
      <c r="D191" s="11">
        <v>169.6</v>
      </c>
      <c r="E191" s="16"/>
      <c r="F191" s="11">
        <v>250.18</v>
      </c>
      <c r="G191" s="3"/>
      <c r="H191" s="11"/>
      <c r="I191" s="3"/>
      <c r="J191" s="11"/>
      <c r="K191" s="3"/>
      <c r="L191" s="11"/>
      <c r="M191" s="3"/>
      <c r="N191" s="11"/>
      <c r="O191" s="3"/>
      <c r="P191" s="11"/>
      <c r="Q191" s="3"/>
      <c r="R191" s="11"/>
    </row>
    <row r="192" spans="1:18" s="44" customFormat="1" hidden="1" outlineLevel="1" x14ac:dyDescent="0.35">
      <c r="A192" s="16"/>
      <c r="B192" s="35" t="str">
        <f>CONCATENATE("          ", "5525", " - ", "FREIGHT-IN-TEST FORMS")</f>
        <v xml:space="preserve">          5525 - FREIGHT-IN-TEST FORMS</v>
      </c>
      <c r="C192" s="16"/>
      <c r="D192" s="11">
        <v>477.7</v>
      </c>
      <c r="E192" s="16"/>
      <c r="F192" s="11">
        <v>527.13</v>
      </c>
      <c r="G192" s="3"/>
      <c r="H192" s="11">
        <v>715.82</v>
      </c>
      <c r="I192" s="3"/>
      <c r="J192" s="11">
        <v>786.81</v>
      </c>
      <c r="K192" s="3"/>
      <c r="L192" s="11">
        <v>390.96</v>
      </c>
      <c r="M192" s="3"/>
      <c r="N192" s="11">
        <v>1614.32</v>
      </c>
      <c r="O192" s="3"/>
      <c r="P192" s="11"/>
      <c r="Q192" s="3"/>
      <c r="R192" s="11"/>
    </row>
    <row r="193" spans="1:18" s="44" customFormat="1" hidden="1" outlineLevel="1" x14ac:dyDescent="0.35">
      <c r="A193" s="16"/>
      <c r="B193" s="35" t="str">
        <f>CONCATENATE("          ", "5526", " - ", "FREIGHT-IN-WRITING INSTRUMENTS")</f>
        <v xml:space="preserve">          5526 - FREIGHT-IN-WRITING INSTRUMENTS</v>
      </c>
      <c r="C193" s="16"/>
      <c r="D193" s="11">
        <v>252.21</v>
      </c>
      <c r="E193" s="16"/>
      <c r="F193" s="11">
        <v>325.39</v>
      </c>
      <c r="G193" s="3"/>
      <c r="H193" s="11">
        <v>944.45</v>
      </c>
      <c r="I193" s="3"/>
      <c r="J193" s="11">
        <v>119.51</v>
      </c>
      <c r="K193" s="3"/>
      <c r="L193" s="11">
        <v>262.62</v>
      </c>
      <c r="M193" s="3"/>
      <c r="N193" s="11">
        <v>274.5</v>
      </c>
      <c r="O193" s="3"/>
      <c r="P193" s="11"/>
      <c r="Q193" s="3"/>
      <c r="R193" s="11"/>
    </row>
    <row r="194" spans="1:18" s="44" customFormat="1" hidden="1" outlineLevel="1" x14ac:dyDescent="0.35">
      <c r="A194" s="16"/>
      <c r="B194" s="35" t="str">
        <f>CONCATENATE("          ", "5527", " - ", "FREIGHT-IN-SCHOOL SUPPLIES")</f>
        <v xml:space="preserve">          5527 - FREIGHT-IN-SCHOOL SUPPLIES</v>
      </c>
      <c r="C194" s="16"/>
      <c r="D194" s="11">
        <v>1884.99</v>
      </c>
      <c r="E194" s="16"/>
      <c r="F194" s="11">
        <v>2183.15</v>
      </c>
      <c r="G194" s="3"/>
      <c r="H194" s="11">
        <v>3088.99</v>
      </c>
      <c r="I194" s="3"/>
      <c r="J194" s="11">
        <v>1747.18</v>
      </c>
      <c r="K194" s="3"/>
      <c r="L194" s="11">
        <v>2106.8200000000002</v>
      </c>
      <c r="M194" s="3"/>
      <c r="N194" s="11">
        <v>1808</v>
      </c>
      <c r="O194" s="3"/>
      <c r="P194" s="11"/>
      <c r="Q194" s="3"/>
      <c r="R194" s="11"/>
    </row>
    <row r="195" spans="1:18" s="44" customFormat="1" hidden="1" outlineLevel="1" x14ac:dyDescent="0.35">
      <c r="A195" s="16"/>
      <c r="B195" s="35" t="str">
        <f>CONCATENATE("          ", "5528", " - ", "FREIGHT-IN-ART/TECH")</f>
        <v xml:space="preserve">          5528 - FREIGHT-IN-ART/TECH</v>
      </c>
      <c r="C195" s="16"/>
      <c r="D195" s="11">
        <v>1217.47</v>
      </c>
      <c r="E195" s="16"/>
      <c r="F195" s="11">
        <v>1778.86</v>
      </c>
      <c r="G195" s="3"/>
      <c r="H195" s="11">
        <v>1886.69</v>
      </c>
      <c r="I195" s="3"/>
      <c r="J195" s="11">
        <v>1892.15</v>
      </c>
      <c r="K195" s="3"/>
      <c r="L195" s="11">
        <v>7608.5</v>
      </c>
      <c r="M195" s="3"/>
      <c r="N195" s="11">
        <v>2837.7</v>
      </c>
      <c r="O195" s="3"/>
      <c r="P195" s="11"/>
      <c r="Q195" s="3"/>
      <c r="R195" s="11"/>
    </row>
    <row r="196" spans="1:18" s="44" customFormat="1" hidden="1" outlineLevel="1" x14ac:dyDescent="0.35">
      <c r="A196" s="16"/>
      <c r="B196" s="35" t="str">
        <f>CONCATENATE("          ", "5540", " - ", "FREIGHT-IN-LOGO CLOTHING")</f>
        <v xml:space="preserve">          5540 - FREIGHT-IN-LOGO CLOTHING</v>
      </c>
      <c r="C196" s="16"/>
      <c r="D196" s="11">
        <v>21210.19</v>
      </c>
      <c r="E196" s="16"/>
      <c r="F196" s="11">
        <v>34315.83</v>
      </c>
      <c r="G196" s="3"/>
      <c r="H196" s="11">
        <v>27831.279999999999</v>
      </c>
      <c r="I196" s="3"/>
      <c r="J196" s="11">
        <v>25956.86</v>
      </c>
      <c r="K196" s="3"/>
      <c r="L196" s="11">
        <v>35751.94</v>
      </c>
      <c r="M196" s="3"/>
      <c r="N196" s="11">
        <v>32548.98</v>
      </c>
      <c r="O196" s="3"/>
      <c r="P196" s="11"/>
      <c r="Q196" s="3"/>
      <c r="R196" s="11"/>
    </row>
    <row r="197" spans="1:18" s="44" customFormat="1" hidden="1" outlineLevel="1" x14ac:dyDescent="0.35">
      <c r="A197" s="16"/>
      <c r="B197" s="35" t="str">
        <f>CONCATENATE("          ", "5541", " - ", "FREIGHT-IN-LOGO GIFTS")</f>
        <v xml:space="preserve">          5541 - FREIGHT-IN-LOGO GIFTS</v>
      </c>
      <c r="C197" s="16"/>
      <c r="D197" s="11">
        <v>9598.33</v>
      </c>
      <c r="E197" s="16"/>
      <c r="F197" s="11">
        <v>7755.4</v>
      </c>
      <c r="G197" s="3"/>
      <c r="H197" s="11">
        <v>6647.69</v>
      </c>
      <c r="I197" s="3"/>
      <c r="J197" s="11">
        <v>6736.78</v>
      </c>
      <c r="K197" s="3"/>
      <c r="L197" s="11">
        <v>8438.06</v>
      </c>
      <c r="M197" s="3"/>
      <c r="N197" s="11">
        <v>5574.41</v>
      </c>
      <c r="O197" s="3"/>
      <c r="P197" s="11"/>
      <c r="Q197" s="3"/>
      <c r="R197" s="11"/>
    </row>
    <row r="198" spans="1:18" s="44" customFormat="1" hidden="1" outlineLevel="1" x14ac:dyDescent="0.35">
      <c r="A198" s="16"/>
      <c r="B198" s="35" t="str">
        <f>CONCATENATE("          ", "5542", " - ", "FREIGHT-IN-EVERYDAY GIFTS")</f>
        <v xml:space="preserve">          5542 - FREIGHT-IN-EVERYDAY GIFTS</v>
      </c>
      <c r="C198" s="16"/>
      <c r="D198" s="11">
        <v>1401.93</v>
      </c>
      <c r="E198" s="16"/>
      <c r="F198" s="11">
        <v>2793.76</v>
      </c>
      <c r="G198" s="3"/>
      <c r="H198" s="11">
        <v>2300.5500000000002</v>
      </c>
      <c r="I198" s="3"/>
      <c r="J198" s="11">
        <v>1602.66</v>
      </c>
      <c r="K198" s="3"/>
      <c r="L198" s="11">
        <v>2038.06</v>
      </c>
      <c r="M198" s="3"/>
      <c r="N198" s="11">
        <v>2223.5100000000002</v>
      </c>
      <c r="O198" s="3"/>
      <c r="P198" s="11"/>
      <c r="Q198" s="3"/>
      <c r="R198" s="11"/>
    </row>
    <row r="199" spans="1:18" s="44" customFormat="1" hidden="1" outlineLevel="1" x14ac:dyDescent="0.35">
      <c r="A199" s="16"/>
      <c r="B199" s="35" t="str">
        <f>CONCATENATE("          ", "5543", " - ", "FREIGHT-IN-CARDS")</f>
        <v xml:space="preserve">          5543 - FREIGHT-IN-CARDS</v>
      </c>
      <c r="C199" s="16"/>
      <c r="D199" s="11">
        <v>47.8</v>
      </c>
      <c r="E199" s="16"/>
      <c r="F199" s="11">
        <v>10.06</v>
      </c>
      <c r="G199" s="3"/>
      <c r="H199" s="11">
        <v>7.19</v>
      </c>
      <c r="I199" s="3"/>
      <c r="J199" s="11">
        <v>123.84</v>
      </c>
      <c r="K199" s="3"/>
      <c r="L199" s="11">
        <v>57.18</v>
      </c>
      <c r="M199" s="3"/>
      <c r="N199" s="11">
        <v>2926.76</v>
      </c>
      <c r="O199" s="3"/>
      <c r="P199" s="11"/>
      <c r="Q199" s="3"/>
      <c r="R199" s="11"/>
    </row>
    <row r="200" spans="1:18" s="44" customFormat="1" hidden="1" outlineLevel="1" x14ac:dyDescent="0.35">
      <c r="A200" s="16"/>
      <c r="B200" s="35" t="str">
        <f>CONCATENATE("          ", "5544", " - ", "FREIGHT-IN-ACCESSORIES")</f>
        <v xml:space="preserve">          5544 - FREIGHT-IN-ACCESSORIES</v>
      </c>
      <c r="C200" s="16"/>
      <c r="D200" s="11">
        <v>807.33</v>
      </c>
      <c r="E200" s="16"/>
      <c r="F200" s="11">
        <v>349.62</v>
      </c>
      <c r="G200" s="3"/>
      <c r="H200" s="11">
        <v>845.08</v>
      </c>
      <c r="I200" s="3"/>
      <c r="J200" s="11">
        <v>635.88</v>
      </c>
      <c r="K200" s="3"/>
      <c r="L200" s="11">
        <v>1360.08</v>
      </c>
      <c r="M200" s="3"/>
      <c r="N200" s="11">
        <v>483.44</v>
      </c>
      <c r="O200" s="3"/>
      <c r="P200" s="11"/>
      <c r="Q200" s="3"/>
      <c r="R200" s="11"/>
    </row>
    <row r="201" spans="1:18" s="44" customFormat="1" hidden="1" outlineLevel="1" x14ac:dyDescent="0.35">
      <c r="A201" s="16"/>
      <c r="B201" s="35" t="str">
        <f>CONCATENATE("          ", "5545", " - ", "FREIGHT-IN-SPECIAL ORDERS")</f>
        <v xml:space="preserve">          5545 - FREIGHT-IN-SPECIAL ORDERS</v>
      </c>
      <c r="C201" s="16"/>
      <c r="D201" s="11">
        <v>1532.2</v>
      </c>
      <c r="E201" s="16"/>
      <c r="F201" s="11">
        <v>1427.75</v>
      </c>
      <c r="G201" s="3"/>
      <c r="H201" s="11">
        <v>1892.22</v>
      </c>
      <c r="I201" s="3"/>
      <c r="J201" s="11">
        <v>2225.2600000000002</v>
      </c>
      <c r="K201" s="3"/>
      <c r="L201" s="11">
        <v>2744.68</v>
      </c>
      <c r="M201" s="3"/>
      <c r="N201" s="11">
        <v>1420.62</v>
      </c>
      <c r="O201" s="3"/>
      <c r="P201" s="11"/>
      <c r="Q201" s="3"/>
      <c r="R201" s="11"/>
    </row>
    <row r="202" spans="1:18" s="44" customFormat="1" hidden="1" outlineLevel="1" x14ac:dyDescent="0.35">
      <c r="A202" s="16"/>
      <c r="B202" s="35" t="str">
        <f>CONCATENATE("          ", "5592", " - ", "FREIGHT-IN-GRAD MERCH")</f>
        <v xml:space="preserve">          5592 - FREIGHT-IN-GRAD MERCH</v>
      </c>
      <c r="C202" s="16"/>
      <c r="D202" s="11">
        <v>3015.74</v>
      </c>
      <c r="E202" s="16"/>
      <c r="F202" s="11">
        <v>4177.07</v>
      </c>
      <c r="G202" s="3"/>
      <c r="H202" s="11">
        <v>2290.33</v>
      </c>
      <c r="I202" s="3"/>
      <c r="J202" s="11">
        <v>4118.3100000000004</v>
      </c>
      <c r="K202" s="3"/>
      <c r="L202" s="11">
        <v>2451.4299999999998</v>
      </c>
      <c r="M202" s="3"/>
      <c r="N202" s="11">
        <v>170.88</v>
      </c>
      <c r="O202" s="3"/>
      <c r="P202" s="11"/>
      <c r="Q202" s="3"/>
      <c r="R202" s="11"/>
    </row>
    <row r="203" spans="1:18" x14ac:dyDescent="0.35">
      <c r="A203" s="12"/>
      <c r="B203" s="7"/>
      <c r="C203" s="7"/>
      <c r="D203" s="6"/>
      <c r="F203" s="6"/>
      <c r="H203" s="6"/>
      <c r="J203" s="6"/>
      <c r="L203" s="6"/>
      <c r="N203" s="6"/>
      <c r="P203" s="6"/>
      <c r="R203" s="6"/>
    </row>
    <row r="204" spans="1:18" s="15" customFormat="1" x14ac:dyDescent="0.35">
      <c r="A204" s="7"/>
      <c r="B204" s="22" t="s">
        <v>107</v>
      </c>
      <c r="C204" s="22"/>
      <c r="D204" s="10">
        <f>+D10-D138</f>
        <v>6617345.7500000168</v>
      </c>
      <c r="E204" s="12"/>
      <c r="F204" s="10">
        <f>+F10-F138</f>
        <v>6895547.6799999941</v>
      </c>
      <c r="G204" s="5"/>
      <c r="H204" s="10">
        <f>+H10-H138</f>
        <v>7004652.6399999913</v>
      </c>
      <c r="I204" s="5"/>
      <c r="J204" s="10">
        <f>+J10-J138</f>
        <v>6755224.4900000077</v>
      </c>
      <c r="K204" s="5"/>
      <c r="L204" s="10">
        <f>+L10-L138</f>
        <v>6335377.9999999879</v>
      </c>
      <c r="M204" s="5"/>
      <c r="N204" s="10">
        <f>+N10-N138</f>
        <v>4853874.7500000019</v>
      </c>
      <c r="O204" s="5"/>
      <c r="P204" s="10">
        <f>+P10-P138</f>
        <v>4252516</v>
      </c>
      <c r="Q204" s="5"/>
      <c r="R204" s="10">
        <f>+R10-R138</f>
        <v>3787711</v>
      </c>
    </row>
    <row r="205" spans="1:18" s="27" customFormat="1" x14ac:dyDescent="0.35">
      <c r="A205" s="18"/>
      <c r="B205" s="31"/>
      <c r="C205" s="18"/>
      <c r="D205" s="9">
        <f>IFERROR(D204/D10, 0)</f>
        <v>0.39441069709514676</v>
      </c>
      <c r="E205" s="13"/>
      <c r="F205" s="9">
        <f>IFERROR(F204/F10, 0)</f>
        <v>0.41935290259470315</v>
      </c>
      <c r="G205" s="26"/>
      <c r="H205" s="9">
        <f>IFERROR(H204/H10, 0)</f>
        <v>0.43241074603780921</v>
      </c>
      <c r="I205" s="26"/>
      <c r="J205" s="9">
        <f>IFERROR(J204/J10, 0)</f>
        <v>0.43220795738952772</v>
      </c>
      <c r="K205" s="26"/>
      <c r="L205" s="9">
        <f>IFERROR(L204/L10, 0)</f>
        <v>0.4363650977691948</v>
      </c>
      <c r="M205" s="26"/>
      <c r="N205" s="9">
        <f>IFERROR(N204/N10, 0)</f>
        <v>0.41834421365482349</v>
      </c>
      <c r="O205" s="26"/>
      <c r="P205" s="9">
        <f>IFERROR(P204/P10, 0)</f>
        <v>0.43594623298765312</v>
      </c>
      <c r="Q205" s="26"/>
      <c r="R205" s="9">
        <f>IFERROR(R204/R10, 0)</f>
        <v>0.4032772073712092</v>
      </c>
    </row>
    <row r="206" spans="1:18" s="27" customFormat="1" x14ac:dyDescent="0.35">
      <c r="A206" s="18"/>
      <c r="B206" s="31"/>
      <c r="C206" s="18"/>
      <c r="D206" s="13"/>
      <c r="E206" s="13"/>
      <c r="F206" s="13"/>
      <c r="G206" s="26"/>
      <c r="H206" s="13"/>
      <c r="I206" s="26"/>
      <c r="J206" s="13"/>
      <c r="K206" s="26"/>
      <c r="L206" s="13"/>
      <c r="M206" s="26"/>
      <c r="N206" s="13"/>
      <c r="O206" s="26"/>
      <c r="P206" s="13"/>
      <c r="Q206" s="26"/>
      <c r="R206" s="13"/>
    </row>
    <row r="207" spans="1:18" s="15" customFormat="1" x14ac:dyDescent="0.35">
      <c r="A207" s="7"/>
      <c r="B207" s="34" t="s">
        <v>314</v>
      </c>
      <c r="C207" s="7"/>
      <c r="D207" s="8">
        <f>SUM(OSRRefD21x_0)</f>
        <v>5177399.3699999992</v>
      </c>
      <c r="E207" s="19"/>
      <c r="F207" s="8">
        <f>SUM(OSRRefF21x_0)</f>
        <v>5443051.549999998</v>
      </c>
      <c r="G207" s="4"/>
      <c r="H207" s="8">
        <f>SUM(OSRRefH21x_0)</f>
        <v>5662807.6199999992</v>
      </c>
      <c r="I207" s="4"/>
      <c r="J207" s="8">
        <f>SUM(OSRRefJ21x_0)</f>
        <v>5635976.0099999979</v>
      </c>
      <c r="K207" s="4"/>
      <c r="L207" s="8">
        <f>SUM(OSRRefL21x_0)</f>
        <v>5780020.8699999982</v>
      </c>
      <c r="M207" s="4"/>
      <c r="N207" s="8">
        <f>SUM(OSRRefN21x_0)</f>
        <v>5268922.5599999996</v>
      </c>
      <c r="O207" s="4"/>
      <c r="P207" s="8">
        <f>SUM(OSRRefP21x_0)</f>
        <v>5080637.0974322846</v>
      </c>
      <c r="Q207" s="4"/>
      <c r="R207" s="8">
        <f>SUM(OSRRefR21x_0)</f>
        <v>4387094.1277430579</v>
      </c>
    </row>
    <row r="208" spans="1:18" s="15" customFormat="1" outlineLevel="1" collapsed="1" x14ac:dyDescent="0.35">
      <c r="A208" s="7"/>
      <c r="B208" s="20" t="str">
        <f>CONCATENATE("     ","*Benefits                                         ")</f>
        <v xml:space="preserve">     *Benefits                                         </v>
      </c>
      <c r="C208" s="7"/>
      <c r="D208" s="1">
        <f>SUM(OSRRefD21_0x_0)</f>
        <v>612667.56999999995</v>
      </c>
      <c r="E208" s="19"/>
      <c r="F208" s="1">
        <f>SUM(OSRRefF21_0x_0)</f>
        <v>684344</v>
      </c>
      <c r="G208" s="4"/>
      <c r="H208" s="1">
        <f>SUM(OSRRefH21_0x_0)</f>
        <v>630141.71000000008</v>
      </c>
      <c r="I208" s="4"/>
      <c r="J208" s="1">
        <f>SUM(OSRRefJ21_0x_0)</f>
        <v>697209.02</v>
      </c>
      <c r="K208" s="4"/>
      <c r="L208" s="1">
        <f>SUM(OSRRefL21_0x_0)</f>
        <v>754703.90999999992</v>
      </c>
      <c r="M208" s="4"/>
      <c r="N208" s="1">
        <f>SUM(OSRRefN21_0x_0)</f>
        <v>661169.07000000007</v>
      </c>
      <c r="O208" s="4"/>
      <c r="P208" s="1">
        <f>SUM(OSRRefP21_0x_0)</f>
        <v>633630.84701428493</v>
      </c>
      <c r="Q208" s="4"/>
      <c r="R208" s="1">
        <f>SUM(OSRRefR21_0x_0)</f>
        <v>623315.08964129747</v>
      </c>
    </row>
    <row r="209" spans="1:18" s="16" customFormat="1" hidden="1" outlineLevel="2" x14ac:dyDescent="0.35">
      <c r="B209" s="11" t="str">
        <f>CONCATENATE("          ", "6111", " - ", "F.I.C.A.")</f>
        <v xml:space="preserve">          6111 - F.I.C.A.</v>
      </c>
      <c r="D209" s="2">
        <v>107602.31</v>
      </c>
      <c r="F209" s="2">
        <v>118212.69</v>
      </c>
      <c r="G209" s="3"/>
      <c r="H209" s="2">
        <v>117911.3</v>
      </c>
      <c r="I209" s="3"/>
      <c r="J209" s="2">
        <v>138326.42000000001</v>
      </c>
      <c r="K209" s="3"/>
      <c r="L209" s="2">
        <v>142016.78</v>
      </c>
      <c r="M209" s="3"/>
      <c r="N209" s="2">
        <v>131514.45000000001</v>
      </c>
      <c r="O209" s="3"/>
      <c r="P209" s="2">
        <v>112312.36924896001</v>
      </c>
      <c r="Q209" s="3"/>
      <c r="R209" s="2">
        <v>127026.510228179</v>
      </c>
    </row>
    <row r="210" spans="1:18" s="16" customFormat="1" hidden="1" outlineLevel="2" x14ac:dyDescent="0.35">
      <c r="B210" s="11" t="str">
        <f>CONCATENATE("          ", "6112", " - ", "COMPENSATION INSURANCE")</f>
        <v xml:space="preserve">          6112 - COMPENSATION INSURANCE</v>
      </c>
      <c r="D210" s="2">
        <v>29166.04</v>
      </c>
      <c r="F210" s="2">
        <v>52457.68</v>
      </c>
      <c r="G210" s="3"/>
      <c r="H210" s="2">
        <v>33788.53</v>
      </c>
      <c r="I210" s="3"/>
      <c r="J210" s="2">
        <v>20637.04</v>
      </c>
      <c r="K210" s="3"/>
      <c r="L210" s="2">
        <v>27267.72</v>
      </c>
      <c r="M210" s="3"/>
      <c r="N210" s="2">
        <v>37538.58</v>
      </c>
      <c r="O210" s="3"/>
      <c r="P210" s="2">
        <v>43687.979598874997</v>
      </c>
      <c r="Q210" s="3"/>
      <c r="R210" s="2">
        <v>40290.096126739998</v>
      </c>
    </row>
    <row r="211" spans="1:18" s="16" customFormat="1" hidden="1" outlineLevel="2" x14ac:dyDescent="0.35">
      <c r="B211" s="11" t="str">
        <f>CONCATENATE("          ", "6113", " - ", "GROUP INSURANCE")</f>
        <v xml:space="preserve">          6113 - GROUP INSURANCE</v>
      </c>
      <c r="D211" s="2">
        <v>216475.79</v>
      </c>
      <c r="F211" s="2">
        <v>241707.11</v>
      </c>
      <c r="G211" s="3"/>
      <c r="H211" s="2">
        <v>241898.1</v>
      </c>
      <c r="I211" s="3"/>
      <c r="J211" s="2">
        <v>283115.53999999998</v>
      </c>
      <c r="K211" s="3"/>
      <c r="L211" s="2">
        <v>310099.53999999998</v>
      </c>
      <c r="M211" s="3"/>
      <c r="N211" s="2">
        <v>268001.19</v>
      </c>
      <c r="O211" s="3"/>
      <c r="P211" s="2">
        <v>258090</v>
      </c>
      <c r="Q211" s="3"/>
      <c r="R211" s="2">
        <v>221530.5</v>
      </c>
    </row>
    <row r="212" spans="1:18" s="16" customFormat="1" hidden="1" outlineLevel="2" x14ac:dyDescent="0.35">
      <c r="B212" s="11" t="str">
        <f>CONCATENATE("          ", "6114", " - ", "STATE UNEMPLOYMENT INSURANCE")</f>
        <v xml:space="preserve">          6114 - STATE UNEMPLOYMENT INSURANCE</v>
      </c>
      <c r="D212" s="2">
        <v>12021.13</v>
      </c>
      <c r="F212" s="2">
        <v>15401.25</v>
      </c>
      <c r="G212" s="3"/>
      <c r="H212" s="2">
        <v>7626.98</v>
      </c>
      <c r="I212" s="3"/>
      <c r="J212" s="2">
        <v>8260.6299999999992</v>
      </c>
      <c r="K212" s="3"/>
      <c r="L212" s="2">
        <v>7668.84</v>
      </c>
      <c r="M212" s="3"/>
      <c r="N212" s="2">
        <v>0</v>
      </c>
      <c r="O212" s="3"/>
      <c r="P212" s="2">
        <v>6185.1864119499996</v>
      </c>
      <c r="Q212" s="3"/>
      <c r="R212" s="2">
        <v>4861.2309964938404</v>
      </c>
    </row>
    <row r="213" spans="1:18" s="16" customFormat="1" hidden="1" outlineLevel="2" x14ac:dyDescent="0.35">
      <c r="B213" s="11" t="str">
        <f>CONCATENATE("          ", "6115", " - ", "P.E.R.S.")</f>
        <v xml:space="preserve">          6115 - P.E.R.S.</v>
      </c>
      <c r="D213" s="2">
        <v>98602.85</v>
      </c>
      <c r="F213" s="2">
        <v>78571.520000000004</v>
      </c>
      <c r="G213" s="3"/>
      <c r="H213" s="2">
        <v>79686.990000000005</v>
      </c>
      <c r="I213" s="3"/>
      <c r="J213" s="2">
        <v>84876.7</v>
      </c>
      <c r="K213" s="3"/>
      <c r="L213" s="2">
        <v>88622.71</v>
      </c>
      <c r="M213" s="3"/>
      <c r="N213" s="2">
        <v>97099.62</v>
      </c>
      <c r="O213" s="3"/>
      <c r="P213" s="2">
        <v>72371.128242000006</v>
      </c>
      <c r="Q213" s="3"/>
      <c r="R213" s="2">
        <v>61793.442622938397</v>
      </c>
    </row>
    <row r="214" spans="1:18" s="16" customFormat="1" hidden="1" outlineLevel="2" x14ac:dyDescent="0.35">
      <c r="B214" s="11" t="str">
        <f>CONCATENATE("          ", "6116", " - ", "EDUCATIONAL BENEFITS")</f>
        <v xml:space="preserve">          6116 - EDUCATIONAL BENEFITS</v>
      </c>
      <c r="D214" s="2"/>
      <c r="F214" s="2"/>
      <c r="G214" s="3"/>
      <c r="H214" s="2"/>
      <c r="I214" s="3"/>
      <c r="J214" s="2"/>
      <c r="K214" s="3"/>
      <c r="L214" s="2"/>
      <c r="M214" s="3"/>
      <c r="N214" s="2"/>
      <c r="O214" s="3"/>
      <c r="P214" s="2">
        <v>0</v>
      </c>
      <c r="Q214" s="3"/>
      <c r="R214" s="2">
        <v>0</v>
      </c>
    </row>
    <row r="215" spans="1:18" s="16" customFormat="1" hidden="1" outlineLevel="2" x14ac:dyDescent="0.35">
      <c r="B215" s="11" t="str">
        <f>CONCATENATE("          ", "6117", " - ", "RETIREMENT STAFF HOURLY")</f>
        <v xml:space="preserve">          6117 - RETIREMENT STAFF HOURLY</v>
      </c>
      <c r="D215" s="2">
        <v>5336.81</v>
      </c>
      <c r="F215" s="2">
        <v>2920.37</v>
      </c>
      <c r="G215" s="3"/>
      <c r="H215" s="2">
        <v>2954.32</v>
      </c>
      <c r="I215" s="3"/>
      <c r="J215" s="2">
        <v>3580.43</v>
      </c>
      <c r="K215" s="3"/>
      <c r="L215" s="2">
        <v>3458.37</v>
      </c>
      <c r="M215" s="3"/>
      <c r="N215" s="2">
        <v>2056.84</v>
      </c>
      <c r="O215" s="3"/>
      <c r="P215" s="2"/>
      <c r="Q215" s="3"/>
      <c r="R215" s="2"/>
    </row>
    <row r="216" spans="1:18" s="16" customFormat="1" hidden="1" outlineLevel="2" x14ac:dyDescent="0.35">
      <c r="B216" s="11" t="str">
        <f>CONCATENATE("          ", "6118", " - ", "VACATION")</f>
        <v xml:space="preserve">          6118 - VACATION</v>
      </c>
      <c r="D216" s="2">
        <v>65101.11</v>
      </c>
      <c r="F216" s="2">
        <v>79481.119999999995</v>
      </c>
      <c r="G216" s="3"/>
      <c r="H216" s="2">
        <v>65991.92</v>
      </c>
      <c r="I216" s="3"/>
      <c r="J216" s="2">
        <v>73442.12</v>
      </c>
      <c r="K216" s="3"/>
      <c r="L216" s="2">
        <v>85896.22</v>
      </c>
      <c r="M216" s="3"/>
      <c r="N216" s="2">
        <v>81728.850000000006</v>
      </c>
      <c r="O216" s="3"/>
      <c r="P216" s="2">
        <v>56492.67931</v>
      </c>
      <c r="Q216" s="3"/>
      <c r="R216" s="2">
        <v>54432.469813930802</v>
      </c>
    </row>
    <row r="217" spans="1:18" s="16" customFormat="1" hidden="1" outlineLevel="2" x14ac:dyDescent="0.35">
      <c r="B217" s="11" t="str">
        <f>CONCATENATE("          ", "6119", " - ", "SICK LEAVE")</f>
        <v xml:space="preserve">          6119 - SICK LEAVE</v>
      </c>
      <c r="D217" s="2">
        <v>45797.33</v>
      </c>
      <c r="F217" s="2">
        <v>62332.33</v>
      </c>
      <c r="G217" s="3"/>
      <c r="H217" s="2">
        <v>48168.94</v>
      </c>
      <c r="I217" s="3"/>
      <c r="J217" s="2">
        <v>53290.97</v>
      </c>
      <c r="K217" s="3"/>
      <c r="L217" s="2">
        <v>58976.12</v>
      </c>
      <c r="M217" s="3"/>
      <c r="N217" s="2">
        <v>18414.009999999998</v>
      </c>
      <c r="O217" s="3"/>
      <c r="P217" s="2">
        <v>62891.5042025</v>
      </c>
      <c r="Q217" s="3"/>
      <c r="R217" s="2">
        <v>85205.839853015394</v>
      </c>
    </row>
    <row r="218" spans="1:18" s="16" customFormat="1" hidden="1" outlineLevel="2" x14ac:dyDescent="0.35">
      <c r="B218" s="11" t="str">
        <f>CONCATENATE("          ", "6156", " - ", "EMPLOYEE MEALS")</f>
        <v xml:space="preserve">          6156 - EMPLOYEE MEALS</v>
      </c>
      <c r="D218" s="2">
        <v>32564.2</v>
      </c>
      <c r="F218" s="2">
        <v>33259.93</v>
      </c>
      <c r="G218" s="3"/>
      <c r="H218" s="2">
        <v>32114.63</v>
      </c>
      <c r="I218" s="3"/>
      <c r="J218" s="2">
        <v>31679.17</v>
      </c>
      <c r="K218" s="3"/>
      <c r="L218" s="2">
        <v>30697.61</v>
      </c>
      <c r="M218" s="3"/>
      <c r="N218" s="2">
        <v>24815.53</v>
      </c>
      <c r="O218" s="3"/>
      <c r="P218" s="2">
        <v>21600</v>
      </c>
      <c r="Q218" s="3"/>
      <c r="R218" s="2">
        <v>28175</v>
      </c>
    </row>
    <row r="219" spans="1:18" s="15" customFormat="1" outlineLevel="1" collapsed="1" x14ac:dyDescent="0.35">
      <c r="A219" s="7"/>
      <c r="B219" s="20" t="str">
        <f>CONCATENATE("     ","*Payroll                                          ")</f>
        <v xml:space="preserve">     *Payroll                                          </v>
      </c>
      <c r="C219" s="7"/>
      <c r="D219" s="1">
        <f>SUM(OSRRefD21_1x_0)</f>
        <v>2239067.27</v>
      </c>
      <c r="E219" s="19"/>
      <c r="F219" s="1">
        <f>SUM(OSRRefF21_1x_0)</f>
        <v>2382817.8899999997</v>
      </c>
      <c r="G219" s="4"/>
      <c r="H219" s="1">
        <f>SUM(OSRRefH21_1x_0)</f>
        <v>2515844.2599999998</v>
      </c>
      <c r="I219" s="4"/>
      <c r="J219" s="1">
        <f>SUM(OSRRefJ21_1x_0)</f>
        <v>2622023.0199999996</v>
      </c>
      <c r="K219" s="4"/>
      <c r="L219" s="1">
        <f>SUM(OSRRefL21_1x_0)</f>
        <v>2684966.4</v>
      </c>
      <c r="M219" s="4"/>
      <c r="N219" s="1">
        <f>SUM(OSRRefN21_1x_0)</f>
        <v>2410795.2400000002</v>
      </c>
      <c r="O219" s="4"/>
      <c r="P219" s="1">
        <f>SUM(OSRRefP21_1x_0)</f>
        <v>2218566.2504179999</v>
      </c>
      <c r="Q219" s="4"/>
      <c r="R219" s="1">
        <f>SUM(OSRRefR21_1x_0)</f>
        <v>2215199.7881017607</v>
      </c>
    </row>
    <row r="220" spans="1:18" s="16" customFormat="1" hidden="1" outlineLevel="2" x14ac:dyDescent="0.35">
      <c r="B220" s="11" t="str">
        <f>CONCATENATE("          ", "6001", " - ", "ADMINISTRATIVE SALARIES")</f>
        <v xml:space="preserve">          6001 - ADMINISTRATIVE SALARIES</v>
      </c>
      <c r="D220" s="2">
        <v>7692.32</v>
      </c>
      <c r="F220" s="2">
        <v>123006.26</v>
      </c>
      <c r="G220" s="3"/>
      <c r="H220" s="2">
        <v>116582.59</v>
      </c>
      <c r="I220" s="3"/>
      <c r="J220" s="2">
        <v>122233.39</v>
      </c>
      <c r="K220" s="3"/>
      <c r="L220" s="2">
        <v>125900.5</v>
      </c>
      <c r="M220" s="3"/>
      <c r="N220" s="2">
        <v>93238.31</v>
      </c>
      <c r="O220" s="3"/>
      <c r="P220" s="2">
        <v>169616.1</v>
      </c>
      <c r="Q220" s="3"/>
      <c r="R220" s="2">
        <v>53817.5</v>
      </c>
    </row>
    <row r="221" spans="1:18" s="16" customFormat="1" hidden="1" outlineLevel="2" x14ac:dyDescent="0.35">
      <c r="B221" s="11" t="str">
        <f>CONCATENATE("          ", "6002", " - ", "STAFF SALARIES")</f>
        <v xml:space="preserve">          6002 - STAFF SALARIES</v>
      </c>
      <c r="D221" s="2">
        <v>758957.41</v>
      </c>
      <c r="F221" s="2">
        <v>797440.15</v>
      </c>
      <c r="G221" s="3"/>
      <c r="H221" s="2">
        <v>762141.84</v>
      </c>
      <c r="I221" s="3"/>
      <c r="J221" s="2">
        <v>825126.88</v>
      </c>
      <c r="K221" s="3"/>
      <c r="L221" s="2">
        <v>861296.23</v>
      </c>
      <c r="M221" s="3"/>
      <c r="N221" s="2">
        <v>829005.01</v>
      </c>
      <c r="O221" s="3"/>
      <c r="P221" s="2">
        <v>589511.60742799996</v>
      </c>
      <c r="Q221" s="3"/>
      <c r="R221" s="2">
        <v>592977.64664276096</v>
      </c>
    </row>
    <row r="222" spans="1:18" s="16" customFormat="1" hidden="1" outlineLevel="2" x14ac:dyDescent="0.35">
      <c r="B222" s="11" t="str">
        <f>CONCATENATE("          ", "6003", " - ", "STAFF HOURLY-9 MONTH")</f>
        <v xml:space="preserve">          6003 - STAFF HOURLY-9 MONTH</v>
      </c>
      <c r="D222" s="2"/>
      <c r="F222" s="2"/>
      <c r="G222" s="3"/>
      <c r="H222" s="2"/>
      <c r="I222" s="3"/>
      <c r="J222" s="2"/>
      <c r="K222" s="3"/>
      <c r="L222" s="2"/>
      <c r="M222" s="3"/>
      <c r="N222" s="2"/>
      <c r="O222" s="3"/>
      <c r="P222" s="2">
        <v>0</v>
      </c>
      <c r="Q222" s="3"/>
      <c r="R222" s="2">
        <v>0</v>
      </c>
    </row>
    <row r="223" spans="1:18" s="16" customFormat="1" hidden="1" outlineLevel="2" x14ac:dyDescent="0.35">
      <c r="B223" s="11" t="str">
        <f>CONCATENATE("          ", "6004", " - ", "STAFF HOURLY")</f>
        <v xml:space="preserve">          6004 - STAFF HOURLY</v>
      </c>
      <c r="D223" s="2">
        <v>159371.15</v>
      </c>
      <c r="F223" s="2">
        <v>86719.1</v>
      </c>
      <c r="G223" s="3"/>
      <c r="H223" s="2">
        <v>92923.8</v>
      </c>
      <c r="I223" s="3"/>
      <c r="J223" s="2">
        <v>76043.710000000006</v>
      </c>
      <c r="K223" s="3"/>
      <c r="L223" s="2">
        <v>72178.3</v>
      </c>
      <c r="M223" s="3"/>
      <c r="N223" s="2">
        <v>77737.62</v>
      </c>
      <c r="O223" s="3"/>
      <c r="P223" s="2">
        <v>376009.58604000002</v>
      </c>
      <c r="Q223" s="3"/>
      <c r="R223" s="2">
        <v>489750.32193400001</v>
      </c>
    </row>
    <row r="224" spans="1:18" s="16" customFormat="1" hidden="1" outlineLevel="2" x14ac:dyDescent="0.35">
      <c r="B224" s="11" t="str">
        <f>CONCATENATE("          ", "6005", " - ", "TEMPORARY WAGES-HOURLY")</f>
        <v xml:space="preserve">          6005 - TEMPORARY WAGES-HOURLY</v>
      </c>
      <c r="D224" s="2">
        <v>107167.33</v>
      </c>
      <c r="F224" s="2">
        <v>156515.12</v>
      </c>
      <c r="G224" s="3"/>
      <c r="H224" s="2">
        <v>201294.24</v>
      </c>
      <c r="I224" s="3"/>
      <c r="J224" s="2">
        <v>235223.18</v>
      </c>
      <c r="K224" s="3"/>
      <c r="L224" s="2">
        <v>307400.87</v>
      </c>
      <c r="M224" s="3"/>
      <c r="N224" s="2">
        <v>268982.92</v>
      </c>
      <c r="O224" s="3"/>
      <c r="P224" s="2">
        <v>107108.182</v>
      </c>
      <c r="Q224" s="3"/>
      <c r="R224" s="2">
        <v>36028.160000000003</v>
      </c>
    </row>
    <row r="225" spans="1:18" s="16" customFormat="1" hidden="1" outlineLevel="2" x14ac:dyDescent="0.35">
      <c r="B225" s="11" t="str">
        <f>CONCATENATE("          ", "6006", " - ", "TEMPORARY PART TIME")</f>
        <v xml:space="preserve">          6006 - TEMPORARY PART TIME</v>
      </c>
      <c r="D225" s="2">
        <v>73170.240000000005</v>
      </c>
      <c r="F225" s="2">
        <v>95412.52</v>
      </c>
      <c r="G225" s="3"/>
      <c r="H225" s="2">
        <v>108953.46</v>
      </c>
      <c r="I225" s="3"/>
      <c r="J225" s="2">
        <v>141159.66</v>
      </c>
      <c r="K225" s="3"/>
      <c r="L225" s="2">
        <v>101079.41</v>
      </c>
      <c r="M225" s="3"/>
      <c r="N225" s="2">
        <v>59117.58</v>
      </c>
      <c r="O225" s="3"/>
      <c r="P225" s="2">
        <v>0</v>
      </c>
      <c r="Q225" s="3"/>
      <c r="R225" s="2">
        <v>0</v>
      </c>
    </row>
    <row r="226" spans="1:18" s="16" customFormat="1" hidden="1" outlineLevel="2" x14ac:dyDescent="0.35">
      <c r="B226" s="11" t="str">
        <f>CONCATENATE("          ", "6007", " - ", "STUDENT HOURLY")</f>
        <v xml:space="preserve">          6007 - STUDENT HOURLY</v>
      </c>
      <c r="D226" s="2">
        <v>1113646.05</v>
      </c>
      <c r="F226" s="2">
        <v>1109845.98</v>
      </c>
      <c r="G226" s="3"/>
      <c r="H226" s="2">
        <v>1203390.6599999999</v>
      </c>
      <c r="I226" s="3"/>
      <c r="J226" s="2">
        <v>1177146.32</v>
      </c>
      <c r="K226" s="3"/>
      <c r="L226" s="2">
        <v>1160268.03</v>
      </c>
      <c r="M226" s="3"/>
      <c r="N226" s="2">
        <v>1056396.99</v>
      </c>
      <c r="O226" s="3"/>
      <c r="P226" s="2">
        <v>205035.53719999999</v>
      </c>
      <c r="Q226" s="3"/>
      <c r="R226" s="2">
        <v>423139.97334999999</v>
      </c>
    </row>
    <row r="227" spans="1:18" s="16" customFormat="1" hidden="1" outlineLevel="2" x14ac:dyDescent="0.35">
      <c r="B227" s="11" t="str">
        <f>CONCATENATE("          ", "6008", " - ", "STUDENT HOURLY-FICA EXEMPT")</f>
        <v xml:space="preserve">          6008 - STUDENT HOURLY-FICA EXEMPT</v>
      </c>
      <c r="D227" s="2">
        <v>15335.14</v>
      </c>
      <c r="F227" s="2">
        <v>11916.76</v>
      </c>
      <c r="G227" s="3"/>
      <c r="H227" s="2">
        <v>30557.67</v>
      </c>
      <c r="I227" s="3"/>
      <c r="J227" s="2">
        <v>45089.88</v>
      </c>
      <c r="K227" s="3"/>
      <c r="L227" s="2">
        <v>56843.06</v>
      </c>
      <c r="M227" s="3"/>
      <c r="N227" s="2">
        <v>26316.81</v>
      </c>
      <c r="O227" s="3"/>
      <c r="P227" s="2">
        <v>771285.23774999997</v>
      </c>
      <c r="Q227" s="3"/>
      <c r="R227" s="2">
        <v>619486.18617500004</v>
      </c>
    </row>
    <row r="228" spans="1:18" s="16" customFormat="1" hidden="1" outlineLevel="2" x14ac:dyDescent="0.35">
      <c r="B228" s="11" t="str">
        <f>CONCATENATE("          ", "6009", " - ", "TEMPORARY-SEASONAL")</f>
        <v xml:space="preserve">          6009 - TEMPORARY-SEASONAL</v>
      </c>
      <c r="D228" s="2">
        <v>3727.63</v>
      </c>
      <c r="F228" s="2">
        <v>1962</v>
      </c>
      <c r="G228" s="3"/>
      <c r="H228" s="2"/>
      <c r="I228" s="3"/>
      <c r="J228" s="2"/>
      <c r="K228" s="3"/>
      <c r="L228" s="2"/>
      <c r="M228" s="3"/>
      <c r="N228" s="2"/>
      <c r="O228" s="3"/>
      <c r="P228" s="2">
        <v>0</v>
      </c>
      <c r="Q228" s="3"/>
      <c r="R228" s="2">
        <v>0</v>
      </c>
    </row>
    <row r="229" spans="1:18" s="16" customFormat="1" hidden="1" outlineLevel="2" x14ac:dyDescent="0.35">
      <c r="B229" s="11" t="str">
        <f>CONCATENATE("          ", "6010", " - ", "GRATUITY")</f>
        <v xml:space="preserve">          6010 - GRATUITY</v>
      </c>
      <c r="D229" s="2"/>
      <c r="F229" s="2"/>
      <c r="G229" s="3"/>
      <c r="H229" s="2"/>
      <c r="I229" s="3"/>
      <c r="J229" s="2"/>
      <c r="K229" s="3"/>
      <c r="L229" s="2"/>
      <c r="M229" s="3"/>
      <c r="N229" s="2"/>
      <c r="O229" s="3"/>
      <c r="P229" s="2">
        <v>0</v>
      </c>
      <c r="Q229" s="3"/>
      <c r="R229" s="2">
        <v>0</v>
      </c>
    </row>
    <row r="230" spans="1:18" s="15" customFormat="1" outlineLevel="1" collapsed="1" x14ac:dyDescent="0.35">
      <c r="A230" s="7"/>
      <c r="B230" s="20" t="str">
        <f>CONCATENATE("     ","Advertising/Promo                                 ")</f>
        <v xml:space="preserve">     Advertising/Promo                                 </v>
      </c>
      <c r="C230" s="7"/>
      <c r="D230" s="1">
        <f>SUM(OSRRefD21_2x_0)</f>
        <v>117238.86</v>
      </c>
      <c r="E230" s="19"/>
      <c r="F230" s="1">
        <f>SUM(OSRRefF21_2x_0)</f>
        <v>72468.05</v>
      </c>
      <c r="G230" s="4"/>
      <c r="H230" s="1">
        <f>SUM(OSRRefH21_2x_0)</f>
        <v>82369.509999999995</v>
      </c>
      <c r="I230" s="4"/>
      <c r="J230" s="1">
        <f>SUM(OSRRefJ21_2x_0)</f>
        <v>119062.94</v>
      </c>
      <c r="K230" s="4"/>
      <c r="L230" s="1">
        <f>SUM(OSRRefL21_2x_0)</f>
        <v>79775.7</v>
      </c>
      <c r="M230" s="4"/>
      <c r="N230" s="1">
        <f>SUM(OSRRefN21_2x_0)</f>
        <v>46663.49</v>
      </c>
      <c r="O230" s="4"/>
      <c r="P230" s="1">
        <f>SUM(OSRRefP21_2x_0)</f>
        <v>18909</v>
      </c>
      <c r="Q230" s="4"/>
      <c r="R230" s="1">
        <f>SUM(OSRRefR21_2x_0)</f>
        <v>7100</v>
      </c>
    </row>
    <row r="231" spans="1:18" s="16" customFormat="1" hidden="1" outlineLevel="2" x14ac:dyDescent="0.35">
      <c r="B231" s="11" t="str">
        <f>CONCATENATE("          ", "6362", " - ", "ADVERTISING EXPENSE")</f>
        <v xml:space="preserve">          6362 - ADVERTISING EXPENSE</v>
      </c>
      <c r="D231" s="2">
        <v>117238.86</v>
      </c>
      <c r="F231" s="2">
        <v>72468.05</v>
      </c>
      <c r="G231" s="3"/>
      <c r="H231" s="2">
        <v>82369.509999999995</v>
      </c>
      <c r="I231" s="3"/>
      <c r="J231" s="2">
        <v>119062.94</v>
      </c>
      <c r="K231" s="3"/>
      <c r="L231" s="2">
        <v>79775.7</v>
      </c>
      <c r="M231" s="3"/>
      <c r="N231" s="2">
        <v>46663.49</v>
      </c>
      <c r="O231" s="3"/>
      <c r="P231" s="2">
        <v>18909</v>
      </c>
      <c r="Q231" s="3"/>
      <c r="R231" s="2">
        <v>7100</v>
      </c>
    </row>
    <row r="232" spans="1:18" s="15" customFormat="1" outlineLevel="1" collapsed="1" x14ac:dyDescent="0.35">
      <c r="A232" s="7"/>
      <c r="B232" s="20" t="str">
        <f>CONCATENATE("     ","Bad Debts/Over/Short                              ")</f>
        <v xml:space="preserve">     Bad Debts/Over/Short                              </v>
      </c>
      <c r="C232" s="7"/>
      <c r="D232" s="1">
        <f>SUM(OSRRefD21_3x_0)</f>
        <v>-36173.350000000006</v>
      </c>
      <c r="E232" s="19"/>
      <c r="F232" s="1">
        <f>SUM(OSRRefF21_3x_0)</f>
        <v>40473.320000000007</v>
      </c>
      <c r="G232" s="4"/>
      <c r="H232" s="1">
        <f>SUM(OSRRefH21_3x_0)</f>
        <v>37592.039999999994</v>
      </c>
      <c r="I232" s="4"/>
      <c r="J232" s="1">
        <f>SUM(OSRRefJ21_3x_0)</f>
        <v>-382.69</v>
      </c>
      <c r="K232" s="4"/>
      <c r="L232" s="1">
        <f>SUM(OSRRefL21_3x_0)</f>
        <v>4320.38</v>
      </c>
      <c r="M232" s="4"/>
      <c r="N232" s="1">
        <f>SUM(OSRRefN21_3x_0)</f>
        <v>-462.32</v>
      </c>
      <c r="O232" s="4"/>
      <c r="P232" s="1">
        <f>SUM(OSRRefP21_3x_0)</f>
        <v>1409</v>
      </c>
      <c r="Q232" s="4"/>
      <c r="R232" s="1">
        <f>SUM(OSRRefR21_3x_0)</f>
        <v>2820</v>
      </c>
    </row>
    <row r="233" spans="1:18" s="16" customFormat="1" hidden="1" outlineLevel="2" x14ac:dyDescent="0.35">
      <c r="B233" s="11" t="str">
        <f>CONCATENATE("          ", "6272", " - ", "CASH (OVER/SHORT)")</f>
        <v xml:space="preserve">          6272 - CASH (OVER/SHORT)</v>
      </c>
      <c r="D233" s="2">
        <v>3750.2</v>
      </c>
      <c r="F233" s="2">
        <v>1288.08</v>
      </c>
      <c r="G233" s="3"/>
      <c r="H233" s="2">
        <v>-107.41</v>
      </c>
      <c r="I233" s="3"/>
      <c r="J233" s="2">
        <v>-799.89</v>
      </c>
      <c r="K233" s="3"/>
      <c r="L233" s="2">
        <v>4320.38</v>
      </c>
      <c r="M233" s="3"/>
      <c r="N233" s="2">
        <v>-507.12</v>
      </c>
      <c r="O233" s="3"/>
      <c r="P233" s="2">
        <v>809</v>
      </c>
      <c r="Q233" s="3"/>
      <c r="R233" s="2">
        <v>2820</v>
      </c>
    </row>
    <row r="234" spans="1:18" s="16" customFormat="1" hidden="1" outlineLevel="2" x14ac:dyDescent="0.35">
      <c r="B234" s="11" t="str">
        <f>CONCATENATE("          ", "6342", " - ", "BAD DEBT")</f>
        <v xml:space="preserve">          6342 - BAD DEBT</v>
      </c>
      <c r="D234" s="2">
        <v>-39923.550000000003</v>
      </c>
      <c r="F234" s="2">
        <v>33276.9</v>
      </c>
      <c r="G234" s="3"/>
      <c r="H234" s="2">
        <v>37699.449999999997</v>
      </c>
      <c r="I234" s="3"/>
      <c r="J234" s="2">
        <v>417.2</v>
      </c>
      <c r="K234" s="3"/>
      <c r="L234" s="2"/>
      <c r="M234" s="3"/>
      <c r="N234" s="2">
        <v>44.8</v>
      </c>
      <c r="O234" s="3"/>
      <c r="P234" s="2">
        <v>600</v>
      </c>
      <c r="Q234" s="3"/>
      <c r="R234" s="2"/>
    </row>
    <row r="235" spans="1:18" s="16" customFormat="1" hidden="1" outlineLevel="2" x14ac:dyDescent="0.35">
      <c r="B235" s="11" t="str">
        <f>CONCATENATE("          ", "6344", " - ", "BAD DEBT-NSF")</f>
        <v xml:space="preserve">          6344 - BAD DEBT-NSF</v>
      </c>
      <c r="D235" s="2"/>
      <c r="F235" s="2">
        <v>5908.34</v>
      </c>
      <c r="G235" s="3"/>
      <c r="H235" s="2"/>
      <c r="I235" s="3"/>
      <c r="J235" s="2"/>
      <c r="K235" s="3"/>
      <c r="L235" s="2"/>
      <c r="M235" s="3"/>
      <c r="N235" s="2"/>
      <c r="O235" s="3"/>
      <c r="P235" s="2"/>
      <c r="Q235" s="3"/>
      <c r="R235" s="2"/>
    </row>
    <row r="236" spans="1:18" s="15" customFormat="1" outlineLevel="1" collapsed="1" x14ac:dyDescent="0.35">
      <c r="A236" s="7"/>
      <c r="B236" s="20" t="str">
        <f>CONCATENATE("     ","Bank/card Fees                                    ")</f>
        <v xml:space="preserve">     Bank/card Fees                                    </v>
      </c>
      <c r="C236" s="7"/>
      <c r="D236" s="1">
        <f>SUM(OSRRefD21_4x_0)</f>
        <v>266005.15000000002</v>
      </c>
      <c r="E236" s="19"/>
      <c r="F236" s="1">
        <f>SUM(OSRRefF21_4x_0)</f>
        <v>294104.61</v>
      </c>
      <c r="G236" s="4"/>
      <c r="H236" s="1">
        <f>SUM(OSRRefH21_4x_0)</f>
        <v>291577.59000000003</v>
      </c>
      <c r="I236" s="4"/>
      <c r="J236" s="1">
        <f>SUM(OSRRefJ21_4x_0)</f>
        <v>287282.44</v>
      </c>
      <c r="K236" s="4"/>
      <c r="L236" s="1">
        <f>SUM(OSRRefL21_4x_0)</f>
        <v>275005.82</v>
      </c>
      <c r="M236" s="4"/>
      <c r="N236" s="1">
        <f>SUM(OSRRefN21_4x_0)</f>
        <v>238229.26</v>
      </c>
      <c r="O236" s="4"/>
      <c r="P236" s="1">
        <f>SUM(OSRRefP21_4x_0)</f>
        <v>246647</v>
      </c>
      <c r="Q236" s="4"/>
      <c r="R236" s="1">
        <f>SUM(OSRRefR21_4x_0)</f>
        <v>208591.25</v>
      </c>
    </row>
    <row r="237" spans="1:18" s="16" customFormat="1" hidden="1" outlineLevel="2" x14ac:dyDescent="0.35">
      <c r="B237" s="11" t="str">
        <f>CONCATENATE("          ", "6381", " - ", "BANK/CREDIT CARD FEES")</f>
        <v xml:space="preserve">          6381 - BANK/CREDIT CARD FEES</v>
      </c>
      <c r="D237" s="2">
        <v>266005.15000000002</v>
      </c>
      <c r="F237" s="2">
        <v>294104.61</v>
      </c>
      <c r="G237" s="3"/>
      <c r="H237" s="2">
        <v>291577.59000000003</v>
      </c>
      <c r="I237" s="3"/>
      <c r="J237" s="2">
        <v>287282.44</v>
      </c>
      <c r="K237" s="3"/>
      <c r="L237" s="2">
        <v>275005.82</v>
      </c>
      <c r="M237" s="3"/>
      <c r="N237" s="2">
        <v>238229.26</v>
      </c>
      <c r="O237" s="3"/>
      <c r="P237" s="2">
        <v>246647</v>
      </c>
      <c r="Q237" s="3"/>
      <c r="R237" s="2">
        <v>208591.25</v>
      </c>
    </row>
    <row r="238" spans="1:18" s="15" customFormat="1" outlineLevel="1" collapsed="1" x14ac:dyDescent="0.35">
      <c r="A238" s="7"/>
      <c r="B238" s="20" t="str">
        <f>CONCATENATE("     ","Depreciation                                      ")</f>
        <v xml:space="preserve">     Depreciation                                      </v>
      </c>
      <c r="C238" s="7"/>
      <c r="D238" s="1">
        <f>SUM(OSRRefD21_5x_0)</f>
        <v>332827.02</v>
      </c>
      <c r="E238" s="19"/>
      <c r="F238" s="1">
        <f>SUM(OSRRefF21_5x_0)</f>
        <v>326164.22000000003</v>
      </c>
      <c r="G238" s="4"/>
      <c r="H238" s="1">
        <f>SUM(OSRRefH21_5x_0)</f>
        <v>344239.12</v>
      </c>
      <c r="I238" s="4"/>
      <c r="J238" s="1">
        <f>SUM(OSRRefJ21_5x_0)</f>
        <v>455820.13999999996</v>
      </c>
      <c r="K238" s="4"/>
      <c r="L238" s="1">
        <f>SUM(OSRRefL21_5x_0)</f>
        <v>454471.83999999997</v>
      </c>
      <c r="M238" s="4"/>
      <c r="N238" s="1">
        <f>SUM(OSRRefN21_5x_0)</f>
        <v>463091.29000000004</v>
      </c>
      <c r="O238" s="4"/>
      <c r="P238" s="1">
        <f>SUM(OSRRefP21_5x_0)</f>
        <v>467323</v>
      </c>
      <c r="Q238" s="4"/>
      <c r="R238" s="1">
        <f>SUM(OSRRefR21_5x_0)</f>
        <v>393285</v>
      </c>
    </row>
    <row r="239" spans="1:18" s="16" customFormat="1" hidden="1" outlineLevel="2" x14ac:dyDescent="0.35">
      <c r="B239" s="11" t="str">
        <f>CONCATENATE("          ", "6321", " - ", "BUILDING DEPRECIATION")</f>
        <v xml:space="preserve">          6321 - BUILDING DEPRECIATION</v>
      </c>
      <c r="D239" s="2">
        <v>266538.11</v>
      </c>
      <c r="F239" s="2">
        <v>261773.71</v>
      </c>
      <c r="G239" s="3"/>
      <c r="H239" s="2">
        <v>260448.96</v>
      </c>
      <c r="I239" s="3"/>
      <c r="J239" s="2">
        <v>258406.34</v>
      </c>
      <c r="K239" s="3"/>
      <c r="L239" s="2">
        <v>258406.39999999999</v>
      </c>
      <c r="M239" s="3"/>
      <c r="N239" s="2">
        <v>257724.06</v>
      </c>
      <c r="O239" s="3"/>
      <c r="P239" s="2"/>
      <c r="Q239" s="3"/>
      <c r="R239" s="2"/>
    </row>
    <row r="240" spans="1:18" s="16" customFormat="1" hidden="1" outlineLevel="2" x14ac:dyDescent="0.35">
      <c r="B240" s="11" t="str">
        <f>CONCATENATE("          ", "6322", " - ", "EQUIPMENT DEPRECIATION EXPENSE")</f>
        <v xml:space="preserve">          6322 - EQUIPMENT DEPRECIATION EXPENSE</v>
      </c>
      <c r="D240" s="2">
        <v>60484.91</v>
      </c>
      <c r="F240" s="2">
        <v>60581.120000000003</v>
      </c>
      <c r="G240" s="3"/>
      <c r="H240" s="2">
        <v>80115.759999999995</v>
      </c>
      <c r="I240" s="3"/>
      <c r="J240" s="2">
        <v>194010.89</v>
      </c>
      <c r="K240" s="3"/>
      <c r="L240" s="2">
        <v>196065.44</v>
      </c>
      <c r="M240" s="3"/>
      <c r="N240" s="2">
        <v>205367.23</v>
      </c>
      <c r="O240" s="3"/>
      <c r="P240" s="2">
        <v>467323</v>
      </c>
      <c r="Q240" s="3"/>
      <c r="R240" s="2">
        <v>393285</v>
      </c>
    </row>
    <row r="241" spans="1:18" s="16" customFormat="1" hidden="1" outlineLevel="2" x14ac:dyDescent="0.35">
      <c r="B241" s="11" t="str">
        <f>CONCATENATE("          ", "6324", " - ", "FURNITURE + FIXT DEPRECIATION")</f>
        <v xml:space="preserve">          6324 - FURNITURE + FIXT DEPRECIATION</v>
      </c>
      <c r="D241" s="2">
        <v>3809.39</v>
      </c>
      <c r="F241" s="2">
        <v>3809.39</v>
      </c>
      <c r="G241" s="3"/>
      <c r="H241" s="2">
        <v>3674.4</v>
      </c>
      <c r="I241" s="3"/>
      <c r="J241" s="2">
        <v>3402.91</v>
      </c>
      <c r="K241" s="3"/>
      <c r="L241" s="2">
        <v>0</v>
      </c>
      <c r="M241" s="3"/>
      <c r="N241" s="2">
        <v>0</v>
      </c>
      <c r="O241" s="3"/>
      <c r="P241" s="2"/>
      <c r="Q241" s="3"/>
      <c r="R241" s="2"/>
    </row>
    <row r="242" spans="1:18" s="16" customFormat="1" hidden="1" outlineLevel="2" x14ac:dyDescent="0.35">
      <c r="B242" s="11" t="str">
        <f>CONCATENATE("          ", "6326", " - ", "VEHICLES DEPRECIATION EXPENSE")</f>
        <v xml:space="preserve">          6326 - VEHICLES DEPRECIATION EXPENSE</v>
      </c>
      <c r="D242" s="2">
        <v>1994.61</v>
      </c>
      <c r="F242" s="2"/>
      <c r="G242" s="3"/>
      <c r="H242" s="2"/>
      <c r="I242" s="3"/>
      <c r="J242" s="2"/>
      <c r="K242" s="3"/>
      <c r="L242" s="2"/>
      <c r="M242" s="3"/>
      <c r="N242" s="2"/>
      <c r="O242" s="3"/>
      <c r="P242" s="2"/>
      <c r="Q242" s="3"/>
      <c r="R242" s="2"/>
    </row>
    <row r="243" spans="1:18" s="15" customFormat="1" outlineLevel="1" collapsed="1" x14ac:dyDescent="0.35">
      <c r="A243" s="7"/>
      <c r="B243" s="20" t="str">
        <f>CONCATENATE("     ","Discounts and Markdowns                           ")</f>
        <v xml:space="preserve">     Discounts and Markdowns                           </v>
      </c>
      <c r="C243" s="7"/>
      <c r="D243" s="1">
        <f>SUM(OSRRefD21_6x_0)</f>
        <v>359489.24</v>
      </c>
      <c r="E243" s="19"/>
      <c r="F243" s="1">
        <f>SUM(OSRRefF21_6x_0)</f>
        <v>343200.33999999997</v>
      </c>
      <c r="G243" s="4"/>
      <c r="H243" s="1">
        <f>SUM(OSRRefH21_6x_0)</f>
        <v>390822.51</v>
      </c>
      <c r="I243" s="4"/>
      <c r="J243" s="1">
        <f>SUM(OSRRefJ21_6x_0)</f>
        <v>286965.02</v>
      </c>
      <c r="K243" s="4"/>
      <c r="L243" s="1">
        <f>SUM(OSRRefL21_6x_0)</f>
        <v>352333.06</v>
      </c>
      <c r="M243" s="4"/>
      <c r="N243" s="1">
        <f>SUM(OSRRefN21_6x_0)</f>
        <v>387445.38</v>
      </c>
      <c r="O243" s="4"/>
      <c r="P243" s="1">
        <f>SUM(OSRRefP21_6x_0)</f>
        <v>346785</v>
      </c>
      <c r="Q243" s="4"/>
      <c r="R243" s="1">
        <f>SUM(OSRRefR21_6x_0)</f>
        <v>0</v>
      </c>
    </row>
    <row r="244" spans="1:18" s="16" customFormat="1" hidden="1" outlineLevel="2" x14ac:dyDescent="0.35">
      <c r="B244" s="11" t="str">
        <f>CONCATENATE("          ", "6382", " - ", "DISCOUNTS/MARK DOWNS")</f>
        <v xml:space="preserve">          6382 - DISCOUNTS/MARK DOWNS</v>
      </c>
      <c r="D244" s="2">
        <v>370670.49</v>
      </c>
      <c r="F244" s="2">
        <v>352389.18</v>
      </c>
      <c r="G244" s="3"/>
      <c r="H244" s="2">
        <v>398070.84</v>
      </c>
      <c r="I244" s="3"/>
      <c r="J244" s="2">
        <v>293522.84000000003</v>
      </c>
      <c r="K244" s="3"/>
      <c r="L244" s="2">
        <v>356956.15999999997</v>
      </c>
      <c r="M244" s="3"/>
      <c r="N244" s="2">
        <v>390679.86</v>
      </c>
      <c r="O244" s="3"/>
      <c r="P244" s="2">
        <v>346785</v>
      </c>
      <c r="Q244" s="3"/>
      <c r="R244" s="2">
        <v>0</v>
      </c>
    </row>
    <row r="245" spans="1:18" s="16" customFormat="1" hidden="1" outlineLevel="2" x14ac:dyDescent="0.35">
      <c r="B245" s="11" t="str">
        <f>CONCATENATE("          ", "9175", " - ", "EARNED DISCOUNTS")</f>
        <v xml:space="preserve">          9175 - EARNED DISCOUNTS</v>
      </c>
      <c r="D245" s="2">
        <v>-11181.25</v>
      </c>
      <c r="F245" s="2">
        <v>-9188.84</v>
      </c>
      <c r="G245" s="3"/>
      <c r="H245" s="2">
        <v>-7248.33</v>
      </c>
      <c r="I245" s="3"/>
      <c r="J245" s="2">
        <v>-6557.82</v>
      </c>
      <c r="K245" s="3"/>
      <c r="L245" s="2">
        <v>-4623.1000000000004</v>
      </c>
      <c r="M245" s="3"/>
      <c r="N245" s="2">
        <v>-3234.48</v>
      </c>
      <c r="O245" s="3"/>
      <c r="P245" s="2"/>
      <c r="Q245" s="3"/>
      <c r="R245" s="2"/>
    </row>
    <row r="246" spans="1:18" s="15" customFormat="1" outlineLevel="1" collapsed="1" x14ac:dyDescent="0.35">
      <c r="A246" s="7"/>
      <c r="B246" s="20" t="str">
        <f>CONCATENATE("     ","Donations                                         ")</f>
        <v xml:space="preserve">     Donations                                         </v>
      </c>
      <c r="C246" s="7"/>
      <c r="D246" s="1">
        <f>SUM(OSRRefD21_7x_0)</f>
        <v>3941.65</v>
      </c>
      <c r="E246" s="19"/>
      <c r="F246" s="1">
        <f>SUM(OSRRefF21_7x_0)</f>
        <v>7807.94</v>
      </c>
      <c r="G246" s="4"/>
      <c r="H246" s="1">
        <f>SUM(OSRRefH21_7x_0)</f>
        <v>15019.87</v>
      </c>
      <c r="I246" s="4"/>
      <c r="J246" s="1">
        <f>SUM(OSRRefJ21_7x_0)</f>
        <v>4901.6400000000003</v>
      </c>
      <c r="K246" s="4"/>
      <c r="L246" s="1">
        <f>SUM(OSRRefL21_7x_0)</f>
        <v>9858.49</v>
      </c>
      <c r="M246" s="4"/>
      <c r="N246" s="1">
        <f>SUM(OSRRefN21_7x_0)</f>
        <v>10985.64</v>
      </c>
      <c r="O246" s="4"/>
      <c r="P246" s="1">
        <f>SUM(OSRRefP21_7x_0)</f>
        <v>12000</v>
      </c>
      <c r="Q246" s="4"/>
      <c r="R246" s="1">
        <f>SUM(OSRRefR21_7x_0)</f>
        <v>15000</v>
      </c>
    </row>
    <row r="247" spans="1:18" s="16" customFormat="1" hidden="1" outlineLevel="2" x14ac:dyDescent="0.35">
      <c r="B247" s="11" t="str">
        <f>CONCATENATE("          ", "6395", " - ", "DONATION-OFF CAMPUS")</f>
        <v xml:space="preserve">          6395 - DONATION-OFF CAMPUS</v>
      </c>
      <c r="D247" s="2"/>
      <c r="F247" s="2"/>
      <c r="G247" s="3"/>
      <c r="H247" s="2">
        <v>207.19</v>
      </c>
      <c r="I247" s="3"/>
      <c r="J247" s="2"/>
      <c r="K247" s="3"/>
      <c r="L247" s="2"/>
      <c r="M247" s="3"/>
      <c r="N247" s="2"/>
      <c r="O247" s="3"/>
      <c r="P247" s="2">
        <v>0</v>
      </c>
      <c r="Q247" s="3"/>
      <c r="R247" s="2"/>
    </row>
    <row r="248" spans="1:18" s="16" customFormat="1" hidden="1" outlineLevel="2" x14ac:dyDescent="0.35">
      <c r="B248" s="11" t="str">
        <f>CONCATENATE("          ", "6399", " - ", "DONATION-ON CAMPUS")</f>
        <v xml:space="preserve">          6399 - DONATION-ON CAMPUS</v>
      </c>
      <c r="D248" s="2">
        <v>3941.65</v>
      </c>
      <c r="F248" s="2">
        <v>7807.94</v>
      </c>
      <c r="G248" s="3"/>
      <c r="H248" s="2">
        <v>14812.68</v>
      </c>
      <c r="I248" s="3"/>
      <c r="J248" s="2">
        <v>4901.6400000000003</v>
      </c>
      <c r="K248" s="3"/>
      <c r="L248" s="2">
        <v>9858.49</v>
      </c>
      <c r="M248" s="3"/>
      <c r="N248" s="2">
        <v>10985.64</v>
      </c>
      <c r="O248" s="3"/>
      <c r="P248" s="2">
        <v>12000</v>
      </c>
      <c r="Q248" s="3"/>
      <c r="R248" s="2">
        <v>15000</v>
      </c>
    </row>
    <row r="249" spans="1:18" s="15" customFormat="1" outlineLevel="1" collapsed="1" x14ac:dyDescent="0.35">
      <c r="A249" s="7"/>
      <c r="B249" s="20" t="str">
        <f>CONCATENATE("     ","Employees' Appreciation                           ")</f>
        <v xml:space="preserve">     Employees' Appreciation                           </v>
      </c>
      <c r="C249" s="7"/>
      <c r="D249" s="1">
        <f>SUM(OSRRefD21_8x_0)</f>
        <v>3705.73</v>
      </c>
      <c r="E249" s="19"/>
      <c r="F249" s="1">
        <f>SUM(OSRRefF21_8x_0)</f>
        <v>5429.1</v>
      </c>
      <c r="G249" s="4"/>
      <c r="H249" s="1">
        <f>SUM(OSRRefH21_8x_0)</f>
        <v>3687.3</v>
      </c>
      <c r="I249" s="4"/>
      <c r="J249" s="1">
        <f>SUM(OSRRefJ21_8x_0)</f>
        <v>3672.2</v>
      </c>
      <c r="K249" s="4"/>
      <c r="L249" s="1">
        <f>SUM(OSRRefL21_8x_0)</f>
        <v>4532.09</v>
      </c>
      <c r="M249" s="4"/>
      <c r="N249" s="1">
        <f>SUM(OSRRefN21_8x_0)</f>
        <v>1775.11</v>
      </c>
      <c r="O249" s="4"/>
      <c r="P249" s="1">
        <f>SUM(OSRRefP21_8x_0)</f>
        <v>5050</v>
      </c>
      <c r="Q249" s="4"/>
      <c r="R249" s="1">
        <f>SUM(OSRRefR21_8x_0)</f>
        <v>2800</v>
      </c>
    </row>
    <row r="250" spans="1:18" s="16" customFormat="1" hidden="1" outlineLevel="2" x14ac:dyDescent="0.35">
      <c r="B250" s="11" t="str">
        <f>CONCATENATE("          ", "6277", " - ", "EMPLOYEE APPRECIATION")</f>
        <v xml:space="preserve">          6277 - EMPLOYEE APPRECIATION</v>
      </c>
      <c r="D250" s="2">
        <v>3705.73</v>
      </c>
      <c r="F250" s="2">
        <v>5429.1</v>
      </c>
      <c r="G250" s="3"/>
      <c r="H250" s="2">
        <v>3687.3</v>
      </c>
      <c r="I250" s="3"/>
      <c r="J250" s="2">
        <v>3672.2</v>
      </c>
      <c r="K250" s="3"/>
      <c r="L250" s="2">
        <v>4532.09</v>
      </c>
      <c r="M250" s="3"/>
      <c r="N250" s="2">
        <v>1775.11</v>
      </c>
      <c r="O250" s="3"/>
      <c r="P250" s="2">
        <v>5050</v>
      </c>
      <c r="Q250" s="3"/>
      <c r="R250" s="2">
        <v>2800</v>
      </c>
    </row>
    <row r="251" spans="1:18" s="15" customFormat="1" outlineLevel="1" collapsed="1" x14ac:dyDescent="0.35">
      <c r="A251" s="7"/>
      <c r="B251" s="20" t="str">
        <f>CONCATENATE("     ","Equipment Rental                                  ")</f>
        <v xml:space="preserve">     Equipment Rental                                  </v>
      </c>
      <c r="C251" s="7"/>
      <c r="D251" s="1">
        <f>SUM(OSRRefD21_9x_0)</f>
        <v>42332.65</v>
      </c>
      <c r="E251" s="19"/>
      <c r="F251" s="1">
        <f>SUM(OSRRefF21_9x_0)</f>
        <v>42249.43</v>
      </c>
      <c r="G251" s="4"/>
      <c r="H251" s="1">
        <f>SUM(OSRRefH21_9x_0)</f>
        <v>42355.43</v>
      </c>
      <c r="I251" s="4"/>
      <c r="J251" s="1">
        <f>SUM(OSRRefJ21_9x_0)</f>
        <v>42012.04</v>
      </c>
      <c r="K251" s="4"/>
      <c r="L251" s="1">
        <f>SUM(OSRRefL21_9x_0)</f>
        <v>42423.6</v>
      </c>
      <c r="M251" s="4"/>
      <c r="N251" s="1">
        <f>SUM(OSRRefN21_9x_0)</f>
        <v>20862.18</v>
      </c>
      <c r="O251" s="4"/>
      <c r="P251" s="1">
        <f>SUM(OSRRefP21_9x_0)</f>
        <v>37386</v>
      </c>
      <c r="Q251" s="4"/>
      <c r="R251" s="1">
        <f>SUM(OSRRefR21_9x_0)</f>
        <v>22312</v>
      </c>
    </row>
    <row r="252" spans="1:18" s="16" customFormat="1" hidden="1" outlineLevel="2" x14ac:dyDescent="0.35">
      <c r="B252" s="11" t="str">
        <f>CONCATENATE("          ", "6351", " - ", "EQUIPMENT RENTAL")</f>
        <v xml:space="preserve">          6351 - EQUIPMENT RENTAL</v>
      </c>
      <c r="D252" s="2">
        <v>42332.65</v>
      </c>
      <c r="F252" s="2">
        <v>42249.43</v>
      </c>
      <c r="G252" s="3"/>
      <c r="H252" s="2">
        <v>42355.43</v>
      </c>
      <c r="I252" s="3"/>
      <c r="J252" s="2">
        <v>42012.04</v>
      </c>
      <c r="K252" s="3"/>
      <c r="L252" s="2">
        <v>42423.6</v>
      </c>
      <c r="M252" s="3"/>
      <c r="N252" s="2">
        <v>20862.18</v>
      </c>
      <c r="O252" s="3"/>
      <c r="P252" s="2">
        <v>37386</v>
      </c>
      <c r="Q252" s="3"/>
      <c r="R252" s="2">
        <v>22312</v>
      </c>
    </row>
    <row r="253" spans="1:18" s="15" customFormat="1" outlineLevel="1" collapsed="1" x14ac:dyDescent="0.35">
      <c r="A253" s="7"/>
      <c r="B253" s="20" t="str">
        <f>CONCATENATE("     ","Freight out/Postage                               ")</f>
        <v xml:space="preserve">     Freight out/Postage                               </v>
      </c>
      <c r="C253" s="7"/>
      <c r="D253" s="1">
        <f>SUM(OSRRefD21_10x_0)</f>
        <v>-21915.739999999998</v>
      </c>
      <c r="E253" s="19"/>
      <c r="F253" s="1">
        <f>SUM(OSRRefF21_10x_0)</f>
        <v>-14649.080000000002</v>
      </c>
      <c r="G253" s="4"/>
      <c r="H253" s="1">
        <f>SUM(OSRRefH21_10x_0)</f>
        <v>-14178.309999999998</v>
      </c>
      <c r="I253" s="4"/>
      <c r="J253" s="1">
        <f>SUM(OSRRefJ21_10x_0)</f>
        <v>-2585.4300000000076</v>
      </c>
      <c r="K253" s="4"/>
      <c r="L253" s="1">
        <f>SUM(OSRRefL21_10x_0)</f>
        <v>-73.280000000013388</v>
      </c>
      <c r="M253" s="4"/>
      <c r="N253" s="1">
        <f>SUM(OSRRefN21_10x_0)</f>
        <v>41982.100000000006</v>
      </c>
      <c r="O253" s="4"/>
      <c r="P253" s="1">
        <f>SUM(OSRRefP21_10x_0)</f>
        <v>35383</v>
      </c>
      <c r="Q253" s="4"/>
      <c r="R253" s="1">
        <f>SUM(OSRRefR21_10x_0)</f>
        <v>-16400</v>
      </c>
    </row>
    <row r="254" spans="1:18" s="16" customFormat="1" hidden="1" outlineLevel="2" x14ac:dyDescent="0.35">
      <c r="B254" s="11" t="str">
        <f>CONCATENATE("          ", "6305", " - ", "FREIGHT OUT")</f>
        <v xml:space="preserve">          6305 - FREIGHT OUT</v>
      </c>
      <c r="D254" s="2">
        <v>49721.57</v>
      </c>
      <c r="F254" s="2">
        <v>73000.02</v>
      </c>
      <c r="G254" s="3"/>
      <c r="H254" s="2">
        <v>79773.77</v>
      </c>
      <c r="I254" s="3"/>
      <c r="J254" s="2">
        <v>75394.89</v>
      </c>
      <c r="K254" s="3"/>
      <c r="L254" s="2">
        <v>81188.039999999994</v>
      </c>
      <c r="M254" s="3"/>
      <c r="N254" s="2">
        <v>102999.35</v>
      </c>
      <c r="O254" s="3"/>
      <c r="P254" s="2">
        <v>66685</v>
      </c>
      <c r="Q254" s="3"/>
      <c r="R254" s="2">
        <v>156900</v>
      </c>
    </row>
    <row r="255" spans="1:18" s="16" customFormat="1" hidden="1" outlineLevel="2" x14ac:dyDescent="0.35">
      <c r="B255" s="11" t="str">
        <f>CONCATENATE("          ", "6307", " - ", "POSTAGE")</f>
        <v xml:space="preserve">          6307 - POSTAGE</v>
      </c>
      <c r="D255" s="2">
        <v>-71637.31</v>
      </c>
      <c r="F255" s="2">
        <v>-87649.1</v>
      </c>
      <c r="G255" s="3"/>
      <c r="H255" s="2">
        <v>-93952.08</v>
      </c>
      <c r="I255" s="3"/>
      <c r="J255" s="2">
        <v>-77980.320000000007</v>
      </c>
      <c r="K255" s="3"/>
      <c r="L255" s="2">
        <v>-81261.320000000007</v>
      </c>
      <c r="M255" s="3"/>
      <c r="N255" s="2">
        <v>-61017.25</v>
      </c>
      <c r="O255" s="3"/>
      <c r="P255" s="2">
        <v>-31302</v>
      </c>
      <c r="Q255" s="3"/>
      <c r="R255" s="2">
        <v>-173300</v>
      </c>
    </row>
    <row r="256" spans="1:18" s="15" customFormat="1" outlineLevel="1" collapsed="1" x14ac:dyDescent="0.35">
      <c r="A256" s="7"/>
      <c r="B256" s="20" t="str">
        <f>CONCATENATE("     ","General                                           ")</f>
        <v xml:space="preserve">     General                                           </v>
      </c>
      <c r="C256" s="7"/>
      <c r="D256" s="1">
        <f>SUM(OSRRefD21_11x_0)</f>
        <v>23508.55</v>
      </c>
      <c r="E256" s="19"/>
      <c r="F256" s="1">
        <f>SUM(OSRRefF21_11x_0)</f>
        <v>29957.96</v>
      </c>
      <c r="G256" s="4"/>
      <c r="H256" s="1">
        <f>SUM(OSRRefH21_11x_0)</f>
        <v>30502.5</v>
      </c>
      <c r="I256" s="4"/>
      <c r="J256" s="1">
        <f>SUM(OSRRefJ21_11x_0)</f>
        <v>36039.360000000001</v>
      </c>
      <c r="K256" s="4"/>
      <c r="L256" s="1">
        <f>SUM(OSRRefL21_11x_0)</f>
        <v>33113.83</v>
      </c>
      <c r="M256" s="4"/>
      <c r="N256" s="1">
        <f>SUM(OSRRefN21_11x_0)</f>
        <v>7597.27</v>
      </c>
      <c r="O256" s="4"/>
      <c r="P256" s="1">
        <f>SUM(OSRRefP21_11x_0)</f>
        <v>16400</v>
      </c>
      <c r="Q256" s="4"/>
      <c r="R256" s="1">
        <f>SUM(OSRRefR21_11x_0)</f>
        <v>8610</v>
      </c>
    </row>
    <row r="257" spans="1:18" s="16" customFormat="1" hidden="1" outlineLevel="2" x14ac:dyDescent="0.35">
      <c r="B257" s="11" t="str">
        <f>CONCATENATE("          ", "6269", " - ", "ENTERTAINMENT")</f>
        <v xml:space="preserve">          6269 - ENTERTAINMENT</v>
      </c>
      <c r="D257" s="2"/>
      <c r="F257" s="2"/>
      <c r="G257" s="3"/>
      <c r="H257" s="2"/>
      <c r="I257" s="3"/>
      <c r="J257" s="2"/>
      <c r="K257" s="3"/>
      <c r="L257" s="2"/>
      <c r="M257" s="3"/>
      <c r="N257" s="2"/>
      <c r="O257" s="3"/>
      <c r="P257" s="2">
        <v>2750</v>
      </c>
      <c r="Q257" s="3"/>
      <c r="R257" s="2"/>
    </row>
    <row r="258" spans="1:18" s="16" customFormat="1" hidden="1" outlineLevel="2" x14ac:dyDescent="0.35">
      <c r="B258" s="11" t="str">
        <f>CONCATENATE("          ", "6276", " - ", "PROPERTY TAX")</f>
        <v xml:space="preserve">          6276 - PROPERTY TAX</v>
      </c>
      <c r="D258" s="2">
        <v>213.38</v>
      </c>
      <c r="F258" s="2">
        <v>211.84</v>
      </c>
      <c r="G258" s="3"/>
      <c r="H258" s="2"/>
      <c r="I258" s="3"/>
      <c r="J258" s="2"/>
      <c r="K258" s="3"/>
      <c r="L258" s="2"/>
      <c r="M258" s="3"/>
      <c r="N258" s="2"/>
      <c r="O258" s="3"/>
      <c r="P258" s="2">
        <v>150</v>
      </c>
      <c r="Q258" s="3"/>
      <c r="R258" s="2">
        <v>1250</v>
      </c>
    </row>
    <row r="259" spans="1:18" s="16" customFormat="1" hidden="1" outlineLevel="2" x14ac:dyDescent="0.35">
      <c r="B259" s="11" t="str">
        <f>CONCATENATE("          ", "6279", " - ", "GENERAL EXPENSE")</f>
        <v xml:space="preserve">          6279 - GENERAL EXPENSE</v>
      </c>
      <c r="D259" s="2">
        <v>23295.17</v>
      </c>
      <c r="F259" s="2">
        <v>29746.12</v>
      </c>
      <c r="G259" s="3"/>
      <c r="H259" s="2">
        <v>30502.5</v>
      </c>
      <c r="I259" s="3"/>
      <c r="J259" s="2">
        <v>36039.360000000001</v>
      </c>
      <c r="K259" s="3"/>
      <c r="L259" s="2">
        <v>33113.83</v>
      </c>
      <c r="M259" s="3"/>
      <c r="N259" s="2">
        <v>7597.27</v>
      </c>
      <c r="O259" s="3"/>
      <c r="P259" s="2">
        <v>13500</v>
      </c>
      <c r="Q259" s="3"/>
      <c r="R259" s="2">
        <v>7360</v>
      </c>
    </row>
    <row r="260" spans="1:18" s="15" customFormat="1" outlineLevel="1" collapsed="1" x14ac:dyDescent="0.35">
      <c r="A260" s="7"/>
      <c r="B260" s="20" t="str">
        <f>CONCATENATE("     ","Insurance                                         ")</f>
        <v xml:space="preserve">     Insurance                                         </v>
      </c>
      <c r="C260" s="7"/>
      <c r="D260" s="1">
        <f>SUM(OSRRefD21_12x_0)</f>
        <v>34690.230000000003</v>
      </c>
      <c r="E260" s="19"/>
      <c r="F260" s="1">
        <f>SUM(OSRRefF21_12x_0)</f>
        <v>41969.52</v>
      </c>
      <c r="G260" s="4"/>
      <c r="H260" s="1">
        <f>SUM(OSRRefH21_12x_0)</f>
        <v>38036.97</v>
      </c>
      <c r="I260" s="4"/>
      <c r="J260" s="1">
        <f>SUM(OSRRefJ21_12x_0)</f>
        <v>42490.45</v>
      </c>
      <c r="K260" s="4"/>
      <c r="L260" s="1">
        <f>SUM(OSRRefL21_12x_0)</f>
        <v>41274.76</v>
      </c>
      <c r="M260" s="4"/>
      <c r="N260" s="1">
        <f>SUM(OSRRefN21_12x_0)</f>
        <v>51459.360000000001</v>
      </c>
      <c r="O260" s="4"/>
      <c r="P260" s="1">
        <f>SUM(OSRRefP21_12x_0)</f>
        <v>56592</v>
      </c>
      <c r="Q260" s="4"/>
      <c r="R260" s="1">
        <f>SUM(OSRRefR21_12x_0)</f>
        <v>68460</v>
      </c>
    </row>
    <row r="261" spans="1:18" s="16" customFormat="1" hidden="1" outlineLevel="2" x14ac:dyDescent="0.35">
      <c r="B261" s="11" t="str">
        <f>CONCATENATE("          ", "6314", " - ", "LIABILITY INSURANCE")</f>
        <v xml:space="preserve">          6314 - LIABILITY INSURANCE</v>
      </c>
      <c r="D261" s="2">
        <v>34690.230000000003</v>
      </c>
      <c r="F261" s="2">
        <v>41969.52</v>
      </c>
      <c r="G261" s="3"/>
      <c r="H261" s="2">
        <v>38036.97</v>
      </c>
      <c r="I261" s="3"/>
      <c r="J261" s="2">
        <v>42490.45</v>
      </c>
      <c r="K261" s="3"/>
      <c r="L261" s="2">
        <v>41274.76</v>
      </c>
      <c r="M261" s="3"/>
      <c r="N261" s="2">
        <v>51459.360000000001</v>
      </c>
      <c r="O261" s="3"/>
      <c r="P261" s="2">
        <v>56592</v>
      </c>
      <c r="Q261" s="3"/>
      <c r="R261" s="2">
        <v>68460</v>
      </c>
    </row>
    <row r="262" spans="1:18" s="15" customFormat="1" outlineLevel="1" collapsed="1" x14ac:dyDescent="0.35">
      <c r="A262" s="7"/>
      <c r="B262" s="20" t="str">
        <f>CONCATENATE("     ","Interest                                          ")</f>
        <v xml:space="preserve">     Interest                                          </v>
      </c>
      <c r="C262" s="7"/>
      <c r="D262" s="1">
        <f>SUM(OSRRefD21_13x_0)</f>
        <v>63548.57</v>
      </c>
      <c r="E262" s="19"/>
      <c r="F262" s="1">
        <f>SUM(OSRRefF21_13x_0)</f>
        <v>59412.67</v>
      </c>
      <c r="G262" s="4"/>
      <c r="H262" s="1">
        <f>SUM(OSRRefH21_13x_0)</f>
        <v>48946.21</v>
      </c>
      <c r="I262" s="4"/>
      <c r="J262" s="1">
        <f>SUM(OSRRefJ21_13x_0)</f>
        <v>46754.09</v>
      </c>
      <c r="K262" s="4"/>
      <c r="L262" s="1">
        <f>SUM(OSRRefL21_13x_0)</f>
        <v>46032.33</v>
      </c>
      <c r="M262" s="4"/>
      <c r="N262" s="1">
        <f>SUM(OSRRefN21_13x_0)</f>
        <v>44360.7</v>
      </c>
      <c r="O262" s="4"/>
      <c r="P262" s="1">
        <f>SUM(OSRRefP21_13x_0)</f>
        <v>48250</v>
      </c>
      <c r="Q262" s="4"/>
      <c r="R262" s="1">
        <f>SUM(OSRRefR21_13x_0)</f>
        <v>46570</v>
      </c>
    </row>
    <row r="263" spans="1:18" s="16" customFormat="1" hidden="1" outlineLevel="2" x14ac:dyDescent="0.35">
      <c r="B263" s="11" t="str">
        <f>CONCATENATE("          ", "6401", " - ", "INTEREST EXPENSE")</f>
        <v xml:space="preserve">          6401 - INTEREST EXPENSE</v>
      </c>
      <c r="D263" s="2">
        <v>63548.57</v>
      </c>
      <c r="F263" s="2">
        <v>59412.67</v>
      </c>
      <c r="G263" s="3"/>
      <c r="H263" s="2">
        <v>48946.21</v>
      </c>
      <c r="I263" s="3"/>
      <c r="J263" s="2">
        <v>46754.09</v>
      </c>
      <c r="K263" s="3"/>
      <c r="L263" s="2">
        <v>46032.33</v>
      </c>
      <c r="M263" s="3"/>
      <c r="N263" s="2">
        <v>44360.7</v>
      </c>
      <c r="O263" s="3"/>
      <c r="P263" s="2">
        <v>48250</v>
      </c>
      <c r="Q263" s="3"/>
      <c r="R263" s="2">
        <v>46570</v>
      </c>
    </row>
    <row r="264" spans="1:18" s="15" customFormat="1" outlineLevel="1" collapsed="1" x14ac:dyDescent="0.35">
      <c r="A264" s="7"/>
      <c r="B264" s="20" t="str">
        <f>CONCATENATE("     ","Inventory Adjustment                              ")</f>
        <v xml:space="preserve">     Inventory Adjustment                              </v>
      </c>
      <c r="C264" s="7"/>
      <c r="D264" s="1">
        <f>SUM(OSRRefD21_14x_0)</f>
        <v>-12258</v>
      </c>
      <c r="E264" s="19"/>
      <c r="F264" s="1">
        <f>SUM(OSRRefF21_14x_0)</f>
        <v>-2574</v>
      </c>
      <c r="G264" s="4"/>
      <c r="H264" s="1">
        <f>SUM(OSRRefH21_14x_0)</f>
        <v>-22978</v>
      </c>
      <c r="I264" s="4"/>
      <c r="J264" s="1">
        <f>SUM(OSRRefJ21_14x_0)</f>
        <v>780</v>
      </c>
      <c r="K264" s="4"/>
      <c r="L264" s="1">
        <f>SUM(OSRRefL21_14x_0)</f>
        <v>16099</v>
      </c>
      <c r="M264" s="4"/>
      <c r="N264" s="1">
        <f>SUM(OSRRefN21_14x_0)</f>
        <v>43236</v>
      </c>
      <c r="O264" s="4"/>
      <c r="P264" s="1">
        <f>SUM(OSRRefP21_14x_0)</f>
        <v>85200</v>
      </c>
      <c r="Q264" s="4"/>
      <c r="R264" s="1">
        <f>SUM(OSRRefR21_14x_0)</f>
        <v>79200</v>
      </c>
    </row>
    <row r="265" spans="1:18" s="16" customFormat="1" hidden="1" outlineLevel="2" x14ac:dyDescent="0.35">
      <c r="B265" s="11" t="str">
        <f>CONCATENATE("          ", "6408", " - ", "INVENTORY ADJUSTMENT")</f>
        <v xml:space="preserve">          6408 - INVENTORY ADJUSTMENT</v>
      </c>
      <c r="D265" s="2">
        <v>0</v>
      </c>
      <c r="F265" s="2">
        <v>0</v>
      </c>
      <c r="G265" s="3"/>
      <c r="H265" s="2">
        <v>0</v>
      </c>
      <c r="I265" s="3"/>
      <c r="J265" s="2">
        <v>0</v>
      </c>
      <c r="K265" s="3"/>
      <c r="L265" s="2">
        <v>0</v>
      </c>
      <c r="M265" s="3"/>
      <c r="N265" s="2">
        <v>0</v>
      </c>
      <c r="O265" s="3"/>
      <c r="P265" s="2">
        <v>85200</v>
      </c>
      <c r="Q265" s="3"/>
      <c r="R265" s="2">
        <v>79200</v>
      </c>
    </row>
    <row r="266" spans="1:18" s="16" customFormat="1" hidden="1" outlineLevel="2" x14ac:dyDescent="0.35">
      <c r="B266" s="11" t="str">
        <f>CONCATENATE("          ", "7700", " - ", "INV. SHRINKAGE @ RETAIL-CONTRA")</f>
        <v xml:space="preserve">          7700 - INV. SHRINKAGE @ RETAIL-CONTRA</v>
      </c>
      <c r="D266" s="2">
        <v>-100505</v>
      </c>
      <c r="F266" s="2">
        <v>51810</v>
      </c>
      <c r="G266" s="3"/>
      <c r="H266" s="2">
        <v>-36650</v>
      </c>
      <c r="I266" s="3"/>
      <c r="J266" s="2">
        <v>110351</v>
      </c>
      <c r="K266" s="3"/>
      <c r="L266" s="2">
        <v>166740</v>
      </c>
      <c r="M266" s="3"/>
      <c r="N266" s="2">
        <v>-99781</v>
      </c>
      <c r="O266" s="3"/>
      <c r="P266" s="2"/>
      <c r="Q266" s="3"/>
      <c r="R266" s="2"/>
    </row>
    <row r="267" spans="1:18" s="16" customFormat="1" hidden="1" outlineLevel="2" x14ac:dyDescent="0.35">
      <c r="B267" s="11" t="str">
        <f>CONCATENATE("          ", "7701", " - ", "INV. SHRINKAGE-NEW TEXT")</f>
        <v xml:space="preserve">          7701 - INV. SHRINKAGE-NEW TEXT</v>
      </c>
      <c r="D267" s="2">
        <v>27329</v>
      </c>
      <c r="F267" s="2">
        <v>-45934</v>
      </c>
      <c r="G267" s="3"/>
      <c r="H267" s="2">
        <v>425827</v>
      </c>
      <c r="I267" s="3"/>
      <c r="J267" s="2">
        <v>36055</v>
      </c>
      <c r="K267" s="3"/>
      <c r="L267" s="2">
        <v>-79917</v>
      </c>
      <c r="M267" s="3"/>
      <c r="N267" s="2">
        <v>-4346</v>
      </c>
      <c r="O267" s="3"/>
      <c r="P267" s="2"/>
      <c r="Q267" s="3"/>
      <c r="R267" s="2"/>
    </row>
    <row r="268" spans="1:18" s="16" customFormat="1" hidden="1" outlineLevel="2" x14ac:dyDescent="0.35">
      <c r="B268" s="11" t="str">
        <f>CONCATENATE("          ", "7702", " - ", "INV. SHRINKAGE-USED TEXT")</f>
        <v xml:space="preserve">          7702 - INV. SHRINKAGE-USED TEXT</v>
      </c>
      <c r="D268" s="2">
        <v>58945</v>
      </c>
      <c r="F268" s="2">
        <v>-5994</v>
      </c>
      <c r="G268" s="3"/>
      <c r="H268" s="2">
        <v>-306482</v>
      </c>
      <c r="I268" s="3"/>
      <c r="J268" s="2">
        <v>-43858</v>
      </c>
      <c r="K268" s="3"/>
      <c r="L268" s="2">
        <v>-5215</v>
      </c>
      <c r="M268" s="3"/>
      <c r="N268" s="2">
        <v>-29494</v>
      </c>
      <c r="O268" s="3"/>
      <c r="P268" s="2"/>
      <c r="Q268" s="3"/>
      <c r="R268" s="2"/>
    </row>
    <row r="269" spans="1:18" s="16" customFormat="1" hidden="1" outlineLevel="2" x14ac:dyDescent="0.35">
      <c r="B269" s="11" t="str">
        <f>CONCATENATE("          ", "7703", " - ", "INV. SHRINKAGE-RENTAL TEXT")</f>
        <v xml:space="preserve">          7703 - INV. SHRINKAGE-RENTAL TEXT</v>
      </c>
      <c r="D269" s="2"/>
      <c r="F269" s="2"/>
      <c r="G269" s="3"/>
      <c r="H269" s="2"/>
      <c r="I269" s="3"/>
      <c r="J269" s="2">
        <v>-19135</v>
      </c>
      <c r="K269" s="3"/>
      <c r="L269" s="2">
        <v>30858</v>
      </c>
      <c r="M269" s="3"/>
      <c r="N269" s="2">
        <v>526</v>
      </c>
      <c r="O269" s="3"/>
      <c r="P269" s="2"/>
      <c r="Q269" s="3"/>
      <c r="R269" s="2"/>
    </row>
    <row r="270" spans="1:18" s="16" customFormat="1" hidden="1" outlineLevel="2" x14ac:dyDescent="0.35">
      <c r="B270" s="11" t="str">
        <f>CONCATENATE("          ", "7704", " - ", "INV. SHRINKAGE-DIGITAL TEXT")</f>
        <v xml:space="preserve">          7704 - INV. SHRINKAGE-DIGITAL TEXT</v>
      </c>
      <c r="D270" s="2">
        <v>-9157</v>
      </c>
      <c r="F270" s="2">
        <v>-13898</v>
      </c>
      <c r="G270" s="3"/>
      <c r="H270" s="2">
        <v>-106620</v>
      </c>
      <c r="I270" s="3"/>
      <c r="J270" s="2">
        <v>-101331</v>
      </c>
      <c r="K270" s="3"/>
      <c r="L270" s="2">
        <v>-37301</v>
      </c>
      <c r="M270" s="3"/>
      <c r="N270" s="2">
        <v>816</v>
      </c>
      <c r="O270" s="3"/>
      <c r="P270" s="2"/>
      <c r="Q270" s="3"/>
      <c r="R270" s="2"/>
    </row>
    <row r="271" spans="1:18" s="16" customFormat="1" hidden="1" outlineLevel="2" x14ac:dyDescent="0.35">
      <c r="B271" s="11" t="str">
        <f>CONCATENATE("          ", "7711", " - ", "INV. SHRINKAGE-NO VALUE TEXT")</f>
        <v xml:space="preserve">          7711 - INV. SHRINKAGE-NO VALUE TEXT</v>
      </c>
      <c r="D271" s="2"/>
      <c r="F271" s="2">
        <v>-191</v>
      </c>
      <c r="G271" s="3"/>
      <c r="H271" s="2">
        <v>6</v>
      </c>
      <c r="I271" s="3"/>
      <c r="J271" s="2">
        <v>-8956</v>
      </c>
      <c r="K271" s="3"/>
      <c r="L271" s="2">
        <v>-2516</v>
      </c>
      <c r="M271" s="3"/>
      <c r="N271" s="2">
        <v>-1126</v>
      </c>
      <c r="O271" s="3"/>
      <c r="P271" s="2"/>
      <c r="Q271" s="3"/>
      <c r="R271" s="2"/>
    </row>
    <row r="272" spans="1:18" s="16" customFormat="1" hidden="1" outlineLevel="2" x14ac:dyDescent="0.35">
      <c r="B272" s="11" t="str">
        <f>CONCATENATE("          ", "7712", " - ", "INV. SHRINKAGE-MAGAZINES")</f>
        <v xml:space="preserve">          7712 - INV. SHRINKAGE-MAGAZINES</v>
      </c>
      <c r="D272" s="2">
        <v>-54</v>
      </c>
      <c r="F272" s="2">
        <v>-15</v>
      </c>
      <c r="G272" s="3"/>
      <c r="H272" s="2">
        <v>-27</v>
      </c>
      <c r="I272" s="3"/>
      <c r="J272" s="2"/>
      <c r="K272" s="3"/>
      <c r="L272" s="2"/>
      <c r="M272" s="3"/>
      <c r="N272" s="2"/>
      <c r="O272" s="3"/>
      <c r="P272" s="2"/>
      <c r="Q272" s="3"/>
      <c r="R272" s="2"/>
    </row>
    <row r="273" spans="2:18" s="16" customFormat="1" hidden="1" outlineLevel="2" x14ac:dyDescent="0.35">
      <c r="B273" s="11" t="str">
        <f>CONCATENATE("          ", "7713", " - ", "INV. SHRINKAGE-TRADE BOOKS")</f>
        <v xml:space="preserve">          7713 - INV. SHRINKAGE-TRADE BOOKS</v>
      </c>
      <c r="D273" s="2">
        <v>10516</v>
      </c>
      <c r="F273" s="2">
        <v>-970</v>
      </c>
      <c r="G273" s="3"/>
      <c r="H273" s="2">
        <v>-273</v>
      </c>
      <c r="I273" s="3"/>
      <c r="J273" s="2">
        <v>-548</v>
      </c>
      <c r="K273" s="3"/>
      <c r="L273" s="2">
        <v>749</v>
      </c>
      <c r="M273" s="3"/>
      <c r="N273" s="2">
        <v>-385</v>
      </c>
      <c r="O273" s="3"/>
      <c r="P273" s="2"/>
      <c r="Q273" s="3"/>
      <c r="R273" s="2"/>
    </row>
    <row r="274" spans="2:18" s="16" customFormat="1" hidden="1" outlineLevel="2" x14ac:dyDescent="0.35">
      <c r="B274" s="11" t="str">
        <f>CONCATENATE("          ", "7714", " - ", "INV. SHRINKAGE-REMAINDERS")</f>
        <v xml:space="preserve">          7714 - INV. SHRINKAGE-REMAINDERS</v>
      </c>
      <c r="D274" s="2">
        <v>-182</v>
      </c>
      <c r="F274" s="2">
        <v>-97</v>
      </c>
      <c r="G274" s="3"/>
      <c r="H274" s="2">
        <v>-107</v>
      </c>
      <c r="I274" s="3"/>
      <c r="J274" s="2">
        <v>-1904</v>
      </c>
      <c r="K274" s="3"/>
      <c r="L274" s="2">
        <v>-23</v>
      </c>
      <c r="M274" s="3"/>
      <c r="N274" s="2">
        <v>204</v>
      </c>
      <c r="O274" s="3"/>
      <c r="P274" s="2"/>
      <c r="Q274" s="3"/>
      <c r="R274" s="2"/>
    </row>
    <row r="275" spans="2:18" s="16" customFormat="1" hidden="1" outlineLevel="2" x14ac:dyDescent="0.35">
      <c r="B275" s="11" t="str">
        <f>CONCATENATE("          ", "7715", " - ", "INV. SHRINKAGE-CALENDARS")</f>
        <v xml:space="preserve">          7715 - INV. SHRINKAGE-CALENDARS</v>
      </c>
      <c r="D275" s="2">
        <v>-12</v>
      </c>
      <c r="F275" s="2">
        <v>-383</v>
      </c>
      <c r="G275" s="3"/>
      <c r="H275" s="2">
        <v>-154</v>
      </c>
      <c r="I275" s="3"/>
      <c r="J275" s="2"/>
      <c r="K275" s="3"/>
      <c r="L275" s="2"/>
      <c r="M275" s="3"/>
      <c r="N275" s="2"/>
      <c r="O275" s="3"/>
      <c r="P275" s="2"/>
      <c r="Q275" s="3"/>
      <c r="R275" s="2"/>
    </row>
    <row r="276" spans="2:18" s="16" customFormat="1" hidden="1" outlineLevel="2" x14ac:dyDescent="0.35">
      <c r="B276" s="11" t="str">
        <f>CONCATENATE("          ", "7717", " - ", "INV. SHRINKAGE-DORM/HOUSEWARES")</f>
        <v xml:space="preserve">          7717 - INV. SHRINKAGE-DORM/HOUSEWARES</v>
      </c>
      <c r="D276" s="2">
        <v>62</v>
      </c>
      <c r="F276" s="2">
        <v>-148</v>
      </c>
      <c r="G276" s="3"/>
      <c r="H276" s="2">
        <v>-513</v>
      </c>
      <c r="I276" s="3"/>
      <c r="J276" s="2">
        <v>3654</v>
      </c>
      <c r="K276" s="3"/>
      <c r="L276" s="2">
        <v>-22</v>
      </c>
      <c r="M276" s="3"/>
      <c r="N276" s="2">
        <v>-254</v>
      </c>
      <c r="O276" s="3"/>
      <c r="P276" s="2"/>
      <c r="Q276" s="3"/>
      <c r="R276" s="2"/>
    </row>
    <row r="277" spans="2:18" s="16" customFormat="1" hidden="1" outlineLevel="2" x14ac:dyDescent="0.35">
      <c r="B277" s="11" t="str">
        <f>CONCATENATE("          ", "7718", " - ", "INV. SHRINKAGE-STUDY GUIDES")</f>
        <v xml:space="preserve">          7718 - INV. SHRINKAGE-STUDY GUIDES</v>
      </c>
      <c r="D277" s="2">
        <v>599</v>
      </c>
      <c r="F277" s="2">
        <v>368</v>
      </c>
      <c r="G277" s="3"/>
      <c r="H277" s="2">
        <v>-28</v>
      </c>
      <c r="I277" s="3"/>
      <c r="J277" s="2">
        <v>-24</v>
      </c>
      <c r="K277" s="3"/>
      <c r="L277" s="2">
        <v>-1534</v>
      </c>
      <c r="M277" s="3"/>
      <c r="N277" s="2">
        <v>458</v>
      </c>
      <c r="O277" s="3"/>
      <c r="P277" s="2"/>
      <c r="Q277" s="3"/>
      <c r="R277" s="2"/>
    </row>
    <row r="278" spans="2:18" s="16" customFormat="1" hidden="1" outlineLevel="2" x14ac:dyDescent="0.35">
      <c r="B278" s="11" t="str">
        <f>CONCATENATE("          ", "7719", " - ", "INV. SHRINKAGE-BOOK RELATED")</f>
        <v xml:space="preserve">          7719 - INV. SHRINKAGE-BOOK RELATED</v>
      </c>
      <c r="D278" s="2">
        <v>283</v>
      </c>
      <c r="F278" s="2">
        <v>-98</v>
      </c>
      <c r="G278" s="3"/>
      <c r="H278" s="2">
        <v>80</v>
      </c>
      <c r="I278" s="3"/>
      <c r="J278" s="2">
        <v>22</v>
      </c>
      <c r="K278" s="3"/>
      <c r="L278" s="2">
        <v>-43</v>
      </c>
      <c r="M278" s="3"/>
      <c r="N278" s="2">
        <v>-43</v>
      </c>
      <c r="O278" s="3"/>
      <c r="P278" s="2"/>
      <c r="Q278" s="3"/>
      <c r="R278" s="2"/>
    </row>
    <row r="279" spans="2:18" s="16" customFormat="1" hidden="1" outlineLevel="2" x14ac:dyDescent="0.35">
      <c r="B279" s="11" t="str">
        <f>CONCATENATE("          ", "7725", " - ", "INV. SHRINKAGE-TEST FORMS")</f>
        <v xml:space="preserve">          7725 - INV. SHRINKAGE-TEST FORMS</v>
      </c>
      <c r="D279" s="2">
        <v>609</v>
      </c>
      <c r="F279" s="2">
        <v>2982</v>
      </c>
      <c r="G279" s="3"/>
      <c r="H279" s="2">
        <v>-2680</v>
      </c>
      <c r="I279" s="3"/>
      <c r="J279" s="2">
        <v>-12037</v>
      </c>
      <c r="K279" s="3"/>
      <c r="L279" s="2">
        <v>95</v>
      </c>
      <c r="M279" s="3"/>
      <c r="N279" s="2">
        <v>3987</v>
      </c>
      <c r="O279" s="3"/>
      <c r="P279" s="2"/>
      <c r="Q279" s="3"/>
      <c r="R279" s="2"/>
    </row>
    <row r="280" spans="2:18" s="16" customFormat="1" hidden="1" outlineLevel="2" x14ac:dyDescent="0.35">
      <c r="B280" s="11" t="str">
        <f>CONCATENATE("          ", "7726", " - ", "INV. SHRINKAGE-WRITING INSTRUM")</f>
        <v xml:space="preserve">          7726 - INV. SHRINKAGE-WRITING INSTRUM</v>
      </c>
      <c r="D280" s="2">
        <v>2161</v>
      </c>
      <c r="F280" s="2">
        <v>1730</v>
      </c>
      <c r="G280" s="3"/>
      <c r="H280" s="2">
        <v>1370</v>
      </c>
      <c r="I280" s="3"/>
      <c r="J280" s="2">
        <v>2389</v>
      </c>
      <c r="K280" s="3"/>
      <c r="L280" s="2">
        <v>1467</v>
      </c>
      <c r="M280" s="3"/>
      <c r="N280" s="2">
        <v>9153</v>
      </c>
      <c r="O280" s="3"/>
      <c r="P280" s="2"/>
      <c r="Q280" s="3"/>
      <c r="R280" s="2"/>
    </row>
    <row r="281" spans="2:18" s="16" customFormat="1" hidden="1" outlineLevel="2" x14ac:dyDescent="0.35">
      <c r="B281" s="11" t="str">
        <f>CONCATENATE("          ", "7727", " - ", "INV. SHRINKAGE-SCHOOL SUPPLIES")</f>
        <v xml:space="preserve">          7727 - INV. SHRINKAGE-SCHOOL SUPPLIES</v>
      </c>
      <c r="D281" s="2">
        <v>1488</v>
      </c>
      <c r="F281" s="2">
        <v>1734</v>
      </c>
      <c r="G281" s="3"/>
      <c r="H281" s="2">
        <v>-5055</v>
      </c>
      <c r="I281" s="3"/>
      <c r="J281" s="2">
        <v>8110</v>
      </c>
      <c r="K281" s="3"/>
      <c r="L281" s="2">
        <v>1404</v>
      </c>
      <c r="M281" s="3"/>
      <c r="N281" s="2">
        <v>9822</v>
      </c>
      <c r="O281" s="3"/>
      <c r="P281" s="2"/>
      <c r="Q281" s="3"/>
      <c r="R281" s="2"/>
    </row>
    <row r="282" spans="2:18" s="16" customFormat="1" hidden="1" outlineLevel="2" x14ac:dyDescent="0.35">
      <c r="B282" s="11" t="str">
        <f>CONCATENATE("          ", "7728", " - ", "INV. SHRINKAGE-ART/TECH")</f>
        <v xml:space="preserve">          7728 - INV. SHRINKAGE-ART/TECH</v>
      </c>
      <c r="D282" s="2">
        <v>2277</v>
      </c>
      <c r="F282" s="2">
        <v>10</v>
      </c>
      <c r="G282" s="3"/>
      <c r="H282" s="2">
        <v>-6930</v>
      </c>
      <c r="I282" s="3"/>
      <c r="J282" s="2">
        <v>3127</v>
      </c>
      <c r="K282" s="3"/>
      <c r="L282" s="2">
        <v>4009</v>
      </c>
      <c r="M282" s="3"/>
      <c r="N282" s="2">
        <v>8990</v>
      </c>
      <c r="O282" s="3"/>
      <c r="P282" s="2"/>
      <c r="Q282" s="3"/>
      <c r="R282" s="2"/>
    </row>
    <row r="283" spans="2:18" s="16" customFormat="1" hidden="1" outlineLevel="2" x14ac:dyDescent="0.35">
      <c r="B283" s="11" t="str">
        <f>CONCATENATE("          ", "7731", " - ", "INV. SHRINKAGE-FOOD")</f>
        <v xml:space="preserve">          7731 - INV. SHRINKAGE-FOOD</v>
      </c>
      <c r="D283" s="2">
        <v>397</v>
      </c>
      <c r="F283" s="2">
        <v>-1970</v>
      </c>
      <c r="G283" s="3"/>
      <c r="H283" s="2">
        <v>1740</v>
      </c>
      <c r="I283" s="3"/>
      <c r="J283" s="2">
        <v>3556</v>
      </c>
      <c r="K283" s="3"/>
      <c r="L283" s="2">
        <v>-237</v>
      </c>
      <c r="M283" s="3"/>
      <c r="N283" s="2">
        <v>6964</v>
      </c>
      <c r="O283" s="3"/>
      <c r="P283" s="2"/>
      <c r="Q283" s="3"/>
      <c r="R283" s="2"/>
    </row>
    <row r="284" spans="2:18" s="16" customFormat="1" hidden="1" outlineLevel="2" x14ac:dyDescent="0.35">
      <c r="B284" s="11" t="str">
        <f>CONCATENATE("          ", "7732", " - ", "INV. SHRINKAGE-JUICE")</f>
        <v xml:space="preserve">          7732 - INV. SHRINKAGE-JUICE</v>
      </c>
      <c r="D284" s="2">
        <v>-1072</v>
      </c>
      <c r="F284" s="2">
        <v>-592</v>
      </c>
      <c r="G284" s="3"/>
      <c r="H284" s="2">
        <v>-221</v>
      </c>
      <c r="I284" s="3"/>
      <c r="J284" s="2">
        <v>-740</v>
      </c>
      <c r="K284" s="3"/>
      <c r="L284" s="2">
        <v>-181</v>
      </c>
      <c r="M284" s="3"/>
      <c r="N284" s="2">
        <v>-1942</v>
      </c>
      <c r="O284" s="3"/>
      <c r="P284" s="2"/>
      <c r="Q284" s="3"/>
      <c r="R284" s="2"/>
    </row>
    <row r="285" spans="2:18" s="16" customFormat="1" hidden="1" outlineLevel="2" x14ac:dyDescent="0.35">
      <c r="B285" s="11" t="str">
        <f>CONCATENATE("          ", "7733", " - ", "INV. SHRINKAGE-CANDY")</f>
        <v xml:space="preserve">          7733 - INV. SHRINKAGE-CANDY</v>
      </c>
      <c r="D285" s="2">
        <v>971</v>
      </c>
      <c r="F285" s="2">
        <v>1694</v>
      </c>
      <c r="G285" s="3"/>
      <c r="H285" s="2">
        <v>72</v>
      </c>
      <c r="I285" s="3"/>
      <c r="J285" s="2">
        <v>-1683</v>
      </c>
      <c r="K285" s="3"/>
      <c r="L285" s="2">
        <v>-289</v>
      </c>
      <c r="M285" s="3"/>
      <c r="N285" s="2">
        <v>2710</v>
      </c>
      <c r="O285" s="3"/>
      <c r="P285" s="2"/>
      <c r="Q285" s="3"/>
      <c r="R285" s="2"/>
    </row>
    <row r="286" spans="2:18" s="16" customFormat="1" hidden="1" outlineLevel="2" x14ac:dyDescent="0.35">
      <c r="B286" s="11" t="str">
        <f>CONCATENATE("          ", "7734", " - ", "INV. SHRINKAGE-SODA")</f>
        <v xml:space="preserve">          7734 - INV. SHRINKAGE-SODA</v>
      </c>
      <c r="D286" s="2">
        <v>13</v>
      </c>
      <c r="F286" s="2">
        <v>-258</v>
      </c>
      <c r="G286" s="3"/>
      <c r="H286" s="2">
        <v>-392</v>
      </c>
      <c r="I286" s="3"/>
      <c r="J286" s="2">
        <v>-302</v>
      </c>
      <c r="K286" s="3"/>
      <c r="L286" s="2">
        <v>478</v>
      </c>
      <c r="M286" s="3"/>
      <c r="N286" s="2">
        <v>1253</v>
      </c>
      <c r="O286" s="3"/>
      <c r="P286" s="2"/>
      <c r="Q286" s="3"/>
      <c r="R286" s="2"/>
    </row>
    <row r="287" spans="2:18" s="16" customFormat="1" hidden="1" outlineLevel="2" x14ac:dyDescent="0.35">
      <c r="B287" s="11" t="str">
        <f>CONCATENATE("          ", "7735", " - ", "INV. SHRINKAGE-HEALTH/BEAUTY")</f>
        <v xml:space="preserve">          7735 - INV. SHRINKAGE-HEALTH/BEAUTY</v>
      </c>
      <c r="D287" s="2">
        <v>-87</v>
      </c>
      <c r="F287" s="2">
        <v>-265</v>
      </c>
      <c r="G287" s="3"/>
      <c r="H287" s="2">
        <v>91</v>
      </c>
      <c r="I287" s="3"/>
      <c r="J287" s="2">
        <v>222</v>
      </c>
      <c r="K287" s="3"/>
      <c r="L287" s="2">
        <v>-288</v>
      </c>
      <c r="M287" s="3"/>
      <c r="N287" s="2">
        <v>369</v>
      </c>
      <c r="O287" s="3"/>
      <c r="P287" s="2"/>
      <c r="Q287" s="3"/>
      <c r="R287" s="2"/>
    </row>
    <row r="288" spans="2:18" s="16" customFormat="1" hidden="1" outlineLevel="2" x14ac:dyDescent="0.35">
      <c r="B288" s="11" t="str">
        <f>CONCATENATE("          ", "7737", " - ", "INV. SHRINKAGE-WATER")</f>
        <v xml:space="preserve">          7737 - INV. SHRINKAGE-WATER</v>
      </c>
      <c r="D288" s="2">
        <v>-148</v>
      </c>
      <c r="F288" s="2">
        <v>-161</v>
      </c>
      <c r="G288" s="3"/>
      <c r="H288" s="2">
        <v>-2570</v>
      </c>
      <c r="I288" s="3"/>
      <c r="J288" s="2">
        <v>-72</v>
      </c>
      <c r="K288" s="3"/>
      <c r="L288" s="2">
        <v>-128</v>
      </c>
      <c r="M288" s="3"/>
      <c r="N288" s="2">
        <v>763</v>
      </c>
      <c r="O288" s="3"/>
      <c r="P288" s="2"/>
      <c r="Q288" s="3"/>
      <c r="R288" s="2"/>
    </row>
    <row r="289" spans="1:18" s="16" customFormat="1" hidden="1" outlineLevel="2" x14ac:dyDescent="0.35">
      <c r="B289" s="11" t="str">
        <f>CONCATENATE("          ", "7740", " - ", "INV. SHRINKAGE-LOGO CLOTHING")</f>
        <v xml:space="preserve">          7740 - INV. SHRINKAGE-LOGO CLOTHING</v>
      </c>
      <c r="D289" s="2">
        <v>1773</v>
      </c>
      <c r="F289" s="2">
        <v>14987</v>
      </c>
      <c r="G289" s="3"/>
      <c r="H289" s="2">
        <v>36874</v>
      </c>
      <c r="I289" s="3"/>
      <c r="J289" s="2">
        <v>39012</v>
      </c>
      <c r="K289" s="3"/>
      <c r="L289" s="2">
        <v>-33861</v>
      </c>
      <c r="M289" s="3"/>
      <c r="N289" s="2">
        <v>62007</v>
      </c>
      <c r="O289" s="3"/>
      <c r="P289" s="2"/>
      <c r="Q289" s="3"/>
      <c r="R289" s="2"/>
    </row>
    <row r="290" spans="1:18" s="16" customFormat="1" hidden="1" outlineLevel="2" x14ac:dyDescent="0.35">
      <c r="B290" s="11" t="str">
        <f>CONCATENATE("          ", "7741", " - ", "INV. SHRINKAGE-LOGO GIFTS")</f>
        <v xml:space="preserve">          7741 - INV. SHRINKAGE-LOGO GIFTS</v>
      </c>
      <c r="D290" s="2">
        <v>-1016</v>
      </c>
      <c r="F290" s="2">
        <v>2224</v>
      </c>
      <c r="G290" s="3"/>
      <c r="H290" s="2">
        <v>-7055</v>
      </c>
      <c r="I290" s="3"/>
      <c r="J290" s="2">
        <v>16045</v>
      </c>
      <c r="K290" s="3"/>
      <c r="L290" s="2">
        <v>-30911</v>
      </c>
      <c r="M290" s="3"/>
      <c r="N290" s="2">
        <v>30707</v>
      </c>
      <c r="O290" s="3"/>
      <c r="P290" s="2"/>
      <c r="Q290" s="3"/>
      <c r="R290" s="2"/>
    </row>
    <row r="291" spans="1:18" s="16" customFormat="1" hidden="1" outlineLevel="2" x14ac:dyDescent="0.35">
      <c r="B291" s="11" t="str">
        <f>CONCATENATE("          ", "7742", " - ", "INV. SHRINKAGE-EVERYDAY GIFTS")</f>
        <v xml:space="preserve">          7742 - INV. SHRINKAGE-EVERYDAY GIFTS</v>
      </c>
      <c r="D291" s="2">
        <v>3772</v>
      </c>
      <c r="F291" s="2">
        <v>-6641</v>
      </c>
      <c r="G291" s="3"/>
      <c r="H291" s="2">
        <v>-3911</v>
      </c>
      <c r="I291" s="3"/>
      <c r="J291" s="2">
        <v>-1081</v>
      </c>
      <c r="K291" s="3"/>
      <c r="L291" s="2">
        <v>10301</v>
      </c>
      <c r="M291" s="3"/>
      <c r="N291" s="2">
        <v>26197</v>
      </c>
      <c r="O291" s="3"/>
      <c r="P291" s="2"/>
      <c r="Q291" s="3"/>
      <c r="R291" s="2"/>
    </row>
    <row r="292" spans="1:18" s="16" customFormat="1" hidden="1" outlineLevel="2" x14ac:dyDescent="0.35">
      <c r="B292" s="11" t="str">
        <f>CONCATENATE("          ", "7743", " - ", "INV. SHRINKAGE-CARDS")</f>
        <v xml:space="preserve">          7743 - INV. SHRINKAGE-CARDS</v>
      </c>
      <c r="D292" s="2">
        <v>1910</v>
      </c>
      <c r="F292" s="2">
        <v>1426</v>
      </c>
      <c r="G292" s="3"/>
      <c r="H292" s="2">
        <v>-13</v>
      </c>
      <c r="I292" s="3"/>
      <c r="J292" s="2">
        <v>384</v>
      </c>
      <c r="K292" s="3"/>
      <c r="L292" s="2">
        <v>-1135</v>
      </c>
      <c r="M292" s="3"/>
      <c r="N292" s="2">
        <v>-12818</v>
      </c>
      <c r="O292" s="3"/>
      <c r="P292" s="2"/>
      <c r="Q292" s="3"/>
      <c r="R292" s="2"/>
    </row>
    <row r="293" spans="1:18" s="16" customFormat="1" hidden="1" outlineLevel="2" x14ac:dyDescent="0.35">
      <c r="B293" s="11" t="str">
        <f>CONCATENATE("          ", "7744", " - ", "INV. SHRINKAGE-ACCESSORIES")</f>
        <v xml:space="preserve">          7744 - INV. SHRINKAGE-ACCESSORIES</v>
      </c>
      <c r="D293" s="2">
        <v>-1141</v>
      </c>
      <c r="F293" s="2">
        <v>-6020</v>
      </c>
      <c r="G293" s="3"/>
      <c r="H293" s="2">
        <v>-1004</v>
      </c>
      <c r="I293" s="3"/>
      <c r="J293" s="2">
        <v>-1443</v>
      </c>
      <c r="K293" s="3"/>
      <c r="L293" s="2">
        <v>-141</v>
      </c>
      <c r="M293" s="3"/>
      <c r="N293" s="2">
        <v>-16780</v>
      </c>
      <c r="O293" s="3"/>
      <c r="P293" s="2"/>
      <c r="Q293" s="3"/>
      <c r="R293" s="2"/>
    </row>
    <row r="294" spans="1:18" s="16" customFormat="1" hidden="1" outlineLevel="2" x14ac:dyDescent="0.35">
      <c r="B294" s="11" t="str">
        <f>CONCATENATE("          ", "7745", " - ", "INV. SHRINKAGE-SPECIAL ORDERS")</f>
        <v xml:space="preserve">          7745 - INV. SHRINKAGE-SPECIAL ORDERS</v>
      </c>
      <c r="D294" s="2">
        <v>-4262</v>
      </c>
      <c r="F294" s="2">
        <v>3639</v>
      </c>
      <c r="G294" s="3"/>
      <c r="H294" s="2">
        <v>4600</v>
      </c>
      <c r="I294" s="3"/>
      <c r="J294" s="2">
        <v>-14224</v>
      </c>
      <c r="K294" s="3"/>
      <c r="L294" s="2">
        <v>-740</v>
      </c>
      <c r="M294" s="3"/>
      <c r="N294" s="2">
        <v>44531</v>
      </c>
      <c r="O294" s="3"/>
      <c r="P294" s="2"/>
      <c r="Q294" s="3"/>
      <c r="R294" s="2"/>
    </row>
    <row r="295" spans="1:18" s="16" customFormat="1" hidden="1" outlineLevel="2" x14ac:dyDescent="0.35">
      <c r="B295" s="11" t="str">
        <f>CONCATENATE("          ", "7781", " - ", "INV. SHRINKAGE-ELECTRONICS")</f>
        <v xml:space="preserve">          7781 - INV. SHRINKAGE-ELECTRONICS</v>
      </c>
      <c r="D295" s="2"/>
      <c r="F295" s="2">
        <v>58</v>
      </c>
      <c r="G295" s="3"/>
      <c r="H295" s="2">
        <v>713</v>
      </c>
      <c r="I295" s="3"/>
      <c r="J295" s="2">
        <v>-1405</v>
      </c>
      <c r="K295" s="3"/>
      <c r="L295" s="2">
        <v>98</v>
      </c>
      <c r="M295" s="3"/>
      <c r="N295" s="2">
        <v>-28</v>
      </c>
      <c r="O295" s="3"/>
      <c r="P295" s="2"/>
      <c r="Q295" s="3"/>
      <c r="R295" s="2"/>
    </row>
    <row r="296" spans="1:18" s="16" customFormat="1" hidden="1" outlineLevel="2" x14ac:dyDescent="0.35">
      <c r="B296" s="11" t="str">
        <f>CONCATENATE("          ", "7782", " - ", "INV. SHRINKAGE-COMPUTER HARDWA")</f>
        <v xml:space="preserve">          7782 - INV. SHRINKAGE-COMPUTER HARDWA</v>
      </c>
      <c r="D296" s="2"/>
      <c r="F296" s="2"/>
      <c r="G296" s="3"/>
      <c r="H296" s="2">
        <v>128</v>
      </c>
      <c r="I296" s="3"/>
      <c r="J296" s="2">
        <v>-520</v>
      </c>
      <c r="K296" s="3"/>
      <c r="L296" s="2">
        <v>-1237</v>
      </c>
      <c r="M296" s="3"/>
      <c r="N296" s="2">
        <v>69</v>
      </c>
      <c r="O296" s="3"/>
      <c r="P296" s="2"/>
      <c r="Q296" s="3"/>
      <c r="R296" s="2"/>
    </row>
    <row r="297" spans="1:18" s="16" customFormat="1" hidden="1" outlineLevel="2" x14ac:dyDescent="0.35">
      <c r="B297" s="11" t="str">
        <f>CONCATENATE("          ", "7783", " - ", "INV. SHRINKAGE-COMPUTER EQUIPM")</f>
        <v xml:space="preserve">          7783 - INV. SHRINKAGE-COMPUTER EQUIPM</v>
      </c>
      <c r="D297" s="2">
        <v>-239</v>
      </c>
      <c r="F297" s="2">
        <v>-331</v>
      </c>
      <c r="G297" s="3"/>
      <c r="H297" s="2">
        <v>89</v>
      </c>
      <c r="I297" s="3"/>
      <c r="J297" s="2">
        <v>-128</v>
      </c>
      <c r="K297" s="3"/>
      <c r="L297" s="2">
        <v>-74</v>
      </c>
      <c r="M297" s="3"/>
      <c r="N297" s="2">
        <v>266</v>
      </c>
      <c r="O297" s="3"/>
      <c r="P297" s="2"/>
      <c r="Q297" s="3"/>
      <c r="R297" s="2"/>
    </row>
    <row r="298" spans="1:18" s="16" customFormat="1" hidden="1" outlineLevel="2" x14ac:dyDescent="0.35">
      <c r="B298" s="11" t="str">
        <f>CONCATENATE("          ", "7786", " - ", "INV. SHRINKAGE-COMPUTER SUPPLI")</f>
        <v xml:space="preserve">          7786 - INV. SHRINKAGE-COMPUTER SUPPLI</v>
      </c>
      <c r="D298" s="2">
        <v>6</v>
      </c>
      <c r="F298" s="2">
        <v>-154</v>
      </c>
      <c r="G298" s="3"/>
      <c r="H298" s="2">
        <v>195</v>
      </c>
      <c r="I298" s="3"/>
      <c r="J298" s="2">
        <v>-1470</v>
      </c>
      <c r="K298" s="3"/>
      <c r="L298" s="2">
        <v>-236</v>
      </c>
      <c r="M298" s="3"/>
      <c r="N298" s="2">
        <v>38</v>
      </c>
      <c r="O298" s="3"/>
      <c r="P298" s="2"/>
      <c r="Q298" s="3"/>
      <c r="R298" s="2"/>
    </row>
    <row r="299" spans="1:18" s="16" customFormat="1" hidden="1" outlineLevel="2" x14ac:dyDescent="0.35">
      <c r="B299" s="11" t="str">
        <f>CONCATENATE("          ", "7791", " - ", "INV. SHRINKAGE-GRAD ANNOUNCEME")</f>
        <v xml:space="preserve">          7791 - INV. SHRINKAGE-GRAD ANNOUNCEME</v>
      </c>
      <c r="D299" s="2">
        <v>665</v>
      </c>
      <c r="F299" s="2">
        <v>-54</v>
      </c>
      <c r="G299" s="3"/>
      <c r="H299" s="2">
        <v>-468</v>
      </c>
      <c r="I299" s="3"/>
      <c r="J299" s="2">
        <v>-1014</v>
      </c>
      <c r="K299" s="3"/>
      <c r="L299" s="2"/>
      <c r="M299" s="3"/>
      <c r="N299" s="2"/>
      <c r="O299" s="3"/>
      <c r="P299" s="2"/>
      <c r="Q299" s="3"/>
      <c r="R299" s="2"/>
    </row>
    <row r="300" spans="1:18" s="16" customFormat="1" hidden="1" outlineLevel="2" x14ac:dyDescent="0.35">
      <c r="B300" s="11" t="str">
        <f>CONCATENATE("          ", "7792", " - ", "INV. SHRINKAGE-GRAD MERCH")</f>
        <v xml:space="preserve">          7792 - INV. SHRINKAGE-GRAD MERCH</v>
      </c>
      <c r="D300" s="2">
        <v>-8344</v>
      </c>
      <c r="F300" s="2">
        <v>668</v>
      </c>
      <c r="G300" s="3"/>
      <c r="H300" s="2">
        <v>-8318</v>
      </c>
      <c r="I300" s="3"/>
      <c r="J300" s="2">
        <v>-10227</v>
      </c>
      <c r="K300" s="3"/>
      <c r="L300" s="2">
        <v>-3925</v>
      </c>
      <c r="M300" s="3"/>
      <c r="N300" s="2">
        <v>535</v>
      </c>
      <c r="O300" s="3"/>
      <c r="P300" s="2"/>
      <c r="Q300" s="3"/>
      <c r="R300" s="2"/>
    </row>
    <row r="301" spans="1:18" s="16" customFormat="1" hidden="1" outlineLevel="2" x14ac:dyDescent="0.35">
      <c r="B301" s="11" t="str">
        <f>CONCATENATE("          ", "7795", " - ", "INV. SHRINKAGE-CUSTOMER SERVIC")</f>
        <v xml:space="preserve">          7795 - INV. SHRINKAGE-CUSTOMER SERVIC</v>
      </c>
      <c r="D301" s="2">
        <v>185</v>
      </c>
      <c r="F301" s="2">
        <v>-1730</v>
      </c>
      <c r="G301" s="3"/>
      <c r="H301" s="2">
        <v>-5292</v>
      </c>
      <c r="I301" s="3"/>
      <c r="J301" s="2">
        <v>-45</v>
      </c>
      <c r="K301" s="3"/>
      <c r="L301" s="2">
        <v>-146</v>
      </c>
      <c r="M301" s="3"/>
      <c r="N301" s="2">
        <v>-132</v>
      </c>
      <c r="O301" s="3"/>
      <c r="P301" s="2"/>
      <c r="Q301" s="3"/>
      <c r="R301" s="2"/>
    </row>
    <row r="302" spans="1:18" s="15" customFormat="1" outlineLevel="1" collapsed="1" x14ac:dyDescent="0.35">
      <c r="A302" s="7"/>
      <c r="B302" s="20" t="str">
        <f>CONCATENATE("     ","Professional Services                             ")</f>
        <v xml:space="preserve">     Professional Services                             </v>
      </c>
      <c r="C302" s="7"/>
      <c r="D302" s="1">
        <f>SUM(OSRRefD21_15x_0)</f>
        <v>44412.9</v>
      </c>
      <c r="E302" s="19"/>
      <c r="F302" s="1">
        <f>SUM(OSRRefF21_15x_0)</f>
        <v>24022.54</v>
      </c>
      <c r="G302" s="4"/>
      <c r="H302" s="1">
        <f>SUM(OSRRefH21_15x_0)</f>
        <v>44937.55</v>
      </c>
      <c r="I302" s="4"/>
      <c r="J302" s="1">
        <f>SUM(OSRRefJ21_15x_0)</f>
        <v>31295.96</v>
      </c>
      <c r="K302" s="4"/>
      <c r="L302" s="1">
        <f>SUM(OSRRefL21_15x_0)</f>
        <v>8276.43</v>
      </c>
      <c r="M302" s="4"/>
      <c r="N302" s="1">
        <f>SUM(OSRRefN21_15x_0)</f>
        <v>17571.52</v>
      </c>
      <c r="O302" s="4"/>
      <c r="P302" s="1">
        <f>SUM(OSRRefP21_15x_0)</f>
        <v>7300</v>
      </c>
      <c r="Q302" s="4"/>
      <c r="R302" s="1">
        <f>SUM(OSRRefR21_15x_0)</f>
        <v>1750</v>
      </c>
    </row>
    <row r="303" spans="1:18" s="16" customFormat="1" hidden="1" outlineLevel="2" x14ac:dyDescent="0.35">
      <c r="B303" s="11" t="str">
        <f>CONCATENATE("          ", "6332", " - ", "CONSULTANT FEES")</f>
        <v xml:space="preserve">          6332 - CONSULTANT FEES</v>
      </c>
      <c r="D303" s="2">
        <v>27177.82</v>
      </c>
      <c r="F303" s="2">
        <v>24022.54</v>
      </c>
      <c r="G303" s="3"/>
      <c r="H303" s="2">
        <v>4355.7700000000004</v>
      </c>
      <c r="I303" s="3"/>
      <c r="J303" s="2">
        <v>2204.5</v>
      </c>
      <c r="K303" s="3"/>
      <c r="L303" s="2"/>
      <c r="M303" s="3"/>
      <c r="N303" s="2"/>
      <c r="O303" s="3"/>
      <c r="P303" s="2"/>
      <c r="Q303" s="3"/>
      <c r="R303" s="2"/>
    </row>
    <row r="304" spans="1:18" s="16" customFormat="1" hidden="1" outlineLevel="2" x14ac:dyDescent="0.35">
      <c r="B304" s="11" t="str">
        <f>CONCATENATE("          ", "6336", " - ", "PROFESSIONAL SERVICES")</f>
        <v xml:space="preserve">          6336 - PROFESSIONAL SERVICES</v>
      </c>
      <c r="D304" s="2">
        <v>17235.080000000002</v>
      </c>
      <c r="F304" s="2"/>
      <c r="G304" s="3"/>
      <c r="H304" s="2">
        <v>40581.78</v>
      </c>
      <c r="I304" s="3"/>
      <c r="J304" s="2">
        <v>29091.46</v>
      </c>
      <c r="K304" s="3"/>
      <c r="L304" s="2">
        <v>8276.43</v>
      </c>
      <c r="M304" s="3"/>
      <c r="N304" s="2">
        <v>17571.52</v>
      </c>
      <c r="O304" s="3"/>
      <c r="P304" s="2">
        <v>7300</v>
      </c>
      <c r="Q304" s="3"/>
      <c r="R304" s="2">
        <v>1750</v>
      </c>
    </row>
    <row r="305" spans="1:18" s="15" customFormat="1" outlineLevel="1" collapsed="1" x14ac:dyDescent="0.35">
      <c r="A305" s="7"/>
      <c r="B305" s="20" t="str">
        <f>CONCATENATE("     ","Rent                                              ")</f>
        <v xml:space="preserve">     Rent                                              </v>
      </c>
      <c r="C305" s="7"/>
      <c r="D305" s="1">
        <f>SUM(OSRRefD21_16x_0)</f>
        <v>91900</v>
      </c>
      <c r="E305" s="19"/>
      <c r="F305" s="1">
        <f>SUM(OSRRefF21_16x_0)</f>
        <v>92400</v>
      </c>
      <c r="G305" s="4"/>
      <c r="H305" s="1">
        <f>SUM(OSRRefH21_16x_0)</f>
        <v>95284</v>
      </c>
      <c r="I305" s="4"/>
      <c r="J305" s="1">
        <f>SUM(OSRRefJ21_16x_0)</f>
        <v>93362.38</v>
      </c>
      <c r="K305" s="4"/>
      <c r="L305" s="1">
        <f>SUM(OSRRefL21_16x_0)</f>
        <v>87901.08</v>
      </c>
      <c r="M305" s="4"/>
      <c r="N305" s="1">
        <f>SUM(OSRRefN21_16x_0)</f>
        <v>88600</v>
      </c>
      <c r="O305" s="4"/>
      <c r="P305" s="1">
        <f>SUM(OSRRefP21_16x_0)</f>
        <v>73201</v>
      </c>
      <c r="Q305" s="4"/>
      <c r="R305" s="1">
        <f>SUM(OSRRefR21_16x_0)</f>
        <v>73200</v>
      </c>
    </row>
    <row r="306" spans="1:18" s="16" customFormat="1" hidden="1" outlineLevel="2" x14ac:dyDescent="0.35">
      <c r="B306" s="11" t="str">
        <f>CONCATENATE("          ", "6273", " - ", "RENT")</f>
        <v xml:space="preserve">          6273 - RENT</v>
      </c>
      <c r="D306" s="2">
        <v>91900</v>
      </c>
      <c r="F306" s="2">
        <v>92400</v>
      </c>
      <c r="G306" s="3"/>
      <c r="H306" s="2">
        <v>95284</v>
      </c>
      <c r="I306" s="3"/>
      <c r="J306" s="2">
        <v>93362.38</v>
      </c>
      <c r="K306" s="3"/>
      <c r="L306" s="2">
        <v>87901.08</v>
      </c>
      <c r="M306" s="3"/>
      <c r="N306" s="2">
        <v>88600</v>
      </c>
      <c r="O306" s="3"/>
      <c r="P306" s="2">
        <v>73201</v>
      </c>
      <c r="Q306" s="3"/>
      <c r="R306" s="2">
        <v>73200</v>
      </c>
    </row>
    <row r="307" spans="1:18" s="15" customFormat="1" outlineLevel="1" collapsed="1" x14ac:dyDescent="0.35">
      <c r="A307" s="7"/>
      <c r="B307" s="20" t="str">
        <f>CONCATENATE("     ","Repair and Maintenance                            ")</f>
        <v xml:space="preserve">     Repair and Maintenance                            </v>
      </c>
      <c r="C307" s="7"/>
      <c r="D307" s="1">
        <f>SUM(OSRRefD21_17x_0)</f>
        <v>243152.53</v>
      </c>
      <c r="E307" s="19"/>
      <c r="F307" s="1">
        <f>SUM(OSRRefF21_17x_0)</f>
        <v>248865.19999999998</v>
      </c>
      <c r="G307" s="4"/>
      <c r="H307" s="1">
        <f>SUM(OSRRefH21_17x_0)</f>
        <v>319189.98</v>
      </c>
      <c r="I307" s="4"/>
      <c r="J307" s="1">
        <f>SUM(OSRRefJ21_17x_0)</f>
        <v>195236.02000000002</v>
      </c>
      <c r="K307" s="4"/>
      <c r="L307" s="1">
        <f>SUM(OSRRefL21_17x_0)</f>
        <v>241752.97</v>
      </c>
      <c r="M307" s="4"/>
      <c r="N307" s="1">
        <f>SUM(OSRRefN21_17x_0)</f>
        <v>177850.52000000002</v>
      </c>
      <c r="O307" s="4"/>
      <c r="P307" s="1">
        <f>SUM(OSRRefP21_17x_0)</f>
        <v>239962</v>
      </c>
      <c r="Q307" s="4"/>
      <c r="R307" s="1">
        <f>SUM(OSRRefR21_17x_0)</f>
        <v>187767</v>
      </c>
    </row>
    <row r="308" spans="1:18" s="16" customFormat="1" hidden="1" outlineLevel="2" x14ac:dyDescent="0.35">
      <c r="B308" s="11" t="str">
        <f>CONCATENATE("          ", "6371", " - ", "COMPUTER SOFTWARE MAINTENANCE")</f>
        <v xml:space="preserve">          6371 - COMPUTER SOFTWARE MAINTENANCE</v>
      </c>
      <c r="D308" s="2">
        <v>55703</v>
      </c>
      <c r="F308" s="2">
        <v>56371</v>
      </c>
      <c r="G308" s="3"/>
      <c r="H308" s="2">
        <v>103416.17</v>
      </c>
      <c r="I308" s="3"/>
      <c r="J308" s="2">
        <v>22203.75</v>
      </c>
      <c r="K308" s="3"/>
      <c r="L308" s="2">
        <v>101136.83</v>
      </c>
      <c r="M308" s="3"/>
      <c r="N308" s="2">
        <v>29910.48</v>
      </c>
      <c r="O308" s="3"/>
      <c r="P308" s="2">
        <v>57043</v>
      </c>
      <c r="Q308" s="3"/>
      <c r="R308" s="2">
        <v>53723</v>
      </c>
    </row>
    <row r="309" spans="1:18" s="16" customFormat="1" hidden="1" outlineLevel="2" x14ac:dyDescent="0.35">
      <c r="B309" s="11" t="str">
        <f>CONCATENATE("          ", "6372", " - ", "COMPUTER HARDWARE MAINTENANCE")</f>
        <v xml:space="preserve">          6372 - COMPUTER HARDWARE MAINTENANCE</v>
      </c>
      <c r="D309" s="2">
        <v>174.3</v>
      </c>
      <c r="F309" s="2">
        <v>12.74</v>
      </c>
      <c r="G309" s="3"/>
      <c r="H309" s="2">
        <v>-0.4</v>
      </c>
      <c r="I309" s="3"/>
      <c r="J309" s="2">
        <v>29.05</v>
      </c>
      <c r="K309" s="3"/>
      <c r="L309" s="2">
        <v>51.79</v>
      </c>
      <c r="M309" s="3"/>
      <c r="N309" s="2">
        <v>50.32</v>
      </c>
      <c r="O309" s="3"/>
      <c r="P309" s="2">
        <v>437</v>
      </c>
      <c r="Q309" s="3"/>
      <c r="R309" s="2">
        <v>41620</v>
      </c>
    </row>
    <row r="310" spans="1:18" s="16" customFormat="1" hidden="1" outlineLevel="2" x14ac:dyDescent="0.35">
      <c r="B310" s="11" t="str">
        <f>CONCATENATE("          ", "6373", " - ", "MAINTENANCE CONTRACTS")</f>
        <v xml:space="preserve">          6373 - MAINTENANCE CONTRACTS</v>
      </c>
      <c r="D310" s="2">
        <v>147506.94</v>
      </c>
      <c r="F310" s="2">
        <v>134981.44</v>
      </c>
      <c r="G310" s="3"/>
      <c r="H310" s="2">
        <v>106902.21</v>
      </c>
      <c r="I310" s="3"/>
      <c r="J310" s="2">
        <v>110389.55</v>
      </c>
      <c r="K310" s="3"/>
      <c r="L310" s="2">
        <v>94071.89</v>
      </c>
      <c r="M310" s="3"/>
      <c r="N310" s="2">
        <v>92321.3</v>
      </c>
      <c r="O310" s="3"/>
      <c r="P310" s="2">
        <v>77711</v>
      </c>
      <c r="Q310" s="3"/>
      <c r="R310" s="2">
        <v>87234</v>
      </c>
    </row>
    <row r="311" spans="1:18" s="16" customFormat="1" hidden="1" outlineLevel="2" x14ac:dyDescent="0.35">
      <c r="B311" s="11" t="str">
        <f>CONCATENATE("          ", "6375", " - ", "OUTSIDE REPAIRS &amp; MAINTENANCE")</f>
        <v xml:space="preserve">          6375 - OUTSIDE REPAIRS &amp; MAINTENANCE</v>
      </c>
      <c r="D311" s="2">
        <v>39768.29</v>
      </c>
      <c r="F311" s="2">
        <v>57500.02</v>
      </c>
      <c r="G311" s="3"/>
      <c r="H311" s="2">
        <v>108872</v>
      </c>
      <c r="I311" s="3"/>
      <c r="J311" s="2">
        <v>62613.67</v>
      </c>
      <c r="K311" s="3"/>
      <c r="L311" s="2">
        <v>46492.46</v>
      </c>
      <c r="M311" s="3"/>
      <c r="N311" s="2">
        <v>55568.42</v>
      </c>
      <c r="O311" s="3"/>
      <c r="P311" s="2">
        <v>104771</v>
      </c>
      <c r="Q311" s="3"/>
      <c r="R311" s="2">
        <v>5190</v>
      </c>
    </row>
    <row r="312" spans="1:18" s="15" customFormat="1" outlineLevel="1" collapsed="1" x14ac:dyDescent="0.35">
      <c r="A312" s="7"/>
      <c r="B312" s="20" t="str">
        <f>CONCATENATE("     ","Royalty &amp; Commissions                             ")</f>
        <v xml:space="preserve">     Royalty &amp; Commissions                             </v>
      </c>
      <c r="C312" s="7"/>
      <c r="D312" s="1">
        <f>SUM(OSRRefD21_18x_0)</f>
        <v>196086.8</v>
      </c>
      <c r="E312" s="19"/>
      <c r="F312" s="1">
        <f>SUM(OSRRefF21_18x_0)</f>
        <v>235698.96</v>
      </c>
      <c r="G312" s="4"/>
      <c r="H312" s="1">
        <f>SUM(OSRRefH21_18x_0)</f>
        <v>230418.92</v>
      </c>
      <c r="I312" s="4"/>
      <c r="J312" s="1">
        <f>SUM(OSRRefJ21_18x_0)</f>
        <v>201720.15000000002</v>
      </c>
      <c r="K312" s="4"/>
      <c r="L312" s="1">
        <f>SUM(OSRRefL21_18x_0)</f>
        <v>201770.28999999998</v>
      </c>
      <c r="M312" s="4"/>
      <c r="N312" s="1">
        <f>SUM(OSRRefN21_18x_0)</f>
        <v>148005.54</v>
      </c>
      <c r="O312" s="4"/>
      <c r="P312" s="1">
        <f>SUM(OSRRefP21_18x_0)</f>
        <v>121722</v>
      </c>
      <c r="Q312" s="4"/>
      <c r="R312" s="1">
        <f>SUM(OSRRefR21_18x_0)</f>
        <v>123180</v>
      </c>
    </row>
    <row r="313" spans="1:18" s="16" customFormat="1" hidden="1" outlineLevel="2" x14ac:dyDescent="0.35">
      <c r="B313" s="11" t="str">
        <f>CONCATENATE("          ", "6252", " - ", "ROYALTY DUE CSTV")</f>
        <v xml:space="preserve">          6252 - ROYALTY DUE CSTV</v>
      </c>
      <c r="D313" s="2">
        <v>13851.28</v>
      </c>
      <c r="F313" s="2">
        <v>13563.83</v>
      </c>
      <c r="G313" s="3"/>
      <c r="H313" s="2">
        <v>9575.91</v>
      </c>
      <c r="I313" s="3"/>
      <c r="J313" s="2">
        <v>8647.8700000000008</v>
      </c>
      <c r="K313" s="3"/>
      <c r="L313" s="2"/>
      <c r="M313" s="3"/>
      <c r="N313" s="2"/>
      <c r="O313" s="3"/>
      <c r="P313" s="2">
        <v>13020</v>
      </c>
      <c r="Q313" s="3"/>
      <c r="R313" s="2">
        <v>19008</v>
      </c>
    </row>
    <row r="314" spans="1:18" s="16" customFormat="1" hidden="1" outlineLevel="2" x14ac:dyDescent="0.35">
      <c r="B314" s="11" t="str">
        <f>CONCATENATE("          ", "6253", " - ", "ROYALTY DUE ATHLETICS-LRG")</f>
        <v xml:space="preserve">          6253 - ROYALTY DUE ATHLETICS-LRG</v>
      </c>
      <c r="D314" s="2">
        <v>22772.2</v>
      </c>
      <c r="F314" s="2">
        <v>30884.55</v>
      </c>
      <c r="G314" s="3"/>
      <c r="H314" s="2">
        <v>27720.32</v>
      </c>
      <c r="I314" s="3"/>
      <c r="J314" s="2">
        <v>24884.23</v>
      </c>
      <c r="K314" s="3"/>
      <c r="L314" s="2">
        <v>41365.99</v>
      </c>
      <c r="M314" s="3"/>
      <c r="N314" s="2">
        <v>32870.44</v>
      </c>
      <c r="O314" s="3"/>
      <c r="P314" s="2">
        <v>48444</v>
      </c>
      <c r="Q314" s="3"/>
      <c r="R314" s="2">
        <v>38502</v>
      </c>
    </row>
    <row r="315" spans="1:18" s="16" customFormat="1" hidden="1" outlineLevel="2" x14ac:dyDescent="0.35">
      <c r="B315" s="11" t="str">
        <f>CONCATENATE("          ", "6254", " - ", "ROYALTY &amp; COMMISSIONS")</f>
        <v xml:space="preserve">          6254 - ROYALTY &amp; COMMISSIONS</v>
      </c>
      <c r="D315" s="2">
        <v>30889.88</v>
      </c>
      <c r="F315" s="2">
        <v>35037.589999999997</v>
      </c>
      <c r="G315" s="3"/>
      <c r="H315" s="2">
        <v>57331.15</v>
      </c>
      <c r="I315" s="3"/>
      <c r="J315" s="2">
        <v>44661.72</v>
      </c>
      <c r="K315" s="3"/>
      <c r="L315" s="2">
        <v>45632.56</v>
      </c>
      <c r="M315" s="3"/>
      <c r="N315" s="2">
        <v>32527.360000000001</v>
      </c>
      <c r="O315" s="3"/>
      <c r="P315" s="2">
        <v>13788</v>
      </c>
      <c r="Q315" s="3"/>
      <c r="R315" s="2">
        <v>4500</v>
      </c>
    </row>
    <row r="316" spans="1:18" s="16" customFormat="1" hidden="1" outlineLevel="2" x14ac:dyDescent="0.35">
      <c r="B316" s="11" t="str">
        <f>CONCATENATE("          ", "6255", " - ", "COMMISSIONS-PENNY/COPY/UNIPRIN")</f>
        <v xml:space="preserve">          6255 - COMMISSIONS-PENNY/COPY/UNIPRIN</v>
      </c>
      <c r="D316" s="2">
        <v>77184.759999999995</v>
      </c>
      <c r="F316" s="2"/>
      <c r="G316" s="3"/>
      <c r="H316" s="2"/>
      <c r="I316" s="3"/>
      <c r="J316" s="2"/>
      <c r="K316" s="3"/>
      <c r="L316" s="2"/>
      <c r="M316" s="3"/>
      <c r="N316" s="2"/>
      <c r="O316" s="3"/>
      <c r="P316" s="2"/>
      <c r="Q316" s="3"/>
      <c r="R316" s="2"/>
    </row>
    <row r="317" spans="1:18" s="16" customFormat="1" hidden="1" outlineLevel="2" x14ac:dyDescent="0.35">
      <c r="B317" s="11" t="str">
        <f>CONCATENATE("          ", "6259", " - ", "ROYALTY &amp; COMMISSIONS")</f>
        <v xml:space="preserve">          6259 - ROYALTY &amp; COMMISSIONS</v>
      </c>
      <c r="D317" s="2">
        <v>51388.68</v>
      </c>
      <c r="F317" s="2">
        <v>156212.99</v>
      </c>
      <c r="G317" s="3"/>
      <c r="H317" s="2">
        <v>135791.54</v>
      </c>
      <c r="I317" s="3"/>
      <c r="J317" s="2">
        <v>123526.33</v>
      </c>
      <c r="K317" s="3"/>
      <c r="L317" s="2">
        <v>114771.74</v>
      </c>
      <c r="M317" s="3"/>
      <c r="N317" s="2">
        <v>82607.740000000005</v>
      </c>
      <c r="O317" s="3"/>
      <c r="P317" s="2">
        <v>46470</v>
      </c>
      <c r="Q317" s="3"/>
      <c r="R317" s="2">
        <v>61170</v>
      </c>
    </row>
    <row r="318" spans="1:18" s="15" customFormat="1" outlineLevel="1" collapsed="1" x14ac:dyDescent="0.35">
      <c r="A318" s="7"/>
      <c r="B318" s="20" t="str">
        <f>CONCATENATE("     ","Services                                          ")</f>
        <v xml:space="preserve">     Services                                          </v>
      </c>
      <c r="C318" s="7"/>
      <c r="D318" s="1">
        <f>SUM(OSRRefD21_19x_0)</f>
        <v>73884.34</v>
      </c>
      <c r="E318" s="19"/>
      <c r="F318" s="1">
        <f>SUM(OSRRefF21_19x_0)</f>
        <v>73182.5</v>
      </c>
      <c r="G318" s="4"/>
      <c r="H318" s="1">
        <f>SUM(OSRRefH21_19x_0)</f>
        <v>75461.86</v>
      </c>
      <c r="I318" s="4"/>
      <c r="J318" s="1">
        <f>SUM(OSRRefJ21_19x_0)</f>
        <v>65617.350000000006</v>
      </c>
      <c r="K318" s="4"/>
      <c r="L318" s="1">
        <f>SUM(OSRRefL21_19x_0)</f>
        <v>73407.48000000001</v>
      </c>
      <c r="M318" s="4"/>
      <c r="N318" s="1">
        <f>SUM(OSRRefN21_19x_0)</f>
        <v>87476.09</v>
      </c>
      <c r="O318" s="4"/>
      <c r="P318" s="1">
        <f>SUM(OSRRefP21_19x_0)</f>
        <v>68452</v>
      </c>
      <c r="Q318" s="4"/>
      <c r="R318" s="1">
        <f>SUM(OSRRefR21_19x_0)</f>
        <v>55781</v>
      </c>
    </row>
    <row r="319" spans="1:18" s="16" customFormat="1" hidden="1" outlineLevel="2" x14ac:dyDescent="0.35">
      <c r="B319" s="11" t="str">
        <f>CONCATENATE("          ", "6281", " - ", "STORAGE FEE")</f>
        <v xml:space="preserve">          6281 - STORAGE FEE</v>
      </c>
      <c r="D319" s="2"/>
      <c r="F319" s="2"/>
      <c r="G319" s="3"/>
      <c r="H319" s="2">
        <v>40</v>
      </c>
      <c r="I319" s="3"/>
      <c r="J319" s="2"/>
      <c r="K319" s="3"/>
      <c r="L319" s="2"/>
      <c r="M319" s="3"/>
      <c r="N319" s="2"/>
      <c r="O319" s="3"/>
      <c r="P319" s="2"/>
      <c r="Q319" s="3"/>
      <c r="R319" s="2"/>
    </row>
    <row r="320" spans="1:18" s="16" customFormat="1" hidden="1" outlineLevel="2" x14ac:dyDescent="0.35">
      <c r="B320" s="11" t="str">
        <f>CONCATENATE("          ", "6282", " - ", "JANITORIAL/EXTERMINATOR EXPENS")</f>
        <v xml:space="preserve">          6282 - JANITORIAL/EXTERMINATOR EXPENS</v>
      </c>
      <c r="D320" s="2">
        <v>8596.0499999999993</v>
      </c>
      <c r="F320" s="2">
        <v>7799.19</v>
      </c>
      <c r="G320" s="3"/>
      <c r="H320" s="2">
        <v>10776.22</v>
      </c>
      <c r="I320" s="3"/>
      <c r="J320" s="2">
        <v>11185.03</v>
      </c>
      <c r="K320" s="3"/>
      <c r="L320" s="2">
        <v>9876.8700000000008</v>
      </c>
      <c r="M320" s="3"/>
      <c r="N320" s="2">
        <v>10503.67</v>
      </c>
      <c r="O320" s="3"/>
      <c r="P320" s="2">
        <v>49616</v>
      </c>
      <c r="Q320" s="3"/>
      <c r="R320" s="2">
        <v>54438</v>
      </c>
    </row>
    <row r="321" spans="1:18" s="16" customFormat="1" hidden="1" outlineLevel="2" x14ac:dyDescent="0.35">
      <c r="B321" s="11" t="str">
        <f>CONCATENATE("          ", "6283", " - ", "PLANT SERVICE")</f>
        <v xml:space="preserve">          6283 - PLANT SERVICE</v>
      </c>
      <c r="D321" s="2">
        <v>2990.32</v>
      </c>
      <c r="F321" s="2">
        <v>2076</v>
      </c>
      <c r="G321" s="3"/>
      <c r="H321" s="2">
        <v>2223.3000000000002</v>
      </c>
      <c r="I321" s="3"/>
      <c r="J321" s="2">
        <v>2527.63</v>
      </c>
      <c r="K321" s="3"/>
      <c r="L321" s="2">
        <v>2206.16</v>
      </c>
      <c r="M321" s="3"/>
      <c r="N321" s="2">
        <v>541.98</v>
      </c>
      <c r="O321" s="3"/>
      <c r="P321" s="2">
        <v>0</v>
      </c>
      <c r="Q321" s="3"/>
      <c r="R321" s="2"/>
    </row>
    <row r="322" spans="1:18" s="16" customFormat="1" hidden="1" outlineLevel="2" x14ac:dyDescent="0.35">
      <c r="B322" s="11" t="str">
        <f>CONCATENATE("          ", "6284", " - ", "TRASH REMOVAL EXPENSE")</f>
        <v xml:space="preserve">          6284 - TRASH REMOVAL EXPENSE</v>
      </c>
      <c r="D322" s="2">
        <v>2232.38</v>
      </c>
      <c r="F322" s="2">
        <v>2556.9699999999998</v>
      </c>
      <c r="G322" s="3"/>
      <c r="H322" s="2">
        <v>2054.2800000000002</v>
      </c>
      <c r="I322" s="3"/>
      <c r="J322" s="2">
        <v>3458.16</v>
      </c>
      <c r="K322" s="3"/>
      <c r="L322" s="2">
        <v>4872.25</v>
      </c>
      <c r="M322" s="3"/>
      <c r="N322" s="2">
        <v>7533.84</v>
      </c>
      <c r="O322" s="3"/>
      <c r="P322" s="2">
        <v>4243</v>
      </c>
      <c r="Q322" s="3"/>
      <c r="R322" s="2">
        <v>960</v>
      </c>
    </row>
    <row r="323" spans="1:18" s="16" customFormat="1" hidden="1" outlineLevel="2" x14ac:dyDescent="0.35">
      <c r="B323" s="11" t="str">
        <f>CONCATENATE("          ", "6285", " - ", "JANITORIAL SERVICES")</f>
        <v xml:space="preserve">          6285 - JANITORIAL SERVICES</v>
      </c>
      <c r="D323" s="2">
        <v>59992.14</v>
      </c>
      <c r="F323" s="2">
        <v>60750.34</v>
      </c>
      <c r="G323" s="3"/>
      <c r="H323" s="2">
        <v>60321.72</v>
      </c>
      <c r="I323" s="3"/>
      <c r="J323" s="2">
        <v>46715.86</v>
      </c>
      <c r="K323" s="3"/>
      <c r="L323" s="2">
        <v>48725.13</v>
      </c>
      <c r="M323" s="3"/>
      <c r="N323" s="2">
        <v>62709.43</v>
      </c>
      <c r="O323" s="3"/>
      <c r="P323" s="2">
        <v>13352</v>
      </c>
      <c r="Q323" s="3"/>
      <c r="R323" s="2"/>
    </row>
    <row r="324" spans="1:18" s="16" customFormat="1" hidden="1" outlineLevel="2" x14ac:dyDescent="0.35">
      <c r="B324" s="11" t="str">
        <f>CONCATENATE("          ", "6286", " - ", "LAUNDRY EXPENSE")</f>
        <v xml:space="preserve">          6286 - LAUNDRY EXPENSE</v>
      </c>
      <c r="D324" s="2">
        <v>73.45</v>
      </c>
      <c r="F324" s="2"/>
      <c r="G324" s="3"/>
      <c r="H324" s="2">
        <v>46.34</v>
      </c>
      <c r="I324" s="3"/>
      <c r="J324" s="2">
        <v>1730.67</v>
      </c>
      <c r="K324" s="3"/>
      <c r="L324" s="2">
        <v>7727.07</v>
      </c>
      <c r="M324" s="3"/>
      <c r="N324" s="2">
        <v>6187.17</v>
      </c>
      <c r="O324" s="3"/>
      <c r="P324" s="2">
        <v>1241</v>
      </c>
      <c r="Q324" s="3"/>
      <c r="R324" s="2">
        <v>383</v>
      </c>
    </row>
    <row r="325" spans="1:18" s="15" customFormat="1" outlineLevel="1" collapsed="1" x14ac:dyDescent="0.35">
      <c r="A325" s="7"/>
      <c r="B325" s="20" t="str">
        <f>CONCATENATE("     ","Subscriptions &amp; Dues                              ")</f>
        <v xml:space="preserve">     Subscriptions &amp; Dues                              </v>
      </c>
      <c r="C325" s="7"/>
      <c r="D325" s="1">
        <f>SUM(OSRRefD21_20x_0)</f>
        <v>80661.37</v>
      </c>
      <c r="E325" s="19"/>
      <c r="F325" s="1">
        <f>SUM(OSRRefF21_20x_0)</f>
        <v>65555.66</v>
      </c>
      <c r="G325" s="4"/>
      <c r="H325" s="1">
        <f>SUM(OSRRefH21_20x_0)</f>
        <v>38774.410000000003</v>
      </c>
      <c r="I325" s="4"/>
      <c r="J325" s="1">
        <f>SUM(OSRRefJ21_20x_0)</f>
        <v>44608.31</v>
      </c>
      <c r="K325" s="4"/>
      <c r="L325" s="1">
        <f>SUM(OSRRefL21_20x_0)</f>
        <v>25333.439999999999</v>
      </c>
      <c r="M325" s="4"/>
      <c r="N325" s="1">
        <f>SUM(OSRRefN21_20x_0)</f>
        <v>9871.2999999999993</v>
      </c>
      <c r="O325" s="4"/>
      <c r="P325" s="1">
        <f>SUM(OSRRefP21_20x_0)</f>
        <v>18707</v>
      </c>
      <c r="Q325" s="4"/>
      <c r="R325" s="1">
        <f>SUM(OSRRefR21_20x_0)</f>
        <v>13547</v>
      </c>
    </row>
    <row r="326" spans="1:18" s="16" customFormat="1" hidden="1" outlineLevel="2" x14ac:dyDescent="0.35">
      <c r="B326" s="11" t="str">
        <f>CONCATENATE("          ", "6258", " - ", "MEMBERSHIP DUES")</f>
        <v xml:space="preserve">          6258 - MEMBERSHIP DUES</v>
      </c>
      <c r="D326" s="2">
        <v>76458.58</v>
      </c>
      <c r="F326" s="2">
        <v>55412.08</v>
      </c>
      <c r="G326" s="3"/>
      <c r="H326" s="2">
        <v>33379.25</v>
      </c>
      <c r="I326" s="3"/>
      <c r="J326" s="2">
        <v>38362.71</v>
      </c>
      <c r="K326" s="3"/>
      <c r="L326" s="2">
        <v>14346.88</v>
      </c>
      <c r="M326" s="3"/>
      <c r="N326" s="2">
        <v>5667.66</v>
      </c>
      <c r="O326" s="3"/>
      <c r="P326" s="2">
        <v>14795</v>
      </c>
      <c r="Q326" s="3"/>
      <c r="R326" s="2">
        <v>10195</v>
      </c>
    </row>
    <row r="327" spans="1:18" s="16" customFormat="1" hidden="1" outlineLevel="2" x14ac:dyDescent="0.35">
      <c r="B327" s="11" t="str">
        <f>CONCATENATE("          ", "6275", " - ", "SUBSCRIPTIONS")</f>
        <v xml:space="preserve">          6275 - SUBSCRIPTIONS</v>
      </c>
      <c r="D327" s="2">
        <v>4202.79</v>
      </c>
      <c r="F327" s="2">
        <v>10143.58</v>
      </c>
      <c r="G327" s="3"/>
      <c r="H327" s="2">
        <v>5395.16</v>
      </c>
      <c r="I327" s="3"/>
      <c r="J327" s="2">
        <v>6245.6</v>
      </c>
      <c r="K327" s="3"/>
      <c r="L327" s="2">
        <v>10986.56</v>
      </c>
      <c r="M327" s="3"/>
      <c r="N327" s="2">
        <v>4203.6400000000003</v>
      </c>
      <c r="O327" s="3"/>
      <c r="P327" s="2">
        <v>3912</v>
      </c>
      <c r="Q327" s="3"/>
      <c r="R327" s="2">
        <v>3352</v>
      </c>
    </row>
    <row r="328" spans="1:18" s="15" customFormat="1" outlineLevel="1" collapsed="1" x14ac:dyDescent="0.35">
      <c r="A328" s="7"/>
      <c r="B328" s="20" t="str">
        <f>CONCATENATE("     ","Supplies                                          ")</f>
        <v xml:space="preserve">     Supplies                                          </v>
      </c>
      <c r="C328" s="7"/>
      <c r="D328" s="1">
        <f>SUM(OSRRefD21_21x_0)</f>
        <v>264803.72000000003</v>
      </c>
      <c r="E328" s="19"/>
      <c r="F328" s="1">
        <f>SUM(OSRRefF21_21x_0)</f>
        <v>225941.94999999998</v>
      </c>
      <c r="G328" s="4"/>
      <c r="H328" s="1">
        <f>SUM(OSRRefH21_21x_0)</f>
        <v>281200.89</v>
      </c>
      <c r="I328" s="4"/>
      <c r="J328" s="1">
        <f>SUM(OSRRefJ21_21x_0)</f>
        <v>204816.48</v>
      </c>
      <c r="K328" s="4"/>
      <c r="L328" s="1">
        <f>SUM(OSRRefL21_21x_0)</f>
        <v>211226.18</v>
      </c>
      <c r="M328" s="4"/>
      <c r="N328" s="1">
        <f>SUM(OSRRefN21_21x_0)</f>
        <v>159221.31</v>
      </c>
      <c r="O328" s="4"/>
      <c r="P328" s="1">
        <f>SUM(OSRRefP21_21x_0)</f>
        <v>187263</v>
      </c>
      <c r="Q328" s="4"/>
      <c r="R328" s="1">
        <f>SUM(OSRRefR21_21x_0)</f>
        <v>150830</v>
      </c>
    </row>
    <row r="329" spans="1:18" s="16" customFormat="1" hidden="1" outlineLevel="2" x14ac:dyDescent="0.35">
      <c r="B329" s="11" t="str">
        <f>CONCATENATE("          ", "6234", " - ", "EXPENDABLE SUPPLIES &amp; EQUIPMEN")</f>
        <v xml:space="preserve">          6234 - EXPENDABLE SUPPLIES &amp; EQUIPMEN</v>
      </c>
      <c r="D329" s="2">
        <v>37569.94</v>
      </c>
      <c r="F329" s="2">
        <v>17413.63</v>
      </c>
      <c r="G329" s="3"/>
      <c r="H329" s="2">
        <v>17153.54</v>
      </c>
      <c r="I329" s="3"/>
      <c r="J329" s="2">
        <v>8950.06</v>
      </c>
      <c r="K329" s="3"/>
      <c r="L329" s="2">
        <v>4814.4399999999996</v>
      </c>
      <c r="M329" s="3"/>
      <c r="N329" s="2">
        <v>9591.1200000000008</v>
      </c>
      <c r="O329" s="3"/>
      <c r="P329" s="2">
        <v>1828</v>
      </c>
      <c r="Q329" s="3"/>
      <c r="R329" s="2">
        <v>3850</v>
      </c>
    </row>
    <row r="330" spans="1:18" s="16" customFormat="1" hidden="1" outlineLevel="2" x14ac:dyDescent="0.35">
      <c r="B330" s="11" t="str">
        <f>CONCATENATE("          ", "6235", " - ", "COVID-19 EXPENSES")</f>
        <v xml:space="preserve">          6235 - COVID-19 EXPENSES</v>
      </c>
      <c r="D330" s="2"/>
      <c r="F330" s="2"/>
      <c r="G330" s="3"/>
      <c r="H330" s="2"/>
      <c r="I330" s="3"/>
      <c r="J330" s="2"/>
      <c r="K330" s="3"/>
      <c r="L330" s="2"/>
      <c r="M330" s="3"/>
      <c r="N330" s="2">
        <v>5061.67</v>
      </c>
      <c r="O330" s="3"/>
      <c r="P330" s="2">
        <v>70700</v>
      </c>
      <c r="Q330" s="3"/>
      <c r="R330" s="2">
        <v>1500</v>
      </c>
    </row>
    <row r="331" spans="1:18" s="16" customFormat="1" hidden="1" outlineLevel="2" x14ac:dyDescent="0.35">
      <c r="B331" s="11" t="str">
        <f>CONCATENATE("          ", "6237", " - ", "JANITORIAL SUPPLIES")</f>
        <v xml:space="preserve">          6237 - JANITORIAL SUPPLIES</v>
      </c>
      <c r="D331" s="2">
        <v>9789.7099999999991</v>
      </c>
      <c r="F331" s="2">
        <v>3754.66</v>
      </c>
      <c r="G331" s="3"/>
      <c r="H331" s="2">
        <v>5860.61</v>
      </c>
      <c r="I331" s="3"/>
      <c r="J331" s="2">
        <v>7749.17</v>
      </c>
      <c r="K331" s="3"/>
      <c r="L331" s="2">
        <v>15954.1</v>
      </c>
      <c r="M331" s="3"/>
      <c r="N331" s="2">
        <v>11487.03</v>
      </c>
      <c r="O331" s="3"/>
      <c r="P331" s="2">
        <v>4994</v>
      </c>
      <c r="Q331" s="3"/>
      <c r="R331" s="2">
        <v>490</v>
      </c>
    </row>
    <row r="332" spans="1:18" s="16" customFormat="1" hidden="1" outlineLevel="2" x14ac:dyDescent="0.35">
      <c r="B332" s="11" t="str">
        <f>CONCATENATE("          ", "6239", " - ", "KITCHEN SUPPLIES")</f>
        <v xml:space="preserve">          6239 - KITCHEN SUPPLIES</v>
      </c>
      <c r="D332" s="2"/>
      <c r="F332" s="2"/>
      <c r="G332" s="3"/>
      <c r="H332" s="2">
        <v>109.73</v>
      </c>
      <c r="I332" s="3"/>
      <c r="J332" s="2"/>
      <c r="K332" s="3"/>
      <c r="L332" s="2">
        <v>61.06</v>
      </c>
      <c r="M332" s="3"/>
      <c r="N332" s="2">
        <v>441.2</v>
      </c>
      <c r="O332" s="3"/>
      <c r="P332" s="2"/>
      <c r="Q332" s="3"/>
      <c r="R332" s="2"/>
    </row>
    <row r="333" spans="1:18" s="16" customFormat="1" hidden="1" outlineLevel="2" x14ac:dyDescent="0.35">
      <c r="B333" s="11" t="str">
        <f>CONCATENATE("          ", "6241", " - ", "OFFICE EXPENSE")</f>
        <v xml:space="preserve">          6241 - OFFICE EXPENSE</v>
      </c>
      <c r="D333" s="2">
        <v>49144.18</v>
      </c>
      <c r="F333" s="2">
        <v>40748.639999999999</v>
      </c>
      <c r="G333" s="3"/>
      <c r="H333" s="2">
        <v>42397.89</v>
      </c>
      <c r="I333" s="3"/>
      <c r="J333" s="2">
        <v>31306.68</v>
      </c>
      <c r="K333" s="3"/>
      <c r="L333" s="2">
        <v>43961.73</v>
      </c>
      <c r="M333" s="3"/>
      <c r="N333" s="2">
        <v>27410.1</v>
      </c>
      <c r="O333" s="3"/>
      <c r="P333" s="2">
        <v>6200</v>
      </c>
      <c r="Q333" s="3"/>
      <c r="R333" s="2">
        <v>6840</v>
      </c>
    </row>
    <row r="334" spans="1:18" s="16" customFormat="1" hidden="1" outlineLevel="2" x14ac:dyDescent="0.35">
      <c r="B334" s="11" t="str">
        <f>CONCATENATE("          ", "6243", " - ", "PAPER SUPPLIES")</f>
        <v xml:space="preserve">          6243 - PAPER SUPPLIES</v>
      </c>
      <c r="D334" s="2">
        <v>2454.0700000000002</v>
      </c>
      <c r="F334" s="2">
        <v>62923.6</v>
      </c>
      <c r="G334" s="3"/>
      <c r="H334" s="2">
        <v>40027.46</v>
      </c>
      <c r="I334" s="3"/>
      <c r="J334" s="2">
        <v>40534.050000000003</v>
      </c>
      <c r="K334" s="3"/>
      <c r="L334" s="2">
        <v>44806.58</v>
      </c>
      <c r="M334" s="3"/>
      <c r="N334" s="2">
        <v>23412.6</v>
      </c>
      <c r="O334" s="3"/>
      <c r="P334" s="2">
        <v>29807</v>
      </c>
      <c r="Q334" s="3"/>
      <c r="R334" s="2">
        <v>40800</v>
      </c>
    </row>
    <row r="335" spans="1:18" s="16" customFormat="1" hidden="1" outlineLevel="2" x14ac:dyDescent="0.35">
      <c r="B335" s="11" t="str">
        <f>CONCATENATE("          ", "6244", " - ", "SAFETY SUPPLY EXPENSE")</f>
        <v xml:space="preserve">          6244 - SAFETY SUPPLY EXPENSE</v>
      </c>
      <c r="D335" s="2"/>
      <c r="F335" s="2"/>
      <c r="G335" s="3"/>
      <c r="H335" s="2"/>
      <c r="I335" s="3"/>
      <c r="J335" s="2"/>
      <c r="K335" s="3"/>
      <c r="L335" s="2"/>
      <c r="M335" s="3"/>
      <c r="N335" s="2"/>
      <c r="O335" s="3"/>
      <c r="P335" s="2">
        <v>100</v>
      </c>
      <c r="Q335" s="3"/>
      <c r="R335" s="2"/>
    </row>
    <row r="336" spans="1:18" s="16" customFormat="1" hidden="1" outlineLevel="2" x14ac:dyDescent="0.35">
      <c r="B336" s="11" t="str">
        <f>CONCATENATE("          ", "6245", " - ", "PRINTING")</f>
        <v xml:space="preserve">          6245 - PRINTING</v>
      </c>
      <c r="D336" s="2">
        <v>9318.27</v>
      </c>
      <c r="F336" s="2">
        <v>11587.52</v>
      </c>
      <c r="G336" s="3"/>
      <c r="H336" s="2">
        <v>25819.48</v>
      </c>
      <c r="I336" s="3"/>
      <c r="J336" s="2">
        <v>19144.52</v>
      </c>
      <c r="K336" s="3"/>
      <c r="L336" s="2">
        <v>14992.13</v>
      </c>
      <c r="M336" s="3"/>
      <c r="N336" s="2">
        <v>10868.1</v>
      </c>
      <c r="O336" s="3"/>
      <c r="P336" s="2">
        <v>5700</v>
      </c>
      <c r="Q336" s="3"/>
      <c r="R336" s="2">
        <v>10395</v>
      </c>
    </row>
    <row r="337" spans="1:18" s="16" customFormat="1" hidden="1" outlineLevel="2" x14ac:dyDescent="0.35">
      <c r="B337" s="11" t="str">
        <f>CONCATENATE("          ", "6247", " - ", "STORE SUPPLIES")</f>
        <v xml:space="preserve">          6247 - STORE SUPPLIES</v>
      </c>
      <c r="D337" s="2">
        <v>151720.39000000001</v>
      </c>
      <c r="F337" s="2">
        <v>87305.94</v>
      </c>
      <c r="G337" s="3"/>
      <c r="H337" s="2">
        <v>145517.31</v>
      </c>
      <c r="I337" s="3"/>
      <c r="J337" s="2">
        <v>94552.78</v>
      </c>
      <c r="K337" s="3"/>
      <c r="L337" s="2">
        <v>83508.179999999993</v>
      </c>
      <c r="M337" s="3"/>
      <c r="N337" s="2">
        <v>70711.399999999994</v>
      </c>
      <c r="O337" s="3"/>
      <c r="P337" s="2">
        <v>49534</v>
      </c>
      <c r="Q337" s="3"/>
      <c r="R337" s="2">
        <v>86955</v>
      </c>
    </row>
    <row r="338" spans="1:18" s="16" customFormat="1" hidden="1" outlineLevel="2" x14ac:dyDescent="0.35">
      <c r="B338" s="11" t="str">
        <f>CONCATENATE("          ", "6248", " - ", "UNIFORMS")</f>
        <v xml:space="preserve">          6248 - UNIFORMS</v>
      </c>
      <c r="D338" s="2">
        <v>4807.16</v>
      </c>
      <c r="F338" s="2">
        <v>2207.96</v>
      </c>
      <c r="G338" s="3"/>
      <c r="H338" s="2">
        <v>4314.87</v>
      </c>
      <c r="I338" s="3"/>
      <c r="J338" s="2">
        <v>2579.2199999999998</v>
      </c>
      <c r="K338" s="3"/>
      <c r="L338" s="2">
        <v>3127.96</v>
      </c>
      <c r="M338" s="3"/>
      <c r="N338" s="2">
        <v>238.09</v>
      </c>
      <c r="O338" s="3"/>
      <c r="P338" s="2">
        <v>18400</v>
      </c>
      <c r="Q338" s="3"/>
      <c r="R338" s="2"/>
    </row>
    <row r="339" spans="1:18" s="15" customFormat="1" outlineLevel="1" collapsed="1" x14ac:dyDescent="0.35">
      <c r="A339" s="7"/>
      <c r="B339" s="20" t="str">
        <f>CONCATENATE("     ","Telephone/Data Lines                              ")</f>
        <v xml:space="preserve">     Telephone/Data Lines                              </v>
      </c>
      <c r="C339" s="7"/>
      <c r="D339" s="1">
        <f>SUM(OSRRefD21_22x_0)</f>
        <v>36173.9</v>
      </c>
      <c r="E339" s="19"/>
      <c r="F339" s="1">
        <f>SUM(OSRRefF21_22x_0)</f>
        <v>35189.58</v>
      </c>
      <c r="G339" s="4"/>
      <c r="H339" s="1">
        <f>SUM(OSRRefH21_22x_0)</f>
        <v>34730.61</v>
      </c>
      <c r="I339" s="4"/>
      <c r="J339" s="1">
        <f>SUM(OSRRefJ21_22x_0)</f>
        <v>38376.959999999999</v>
      </c>
      <c r="K339" s="4"/>
      <c r="L339" s="1">
        <f>SUM(OSRRefL21_22x_0)</f>
        <v>37672.15</v>
      </c>
      <c r="M339" s="4"/>
      <c r="N339" s="1">
        <f>SUM(OSRRefN21_22x_0)</f>
        <v>33262.39</v>
      </c>
      <c r="O339" s="4"/>
      <c r="P339" s="1">
        <f>SUM(OSRRefP21_22x_0)</f>
        <v>33255</v>
      </c>
      <c r="Q339" s="4"/>
      <c r="R339" s="1">
        <f>SUM(OSRRefR21_22x_0)</f>
        <v>23556</v>
      </c>
    </row>
    <row r="340" spans="1:18" s="16" customFormat="1" hidden="1" outlineLevel="2" x14ac:dyDescent="0.35">
      <c r="B340" s="11" t="str">
        <f>CONCATENATE("          ", "6303", " - ", "DATA PHONE LINES")</f>
        <v xml:space="preserve">          6303 - DATA PHONE LINES</v>
      </c>
      <c r="D340" s="2">
        <v>3490</v>
      </c>
      <c r="F340" s="2">
        <v>4312.5600000000004</v>
      </c>
      <c r="G340" s="3"/>
      <c r="H340" s="2">
        <v>3553.95</v>
      </c>
      <c r="I340" s="3"/>
      <c r="J340" s="2">
        <v>3540</v>
      </c>
      <c r="K340" s="3"/>
      <c r="L340" s="2">
        <v>3540</v>
      </c>
      <c r="M340" s="3"/>
      <c r="N340" s="2">
        <v>2950</v>
      </c>
      <c r="O340" s="3"/>
      <c r="P340" s="2">
        <v>10375</v>
      </c>
      <c r="Q340" s="3"/>
      <c r="R340" s="2">
        <v>600</v>
      </c>
    </row>
    <row r="341" spans="1:18" s="16" customFormat="1" hidden="1" outlineLevel="2" x14ac:dyDescent="0.35">
      <c r="B341" s="11" t="str">
        <f>CONCATENATE("          ", "6309", " - ", "TELEPHONE")</f>
        <v xml:space="preserve">          6309 - TELEPHONE</v>
      </c>
      <c r="D341" s="2">
        <v>32683.9</v>
      </c>
      <c r="F341" s="2">
        <v>30877.02</v>
      </c>
      <c r="G341" s="3"/>
      <c r="H341" s="2">
        <v>31176.66</v>
      </c>
      <c r="I341" s="3"/>
      <c r="J341" s="2">
        <v>34836.959999999999</v>
      </c>
      <c r="K341" s="3"/>
      <c r="L341" s="2">
        <v>34132.15</v>
      </c>
      <c r="M341" s="3"/>
      <c r="N341" s="2">
        <v>30312.39</v>
      </c>
      <c r="O341" s="3"/>
      <c r="P341" s="2">
        <v>22880</v>
      </c>
      <c r="Q341" s="3"/>
      <c r="R341" s="2">
        <v>22956</v>
      </c>
    </row>
    <row r="342" spans="1:18" s="15" customFormat="1" outlineLevel="1" collapsed="1" x14ac:dyDescent="0.35">
      <c r="A342" s="7"/>
      <c r="B342" s="20" t="str">
        <f>CONCATENATE("     ","Training                                          ")</f>
        <v xml:space="preserve">     Training                                          </v>
      </c>
      <c r="C342" s="7"/>
      <c r="D342" s="1">
        <f>SUM(OSRRefD21_23x_0)</f>
        <v>22235.46</v>
      </c>
      <c r="E342" s="19"/>
      <c r="F342" s="1">
        <f>SUM(OSRRefF21_23x_0)</f>
        <v>26967.26</v>
      </c>
      <c r="G342" s="4"/>
      <c r="H342" s="1">
        <f>SUM(OSRRefH21_23x_0)</f>
        <v>30396.04</v>
      </c>
      <c r="I342" s="4"/>
      <c r="J342" s="1">
        <f>SUM(OSRRefJ21_23x_0)</f>
        <v>22158.25</v>
      </c>
      <c r="K342" s="4"/>
      <c r="L342" s="1">
        <f>SUM(OSRRefL21_23x_0)</f>
        <v>21445.51</v>
      </c>
      <c r="M342" s="4"/>
      <c r="N342" s="1">
        <f>SUM(OSRRefN21_23x_0)</f>
        <v>23967.01</v>
      </c>
      <c r="O342" s="4"/>
      <c r="P342" s="1">
        <f>SUM(OSRRefP21_23x_0)</f>
        <v>12210</v>
      </c>
      <c r="Q342" s="4"/>
      <c r="R342" s="1">
        <f>SUM(OSRRefR21_23x_0)</f>
        <v>2150</v>
      </c>
    </row>
    <row r="343" spans="1:18" s="16" customFormat="1" hidden="1" outlineLevel="2" x14ac:dyDescent="0.35">
      <c r="B343" s="11" t="str">
        <f>CONCATENATE("          ", "6376", " - ", "TRAINING")</f>
        <v xml:space="preserve">          6376 - TRAINING</v>
      </c>
      <c r="D343" s="2">
        <v>22235.46</v>
      </c>
      <c r="F343" s="2">
        <v>26967.26</v>
      </c>
      <c r="G343" s="3"/>
      <c r="H343" s="2">
        <v>30396.04</v>
      </c>
      <c r="I343" s="3"/>
      <c r="J343" s="2">
        <v>22158.25</v>
      </c>
      <c r="K343" s="3"/>
      <c r="L343" s="2">
        <v>21445.51</v>
      </c>
      <c r="M343" s="3"/>
      <c r="N343" s="2">
        <v>23967.01</v>
      </c>
      <c r="O343" s="3"/>
      <c r="P343" s="2">
        <v>12210</v>
      </c>
      <c r="Q343" s="3"/>
      <c r="R343" s="2">
        <v>2150</v>
      </c>
    </row>
    <row r="344" spans="1:18" s="15" customFormat="1" outlineLevel="1" collapsed="1" x14ac:dyDescent="0.35">
      <c r="A344" s="7"/>
      <c r="B344" s="20" t="str">
        <f>CONCATENATE("     ","Travel                                            ")</f>
        <v xml:space="preserve">     Travel                                            </v>
      </c>
      <c r="C344" s="7"/>
      <c r="D344" s="1">
        <f>SUM(OSRRefD21_24x_0)</f>
        <v>5870.2599999999993</v>
      </c>
      <c r="E344" s="19"/>
      <c r="F344" s="1">
        <f>SUM(OSRRefF21_24x_0)</f>
        <v>6480.2599999999993</v>
      </c>
      <c r="G344" s="4"/>
      <c r="H344" s="1">
        <f>SUM(OSRRefH21_24x_0)</f>
        <v>5447.3799999999992</v>
      </c>
      <c r="I344" s="4"/>
      <c r="J344" s="1">
        <f>SUM(OSRRefJ21_24x_0)</f>
        <v>4604.6499999999996</v>
      </c>
      <c r="K344" s="4"/>
      <c r="L344" s="1">
        <f>SUM(OSRRefL21_24x_0)</f>
        <v>4176.3599999999997</v>
      </c>
      <c r="M344" s="4"/>
      <c r="N344" s="1">
        <f>SUM(OSRRefN21_24x_0)</f>
        <v>1383.79</v>
      </c>
      <c r="O344" s="4"/>
      <c r="P344" s="1">
        <f>SUM(OSRRefP21_24x_0)</f>
        <v>2300</v>
      </c>
      <c r="Q344" s="4"/>
      <c r="R344" s="1">
        <f>SUM(OSRRefR21_24x_0)</f>
        <v>2350</v>
      </c>
    </row>
    <row r="345" spans="1:18" s="16" customFormat="1" hidden="1" outlineLevel="2" x14ac:dyDescent="0.35">
      <c r="B345" s="11" t="str">
        <f>CONCATENATE("          ", "6292", " - ", "TRAVEL/CONFERENCE")</f>
        <v xml:space="preserve">          6292 - TRAVEL/CONFERENCE</v>
      </c>
      <c r="D345" s="2">
        <v>3295.89</v>
      </c>
      <c r="F345" s="2">
        <v>5456.57</v>
      </c>
      <c r="G345" s="3"/>
      <c r="H345" s="2">
        <v>3831.91</v>
      </c>
      <c r="I345" s="3"/>
      <c r="J345" s="2">
        <v>3282.24</v>
      </c>
      <c r="K345" s="3"/>
      <c r="L345" s="2">
        <v>2787.64</v>
      </c>
      <c r="M345" s="3"/>
      <c r="N345" s="2">
        <v>504.66</v>
      </c>
      <c r="O345" s="3"/>
      <c r="P345" s="2">
        <v>1500</v>
      </c>
      <c r="Q345" s="3"/>
      <c r="R345" s="2">
        <v>1500</v>
      </c>
    </row>
    <row r="346" spans="1:18" s="16" customFormat="1" hidden="1" outlineLevel="2" x14ac:dyDescent="0.35">
      <c r="B346" s="11" t="str">
        <f>CONCATENATE("          ", "6294", " - ", "TRAVEL OPERATIONAL")</f>
        <v xml:space="preserve">          6294 - TRAVEL OPERATIONAL</v>
      </c>
      <c r="D346" s="2">
        <v>1176.17</v>
      </c>
      <c r="F346" s="2">
        <v>588.36</v>
      </c>
      <c r="G346" s="3"/>
      <c r="H346" s="2">
        <v>1261.32</v>
      </c>
      <c r="I346" s="3"/>
      <c r="J346" s="2">
        <v>626.29</v>
      </c>
      <c r="K346" s="3"/>
      <c r="L346" s="2">
        <v>721.13</v>
      </c>
      <c r="M346" s="3"/>
      <c r="N346" s="2">
        <v>361.61</v>
      </c>
      <c r="O346" s="3"/>
      <c r="P346" s="2">
        <v>300</v>
      </c>
      <c r="Q346" s="3"/>
      <c r="R346" s="2">
        <v>300</v>
      </c>
    </row>
    <row r="347" spans="1:18" s="16" customFormat="1" hidden="1" outlineLevel="2" x14ac:dyDescent="0.35">
      <c r="B347" s="11" t="str">
        <f>CONCATENATE("          ", "6298", " - ", "VEHICLE MILEAGE")</f>
        <v xml:space="preserve">          6298 - VEHICLE MILEAGE</v>
      </c>
      <c r="D347" s="2">
        <v>1398.2</v>
      </c>
      <c r="F347" s="2">
        <v>435.33</v>
      </c>
      <c r="G347" s="3"/>
      <c r="H347" s="2">
        <v>354.15</v>
      </c>
      <c r="I347" s="3"/>
      <c r="J347" s="2">
        <v>696.12</v>
      </c>
      <c r="K347" s="3"/>
      <c r="L347" s="2">
        <v>667.59</v>
      </c>
      <c r="M347" s="3"/>
      <c r="N347" s="2">
        <v>517.52</v>
      </c>
      <c r="O347" s="3"/>
      <c r="P347" s="2">
        <v>500</v>
      </c>
      <c r="Q347" s="3"/>
      <c r="R347" s="2">
        <v>550</v>
      </c>
    </row>
    <row r="348" spans="1:18" s="15" customFormat="1" outlineLevel="1" collapsed="1" x14ac:dyDescent="0.35">
      <c r="A348" s="7"/>
      <c r="B348" s="20" t="str">
        <f>CONCATENATE("     ","Utilities                                         ")</f>
        <v xml:space="preserve">     Utilities                                         </v>
      </c>
      <c r="C348" s="7"/>
      <c r="D348" s="1">
        <f>SUM(OSRRefD21_25x_0)</f>
        <v>89542.69</v>
      </c>
      <c r="E348" s="19"/>
      <c r="F348" s="1">
        <f>SUM(OSRRefF21_25x_0)</f>
        <v>95571.67</v>
      </c>
      <c r="G348" s="4"/>
      <c r="H348" s="1">
        <f>SUM(OSRRefH21_25x_0)</f>
        <v>72987.27</v>
      </c>
      <c r="I348" s="4"/>
      <c r="J348" s="1">
        <f>SUM(OSRRefJ21_25x_0)</f>
        <v>92135.26</v>
      </c>
      <c r="K348" s="4"/>
      <c r="L348" s="1">
        <f>SUM(OSRRefL21_25x_0)</f>
        <v>68221.05</v>
      </c>
      <c r="M348" s="4"/>
      <c r="N348" s="1">
        <f>SUM(OSRRefN21_25x_0)</f>
        <v>92523.32</v>
      </c>
      <c r="O348" s="4"/>
      <c r="P348" s="1">
        <f>SUM(OSRRefP21_25x_0)</f>
        <v>86734</v>
      </c>
      <c r="Q348" s="4"/>
      <c r="R348" s="1">
        <f>SUM(OSRRefR21_25x_0)</f>
        <v>76120</v>
      </c>
    </row>
    <row r="349" spans="1:18" s="16" customFormat="1" hidden="1" outlineLevel="2" x14ac:dyDescent="0.35">
      <c r="B349" s="11" t="str">
        <f>CONCATENATE("          ", "6274", " - ", "UTILITIES")</f>
        <v xml:space="preserve">          6274 - UTILITIES</v>
      </c>
      <c r="D349" s="2">
        <v>89542.69</v>
      </c>
      <c r="F349" s="2">
        <v>95571.67</v>
      </c>
      <c r="G349" s="3"/>
      <c r="H349" s="2">
        <v>72987.27</v>
      </c>
      <c r="I349" s="3"/>
      <c r="J349" s="2">
        <v>92135.26</v>
      </c>
      <c r="K349" s="3"/>
      <c r="L349" s="2">
        <v>68221.05</v>
      </c>
      <c r="M349" s="3"/>
      <c r="N349" s="2">
        <v>92523.32</v>
      </c>
      <c r="O349" s="3"/>
      <c r="P349" s="2">
        <v>86734</v>
      </c>
      <c r="Q349" s="3"/>
      <c r="R349" s="2">
        <v>76120</v>
      </c>
    </row>
    <row r="350" spans="1:18" x14ac:dyDescent="0.35">
      <c r="A350" s="12"/>
      <c r="B350" s="12"/>
      <c r="C350" s="12"/>
      <c r="D350" s="1"/>
      <c r="F350" s="1"/>
      <c r="H350" s="1"/>
      <c r="J350" s="1"/>
      <c r="L350" s="1"/>
      <c r="N350" s="1"/>
      <c r="P350" s="1"/>
      <c r="R350" s="1"/>
    </row>
    <row r="351" spans="1:18" s="7" customFormat="1" collapsed="1" x14ac:dyDescent="0.35">
      <c r="A351" s="36"/>
      <c r="B351" s="34" t="s">
        <v>295</v>
      </c>
      <c r="D351" s="6">
        <f>SUM(OSRRefD24x_0)</f>
        <v>660254.34000000008</v>
      </c>
      <c r="E351" s="12"/>
      <c r="F351" s="6">
        <f>SUM(OSRRefF24x_0)</f>
        <v>610035.04</v>
      </c>
      <c r="G351" s="5"/>
      <c r="H351" s="6">
        <f>SUM(OSRRefH24x_0)</f>
        <v>963314.49</v>
      </c>
      <c r="I351" s="5"/>
      <c r="J351" s="6">
        <f>SUM(OSRRefJ24x_0)</f>
        <v>1029946.47</v>
      </c>
      <c r="K351" s="5"/>
      <c r="L351" s="6">
        <f>SUM(OSRRefL24x_0)</f>
        <v>1346921.7200000002</v>
      </c>
      <c r="M351" s="5"/>
      <c r="N351" s="6">
        <f>SUM(OSRRefN24x_0)</f>
        <v>1207334.8899999999</v>
      </c>
      <c r="O351" s="5"/>
      <c r="P351" s="6">
        <f>SUM(OSRRefP24x_0)</f>
        <v>1160740</v>
      </c>
      <c r="Q351" s="5"/>
      <c r="R351" s="6">
        <f>SUM(OSRRefR24x_0)</f>
        <v>1259728.23</v>
      </c>
    </row>
    <row r="352" spans="1:18" s="7" customFormat="1" hidden="1" outlineLevel="1" x14ac:dyDescent="0.35">
      <c r="A352" s="36"/>
      <c r="B352" s="11" t="str">
        <f>CONCATENATE("          ", "4096", " - ", "TAXABLE SALES-CUSTOMER SERVICE")</f>
        <v xml:space="preserve">          4096 - TAXABLE SALES-CUSTOMER SERVICE</v>
      </c>
      <c r="D352" s="11">
        <f>--810</f>
        <v>810</v>
      </c>
      <c r="E352" s="16"/>
      <c r="F352" s="11">
        <f>--4.95</f>
        <v>4.95</v>
      </c>
      <c r="G352" s="3"/>
      <c r="H352" s="11">
        <f>0</f>
        <v>0</v>
      </c>
      <c r="I352" s="3"/>
      <c r="J352" s="11">
        <f>0</f>
        <v>0</v>
      </c>
      <c r="K352" s="3"/>
      <c r="L352" s="11">
        <f>0</f>
        <v>0</v>
      </c>
      <c r="M352" s="3"/>
      <c r="N352" s="11">
        <f>0</f>
        <v>0</v>
      </c>
      <c r="O352" s="3"/>
      <c r="P352" s="11"/>
      <c r="Q352" s="3"/>
      <c r="R352" s="11"/>
    </row>
    <row r="353" spans="1:18" s="7" customFormat="1" hidden="1" outlineLevel="1" x14ac:dyDescent="0.35">
      <c r="A353" s="36"/>
      <c r="B353" s="11" t="str">
        <f>CONCATENATE("          ", "4098", " - ", "TAXABLE SALES-GRAD RENTALS")</f>
        <v xml:space="preserve">          4098 - TAXABLE SALES-GRAD RENTALS</v>
      </c>
      <c r="D353" s="11">
        <f>--244356.74</f>
        <v>244356.74</v>
      </c>
      <c r="E353" s="16"/>
      <c r="F353" s="11">
        <f>--178590.88</f>
        <v>178590.88</v>
      </c>
      <c r="G353" s="3"/>
      <c r="H353" s="11">
        <f>--122982.11</f>
        <v>122982.11</v>
      </c>
      <c r="I353" s="3"/>
      <c r="J353" s="11">
        <f>--103080.07</f>
        <v>103080.07</v>
      </c>
      <c r="K353" s="3"/>
      <c r="L353" s="11">
        <f>--86267.28</f>
        <v>86267.28</v>
      </c>
      <c r="M353" s="3"/>
      <c r="N353" s="11">
        <f>--1946.85</f>
        <v>1946.85</v>
      </c>
      <c r="O353" s="3"/>
      <c r="P353" s="11"/>
      <c r="Q353" s="3"/>
      <c r="R353" s="11"/>
    </row>
    <row r="354" spans="1:18" s="7" customFormat="1" hidden="1" outlineLevel="1" x14ac:dyDescent="0.35">
      <c r="A354" s="36"/>
      <c r="B354" s="11" t="str">
        <f>CONCATENATE("          ", "4196", " - ", "NON-TAXABLE SALES-CUSTOMER SER")</f>
        <v xml:space="preserve">          4196 - NON-TAXABLE SALES-CUSTOMER SER</v>
      </c>
      <c r="D354" s="11">
        <f>--125</f>
        <v>125</v>
      </c>
      <c r="E354" s="16"/>
      <c r="F354" s="11">
        <f>0</f>
        <v>0</v>
      </c>
      <c r="G354" s="3"/>
      <c r="H354" s="11">
        <f t="shared" ref="H354:H355" si="30">0</f>
        <v>0</v>
      </c>
      <c r="I354" s="3"/>
      <c r="J354" s="11">
        <f>0</f>
        <v>0</v>
      </c>
      <c r="K354" s="3"/>
      <c r="L354" s="11">
        <f>0</f>
        <v>0</v>
      </c>
      <c r="M354" s="3"/>
      <c r="N354" s="11">
        <f>0</f>
        <v>0</v>
      </c>
      <c r="O354" s="3"/>
      <c r="P354" s="11"/>
      <c r="Q354" s="3"/>
      <c r="R354" s="11"/>
    </row>
    <row r="355" spans="1:18" s="7" customFormat="1" hidden="1" outlineLevel="1" x14ac:dyDescent="0.35">
      <c r="A355" s="36"/>
      <c r="B355" s="11" t="str">
        <f>CONCATENATE("          ", "4197", " - ", "NON-TAXABLE SALES-RETURNED CHE")</f>
        <v xml:space="preserve">          4197 - NON-TAXABLE SALES-RETURNED CHE</v>
      </c>
      <c r="D355" s="11">
        <f>--20</f>
        <v>20</v>
      </c>
      <c r="E355" s="16"/>
      <c r="F355" s="11">
        <f>--70</f>
        <v>70</v>
      </c>
      <c r="G355" s="3"/>
      <c r="H355" s="11">
        <f t="shared" si="30"/>
        <v>0</v>
      </c>
      <c r="I355" s="3"/>
      <c r="J355" s="11">
        <f>--227.5</f>
        <v>227.5</v>
      </c>
      <c r="K355" s="3"/>
      <c r="L355" s="11">
        <f>--335</f>
        <v>335</v>
      </c>
      <c r="M355" s="3"/>
      <c r="N355" s="11">
        <f>--30</f>
        <v>30</v>
      </c>
      <c r="O355" s="3"/>
      <c r="P355" s="11"/>
      <c r="Q355" s="3"/>
      <c r="R355" s="11"/>
    </row>
    <row r="356" spans="1:18" s="7" customFormat="1" hidden="1" outlineLevel="1" x14ac:dyDescent="0.35">
      <c r="A356" s="36"/>
      <c r="B356" s="11" t="str">
        <f>CONCATENATE("          ", "4198", " - ", "NON-TAXABLE SALES-GRAD RENTALS")</f>
        <v xml:space="preserve">          4198 - NON-TAXABLE SALES-GRAD RENTALS</v>
      </c>
      <c r="D356" s="11">
        <f>--740</f>
        <v>740</v>
      </c>
      <c r="E356" s="16"/>
      <c r="F356" s="11">
        <f>--79118.7</f>
        <v>79118.7</v>
      </c>
      <c r="G356" s="3"/>
      <c r="H356" s="11">
        <f>--182844.41</f>
        <v>182844.41</v>
      </c>
      <c r="I356" s="3"/>
      <c r="J356" s="11">
        <f>--192651.25</f>
        <v>192651.25</v>
      </c>
      <c r="K356" s="3"/>
      <c r="L356" s="11">
        <f>--449104.41</f>
        <v>449104.41</v>
      </c>
      <c r="M356" s="3"/>
      <c r="N356" s="11">
        <f>--163.76</f>
        <v>163.76</v>
      </c>
      <c r="O356" s="3"/>
      <c r="P356" s="11"/>
      <c r="Q356" s="3"/>
      <c r="R356" s="11"/>
    </row>
    <row r="357" spans="1:18" s="7" customFormat="1" hidden="1" outlineLevel="1" x14ac:dyDescent="0.35">
      <c r="A357" s="36"/>
      <c r="B357" s="11" t="str">
        <f>CONCATENATE("          ", "4296", " - ", "SALES RETURN TAXABLE-CUSTOMER")</f>
        <v xml:space="preserve">          4296 - SALES RETURN TAXABLE-CUSTOMER</v>
      </c>
      <c r="D357" s="11">
        <f>-810</f>
        <v>-810</v>
      </c>
      <c r="E357" s="16"/>
      <c r="F357" s="11">
        <f>0</f>
        <v>0</v>
      </c>
      <c r="G357" s="3"/>
      <c r="H357" s="11">
        <f>0</f>
        <v>0</v>
      </c>
      <c r="I357" s="3"/>
      <c r="J357" s="11">
        <f>0</f>
        <v>0</v>
      </c>
      <c r="K357" s="3"/>
      <c r="L357" s="11">
        <f t="shared" ref="L357:L361" si="31">0</f>
        <v>0</v>
      </c>
      <c r="M357" s="3"/>
      <c r="N357" s="11">
        <f t="shared" ref="N357:N361" si="32">0</f>
        <v>0</v>
      </c>
      <c r="O357" s="3"/>
      <c r="P357" s="11"/>
      <c r="Q357" s="3"/>
      <c r="R357" s="11"/>
    </row>
    <row r="358" spans="1:18" s="7" customFormat="1" hidden="1" outlineLevel="1" x14ac:dyDescent="0.35">
      <c r="A358" s="36"/>
      <c r="B358" s="11" t="str">
        <f>CONCATENATE("          ", "4298", " - ", "SALES RETURN TAXABLE-GRAD RENT")</f>
        <v xml:space="preserve">          4298 - SALES RETURN TAXABLE-GRAD RENT</v>
      </c>
      <c r="D358" s="11">
        <f>-3554</f>
        <v>-3554</v>
      </c>
      <c r="E358" s="16"/>
      <c r="F358" s="11">
        <f>-646.95</f>
        <v>-646.95000000000005</v>
      </c>
      <c r="G358" s="3"/>
      <c r="H358" s="11">
        <f>-1223.7</f>
        <v>-1223.7</v>
      </c>
      <c r="I358" s="3"/>
      <c r="J358" s="11">
        <f>-196</f>
        <v>-196</v>
      </c>
      <c r="K358" s="3"/>
      <c r="L358" s="11">
        <f t="shared" si="31"/>
        <v>0</v>
      </c>
      <c r="M358" s="3"/>
      <c r="N358" s="11">
        <f t="shared" si="32"/>
        <v>0</v>
      </c>
      <c r="O358" s="3"/>
      <c r="P358" s="11"/>
      <c r="Q358" s="3"/>
      <c r="R358" s="11"/>
    </row>
    <row r="359" spans="1:18" s="7" customFormat="1" hidden="1" outlineLevel="1" x14ac:dyDescent="0.35">
      <c r="A359" s="36"/>
      <c r="B359" s="11" t="str">
        <f>CONCATENATE("          ", "4396", " - ", "SALES RETURN NON TAXABLE-CUSTO")</f>
        <v xml:space="preserve">          4396 - SALES RETURN NON TAXABLE-CUSTO</v>
      </c>
      <c r="D359" s="11">
        <f>-100</f>
        <v>-100</v>
      </c>
      <c r="E359" s="16"/>
      <c r="F359" s="11">
        <f t="shared" ref="F359:F360" si="33">0</f>
        <v>0</v>
      </c>
      <c r="G359" s="3"/>
      <c r="H359" s="11">
        <f t="shared" ref="H359:H360" si="34">0</f>
        <v>0</v>
      </c>
      <c r="I359" s="3"/>
      <c r="J359" s="11">
        <f t="shared" ref="J359:J361" si="35">0</f>
        <v>0</v>
      </c>
      <c r="K359" s="3"/>
      <c r="L359" s="11">
        <f t="shared" si="31"/>
        <v>0</v>
      </c>
      <c r="M359" s="3"/>
      <c r="N359" s="11">
        <f t="shared" si="32"/>
        <v>0</v>
      </c>
      <c r="O359" s="3"/>
      <c r="P359" s="11"/>
      <c r="Q359" s="3"/>
      <c r="R359" s="11"/>
    </row>
    <row r="360" spans="1:18" s="7" customFormat="1" hidden="1" outlineLevel="1" x14ac:dyDescent="0.35">
      <c r="A360" s="36"/>
      <c r="B360" s="11" t="str">
        <f>CONCATENATE("          ", "4398", " - ", "SALES RETURN NON TAXABLE-GRAD")</f>
        <v xml:space="preserve">          4398 - SALES RETURN NON TAXABLE-GRAD</v>
      </c>
      <c r="D360" s="11">
        <f>-374</f>
        <v>-374</v>
      </c>
      <c r="E360" s="16"/>
      <c r="F360" s="11">
        <f t="shared" si="33"/>
        <v>0</v>
      </c>
      <c r="G360" s="3"/>
      <c r="H360" s="11">
        <f t="shared" si="34"/>
        <v>0</v>
      </c>
      <c r="I360" s="3"/>
      <c r="J360" s="11">
        <f t="shared" si="35"/>
        <v>0</v>
      </c>
      <c r="K360" s="3"/>
      <c r="L360" s="11">
        <f t="shared" si="31"/>
        <v>0</v>
      </c>
      <c r="M360" s="3"/>
      <c r="N360" s="11">
        <f t="shared" si="32"/>
        <v>0</v>
      </c>
      <c r="O360" s="3"/>
      <c r="P360" s="11"/>
      <c r="Q360" s="3"/>
      <c r="R360" s="11"/>
    </row>
    <row r="361" spans="1:18" s="7" customFormat="1" hidden="1" outlineLevel="1" x14ac:dyDescent="0.35">
      <c r="A361" s="36"/>
      <c r="B361" s="11" t="str">
        <f>CONCATENATE("          ", "5096", " - ", "PURCHASES @ COST-CUSTOMER SERV")</f>
        <v xml:space="preserve">          5096 - PURCHASES @ COST-CUSTOMER SERV</v>
      </c>
      <c r="D361" s="11">
        <f>-2437.5</f>
        <v>-2437.5</v>
      </c>
      <c r="E361" s="16"/>
      <c r="F361" s="11">
        <f>-4043.75</f>
        <v>-4043.75</v>
      </c>
      <c r="G361" s="3"/>
      <c r="H361" s="11">
        <f>-2337.5</f>
        <v>-2337.5</v>
      </c>
      <c r="I361" s="3"/>
      <c r="J361" s="11">
        <f t="shared" si="35"/>
        <v>0</v>
      </c>
      <c r="K361" s="3"/>
      <c r="L361" s="11">
        <f t="shared" si="31"/>
        <v>0</v>
      </c>
      <c r="M361" s="3"/>
      <c r="N361" s="11">
        <f t="shared" si="32"/>
        <v>0</v>
      </c>
      <c r="O361" s="3"/>
      <c r="P361" s="11"/>
      <c r="Q361" s="3"/>
      <c r="R361" s="11"/>
    </row>
    <row r="362" spans="1:18" s="7" customFormat="1" hidden="1" outlineLevel="1" x14ac:dyDescent="0.35">
      <c r="A362" s="36"/>
      <c r="B362" s="11" t="str">
        <f>CONCATENATE("          ", "9150", " - ", "MISC. INCOME")</f>
        <v xml:space="preserve">          9150 - MISC. INCOME</v>
      </c>
      <c r="D362" s="11">
        <f>--278217.73</f>
        <v>278217.73</v>
      </c>
      <c r="E362" s="16"/>
      <c r="F362" s="11">
        <f>--216181.76</f>
        <v>216181.76000000001</v>
      </c>
      <c r="G362" s="3"/>
      <c r="H362" s="11">
        <f>--519284.92</f>
        <v>519284.92</v>
      </c>
      <c r="I362" s="3"/>
      <c r="J362" s="11">
        <f>--620319.38</f>
        <v>620319.38</v>
      </c>
      <c r="K362" s="3"/>
      <c r="L362" s="11">
        <f>--688375.68</f>
        <v>688375.68</v>
      </c>
      <c r="M362" s="3"/>
      <c r="N362" s="11">
        <f>--532203.21</f>
        <v>532203.21</v>
      </c>
      <c r="O362" s="3"/>
      <c r="P362" s="11">
        <v>243700</v>
      </c>
      <c r="Q362" s="3"/>
      <c r="R362" s="11">
        <v>179749</v>
      </c>
    </row>
    <row r="363" spans="1:18" s="7" customFormat="1" hidden="1" outlineLevel="1" x14ac:dyDescent="0.35">
      <c r="A363" s="36"/>
      <c r="B363" s="11" t="str">
        <f>CONCATENATE("          ", "9151", " - ", "MISC. INCOME")</f>
        <v xml:space="preserve">          9151 - MISC. INCOME</v>
      </c>
      <c r="D363" s="11">
        <f>0</f>
        <v>0</v>
      </c>
      <c r="E363" s="16"/>
      <c r="F363" s="11">
        <f>0</f>
        <v>0</v>
      </c>
      <c r="G363" s="3"/>
      <c r="H363" s="11">
        <f>-1631.14</f>
        <v>-1631.14</v>
      </c>
      <c r="I363" s="3"/>
      <c r="J363" s="11">
        <f>--896.01</f>
        <v>896.01</v>
      </c>
      <c r="K363" s="3"/>
      <c r="L363" s="11">
        <f>--498.26</f>
        <v>498.26</v>
      </c>
      <c r="M363" s="3"/>
      <c r="N363" s="11">
        <f>--150694.63</f>
        <v>150694.63</v>
      </c>
      <c r="O363" s="3"/>
      <c r="P363" s="11">
        <v>917040</v>
      </c>
      <c r="Q363" s="3"/>
      <c r="R363" s="11">
        <v>904979.23</v>
      </c>
    </row>
    <row r="364" spans="1:18" s="7" customFormat="1" hidden="1" outlineLevel="1" x14ac:dyDescent="0.35">
      <c r="A364" s="36"/>
      <c r="B364" s="11" t="str">
        <f>CONCATENATE("          ", "9152", " - ", "MISC. INCOME")</f>
        <v xml:space="preserve">          9152 - MISC. INCOME</v>
      </c>
      <c r="D364" s="11">
        <f>--22409.17</f>
        <v>22409.17</v>
      </c>
      <c r="E364" s="16"/>
      <c r="F364" s="11">
        <f>--19372.95</f>
        <v>19372.95</v>
      </c>
      <c r="G364" s="3"/>
      <c r="H364" s="11">
        <f>--12544.55</f>
        <v>12544.55</v>
      </c>
      <c r="I364" s="3"/>
      <c r="J364" s="11">
        <f>--10296.66</f>
        <v>10296.66</v>
      </c>
      <c r="K364" s="3"/>
      <c r="L364" s="11">
        <f>--13830.34</f>
        <v>13830.34</v>
      </c>
      <c r="M364" s="3"/>
      <c r="N364" s="11">
        <f>--10637.6</f>
        <v>10637.6</v>
      </c>
      <c r="O364" s="3"/>
      <c r="P364" s="11"/>
      <c r="Q364" s="3"/>
      <c r="R364" s="11"/>
    </row>
    <row r="365" spans="1:18" s="7" customFormat="1" hidden="1" outlineLevel="1" x14ac:dyDescent="0.35">
      <c r="A365" s="36"/>
      <c r="B365" s="11" t="str">
        <f>CONCATENATE("          ", "9153", " - ", "MISC. INCOME")</f>
        <v xml:space="preserve">          9153 - MISC. INCOME</v>
      </c>
      <c r="D365" s="11">
        <f>0</f>
        <v>0</v>
      </c>
      <c r="E365" s="16"/>
      <c r="F365" s="11">
        <f>0</f>
        <v>0</v>
      </c>
      <c r="G365" s="3"/>
      <c r="H365" s="11">
        <f>0</f>
        <v>0</v>
      </c>
      <c r="I365" s="3"/>
      <c r="J365" s="11">
        <f>0</f>
        <v>0</v>
      </c>
      <c r="K365" s="3"/>
      <c r="L365" s="11">
        <f>--180</f>
        <v>180</v>
      </c>
      <c r="M365" s="3"/>
      <c r="N365" s="11">
        <f>--450</f>
        <v>450</v>
      </c>
      <c r="O365" s="3"/>
      <c r="P365" s="11"/>
      <c r="Q365" s="3"/>
      <c r="R365" s="11"/>
    </row>
    <row r="366" spans="1:18" s="7" customFormat="1" hidden="1" outlineLevel="1" x14ac:dyDescent="0.35">
      <c r="A366" s="36"/>
      <c r="B366" s="11" t="str">
        <f>CONCATENATE("          ", "9160", " - ", "MISC. INCOME")</f>
        <v xml:space="preserve">          9160 - MISC. INCOME</v>
      </c>
      <c r="D366" s="11">
        <f>--35678.3</f>
        <v>35678.300000000003</v>
      </c>
      <c r="E366" s="16"/>
      <c r="F366" s="11">
        <f>--36250</f>
        <v>36250</v>
      </c>
      <c r="G366" s="3"/>
      <c r="H366" s="11">
        <f>--47850</f>
        <v>47850</v>
      </c>
      <c r="I366" s="3"/>
      <c r="J366" s="11">
        <f>--34795</f>
        <v>34795</v>
      </c>
      <c r="K366" s="3"/>
      <c r="L366" s="11">
        <f>--40000</f>
        <v>40000</v>
      </c>
      <c r="M366" s="3"/>
      <c r="N366" s="11">
        <f>--22475</f>
        <v>22475</v>
      </c>
      <c r="O366" s="3"/>
      <c r="P366" s="11"/>
      <c r="Q366" s="3"/>
      <c r="R366" s="11">
        <v>175000</v>
      </c>
    </row>
    <row r="367" spans="1:18" s="7" customFormat="1" hidden="1" outlineLevel="1" x14ac:dyDescent="0.35">
      <c r="A367" s="36"/>
      <c r="B367" s="11" t="str">
        <f>CONCATENATE("          ", "9163", " - ", "MISC. INCOME")</f>
        <v xml:space="preserve">          9163 - MISC. INCOME</v>
      </c>
      <c r="D367" s="11">
        <f>--85172.9</f>
        <v>85172.9</v>
      </c>
      <c r="E367" s="16"/>
      <c r="F367" s="11">
        <f>--85136.5</f>
        <v>85136.5</v>
      </c>
      <c r="G367" s="3"/>
      <c r="H367" s="11">
        <f>--83000.84</f>
        <v>83000.84</v>
      </c>
      <c r="I367" s="3"/>
      <c r="J367" s="11">
        <f>--67876.6</f>
        <v>67876.600000000006</v>
      </c>
      <c r="K367" s="3"/>
      <c r="L367" s="11">
        <f>--68330.75</f>
        <v>68330.75</v>
      </c>
      <c r="M367" s="3"/>
      <c r="N367" s="11">
        <f>--488733.84</f>
        <v>488733.84</v>
      </c>
      <c r="O367" s="3"/>
      <c r="P367" s="11"/>
      <c r="Q367" s="3"/>
      <c r="R367" s="11"/>
    </row>
    <row r="368" spans="1:18" x14ac:dyDescent="0.35">
      <c r="A368" s="12"/>
      <c r="B368" s="7"/>
      <c r="C368" s="7"/>
      <c r="D368" s="6"/>
      <c r="F368" s="6"/>
      <c r="H368" s="6"/>
      <c r="J368" s="6"/>
      <c r="L368" s="6"/>
      <c r="N368" s="6"/>
      <c r="P368" s="6"/>
      <c r="R368" s="6"/>
    </row>
    <row r="369" spans="1:18" s="15" customFormat="1" x14ac:dyDescent="0.35">
      <c r="A369" s="7"/>
      <c r="B369" s="22" t="s">
        <v>279</v>
      </c>
      <c r="C369" s="22"/>
      <c r="D369" s="10">
        <f>+D204-D207+D351</f>
        <v>2100200.7200000174</v>
      </c>
      <c r="E369" s="12"/>
      <c r="F369" s="10">
        <f>+F204-F207+F351</f>
        <v>2062531.1699999962</v>
      </c>
      <c r="G369" s="5"/>
      <c r="H369" s="10">
        <f>+H204-H207+H351</f>
        <v>2305159.5099999923</v>
      </c>
      <c r="I369" s="5"/>
      <c r="J369" s="10">
        <f>+J204-J207+J351</f>
        <v>2149194.9500000095</v>
      </c>
      <c r="K369" s="5"/>
      <c r="L369" s="10">
        <f>+L204-L207+L351</f>
        <v>1902278.8499999898</v>
      </c>
      <c r="M369" s="5"/>
      <c r="N369" s="10">
        <f>+N204-N207+N351</f>
        <v>792287.08000000217</v>
      </c>
      <c r="O369" s="5"/>
      <c r="P369" s="10">
        <f>+P204-P207+P351</f>
        <v>332618.90256771538</v>
      </c>
      <c r="Q369" s="5"/>
      <c r="R369" s="10">
        <f>+R204-R207+R351</f>
        <v>660345.10225694207</v>
      </c>
    </row>
    <row r="370" spans="1:18" s="27" customFormat="1" x14ac:dyDescent="0.35">
      <c r="A370" s="18"/>
      <c r="B370" s="31"/>
      <c r="C370" s="18"/>
      <c r="D370" s="9">
        <f>IFERROR(D369/D10, 0)</f>
        <v>0.12517732355377287</v>
      </c>
      <c r="E370" s="18"/>
      <c r="F370" s="9">
        <f>IFERROR(F369/F10, 0)</f>
        <v>0.12543288408260969</v>
      </c>
      <c r="G370" s="14"/>
      <c r="H370" s="9">
        <f>IFERROR(H369/H10, 0)</f>
        <v>0.14230195195735626</v>
      </c>
      <c r="I370" s="14"/>
      <c r="J370" s="9">
        <f>IFERROR(J369/J10, 0)</f>
        <v>0.13750825908842465</v>
      </c>
      <c r="K370" s="14"/>
      <c r="L370" s="9">
        <f>IFERROR(L369/L10, 0)</f>
        <v>0.13102424138930913</v>
      </c>
      <c r="M370" s="14"/>
      <c r="N370" s="9">
        <f>IFERROR(N369/N10, 0)</f>
        <v>6.8285386941943041E-2</v>
      </c>
      <c r="O370" s="14"/>
      <c r="P370" s="9">
        <f>IFERROR(P369/P10, 0)</f>
        <v>3.4098392009549817E-2</v>
      </c>
      <c r="Q370" s="14"/>
      <c r="R370" s="9">
        <f>IFERROR(R369/R10, 0)</f>
        <v>7.0306876300603505E-2</v>
      </c>
    </row>
    <row r="371" spans="1:18" s="27" customFormat="1" x14ac:dyDescent="0.35">
      <c r="A371" s="18"/>
      <c r="B371" s="31"/>
      <c r="C371" s="18"/>
      <c r="D371" s="13"/>
      <c r="E371" s="18"/>
      <c r="F371" s="13"/>
      <c r="G371" s="14"/>
      <c r="H371" s="13"/>
      <c r="I371" s="14"/>
      <c r="J371" s="13"/>
      <c r="K371" s="14"/>
      <c r="L371" s="13"/>
      <c r="M371" s="14"/>
      <c r="N371" s="13"/>
      <c r="O371" s="14"/>
      <c r="P371" s="13"/>
      <c r="Q371" s="14"/>
      <c r="R371" s="13"/>
    </row>
    <row r="372" spans="1:18" s="15" customFormat="1" x14ac:dyDescent="0.35">
      <c r="A372" s="37"/>
      <c r="B372" s="7" t="s">
        <v>127</v>
      </c>
      <c r="C372" s="7"/>
      <c r="D372" s="6">
        <v>3645944.01</v>
      </c>
      <c r="E372" s="12"/>
      <c r="F372" s="6">
        <v>2340818.4300000002</v>
      </c>
      <c r="G372" s="5"/>
      <c r="H372" s="6">
        <v>2165909.0499999998</v>
      </c>
      <c r="I372" s="5"/>
      <c r="J372" s="6">
        <v>2097698.85</v>
      </c>
      <c r="K372" s="5"/>
      <c r="L372" s="6">
        <v>1034838.29</v>
      </c>
      <c r="M372" s="5"/>
      <c r="N372" s="6">
        <v>1756894</v>
      </c>
      <c r="O372" s="5"/>
      <c r="P372" s="6">
        <v>1648325</v>
      </c>
      <c r="Q372" s="5"/>
      <c r="R372" s="6">
        <v>1065038</v>
      </c>
    </row>
    <row r="373" spans="1:18" x14ac:dyDescent="0.35">
      <c r="A373" s="12"/>
      <c r="B373" s="7"/>
      <c r="C373" s="7"/>
      <c r="D373" s="6"/>
      <c r="F373" s="6"/>
      <c r="H373" s="6"/>
      <c r="J373" s="6"/>
      <c r="L373" s="6"/>
      <c r="N373" s="6"/>
      <c r="P373" s="6"/>
      <c r="R373" s="6"/>
    </row>
    <row r="374" spans="1:18" s="15" customFormat="1" x14ac:dyDescent="0.35">
      <c r="A374" s="7"/>
      <c r="B374" s="22" t="s">
        <v>126</v>
      </c>
      <c r="C374" s="22"/>
      <c r="D374" s="10">
        <f>+D369-D372</f>
        <v>-1545743.2899999823</v>
      </c>
      <c r="E374" s="12"/>
      <c r="F374" s="10">
        <f>+F369-F372</f>
        <v>-278287.26000000397</v>
      </c>
      <c r="G374" s="5"/>
      <c r="H374" s="10">
        <f>+H369-H372</f>
        <v>139250.45999999251</v>
      </c>
      <c r="I374" s="5"/>
      <c r="J374" s="10">
        <f>+J369-J372</f>
        <v>51496.100000009406</v>
      </c>
      <c r="K374" s="5"/>
      <c r="L374" s="10">
        <f>+L369-L372</f>
        <v>867440.55999998981</v>
      </c>
      <c r="M374" s="5"/>
      <c r="N374" s="10">
        <f>+N369-N372</f>
        <v>-964606.91999999783</v>
      </c>
      <c r="O374" s="5"/>
      <c r="P374" s="10">
        <f>+P369-P372</f>
        <v>-1315706.0974322846</v>
      </c>
      <c r="Q374" s="5"/>
      <c r="R374" s="10">
        <f>+R369-R372</f>
        <v>-404692.89774305793</v>
      </c>
    </row>
    <row r="375" spans="1:18" s="27" customFormat="1" x14ac:dyDescent="0.35">
      <c r="A375" s="18"/>
      <c r="B375" s="18"/>
      <c r="C375" s="18"/>
      <c r="D375" s="9">
        <f>IFERROR(D374/D10, 0)</f>
        <v>-9.213024550501038E-2</v>
      </c>
      <c r="E375" s="18"/>
      <c r="F375" s="9">
        <f>IFERROR(F374/F10, 0)</f>
        <v>-1.6924046595255881E-2</v>
      </c>
      <c r="G375" s="14"/>
      <c r="H375" s="9">
        <f>IFERROR(H374/H10, 0)</f>
        <v>8.5962000386510182E-3</v>
      </c>
      <c r="I375" s="14"/>
      <c r="J375" s="9">
        <f>IFERROR(J374/J10, 0)</f>
        <v>3.2947867576390345E-3</v>
      </c>
      <c r="K375" s="14"/>
      <c r="L375" s="9">
        <f>IFERROR(L374/L10, 0)</f>
        <v>5.974715080510766E-2</v>
      </c>
      <c r="M375" s="14"/>
      <c r="N375" s="9">
        <f>IFERROR(N374/N10, 0)</f>
        <v>-8.3137234522460676E-2</v>
      </c>
      <c r="O375" s="14"/>
      <c r="P375" s="9">
        <f>IFERROR(P374/P10, 0)</f>
        <v>-0.13487947297423233</v>
      </c>
      <c r="Q375" s="14"/>
      <c r="R375" s="9">
        <f>IFERROR(R374/R10, 0)</f>
        <v>-4.3087611923080388E-2</v>
      </c>
    </row>
    <row r="376" spans="1:18" s="27" customFormat="1" x14ac:dyDescent="0.35">
      <c r="A376" s="18"/>
      <c r="B376" s="18"/>
      <c r="C376" s="18"/>
      <c r="D376" s="13"/>
      <c r="E376" s="18"/>
      <c r="F376" s="13"/>
      <c r="G376" s="14"/>
      <c r="H376" s="13"/>
      <c r="I376" s="14"/>
      <c r="J376" s="13"/>
      <c r="K376" s="14"/>
      <c r="L376" s="13"/>
      <c r="M376" s="14"/>
      <c r="N376" s="13"/>
      <c r="O376" s="14"/>
      <c r="P376" s="13"/>
      <c r="Q376" s="14"/>
      <c r="R376" s="13"/>
    </row>
    <row r="377" spans="1:18" x14ac:dyDescent="0.35">
      <c r="A377" s="12"/>
      <c r="B377" s="12"/>
      <c r="C377" s="12"/>
      <c r="D377" s="6"/>
      <c r="F377" s="6"/>
      <c r="H377" s="6"/>
      <c r="J377" s="6"/>
      <c r="L377" s="6"/>
      <c r="N377" s="6"/>
      <c r="P377" s="6"/>
      <c r="R377" s="6"/>
    </row>
    <row r="378" spans="1:18" s="15" customFormat="1" x14ac:dyDescent="0.35">
      <c r="A378" s="7"/>
      <c r="B378" s="22" t="s">
        <v>296</v>
      </c>
      <c r="C378" s="22"/>
      <c r="D378" s="10">
        <f>SUM(D374:D377)</f>
        <v>-1545743.3821302278</v>
      </c>
      <c r="E378" s="12"/>
      <c r="F378" s="10">
        <f>SUM(F374:F377)</f>
        <v>-278287.27692405059</v>
      </c>
      <c r="G378" s="5"/>
      <c r="H378" s="10">
        <f>SUM(H374:H377)</f>
        <v>139250.46859619254</v>
      </c>
      <c r="I378" s="5"/>
      <c r="J378" s="10">
        <f>SUM(J374:J377)</f>
        <v>51496.103294796165</v>
      </c>
      <c r="K378" s="5"/>
      <c r="L378" s="10">
        <f>SUM(L374:L377)</f>
        <v>867440.61974714056</v>
      </c>
      <c r="M378" s="5"/>
      <c r="N378" s="10">
        <f>SUM(N374:N377)</f>
        <v>-964607.00313723239</v>
      </c>
      <c r="O378" s="5"/>
      <c r="P378" s="10">
        <f>SUM(P374:P377)</f>
        <v>-1315706.2323117575</v>
      </c>
      <c r="Q378" s="5"/>
      <c r="R378" s="10">
        <f>SUM(R374:R377)</f>
        <v>-404692.94083066983</v>
      </c>
    </row>
    <row r="379" spans="1:18" s="27" customFormat="1" x14ac:dyDescent="0.35">
      <c r="A379" s="18"/>
      <c r="B379" s="41"/>
      <c r="C379" s="18"/>
      <c r="D379" s="9">
        <f>IFERROR(D378/D10, 0)</f>
        <v>-9.2130250996208168E-2</v>
      </c>
      <c r="E379" s="18"/>
      <c r="F379" s="9">
        <f>IFERROR(F378/F10, 0)</f>
        <v>-1.6924047624492195E-2</v>
      </c>
      <c r="G379" s="14"/>
      <c r="H379" s="9">
        <f>IFERROR(H378/H10, 0)</f>
        <v>8.5962005693110601E-3</v>
      </c>
      <c r="I379" s="14"/>
      <c r="J379" s="9">
        <f>IFERROR(J378/J10, 0)</f>
        <v>3.294786968443732E-3</v>
      </c>
      <c r="K379" s="14"/>
      <c r="L379" s="9">
        <f>IFERROR(L378/L10, 0)</f>
        <v>5.9747154920342972E-2</v>
      </c>
      <c r="M379" s="14"/>
      <c r="N379" s="9">
        <f>IFERROR(N378/N10, 0)</f>
        <v>-8.3137241687866209E-2</v>
      </c>
      <c r="O379" s="14"/>
      <c r="P379" s="9">
        <f>IFERROR(P378/P10, 0)</f>
        <v>-0.13487948680138739</v>
      </c>
      <c r="Q379" s="14"/>
      <c r="R379" s="9">
        <f>IFERROR(R378/R10, 0)</f>
        <v>-4.3087616510614074E-2</v>
      </c>
    </row>
    <row r="380" spans="1:18" x14ac:dyDescent="0.35">
      <c r="A380" s="12"/>
      <c r="B380" s="40">
        <v>44319.883481481484</v>
      </c>
      <c r="D380" s="24"/>
      <c r="F380" s="24"/>
      <c r="H380" s="24"/>
      <c r="J380" s="24"/>
      <c r="L380" s="24"/>
      <c r="N380" s="24"/>
      <c r="P380" s="24"/>
      <c r="R380" s="24"/>
    </row>
    <row r="381" spans="1:18" x14ac:dyDescent="0.35">
      <c r="A381" s="12"/>
      <c r="B381" s="39" t="s">
        <v>23</v>
      </c>
      <c r="D381" s="24"/>
      <c r="F381" s="24"/>
      <c r="H381" s="24"/>
      <c r="J381" s="24"/>
      <c r="L381" s="24"/>
      <c r="N381" s="24"/>
      <c r="P381" s="24"/>
      <c r="R381" s="24"/>
    </row>
    <row r="382" spans="1:18" x14ac:dyDescent="0.35">
      <c r="A382" s="12"/>
      <c r="D382" s="24"/>
      <c r="F382" s="24"/>
      <c r="H382" s="24"/>
      <c r="J382" s="24"/>
      <c r="L382" s="24"/>
      <c r="N382" s="24"/>
      <c r="P382" s="24"/>
      <c r="R382" s="24"/>
    </row>
    <row r="383" spans="1:18" x14ac:dyDescent="0.35">
      <c r="D383" s="24"/>
      <c r="F383" s="24"/>
      <c r="H383" s="24"/>
      <c r="J383" s="24"/>
      <c r="L383" s="24"/>
      <c r="N383" s="24"/>
      <c r="P383" s="24"/>
      <c r="R383" s="24"/>
    </row>
  </sheetData>
  <pageMargins left="0.5" right="0.5" top="0.5" bottom="0.5" header="0.3" footer="0.3"/>
  <pageSetup scale="5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15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15233938.16</v>
      </c>
      <c r="F10" s="8">
        <f>SUM(OSRRefF11x_0)</f>
        <v>17141721.34</v>
      </c>
      <c r="G10" s="8"/>
      <c r="H10" s="8">
        <f>SUM(OSRRefH11x_0)</f>
        <v>16820907.82</v>
      </c>
      <c r="I10" s="8"/>
      <c r="J10" s="8">
        <f>SUM(OSRRefJ11x_0)</f>
        <v>16898968.309999999</v>
      </c>
      <c r="K10" s="8"/>
      <c r="L10" s="8">
        <f>SUM(OSRRefL11x_0)</f>
        <v>17789543.329999998</v>
      </c>
      <c r="M10" s="8"/>
      <c r="N10" s="8">
        <f>SUM(OSRRefN11x_0)</f>
        <v>13656888.200000001</v>
      </c>
      <c r="O10" s="8"/>
      <c r="P10" s="8">
        <f>SUM(OSRRefP11x_0)</f>
        <v>4169957</v>
      </c>
      <c r="Q10" s="8"/>
      <c r="R10" s="8">
        <f>SUM(OSRRefR11x_0)</f>
        <v>11007076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72679</v>
      </c>
      <c r="Q11" s="3"/>
      <c r="R11" s="11">
        <v>871160</v>
      </c>
    </row>
    <row r="12" spans="1:18" s="16" customFormat="1" hidden="1" outlineLevel="1" x14ac:dyDescent="0.35">
      <c r="B12" s="35" t="str">
        <f>CONCATENATE("          ", "4051", " - ", "TAXABLE SALES-FOOD")</f>
        <v xml:space="preserve">          4051 - TAXABLE SALES-FOOD</v>
      </c>
      <c r="D12" s="11">
        <f>-203895.11*-1</f>
        <v>203895.11</v>
      </c>
      <c r="F12" s="11">
        <f>-344290.55*-1</f>
        <v>344290.55</v>
      </c>
      <c r="G12" s="3"/>
      <c r="H12" s="11">
        <f>-566427.17*-1</f>
        <v>566427.17000000004</v>
      </c>
      <c r="I12" s="3"/>
      <c r="J12" s="11">
        <f>--766861.58</f>
        <v>766861.58</v>
      </c>
      <c r="K12" s="3"/>
      <c r="L12" s="11">
        <f>--682221.54</f>
        <v>682221.54</v>
      </c>
      <c r="M12" s="3"/>
      <c r="N12" s="11">
        <f>--454738.68</f>
        <v>454738.68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"4052", " - ", "TAXABLE SALES-FOOD")</f>
        <v xml:space="preserve">          4052 - TAXABLE SALES-FOOD</v>
      </c>
      <c r="D13" s="11">
        <f>-1060927.14*-1</f>
        <v>1060927.1399999999</v>
      </c>
      <c r="F13" s="11">
        <f>-1241523.06*-1</f>
        <v>1241523.06</v>
      </c>
      <c r="G13" s="3"/>
      <c r="H13" s="11">
        <f>-1183255.47*-1</f>
        <v>1183255.47</v>
      </c>
      <c r="I13" s="3"/>
      <c r="J13" s="11">
        <f>--1404144.65</f>
        <v>1404144.65</v>
      </c>
      <c r="K13" s="3"/>
      <c r="L13" s="11">
        <f>--1589998.48</f>
        <v>1589998.48</v>
      </c>
      <c r="M13" s="3"/>
      <c r="N13" s="11">
        <f>--836487.29</f>
        <v>836487.29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"4053", " - ", "TAXABLE SALES-FOOD")</f>
        <v xml:space="preserve">          4053 - TAXABLE SALES-FOOD</v>
      </c>
      <c r="D14" s="11">
        <f>-242037.64*-1</f>
        <v>242037.64</v>
      </c>
      <c r="F14" s="11">
        <f>-318560.93*-1</f>
        <v>318560.93</v>
      </c>
      <c r="G14" s="3"/>
      <c r="H14" s="11">
        <f>-381022.23*-1</f>
        <v>381022.23</v>
      </c>
      <c r="I14" s="3"/>
      <c r="J14" s="11">
        <f>--346135.22</f>
        <v>346135.22</v>
      </c>
      <c r="K14" s="3"/>
      <c r="L14" s="11">
        <f>--346743.32</f>
        <v>346743.32</v>
      </c>
      <c r="M14" s="3"/>
      <c r="N14" s="11">
        <f>--280013.99</f>
        <v>280013.99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"4055", " - ", "TAXABLE SALES-FOOD")</f>
        <v xml:space="preserve">          4055 - TAXABLE SALES-FOOD</v>
      </c>
      <c r="D15" s="11">
        <f>-391283.85*-1</f>
        <v>391283.85</v>
      </c>
      <c r="F15" s="11">
        <f>-524512.5*-1</f>
        <v>524512.5</v>
      </c>
      <c r="G15" s="3"/>
      <c r="H15" s="11">
        <f>-600637.93*-1</f>
        <v>600637.93000000005</v>
      </c>
      <c r="I15" s="3"/>
      <c r="J15" s="11">
        <f>--597713.4</f>
        <v>597713.4</v>
      </c>
      <c r="K15" s="3"/>
      <c r="L15" s="11">
        <f>--627717.93</f>
        <v>627717.93000000005</v>
      </c>
      <c r="M15" s="3"/>
      <c r="N15" s="11">
        <f>--382379.53</f>
        <v>382379.53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"4057", " - ", "TAXABLE SALES-FOOD")</f>
        <v xml:space="preserve">          4057 - TAXABLE SALES-FOOD</v>
      </c>
      <c r="D16" s="11">
        <f>0*-1</f>
        <v>0</v>
      </c>
      <c r="F16" s="11">
        <f>0*-1</f>
        <v>0</v>
      </c>
      <c r="G16" s="3"/>
      <c r="H16" s="11">
        <f>0*-1</f>
        <v>0</v>
      </c>
      <c r="I16" s="3"/>
      <c r="J16" s="11">
        <f>--115214.52</f>
        <v>115214.52</v>
      </c>
      <c r="K16" s="3"/>
      <c r="L16" s="11">
        <f>--11506.08</f>
        <v>11506.08</v>
      </c>
      <c r="M16" s="3"/>
      <c r="N16" s="11">
        <f>0</f>
        <v>0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"4058", " - ", "TAXABLE SALES-FOOD")</f>
        <v xml:space="preserve">          4058 - TAXABLE SALES-FOOD</v>
      </c>
      <c r="D17" s="11">
        <f>-65572.24*-1</f>
        <v>65572.240000000005</v>
      </c>
      <c r="F17" s="11">
        <f>-56827.74*-1</f>
        <v>56827.74</v>
      </c>
      <c r="G17" s="3"/>
      <c r="H17" s="11">
        <f>-96320.96*-1</f>
        <v>96320.960000000006</v>
      </c>
      <c r="I17" s="3"/>
      <c r="J17" s="11">
        <f>--167154.32</f>
        <v>167154.32</v>
      </c>
      <c r="K17" s="3"/>
      <c r="L17" s="11">
        <f>--200045.36</f>
        <v>200045.36</v>
      </c>
      <c r="M17" s="3"/>
      <c r="N17" s="11">
        <f>--117077.57</f>
        <v>117077.57</v>
      </c>
      <c r="O17" s="3"/>
      <c r="P17" s="11"/>
      <c r="Q17" s="3"/>
      <c r="R17" s="11"/>
    </row>
    <row r="18" spans="1:18" s="16" customFormat="1" hidden="1" outlineLevel="1" x14ac:dyDescent="0.35">
      <c r="B18" s="35" t="str">
        <f>CONCATENATE("          ", "4100", " - ", "NON-TAXABLE SALES")</f>
        <v xml:space="preserve">          4100 - NON-TAXABLE SALES</v>
      </c>
      <c r="D18" s="11">
        <f>0*-1</f>
        <v>0</v>
      </c>
      <c r="F18" s="11">
        <f>0*-1</f>
        <v>0</v>
      </c>
      <c r="G18" s="3"/>
      <c r="H18" s="11">
        <f>0*-1</f>
        <v>0</v>
      </c>
      <c r="I18" s="3"/>
      <c r="J18" s="11">
        <f>0</f>
        <v>0</v>
      </c>
      <c r="K18" s="3"/>
      <c r="L18" s="11">
        <f>0</f>
        <v>0</v>
      </c>
      <c r="M18" s="3"/>
      <c r="N18" s="11">
        <f>0</f>
        <v>0</v>
      </c>
      <c r="O18" s="3"/>
      <c r="P18" s="11">
        <v>4097278</v>
      </c>
      <c r="Q18" s="3"/>
      <c r="R18" s="11">
        <v>10135916</v>
      </c>
    </row>
    <row r="19" spans="1:18" s="16" customFormat="1" hidden="1" outlineLevel="1" x14ac:dyDescent="0.35">
      <c r="B19" s="35" t="str">
        <f>CONCATENATE("          ", "4151", " - ", "NON-TAXABLE SALES-FOOD")</f>
        <v xml:space="preserve">          4151 - NON-TAXABLE SALES-FOOD</v>
      </c>
      <c r="D19" s="11">
        <f>-11274409.01*-1</f>
        <v>11274409.01</v>
      </c>
      <c r="F19" s="11">
        <f>-12527625.68*-1</f>
        <v>12527625.68</v>
      </c>
      <c r="G19" s="3"/>
      <c r="H19" s="11">
        <f>-11013041.34*-1</f>
        <v>11013041.34</v>
      </c>
      <c r="I19" s="3"/>
      <c r="J19" s="11">
        <f>--11575773.56</f>
        <v>11575773.560000001</v>
      </c>
      <c r="K19" s="3"/>
      <c r="L19" s="11">
        <f>--12410587.74</f>
        <v>12410587.74</v>
      </c>
      <c r="M19" s="3"/>
      <c r="N19" s="11">
        <f>--10064261.55</f>
        <v>10064261.550000001</v>
      </c>
      <c r="O19" s="3"/>
      <c r="P19" s="11"/>
      <c r="Q19" s="3"/>
      <c r="R19" s="11"/>
    </row>
    <row r="20" spans="1:18" s="16" customFormat="1" hidden="1" outlineLevel="1" x14ac:dyDescent="0.35">
      <c r="B20" s="35" t="str">
        <f>CONCATENATE("          ", "4152", " - ", "NON-TAXABLE SALES-FOOD")</f>
        <v xml:space="preserve">          4152 - NON-TAXABLE SALES-FOOD</v>
      </c>
      <c r="D20" s="11">
        <f>-198310.99*-1</f>
        <v>198310.99</v>
      </c>
      <c r="F20" s="11">
        <f>-201509.51*-1</f>
        <v>201509.51</v>
      </c>
      <c r="G20" s="3"/>
      <c r="H20" s="11">
        <f>-194411.74*-1</f>
        <v>194411.74</v>
      </c>
      <c r="I20" s="3"/>
      <c r="J20" s="11">
        <f>--95908.76</f>
        <v>95908.76</v>
      </c>
      <c r="K20" s="3"/>
      <c r="L20" s="11">
        <f>--79299.25</f>
        <v>79299.25</v>
      </c>
      <c r="M20" s="3"/>
      <c r="N20" s="11">
        <f>--51415.27</f>
        <v>51415.27</v>
      </c>
      <c r="O20" s="3"/>
      <c r="P20" s="11"/>
      <c r="Q20" s="3"/>
      <c r="R20" s="11"/>
    </row>
    <row r="21" spans="1:18" s="16" customFormat="1" hidden="1" outlineLevel="1" x14ac:dyDescent="0.35">
      <c r="B21" s="35" t="str">
        <f>CONCATENATE("          ", "4153", " - ", "NON-TAXABLE SALES-FOOD")</f>
        <v xml:space="preserve">          4153 - NON-TAXABLE SALES-FOOD</v>
      </c>
      <c r="D21" s="11">
        <f>-256552.63*-1</f>
        <v>256552.63</v>
      </c>
      <c r="F21" s="11">
        <f>-300653.65*-1</f>
        <v>300653.65000000002</v>
      </c>
      <c r="G21" s="3"/>
      <c r="H21" s="11">
        <f>-978503.69*-1</f>
        <v>978503.69</v>
      </c>
      <c r="I21" s="3"/>
      <c r="J21" s="11">
        <f>--307766.76</f>
        <v>307766.76</v>
      </c>
      <c r="K21" s="3"/>
      <c r="L21" s="11">
        <f>--319900.53</f>
        <v>319900.53000000003</v>
      </c>
      <c r="M21" s="3"/>
      <c r="N21" s="11">
        <f>--304153.32</f>
        <v>304153.32</v>
      </c>
      <c r="O21" s="3"/>
      <c r="P21" s="11"/>
      <c r="Q21" s="3"/>
      <c r="R21" s="11"/>
    </row>
    <row r="22" spans="1:18" s="16" customFormat="1" hidden="1" outlineLevel="1" x14ac:dyDescent="0.35">
      <c r="B22" s="35" t="str">
        <f>CONCATENATE("          ", "4155", " - ", "NON-TAXABLE SALES-FOOD")</f>
        <v xml:space="preserve">          4155 - NON-TAXABLE SALES-FOOD</v>
      </c>
      <c r="D22" s="11">
        <f>-892776.43*-1</f>
        <v>892776.43</v>
      </c>
      <c r="F22" s="11">
        <f>-904511.4*-1</f>
        <v>904511.4</v>
      </c>
      <c r="G22" s="3"/>
      <c r="H22" s="11">
        <f>-1029873.25*-1</f>
        <v>1029873.25</v>
      </c>
      <c r="I22" s="3"/>
      <c r="J22" s="11">
        <f>--900942.3</f>
        <v>900942.3</v>
      </c>
      <c r="K22" s="3"/>
      <c r="L22" s="11">
        <f>--922459.02</f>
        <v>922459.02</v>
      </c>
      <c r="M22" s="3"/>
      <c r="N22" s="11">
        <f>--691123.63</f>
        <v>691123.63</v>
      </c>
      <c r="O22" s="3"/>
      <c r="P22" s="11"/>
      <c r="Q22" s="3"/>
      <c r="R22" s="11"/>
    </row>
    <row r="23" spans="1:18" s="16" customFormat="1" hidden="1" outlineLevel="1" x14ac:dyDescent="0.35">
      <c r="B23" s="35" t="str">
        <f>CONCATENATE("          ", "4157", " - ", "NON-TAXABLE SALES-FOOD")</f>
        <v xml:space="preserve">          4157 - NON-TAXABLE SALES-FOOD</v>
      </c>
      <c r="D23" s="11">
        <f>0*-1</f>
        <v>0</v>
      </c>
      <c r="F23" s="11">
        <f>0*-1</f>
        <v>0</v>
      </c>
      <c r="G23" s="3"/>
      <c r="H23" s="11">
        <f>0*-1</f>
        <v>0</v>
      </c>
      <c r="I23" s="3"/>
      <c r="J23" s="11">
        <f>--315</f>
        <v>315</v>
      </c>
      <c r="K23" s="3"/>
      <c r="L23" s="11">
        <f>--208</f>
        <v>208</v>
      </c>
      <c r="M23" s="3"/>
      <c r="N23" s="11">
        <f>0</f>
        <v>0</v>
      </c>
      <c r="O23" s="3"/>
      <c r="P23" s="11"/>
      <c r="Q23" s="3"/>
      <c r="R23" s="11"/>
    </row>
    <row r="24" spans="1:18" s="16" customFormat="1" hidden="1" outlineLevel="1" x14ac:dyDescent="0.35">
      <c r="B24" s="35" t="str">
        <f>CONCATENATE("          ", "4158", " - ", "NON-TAXABLE SALES-FOOD")</f>
        <v xml:space="preserve">          4158 - NON-TAXABLE SALES-FOOD</v>
      </c>
      <c r="D24" s="11">
        <f>-648173.12*-1</f>
        <v>648173.12</v>
      </c>
      <c r="F24" s="11">
        <f>-721706.32*-1</f>
        <v>721706.32</v>
      </c>
      <c r="G24" s="3"/>
      <c r="H24" s="11">
        <f>-777414.04*-1</f>
        <v>777414.04</v>
      </c>
      <c r="I24" s="3"/>
      <c r="J24" s="11">
        <f>--621038.24</f>
        <v>621038.24</v>
      </c>
      <c r="K24" s="3"/>
      <c r="L24" s="11">
        <f>--597801.18</f>
        <v>597801.18000000005</v>
      </c>
      <c r="M24" s="3"/>
      <c r="N24" s="11">
        <f>--474853.67</f>
        <v>474853.67</v>
      </c>
      <c r="O24" s="3"/>
      <c r="P24" s="11"/>
      <c r="Q24" s="3"/>
      <c r="R24" s="11"/>
    </row>
    <row r="25" spans="1:18" s="16" customFormat="1" hidden="1" outlineLevel="1" x14ac:dyDescent="0.35">
      <c r="B25" s="35" t="str">
        <f>CONCATENATE("          ", "4159", " - ", "NON-TAXABLE SALES-FOOD")</f>
        <v xml:space="preserve">          4159 - NON-TAXABLE SALES-FOOD</v>
      </c>
      <c r="D25" s="11">
        <f>0*-1</f>
        <v>0</v>
      </c>
      <c r="F25" s="11">
        <f>0*-1</f>
        <v>0</v>
      </c>
      <c r="G25" s="3"/>
      <c r="H25" s="11">
        <f>0*-1</f>
        <v>0</v>
      </c>
      <c r="I25" s="3"/>
      <c r="J25" s="11">
        <f>0</f>
        <v>0</v>
      </c>
      <c r="K25" s="3"/>
      <c r="L25" s="11">
        <f>--1054.9</f>
        <v>1054.9000000000001</v>
      </c>
      <c r="M25" s="3"/>
      <c r="N25" s="11">
        <f>--383.7</f>
        <v>383.7</v>
      </c>
      <c r="O25" s="3"/>
      <c r="P25" s="11"/>
      <c r="Q25" s="3"/>
      <c r="R25" s="11"/>
    </row>
    <row r="26" spans="1:18" s="12" customFormat="1" x14ac:dyDescent="0.35">
      <c r="B26" s="7"/>
      <c r="D26" s="6"/>
      <c r="F26" s="6"/>
      <c r="G26" s="5"/>
      <c r="H26" s="6"/>
      <c r="I26" s="5"/>
      <c r="J26" s="6"/>
      <c r="K26" s="5"/>
      <c r="L26" s="6"/>
      <c r="M26" s="5"/>
      <c r="N26" s="6"/>
      <c r="O26" s="5"/>
      <c r="P26" s="6"/>
      <c r="Q26" s="5"/>
      <c r="R26" s="6"/>
    </row>
    <row r="27" spans="1:18" s="12" customFormat="1" collapsed="1" x14ac:dyDescent="0.35">
      <c r="B27" s="7" t="s">
        <v>278</v>
      </c>
      <c r="D27" s="8">
        <f>SUM(OSRRefD14x_0)</f>
        <v>4550752.38</v>
      </c>
      <c r="E27" s="8"/>
      <c r="F27" s="8">
        <f>SUM(OSRRefF14x_0)</f>
        <v>4846133.09</v>
      </c>
      <c r="G27" s="8"/>
      <c r="H27" s="8">
        <f>SUM(OSRRefH14x_0)</f>
        <v>4859462.78</v>
      </c>
      <c r="I27" s="8"/>
      <c r="J27" s="8">
        <f>SUM(OSRRefJ14x_0)</f>
        <v>4763234.09</v>
      </c>
      <c r="K27" s="8"/>
      <c r="L27" s="8">
        <f>SUM(OSRRefL14x_0)</f>
        <v>4889694.8199999994</v>
      </c>
      <c r="M27" s="8"/>
      <c r="N27" s="8">
        <f>SUM(OSRRefN14x_0)</f>
        <v>3892138.61</v>
      </c>
      <c r="O27" s="8"/>
      <c r="P27" s="8">
        <f>SUM(OSRRefP14x_0)</f>
        <v>1137719</v>
      </c>
      <c r="Q27" s="8"/>
      <c r="R27" s="8">
        <f>SUM(OSRRefR14x_0)</f>
        <v>3196376</v>
      </c>
    </row>
    <row r="28" spans="1:18" s="44" customFormat="1" hidden="1" outlineLevel="1" x14ac:dyDescent="0.35">
      <c r="A28" s="16"/>
      <c r="B28" s="35" t="str">
        <f>CONCATENATE("          ", "5000", " - ", "PURCHASES @ COST")</f>
        <v xml:space="preserve">          5000 - PURCHASES @ COST</v>
      </c>
      <c r="C28" s="16"/>
      <c r="D28" s="11"/>
      <c r="E28" s="16"/>
      <c r="F28" s="11"/>
      <c r="G28" s="3"/>
      <c r="H28" s="11"/>
      <c r="I28" s="3"/>
      <c r="J28" s="11"/>
      <c r="K28" s="3"/>
      <c r="L28" s="11"/>
      <c r="M28" s="3"/>
      <c r="N28" s="11"/>
      <c r="O28" s="3"/>
      <c r="P28" s="11">
        <v>1137719</v>
      </c>
      <c r="Q28" s="3"/>
      <c r="R28" s="11">
        <v>3196376</v>
      </c>
    </row>
    <row r="29" spans="1:18" s="44" customFormat="1" hidden="1" outlineLevel="1" x14ac:dyDescent="0.35">
      <c r="A29" s="16"/>
      <c r="B29" s="35" t="str">
        <f>CONCATENATE("          ", "5053", " - ", "PURCHASES @ COST-FOOD")</f>
        <v xml:space="preserve">          5053 - PURCHASES @ COST-FOOD</v>
      </c>
      <c r="C29" s="16"/>
      <c r="D29" s="11">
        <v>4587081.75</v>
      </c>
      <c r="E29" s="16"/>
      <c r="F29" s="11">
        <v>4868233.21</v>
      </c>
      <c r="G29" s="3"/>
      <c r="H29" s="11">
        <v>4901401.75</v>
      </c>
      <c r="I29" s="3"/>
      <c r="J29" s="11">
        <v>4774439.92</v>
      </c>
      <c r="K29" s="3"/>
      <c r="L29" s="11">
        <v>4911347.43</v>
      </c>
      <c r="M29" s="3"/>
      <c r="N29" s="11">
        <v>3786321.88</v>
      </c>
      <c r="O29" s="3"/>
      <c r="P29" s="11"/>
      <c r="Q29" s="3"/>
      <c r="R29" s="11"/>
    </row>
    <row r="30" spans="1:18" s="44" customFormat="1" hidden="1" outlineLevel="1" x14ac:dyDescent="0.35">
      <c r="A30" s="16"/>
      <c r="B30" s="35" t="str">
        <f>CONCATENATE("          ", "5055", " - ", "PURCHASES @ COST-FOOD")</f>
        <v xml:space="preserve">          5055 - PURCHASES @ COST-FOOD</v>
      </c>
      <c r="C30" s="16"/>
      <c r="D30" s="11"/>
      <c r="E30" s="16"/>
      <c r="F30" s="11">
        <v>94.33</v>
      </c>
      <c r="G30" s="3"/>
      <c r="H30" s="11"/>
      <c r="I30" s="3"/>
      <c r="J30" s="11"/>
      <c r="K30" s="3"/>
      <c r="L30" s="11"/>
      <c r="M30" s="3"/>
      <c r="N30" s="11"/>
      <c r="O30" s="3"/>
      <c r="P30" s="11"/>
      <c r="Q30" s="3"/>
      <c r="R30" s="11"/>
    </row>
    <row r="31" spans="1:18" s="44" customFormat="1" hidden="1" outlineLevel="1" x14ac:dyDescent="0.35">
      <c r="A31" s="16"/>
      <c r="B31" s="35" t="str">
        <f>CONCATENATE("          ", "5059", " - ", "PURCHASES @ COST-FOOD")</f>
        <v xml:space="preserve">          5059 - PURCHASES @ COST-FOOD</v>
      </c>
      <c r="C31" s="16"/>
      <c r="D31" s="11">
        <v>-36329.370000000003</v>
      </c>
      <c r="E31" s="16"/>
      <c r="F31" s="11">
        <v>-22194.45</v>
      </c>
      <c r="G31" s="3"/>
      <c r="H31" s="11">
        <v>-41938.97</v>
      </c>
      <c r="I31" s="3"/>
      <c r="J31" s="11">
        <v>-11205.83</v>
      </c>
      <c r="K31" s="3"/>
      <c r="L31" s="11">
        <v>-21652.61</v>
      </c>
      <c r="M31" s="3"/>
      <c r="N31" s="11">
        <v>105816.73</v>
      </c>
      <c r="O31" s="3"/>
      <c r="P31" s="11"/>
      <c r="Q31" s="3"/>
      <c r="R31" s="11"/>
    </row>
    <row r="32" spans="1:18" x14ac:dyDescent="0.35">
      <c r="A32" s="12"/>
      <c r="B32" s="7"/>
      <c r="C32" s="7"/>
      <c r="D32" s="6"/>
      <c r="F32" s="6"/>
      <c r="H32" s="6"/>
      <c r="J32" s="6"/>
      <c r="L32" s="6"/>
      <c r="N32" s="6"/>
      <c r="P32" s="6"/>
      <c r="R32" s="6"/>
    </row>
    <row r="33" spans="1:18" s="15" customFormat="1" x14ac:dyDescent="0.35">
      <c r="A33" s="7"/>
      <c r="B33" s="22" t="s">
        <v>107</v>
      </c>
      <c r="C33" s="22"/>
      <c r="D33" s="10">
        <f>+D10-D27</f>
        <v>10683185.780000001</v>
      </c>
      <c r="E33" s="12"/>
      <c r="F33" s="10">
        <f>+F10-F27</f>
        <v>12295588.25</v>
      </c>
      <c r="G33" s="5"/>
      <c r="H33" s="10">
        <f>+H10-H27</f>
        <v>11961445.039999999</v>
      </c>
      <c r="I33" s="5"/>
      <c r="J33" s="10">
        <f>+J10-J27</f>
        <v>12135734.219999999</v>
      </c>
      <c r="K33" s="5"/>
      <c r="L33" s="10">
        <f>+L10-L27</f>
        <v>12899848.509999998</v>
      </c>
      <c r="M33" s="5"/>
      <c r="N33" s="10">
        <f>+N10-N27</f>
        <v>9764749.5900000017</v>
      </c>
      <c r="O33" s="5"/>
      <c r="P33" s="10">
        <f>+P10-P27</f>
        <v>3032238</v>
      </c>
      <c r="Q33" s="5"/>
      <c r="R33" s="10">
        <f>+R10-R27</f>
        <v>7810700</v>
      </c>
    </row>
    <row r="34" spans="1:18" s="27" customFormat="1" x14ac:dyDescent="0.35">
      <c r="A34" s="18"/>
      <c r="B34" s="31"/>
      <c r="C34" s="18"/>
      <c r="D34" s="9">
        <f>IFERROR(D33/D10, 0)</f>
        <v>0.70127538052182836</v>
      </c>
      <c r="E34" s="13"/>
      <c r="F34" s="9">
        <f>IFERROR(F33/F10, 0)</f>
        <v>0.71729017209656731</v>
      </c>
      <c r="G34" s="26"/>
      <c r="H34" s="9">
        <f>IFERROR(H33/H10, 0)</f>
        <v>0.71110579571560839</v>
      </c>
      <c r="I34" s="26"/>
      <c r="J34" s="9">
        <f>IFERROR(J33/J10, 0)</f>
        <v>0.71813462203007117</v>
      </c>
      <c r="K34" s="26"/>
      <c r="L34" s="9">
        <f>IFERROR(L33/L10, 0)</f>
        <v>0.72513657437433499</v>
      </c>
      <c r="M34" s="26"/>
      <c r="N34" s="9">
        <f>IFERROR(N33/N10, 0)</f>
        <v>0.71500545709966357</v>
      </c>
      <c r="O34" s="26"/>
      <c r="P34" s="9">
        <f>IFERROR(P33/P10, 0)</f>
        <v>0.72716289400586143</v>
      </c>
      <c r="Q34" s="26"/>
      <c r="R34" s="9">
        <f>IFERROR(R33/R10, 0)</f>
        <v>0.70960716542703983</v>
      </c>
    </row>
    <row r="35" spans="1:18" s="27" customFormat="1" x14ac:dyDescent="0.35">
      <c r="A35" s="18"/>
      <c r="B35" s="31"/>
      <c r="C35" s="18"/>
      <c r="D35" s="13"/>
      <c r="E35" s="13"/>
      <c r="F35" s="13"/>
      <c r="G35" s="26"/>
      <c r="H35" s="13"/>
      <c r="I35" s="26"/>
      <c r="J35" s="13"/>
      <c r="K35" s="26"/>
      <c r="L35" s="13"/>
      <c r="M35" s="26"/>
      <c r="N35" s="13"/>
      <c r="O35" s="26"/>
      <c r="P35" s="13"/>
      <c r="Q35" s="26"/>
      <c r="R35" s="13"/>
    </row>
    <row r="36" spans="1:18" s="15" customFormat="1" x14ac:dyDescent="0.35">
      <c r="A36" s="7"/>
      <c r="B36" s="34" t="s">
        <v>314</v>
      </c>
      <c r="C36" s="7"/>
      <c r="D36" s="8">
        <f>SUM(OSRRefD21x_0)</f>
        <v>8731814.5300000012</v>
      </c>
      <c r="E36" s="19"/>
      <c r="F36" s="8">
        <f>SUM(OSRRefF21x_0)</f>
        <v>9707311.6000000015</v>
      </c>
      <c r="G36" s="4"/>
      <c r="H36" s="8">
        <f>SUM(OSRRefH21x_0)</f>
        <v>10025922.760000002</v>
      </c>
      <c r="I36" s="4"/>
      <c r="J36" s="8">
        <f>SUM(OSRRefJ21x_0)</f>
        <v>10560019.98</v>
      </c>
      <c r="K36" s="4"/>
      <c r="L36" s="8">
        <f>SUM(OSRRefL21x_0)</f>
        <v>10898304.689999996</v>
      </c>
      <c r="M36" s="4"/>
      <c r="N36" s="8">
        <f>SUM(OSRRefN21x_0)</f>
        <v>9803876.0300000068</v>
      </c>
      <c r="O36" s="4"/>
      <c r="P36" s="8">
        <f>SUM(OSRRefP21x_0)</f>
        <v>5586805.3882990247</v>
      </c>
      <c r="Q36" s="4"/>
      <c r="R36" s="8">
        <f>SUM(OSRRefR21x_0)</f>
        <v>8186179.9972949764</v>
      </c>
    </row>
    <row r="37" spans="1:18" s="15" customFormat="1" outlineLevel="1" collapsed="1" x14ac:dyDescent="0.35">
      <c r="A37" s="7"/>
      <c r="B37" s="20" t="str">
        <f>CONCATENATE("     ","*Benefits                                         ")</f>
        <v xml:space="preserve">     *Benefits                                         </v>
      </c>
      <c r="C37" s="7"/>
      <c r="D37" s="1">
        <f>SUM(OSRRefD21_0x_0)</f>
        <v>1351294.91</v>
      </c>
      <c r="E37" s="19"/>
      <c r="F37" s="1">
        <f>SUM(OSRRefF21_0x_0)</f>
        <v>1562599.4799999997</v>
      </c>
      <c r="G37" s="4"/>
      <c r="H37" s="1">
        <f>SUM(OSRRefH21_0x_0)</f>
        <v>1603786.4700000002</v>
      </c>
      <c r="I37" s="4"/>
      <c r="J37" s="1">
        <f>SUM(OSRRefJ21_0x_0)</f>
        <v>1803126.8799999994</v>
      </c>
      <c r="K37" s="4"/>
      <c r="L37" s="1">
        <f>SUM(OSRRefL21_0x_0)</f>
        <v>1771462.8399999999</v>
      </c>
      <c r="M37" s="4"/>
      <c r="N37" s="1">
        <f>SUM(OSRRefN21_0x_0)</f>
        <v>1642370.6900000004</v>
      </c>
      <c r="O37" s="4"/>
      <c r="P37" s="1">
        <f>SUM(OSRRefP21_0x_0)</f>
        <v>1407260.3188990252</v>
      </c>
      <c r="Q37" s="4"/>
      <c r="R37" s="1">
        <f>SUM(OSRRefR21_0x_0)</f>
        <v>1695645.1131549773</v>
      </c>
    </row>
    <row r="38" spans="1:18" s="16" customFormat="1" hidden="1" outlineLevel="2" x14ac:dyDescent="0.35">
      <c r="B38" s="11" t="str">
        <f>CONCATENATE("          ", "6111", " - ", "F.I.C.A.")</f>
        <v xml:space="preserve">          6111 - F.I.C.A.</v>
      </c>
      <c r="D38" s="2">
        <v>202578.92</v>
      </c>
      <c r="F38" s="2">
        <v>230031.77</v>
      </c>
      <c r="G38" s="3"/>
      <c r="H38" s="2">
        <v>255009.04</v>
      </c>
      <c r="I38" s="3"/>
      <c r="J38" s="2">
        <v>287685.63</v>
      </c>
      <c r="K38" s="3"/>
      <c r="L38" s="2">
        <v>291040.81</v>
      </c>
      <c r="M38" s="3"/>
      <c r="N38" s="2">
        <v>287420.75</v>
      </c>
      <c r="O38" s="3"/>
      <c r="P38" s="2">
        <v>148230.75710364</v>
      </c>
      <c r="Q38" s="3"/>
      <c r="R38" s="2">
        <v>195326.008083516</v>
      </c>
    </row>
    <row r="39" spans="1:18" s="16" customFormat="1" hidden="1" outlineLevel="2" x14ac:dyDescent="0.35">
      <c r="B39" s="11" t="str">
        <f>CONCATENATE("          ", "6112", " - ", "COMPENSATION INSURANCE")</f>
        <v xml:space="preserve">          6112 - COMPENSATION INSURANCE</v>
      </c>
      <c r="D39" s="2">
        <v>81547.88</v>
      </c>
      <c r="F39" s="2">
        <v>154664.49</v>
      </c>
      <c r="G39" s="3"/>
      <c r="H39" s="2">
        <v>188517.46</v>
      </c>
      <c r="I39" s="3"/>
      <c r="J39" s="2">
        <v>146770.63</v>
      </c>
      <c r="K39" s="3"/>
      <c r="L39" s="2">
        <v>174742.52</v>
      </c>
      <c r="M39" s="3"/>
      <c r="N39" s="2">
        <v>166799.38</v>
      </c>
      <c r="O39" s="3"/>
      <c r="P39" s="2">
        <v>96944.918531999996</v>
      </c>
      <c r="Q39" s="3"/>
      <c r="R39" s="2">
        <v>154314.81071963001</v>
      </c>
    </row>
    <row r="40" spans="1:18" s="16" customFormat="1" hidden="1" outlineLevel="2" x14ac:dyDescent="0.35">
      <c r="B40" s="11" t="str">
        <f>CONCATENATE("          ", "6113", " - ", "GROUP INSURANCE")</f>
        <v xml:space="preserve">          6113 - GROUP INSURANCE</v>
      </c>
      <c r="D40" s="2">
        <v>623606.66</v>
      </c>
      <c r="F40" s="2">
        <v>678970.63</v>
      </c>
      <c r="G40" s="3"/>
      <c r="H40" s="2">
        <v>736290.37</v>
      </c>
      <c r="I40" s="3"/>
      <c r="J40" s="2">
        <v>846426.14</v>
      </c>
      <c r="K40" s="3"/>
      <c r="L40" s="2">
        <v>798533.2</v>
      </c>
      <c r="M40" s="3"/>
      <c r="N40" s="2">
        <v>807271.55</v>
      </c>
      <c r="O40" s="3"/>
      <c r="P40" s="2">
        <v>844514.88461538497</v>
      </c>
      <c r="Q40" s="3"/>
      <c r="R40" s="2">
        <v>957961.81153846101</v>
      </c>
    </row>
    <row r="41" spans="1:18" s="16" customFormat="1" hidden="1" outlineLevel="2" x14ac:dyDescent="0.35">
      <c r="B41" s="11" t="str">
        <f>CONCATENATE("          ", "6114", " - ", "STATE UNEMPLOYMENT INSURANCE")</f>
        <v xml:space="preserve">          6114 - STATE UNEMPLOYMENT INSURANCE</v>
      </c>
      <c r="D41" s="2">
        <v>23307.55</v>
      </c>
      <c r="F41" s="2">
        <v>27045.48</v>
      </c>
      <c r="G41" s="3"/>
      <c r="H41" s="2">
        <v>15203.72</v>
      </c>
      <c r="I41" s="3"/>
      <c r="J41" s="2">
        <v>15638.13</v>
      </c>
      <c r="K41" s="3"/>
      <c r="L41" s="2">
        <v>14595.12</v>
      </c>
      <c r="M41" s="3"/>
      <c r="N41" s="2">
        <v>0</v>
      </c>
      <c r="O41" s="3"/>
      <c r="P41" s="2">
        <v>6220.8096079999996</v>
      </c>
      <c r="Q41" s="3"/>
      <c r="R41" s="2">
        <v>8550.4248683700007</v>
      </c>
    </row>
    <row r="42" spans="1:18" s="16" customFormat="1" hidden="1" outlineLevel="2" x14ac:dyDescent="0.35">
      <c r="B42" s="11" t="str">
        <f>CONCATENATE("          ", "6115", " - ", "P.E.R.S.")</f>
        <v xml:space="preserve">          6115 - P.E.R.S.</v>
      </c>
      <c r="D42" s="2">
        <v>123016.81</v>
      </c>
      <c r="F42" s="2">
        <v>105460.66</v>
      </c>
      <c r="G42" s="3"/>
      <c r="H42" s="2">
        <v>121713.56</v>
      </c>
      <c r="I42" s="3"/>
      <c r="J42" s="2">
        <v>120870.65</v>
      </c>
      <c r="K42" s="3"/>
      <c r="L42" s="2">
        <v>121140.51</v>
      </c>
      <c r="M42" s="3"/>
      <c r="N42" s="2">
        <v>130686.27</v>
      </c>
      <c r="O42" s="3"/>
      <c r="P42" s="2">
        <v>77860.576440000106</v>
      </c>
      <c r="Q42" s="3"/>
      <c r="R42" s="2">
        <v>83441.285860000105</v>
      </c>
    </row>
    <row r="43" spans="1:18" s="16" customFormat="1" hidden="1" outlineLevel="2" x14ac:dyDescent="0.35">
      <c r="B43" s="11" t="str">
        <f>CONCATENATE("          ", "6116", " - ", "EDUCATIONAL BENEFITS")</f>
        <v xml:space="preserve">          6116 - EDUCATIONAL BENEFITS</v>
      </c>
      <c r="D43" s="2"/>
      <c r="F43" s="2"/>
      <c r="G43" s="3"/>
      <c r="H43" s="2"/>
      <c r="I43" s="3"/>
      <c r="J43" s="2"/>
      <c r="K43" s="3"/>
      <c r="L43" s="2"/>
      <c r="M43" s="3"/>
      <c r="N43" s="2"/>
      <c r="O43" s="3"/>
      <c r="P43" s="2">
        <v>0</v>
      </c>
      <c r="Q43" s="3"/>
      <c r="R43" s="2">
        <v>0</v>
      </c>
    </row>
    <row r="44" spans="1:18" s="16" customFormat="1" hidden="1" outlineLevel="2" x14ac:dyDescent="0.35">
      <c r="B44" s="11" t="str">
        <f>CONCATENATE("          ", "6117", " - ", "RETIREMENT STAFF HOURLY")</f>
        <v xml:space="preserve">          6117 - RETIREMENT STAFF HOURLY</v>
      </c>
      <c r="D44" s="2">
        <v>17558.07</v>
      </c>
      <c r="F44" s="2">
        <v>15277.4</v>
      </c>
      <c r="G44" s="3"/>
      <c r="H44" s="2">
        <v>15343.2</v>
      </c>
      <c r="I44" s="3"/>
      <c r="J44" s="2">
        <v>16852.18</v>
      </c>
      <c r="K44" s="3"/>
      <c r="L44" s="2">
        <v>19049.439999999999</v>
      </c>
      <c r="M44" s="3"/>
      <c r="N44" s="2">
        <v>22230.05</v>
      </c>
      <c r="O44" s="3"/>
      <c r="P44" s="2"/>
      <c r="Q44" s="3"/>
      <c r="R44" s="2"/>
    </row>
    <row r="45" spans="1:18" s="16" customFormat="1" hidden="1" outlineLevel="2" x14ac:dyDescent="0.35">
      <c r="B45" s="11" t="str">
        <f>CONCATENATE("          ", "6118", " - ", "VACATION")</f>
        <v xml:space="preserve">          6118 - VACATION</v>
      </c>
      <c r="D45" s="2">
        <v>125405.98</v>
      </c>
      <c r="F45" s="2">
        <v>161385.51</v>
      </c>
      <c r="G45" s="3"/>
      <c r="H45" s="2">
        <v>147494.09</v>
      </c>
      <c r="I45" s="3"/>
      <c r="J45" s="2">
        <v>167412.5</v>
      </c>
      <c r="K45" s="3"/>
      <c r="L45" s="2">
        <v>170430.76</v>
      </c>
      <c r="M45" s="3"/>
      <c r="N45" s="2">
        <v>176580.53</v>
      </c>
      <c r="O45" s="3"/>
      <c r="P45" s="2">
        <v>107530.84940000001</v>
      </c>
      <c r="Q45" s="3"/>
      <c r="R45" s="2">
        <v>104247.36435600001</v>
      </c>
    </row>
    <row r="46" spans="1:18" s="16" customFormat="1" hidden="1" outlineLevel="2" x14ac:dyDescent="0.35">
      <c r="B46" s="11" t="str">
        <f>CONCATENATE("          ", "6119", " - ", "SICK LEAVE")</f>
        <v xml:space="preserve">          6119 - SICK LEAVE</v>
      </c>
      <c r="D46" s="2">
        <v>83539.64</v>
      </c>
      <c r="F46" s="2">
        <v>126410.15</v>
      </c>
      <c r="G46" s="3"/>
      <c r="H46" s="2">
        <v>61987.54</v>
      </c>
      <c r="I46" s="3"/>
      <c r="J46" s="2">
        <v>127000.65</v>
      </c>
      <c r="K46" s="3"/>
      <c r="L46" s="2">
        <v>109457.82</v>
      </c>
      <c r="M46" s="3"/>
      <c r="N46" s="2">
        <v>-16128.72</v>
      </c>
      <c r="O46" s="3"/>
      <c r="P46" s="2">
        <v>77657.523199999996</v>
      </c>
      <c r="Q46" s="3"/>
      <c r="R46" s="2">
        <v>116727.407729</v>
      </c>
    </row>
    <row r="47" spans="1:18" s="16" customFormat="1" hidden="1" outlineLevel="2" x14ac:dyDescent="0.35">
      <c r="B47" s="11" t="str">
        <f>CONCATENATE("          ", "6156", " - ", "EMPLOYEE MEALS")</f>
        <v xml:space="preserve">          6156 - EMPLOYEE MEALS</v>
      </c>
      <c r="D47" s="2">
        <v>70733.399999999994</v>
      </c>
      <c r="F47" s="2">
        <v>63353.39</v>
      </c>
      <c r="G47" s="3"/>
      <c r="H47" s="2">
        <v>62227.49</v>
      </c>
      <c r="I47" s="3"/>
      <c r="J47" s="2">
        <v>74470.37</v>
      </c>
      <c r="K47" s="3"/>
      <c r="L47" s="2">
        <v>72472.66</v>
      </c>
      <c r="M47" s="3"/>
      <c r="N47" s="2">
        <v>67510.880000000005</v>
      </c>
      <c r="O47" s="3"/>
      <c r="P47" s="2">
        <v>48300</v>
      </c>
      <c r="Q47" s="3"/>
      <c r="R47" s="2">
        <v>75076</v>
      </c>
    </row>
    <row r="48" spans="1:18" s="15" customFormat="1" outlineLevel="1" collapsed="1" x14ac:dyDescent="0.35">
      <c r="A48" s="7"/>
      <c r="B48" s="20" t="str">
        <f>CONCATENATE("     ","*Payroll                                          ")</f>
        <v xml:space="preserve">     *Payroll                                          </v>
      </c>
      <c r="C48" s="7"/>
      <c r="D48" s="1">
        <f>SUM(OSRRefD21_1x_0)</f>
        <v>3630755.74</v>
      </c>
      <c r="E48" s="19"/>
      <c r="F48" s="1">
        <f>SUM(OSRRefF21_1x_0)</f>
        <v>4202465.1399999997</v>
      </c>
      <c r="G48" s="4"/>
      <c r="H48" s="1">
        <f>SUM(OSRRefH21_1x_0)</f>
        <v>4640230.08</v>
      </c>
      <c r="I48" s="4"/>
      <c r="J48" s="1">
        <f>SUM(OSRRefJ21_1x_0)</f>
        <v>4803203.3800000008</v>
      </c>
      <c r="K48" s="4"/>
      <c r="L48" s="1">
        <f>SUM(OSRRefL21_1x_0)</f>
        <v>5153507.1900000004</v>
      </c>
      <c r="M48" s="4"/>
      <c r="N48" s="1">
        <f>SUM(OSRRefN21_1x_0)</f>
        <v>4759974.3900000006</v>
      </c>
      <c r="O48" s="4"/>
      <c r="P48" s="1">
        <f>SUM(OSRRefP21_1x_0)</f>
        <v>2213837.0693999999</v>
      </c>
      <c r="Q48" s="4"/>
      <c r="R48" s="1">
        <f>SUM(OSRRefR21_1x_0)</f>
        <v>3863194.8841399988</v>
      </c>
    </row>
    <row r="49" spans="1:18" s="16" customFormat="1" hidden="1" outlineLevel="2" x14ac:dyDescent="0.35">
      <c r="B49" s="11" t="str">
        <f>CONCATENATE("          ", "6001", " - ", "ADMINISTRATIVE SALARIES")</f>
        <v xml:space="preserve">          6001 - ADMINISTRATIVE SALARIES</v>
      </c>
      <c r="D49" s="2">
        <v>190051.34</v>
      </c>
      <c r="F49" s="2">
        <v>294119.42</v>
      </c>
      <c r="G49" s="3"/>
      <c r="H49" s="2">
        <v>290797.93</v>
      </c>
      <c r="I49" s="3"/>
      <c r="J49" s="2">
        <v>293118.03000000003</v>
      </c>
      <c r="K49" s="3"/>
      <c r="L49" s="2">
        <v>297948.14</v>
      </c>
      <c r="M49" s="3"/>
      <c r="N49" s="2">
        <v>287329.51</v>
      </c>
      <c r="O49" s="3"/>
      <c r="P49" s="2">
        <v>129510</v>
      </c>
      <c r="Q49" s="3"/>
      <c r="R49" s="2">
        <v>133488</v>
      </c>
    </row>
    <row r="50" spans="1:18" s="16" customFormat="1" hidden="1" outlineLevel="2" x14ac:dyDescent="0.35">
      <c r="B50" s="11" t="str">
        <f>CONCATENATE("          ", "6002", " - ", "STAFF SALARIES")</f>
        <v xml:space="preserve">          6002 - STAFF SALARIES</v>
      </c>
      <c r="D50" s="2">
        <v>747945.2</v>
      </c>
      <c r="F50" s="2">
        <v>949073.02</v>
      </c>
      <c r="G50" s="3"/>
      <c r="H50" s="2">
        <v>1064589.1299999999</v>
      </c>
      <c r="I50" s="3"/>
      <c r="J50" s="2">
        <v>1067237.3700000001</v>
      </c>
      <c r="K50" s="3"/>
      <c r="L50" s="2">
        <v>1139721.05</v>
      </c>
      <c r="M50" s="3"/>
      <c r="N50" s="2">
        <v>1058878.48</v>
      </c>
      <c r="O50" s="3"/>
      <c r="P50" s="2">
        <v>686756.76599999995</v>
      </c>
      <c r="Q50" s="3"/>
      <c r="R50" s="2">
        <v>772083.15159999905</v>
      </c>
    </row>
    <row r="51" spans="1:18" s="16" customFormat="1" hidden="1" outlineLevel="2" x14ac:dyDescent="0.35">
      <c r="B51" s="11" t="str">
        <f>CONCATENATE("          ", "6003", " - ", "STAFF HOURLY-9 MONTH")</f>
        <v xml:space="preserve">          6003 - STAFF HOURLY-9 MONTH</v>
      </c>
      <c r="D51" s="2"/>
      <c r="F51" s="2">
        <v>48.38</v>
      </c>
      <c r="G51" s="3"/>
      <c r="H51" s="2"/>
      <c r="I51" s="3"/>
      <c r="J51" s="2"/>
      <c r="K51" s="3"/>
      <c r="L51" s="2"/>
      <c r="M51" s="3"/>
      <c r="N51" s="2"/>
      <c r="O51" s="3"/>
      <c r="P51" s="2">
        <v>0</v>
      </c>
      <c r="Q51" s="3"/>
      <c r="R51" s="2">
        <v>0</v>
      </c>
    </row>
    <row r="52" spans="1:18" s="16" customFormat="1" hidden="1" outlineLevel="2" x14ac:dyDescent="0.35">
      <c r="B52" s="11" t="str">
        <f>CONCATENATE("          ", "6004", " - ", "STAFF HOURLY")</f>
        <v xml:space="preserve">          6004 - STAFF HOURLY</v>
      </c>
      <c r="D52" s="2">
        <v>694287.56</v>
      </c>
      <c r="F52" s="2">
        <v>657598.34</v>
      </c>
      <c r="G52" s="3"/>
      <c r="H52" s="2">
        <v>638226.61</v>
      </c>
      <c r="I52" s="3"/>
      <c r="J52" s="2">
        <v>854670.38</v>
      </c>
      <c r="K52" s="3"/>
      <c r="L52" s="2">
        <v>837234.81</v>
      </c>
      <c r="M52" s="3"/>
      <c r="N52" s="2">
        <v>917166.33</v>
      </c>
      <c r="O52" s="3"/>
      <c r="P52" s="2">
        <v>934014.18896000006</v>
      </c>
      <c r="Q52" s="3"/>
      <c r="R52" s="2">
        <v>1415006.43224</v>
      </c>
    </row>
    <row r="53" spans="1:18" s="16" customFormat="1" hidden="1" outlineLevel="2" x14ac:dyDescent="0.35">
      <c r="B53" s="11" t="str">
        <f>CONCATENATE("          ", "6005", " - ", "TEMPORARY WAGES-HOURLY")</f>
        <v xml:space="preserve">          6005 - TEMPORARY WAGES-HOURLY</v>
      </c>
      <c r="D53" s="2">
        <v>689909.25</v>
      </c>
      <c r="F53" s="2">
        <v>735182.85</v>
      </c>
      <c r="G53" s="3"/>
      <c r="H53" s="2">
        <v>825968.59</v>
      </c>
      <c r="I53" s="3"/>
      <c r="J53" s="2">
        <v>852372.66</v>
      </c>
      <c r="K53" s="3"/>
      <c r="L53" s="2">
        <v>956145.75</v>
      </c>
      <c r="M53" s="3"/>
      <c r="N53" s="2">
        <v>831285.8</v>
      </c>
      <c r="O53" s="3"/>
      <c r="P53" s="2">
        <v>123976.04144</v>
      </c>
      <c r="Q53" s="3"/>
      <c r="R53" s="2">
        <v>354301.56949999998</v>
      </c>
    </row>
    <row r="54" spans="1:18" s="16" customFormat="1" hidden="1" outlineLevel="2" x14ac:dyDescent="0.35">
      <c r="B54" s="11" t="str">
        <f>CONCATENATE("          ", "6006", " - ", "TEMPORARY PART TIME")</f>
        <v xml:space="preserve">          6006 - TEMPORARY PART TIME</v>
      </c>
      <c r="D54" s="2">
        <v>2725.89</v>
      </c>
      <c r="F54" s="2">
        <v>32608.07</v>
      </c>
      <c r="G54" s="3"/>
      <c r="H54" s="2">
        <v>88093.43</v>
      </c>
      <c r="I54" s="3"/>
      <c r="J54" s="2">
        <v>72201.5</v>
      </c>
      <c r="K54" s="3"/>
      <c r="L54" s="2">
        <v>57259.5</v>
      </c>
      <c r="M54" s="3"/>
      <c r="N54" s="2">
        <v>45957.26</v>
      </c>
      <c r="O54" s="3"/>
      <c r="P54" s="2">
        <v>0</v>
      </c>
      <c r="Q54" s="3"/>
      <c r="R54" s="2">
        <v>0</v>
      </c>
    </row>
    <row r="55" spans="1:18" s="16" customFormat="1" hidden="1" outlineLevel="2" x14ac:dyDescent="0.35">
      <c r="B55" s="11" t="str">
        <f>CONCATENATE("          ", "6007", " - ", "STUDENT HOURLY")</f>
        <v xml:space="preserve">          6007 - STUDENT HOURLY</v>
      </c>
      <c r="D55" s="2">
        <v>1140057.7</v>
      </c>
      <c r="F55" s="2">
        <v>1264983.6499999999</v>
      </c>
      <c r="G55" s="3"/>
      <c r="H55" s="2">
        <v>1394976.03</v>
      </c>
      <c r="I55" s="3"/>
      <c r="J55" s="2">
        <v>1379130.71</v>
      </c>
      <c r="K55" s="3"/>
      <c r="L55" s="2">
        <v>1576544.31</v>
      </c>
      <c r="M55" s="3"/>
      <c r="N55" s="2">
        <v>1410448.02</v>
      </c>
      <c r="O55" s="3"/>
      <c r="P55" s="2">
        <v>18335.871200000001</v>
      </c>
      <c r="Q55" s="3"/>
      <c r="R55" s="2">
        <v>61713.597999999998</v>
      </c>
    </row>
    <row r="56" spans="1:18" s="16" customFormat="1" hidden="1" outlineLevel="2" x14ac:dyDescent="0.35">
      <c r="B56" s="11" t="str">
        <f>CONCATENATE("          ", "6008", " - ", "STUDENT HOURLY-FICA EXEMPT")</f>
        <v xml:space="preserve">          6008 - STUDENT HOURLY-FICA EXEMPT</v>
      </c>
      <c r="D56" s="2">
        <v>165778.79999999999</v>
      </c>
      <c r="F56" s="2">
        <v>268851.40999999997</v>
      </c>
      <c r="G56" s="3"/>
      <c r="H56" s="2">
        <v>337578.36</v>
      </c>
      <c r="I56" s="3"/>
      <c r="J56" s="2">
        <v>284472.73</v>
      </c>
      <c r="K56" s="3"/>
      <c r="L56" s="2">
        <v>288653.63</v>
      </c>
      <c r="M56" s="3"/>
      <c r="N56" s="2">
        <v>208908.99</v>
      </c>
      <c r="O56" s="3"/>
      <c r="P56" s="2">
        <v>321244.20179999998</v>
      </c>
      <c r="Q56" s="3"/>
      <c r="R56" s="2">
        <v>1126602.1328</v>
      </c>
    </row>
    <row r="57" spans="1:18" s="16" customFormat="1" hidden="1" outlineLevel="2" x14ac:dyDescent="0.35">
      <c r="B57" s="11" t="str">
        <f>CONCATENATE("          ", "6009", " - ", "TEMPORARY-SEASONAL")</f>
        <v xml:space="preserve">          6009 - TEMPORARY-SEASONAL</v>
      </c>
      <c r="D57" s="2"/>
      <c r="F57" s="2"/>
      <c r="G57" s="3"/>
      <c r="H57" s="2"/>
      <c r="I57" s="3"/>
      <c r="J57" s="2"/>
      <c r="K57" s="3"/>
      <c r="L57" s="2"/>
      <c r="M57" s="3"/>
      <c r="N57" s="2"/>
      <c r="O57" s="3"/>
      <c r="P57" s="2">
        <v>0</v>
      </c>
      <c r="Q57" s="3"/>
      <c r="R57" s="2">
        <v>0</v>
      </c>
    </row>
    <row r="58" spans="1:18" s="16" customFormat="1" hidden="1" outlineLevel="2" x14ac:dyDescent="0.35">
      <c r="B58" s="11" t="str">
        <f>CONCATENATE("          ", "6010", " - ", "GRATUITY")</f>
        <v xml:space="preserve">          6010 - GRATUITY</v>
      </c>
      <c r="D58" s="2"/>
      <c r="F58" s="2"/>
      <c r="G58" s="3"/>
      <c r="H58" s="2"/>
      <c r="I58" s="3"/>
      <c r="J58" s="2"/>
      <c r="K58" s="3"/>
      <c r="L58" s="2"/>
      <c r="M58" s="3"/>
      <c r="N58" s="2"/>
      <c r="O58" s="3"/>
      <c r="P58" s="2">
        <v>0</v>
      </c>
      <c r="Q58" s="3"/>
      <c r="R58" s="2">
        <v>0</v>
      </c>
    </row>
    <row r="59" spans="1:18" s="15" customFormat="1" outlineLevel="1" collapsed="1" x14ac:dyDescent="0.35">
      <c r="A59" s="7"/>
      <c r="B59" s="20" t="str">
        <f>CONCATENATE("     ","Advertising/Promo                                 ")</f>
        <v xml:space="preserve">     Advertising/Promo                                 </v>
      </c>
      <c r="C59" s="7"/>
      <c r="D59" s="1">
        <f>SUM(OSRRefD21_2x_0)</f>
        <v>40760.300000000003</v>
      </c>
      <c r="E59" s="19"/>
      <c r="F59" s="1">
        <f>SUM(OSRRefF21_2x_0)</f>
        <v>37246.800000000003</v>
      </c>
      <c r="G59" s="4"/>
      <c r="H59" s="1">
        <f>SUM(OSRRefH21_2x_0)</f>
        <v>32710.44</v>
      </c>
      <c r="I59" s="4"/>
      <c r="J59" s="1">
        <f>SUM(OSRRefJ21_2x_0)</f>
        <v>51692.480000000003</v>
      </c>
      <c r="K59" s="4"/>
      <c r="L59" s="1">
        <f>SUM(OSRRefL21_2x_0)</f>
        <v>55016.05</v>
      </c>
      <c r="M59" s="4"/>
      <c r="N59" s="1">
        <f>SUM(OSRRefN21_2x_0)</f>
        <v>36981.440000000002</v>
      </c>
      <c r="O59" s="4"/>
      <c r="P59" s="1">
        <f>SUM(OSRRefP21_2x_0)</f>
        <v>20307</v>
      </c>
      <c r="Q59" s="4"/>
      <c r="R59" s="1">
        <f>SUM(OSRRefR21_2x_0)</f>
        <v>15478</v>
      </c>
    </row>
    <row r="60" spans="1:18" s="16" customFormat="1" hidden="1" outlineLevel="2" x14ac:dyDescent="0.35">
      <c r="B60" s="11" t="str">
        <f>CONCATENATE("          ", "6362", " - ", "ADVERTISING EXPENSE")</f>
        <v xml:space="preserve">          6362 - ADVERTISING EXPENSE</v>
      </c>
      <c r="D60" s="2">
        <v>40760.300000000003</v>
      </c>
      <c r="F60" s="2">
        <v>37246.800000000003</v>
      </c>
      <c r="G60" s="3"/>
      <c r="H60" s="2">
        <v>32710.44</v>
      </c>
      <c r="I60" s="3"/>
      <c r="J60" s="2">
        <v>51692.480000000003</v>
      </c>
      <c r="K60" s="3"/>
      <c r="L60" s="2">
        <v>55016.05</v>
      </c>
      <c r="M60" s="3"/>
      <c r="N60" s="2">
        <v>36981.440000000002</v>
      </c>
      <c r="O60" s="3"/>
      <c r="P60" s="2">
        <v>20307</v>
      </c>
      <c r="Q60" s="3"/>
      <c r="R60" s="2">
        <v>15478</v>
      </c>
    </row>
    <row r="61" spans="1:18" s="15" customFormat="1" outlineLevel="1" collapsed="1" x14ac:dyDescent="0.35">
      <c r="A61" s="7"/>
      <c r="B61" s="20" t="str">
        <f>CONCATENATE("     ","Bad Debts/Over/Short                              ")</f>
        <v xml:space="preserve">     Bad Debts/Over/Short                              </v>
      </c>
      <c r="C61" s="7"/>
      <c r="D61" s="1">
        <f>SUM(OSRRefD21_3x_0)</f>
        <v>8725.5499999999993</v>
      </c>
      <c r="E61" s="19"/>
      <c r="F61" s="1">
        <f>SUM(OSRRefF21_3x_0)</f>
        <v>-919.79</v>
      </c>
      <c r="G61" s="4"/>
      <c r="H61" s="1">
        <f>SUM(OSRRefH21_3x_0)</f>
        <v>19707.55</v>
      </c>
      <c r="I61" s="4"/>
      <c r="J61" s="1">
        <f>SUM(OSRRefJ21_3x_0)</f>
        <v>54466.91</v>
      </c>
      <c r="K61" s="4"/>
      <c r="L61" s="1">
        <f>SUM(OSRRefL21_3x_0)</f>
        <v>8371.15</v>
      </c>
      <c r="M61" s="4"/>
      <c r="N61" s="1">
        <f>SUM(OSRRefN21_3x_0)</f>
        <v>-197.1</v>
      </c>
      <c r="O61" s="4"/>
      <c r="P61" s="1">
        <f>SUM(OSRRefP21_3x_0)</f>
        <v>430</v>
      </c>
      <c r="Q61" s="4"/>
      <c r="R61" s="1">
        <f>SUM(OSRRefR21_3x_0)</f>
        <v>440</v>
      </c>
    </row>
    <row r="62" spans="1:18" s="16" customFormat="1" hidden="1" outlineLevel="2" x14ac:dyDescent="0.35">
      <c r="B62" s="11" t="str">
        <f>CONCATENATE("          ", "6272", " - ", "CASH (OVER/SHORT)")</f>
        <v xml:space="preserve">          6272 - CASH (OVER/SHORT)</v>
      </c>
      <c r="D62" s="2">
        <v>10550.06</v>
      </c>
      <c r="F62" s="2">
        <v>-919.79</v>
      </c>
      <c r="G62" s="3"/>
      <c r="H62" s="2">
        <v>14092.55</v>
      </c>
      <c r="I62" s="3"/>
      <c r="J62" s="2">
        <v>54466.91</v>
      </c>
      <c r="K62" s="3"/>
      <c r="L62" s="2">
        <v>8371.15</v>
      </c>
      <c r="M62" s="3"/>
      <c r="N62" s="2">
        <v>-197.1</v>
      </c>
      <c r="O62" s="3"/>
      <c r="P62" s="2">
        <v>430</v>
      </c>
      <c r="Q62" s="3"/>
      <c r="R62" s="2">
        <v>440</v>
      </c>
    </row>
    <row r="63" spans="1:18" s="16" customFormat="1" hidden="1" outlineLevel="2" x14ac:dyDescent="0.35">
      <c r="B63" s="11" t="str">
        <f>CONCATENATE("          ", "6342", " - ", "BAD DEBT")</f>
        <v xml:space="preserve">          6342 - BAD DEBT</v>
      </c>
      <c r="D63" s="2">
        <v>-1824.51</v>
      </c>
      <c r="F63" s="2"/>
      <c r="G63" s="3"/>
      <c r="H63" s="2">
        <v>5615</v>
      </c>
      <c r="I63" s="3"/>
      <c r="J63" s="2"/>
      <c r="K63" s="3"/>
      <c r="L63" s="2"/>
      <c r="M63" s="3"/>
      <c r="N63" s="2"/>
      <c r="O63" s="3"/>
      <c r="P63" s="2"/>
      <c r="Q63" s="3"/>
      <c r="R63" s="2"/>
    </row>
    <row r="64" spans="1:18" s="15" customFormat="1" outlineLevel="1" collapsed="1" x14ac:dyDescent="0.35">
      <c r="A64" s="7"/>
      <c r="B64" s="20" t="str">
        <f>CONCATENATE("     ","Bank/card Fees                                    ")</f>
        <v xml:space="preserve">     Bank/card Fees                                    </v>
      </c>
      <c r="C64" s="7"/>
      <c r="D64" s="1">
        <f>SUM(OSRRefD21_4x_0)</f>
        <v>168249.94</v>
      </c>
      <c r="E64" s="19"/>
      <c r="F64" s="1">
        <f>SUM(OSRRefF21_4x_0)</f>
        <v>169249.84</v>
      </c>
      <c r="G64" s="4"/>
      <c r="H64" s="1">
        <f>SUM(OSRRefH21_4x_0)</f>
        <v>215073.1</v>
      </c>
      <c r="I64" s="4"/>
      <c r="J64" s="1">
        <f>SUM(OSRRefJ21_4x_0)</f>
        <v>227855.65</v>
      </c>
      <c r="K64" s="4"/>
      <c r="L64" s="1">
        <f>SUM(OSRRefL21_4x_0)</f>
        <v>226279.27</v>
      </c>
      <c r="M64" s="4"/>
      <c r="N64" s="1">
        <f>SUM(OSRRefN21_4x_0)</f>
        <v>152805.46</v>
      </c>
      <c r="O64" s="4"/>
      <c r="P64" s="1">
        <f>SUM(OSRRefP21_4x_0)</f>
        <v>32818</v>
      </c>
      <c r="Q64" s="4"/>
      <c r="R64" s="1">
        <f>SUM(OSRRefR21_4x_0)</f>
        <v>106323</v>
      </c>
    </row>
    <row r="65" spans="1:18" s="16" customFormat="1" hidden="1" outlineLevel="2" x14ac:dyDescent="0.35">
      <c r="B65" s="11" t="str">
        <f>CONCATENATE("          ", "6381", " - ", "BANK/CREDIT CARD FEES")</f>
        <v xml:space="preserve">          6381 - BANK/CREDIT CARD FEES</v>
      </c>
      <c r="D65" s="2">
        <v>168249.94</v>
      </c>
      <c r="F65" s="2">
        <v>169249.84</v>
      </c>
      <c r="G65" s="3"/>
      <c r="H65" s="2">
        <v>215073.1</v>
      </c>
      <c r="I65" s="3"/>
      <c r="J65" s="2">
        <v>227855.65</v>
      </c>
      <c r="K65" s="3"/>
      <c r="L65" s="2">
        <v>226279.27</v>
      </c>
      <c r="M65" s="3"/>
      <c r="N65" s="2">
        <v>152805.46</v>
      </c>
      <c r="O65" s="3"/>
      <c r="P65" s="2">
        <v>32818</v>
      </c>
      <c r="Q65" s="3"/>
      <c r="R65" s="2">
        <v>106323</v>
      </c>
    </row>
    <row r="66" spans="1:18" s="15" customFormat="1" outlineLevel="1" collapsed="1" x14ac:dyDescent="0.35">
      <c r="A66" s="7"/>
      <c r="B66" s="20" t="str">
        <f>CONCATENATE("     ","Depreciation                                      ")</f>
        <v xml:space="preserve">     Depreciation                                      </v>
      </c>
      <c r="C66" s="7"/>
      <c r="D66" s="1">
        <f>SUM(OSRRefD21_5x_0)</f>
        <v>533797.75000000012</v>
      </c>
      <c r="E66" s="19"/>
      <c r="F66" s="1">
        <f>SUM(OSRRefF21_5x_0)</f>
        <v>570794.96000000008</v>
      </c>
      <c r="G66" s="4"/>
      <c r="H66" s="1">
        <f>SUM(OSRRefH21_5x_0)</f>
        <v>539149.67000000004</v>
      </c>
      <c r="I66" s="4"/>
      <c r="J66" s="1">
        <f>SUM(OSRRefJ21_5x_0)</f>
        <v>470923.74</v>
      </c>
      <c r="K66" s="4"/>
      <c r="L66" s="1">
        <f>SUM(OSRRefL21_5x_0)</f>
        <v>475304.19999999995</v>
      </c>
      <c r="M66" s="4"/>
      <c r="N66" s="1">
        <f>SUM(OSRRefN21_5x_0)</f>
        <v>478199.97</v>
      </c>
      <c r="O66" s="4"/>
      <c r="P66" s="1">
        <f>SUM(OSRRefP21_5x_0)</f>
        <v>455624</v>
      </c>
      <c r="Q66" s="4"/>
      <c r="R66" s="1">
        <f>SUM(OSRRefR21_5x_0)</f>
        <v>397016</v>
      </c>
    </row>
    <row r="67" spans="1:18" s="16" customFormat="1" hidden="1" outlineLevel="2" x14ac:dyDescent="0.35">
      <c r="B67" s="11" t="str">
        <f>CONCATENATE("          ", "6321", " - ", "BUILDING DEPRECIATION")</f>
        <v xml:space="preserve">          6321 - BUILDING DEPRECIATION</v>
      </c>
      <c r="D67" s="2">
        <v>423407.71</v>
      </c>
      <c r="F67" s="2">
        <v>415638.28</v>
      </c>
      <c r="G67" s="3"/>
      <c r="H67" s="2">
        <v>395920</v>
      </c>
      <c r="I67" s="3"/>
      <c r="J67" s="2">
        <v>328686.74</v>
      </c>
      <c r="K67" s="3"/>
      <c r="L67" s="2">
        <v>303462.94</v>
      </c>
      <c r="M67" s="3"/>
      <c r="N67" s="2">
        <v>288500.45</v>
      </c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"6322", " - ", "EQUIPMENT DEPRECIATION EXPENSE")</f>
        <v xml:space="preserve">          6322 - EQUIPMENT DEPRECIATION EXPENSE</v>
      </c>
      <c r="D68" s="2">
        <v>107252.09</v>
      </c>
      <c r="F68" s="2">
        <v>149856.26</v>
      </c>
      <c r="G68" s="3"/>
      <c r="H68" s="2">
        <v>137964.26999999999</v>
      </c>
      <c r="I68" s="3"/>
      <c r="J68" s="2">
        <v>137146.01</v>
      </c>
      <c r="K68" s="3"/>
      <c r="L68" s="2">
        <v>166750.26999999999</v>
      </c>
      <c r="M68" s="3"/>
      <c r="N68" s="2">
        <v>185457.04</v>
      </c>
      <c r="O68" s="3"/>
      <c r="P68" s="2">
        <v>449024</v>
      </c>
      <c r="Q68" s="3"/>
      <c r="R68" s="2">
        <v>397016</v>
      </c>
    </row>
    <row r="69" spans="1:18" s="16" customFormat="1" hidden="1" outlineLevel="2" x14ac:dyDescent="0.35">
      <c r="B69" s="11" t="str">
        <f>CONCATENATE("          ", "6324", " - ", "FURNITURE + FIXT DEPRECIATION")</f>
        <v xml:space="preserve">          6324 - FURNITURE + FIXT DEPRECIATION</v>
      </c>
      <c r="D69" s="2">
        <v>209.43</v>
      </c>
      <c r="F69" s="2">
        <v>209.43</v>
      </c>
      <c r="G69" s="3"/>
      <c r="H69" s="2">
        <v>174.41</v>
      </c>
      <c r="I69" s="3"/>
      <c r="J69" s="2"/>
      <c r="K69" s="3"/>
      <c r="L69" s="2"/>
      <c r="M69" s="3"/>
      <c r="N69" s="2"/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"6326", " - ", "VEHICLES DEPRECIATION EXPENSE")</f>
        <v xml:space="preserve">          6326 - VEHICLES DEPRECIATION EXPENSE</v>
      </c>
      <c r="D70" s="2">
        <v>2928.52</v>
      </c>
      <c r="F70" s="2">
        <v>5090.99</v>
      </c>
      <c r="G70" s="3"/>
      <c r="H70" s="2">
        <v>5090.99</v>
      </c>
      <c r="I70" s="3"/>
      <c r="J70" s="2">
        <v>5090.99</v>
      </c>
      <c r="K70" s="3"/>
      <c r="L70" s="2">
        <v>5090.99</v>
      </c>
      <c r="M70" s="3"/>
      <c r="N70" s="2">
        <v>4242.4799999999996</v>
      </c>
      <c r="O70" s="3"/>
      <c r="P70" s="2">
        <v>6600</v>
      </c>
      <c r="Q70" s="3"/>
      <c r="R70" s="2"/>
    </row>
    <row r="71" spans="1:18" s="15" customFormat="1" outlineLevel="1" collapsed="1" x14ac:dyDescent="0.35">
      <c r="A71" s="7"/>
      <c r="B71" s="20" t="str">
        <f>CONCATENATE("     ","Discounts and Markdowns                           ")</f>
        <v xml:space="preserve">     Discounts and Markdowns                           </v>
      </c>
      <c r="C71" s="7"/>
      <c r="D71" s="1">
        <f>SUM(OSRRefD21_6x_0)</f>
        <v>-26.8</v>
      </c>
      <c r="E71" s="19"/>
      <c r="F71" s="1">
        <f>SUM(OSRRefF21_6x_0)</f>
        <v>-112.73</v>
      </c>
      <c r="G71" s="4"/>
      <c r="H71" s="1">
        <f>SUM(OSRRefH21_6x_0)</f>
        <v>9.26</v>
      </c>
      <c r="I71" s="4"/>
      <c r="J71" s="1">
        <f>SUM(OSRRefJ21_6x_0)</f>
        <v>-1313.76</v>
      </c>
      <c r="K71" s="4"/>
      <c r="L71" s="1">
        <f>SUM(OSRRefL21_6x_0)</f>
        <v>0</v>
      </c>
      <c r="M71" s="4"/>
      <c r="N71" s="1">
        <f>SUM(OSRRefN21_6x_0)</f>
        <v>0.09</v>
      </c>
      <c r="O71" s="4"/>
      <c r="P71" s="1">
        <f>SUM(OSRRefP21_6x_0)</f>
        <v>0</v>
      </c>
      <c r="Q71" s="4"/>
      <c r="R71" s="1">
        <f>SUM(OSRRefR21_6x_0)</f>
        <v>0</v>
      </c>
    </row>
    <row r="72" spans="1:18" s="16" customFormat="1" hidden="1" outlineLevel="2" x14ac:dyDescent="0.35">
      <c r="B72" s="11" t="str">
        <f>CONCATENATE("          ", "6382", " - ", "DISCOUNTS/MARK DOWNS")</f>
        <v xml:space="preserve">          6382 - DISCOUNTS/MARK DOWNS</v>
      </c>
      <c r="D72" s="2"/>
      <c r="F72" s="2">
        <v>-0.03</v>
      </c>
      <c r="G72" s="3"/>
      <c r="H72" s="2"/>
      <c r="I72" s="3"/>
      <c r="J72" s="2"/>
      <c r="K72" s="3"/>
      <c r="L72" s="2"/>
      <c r="M72" s="3"/>
      <c r="N72" s="2">
        <v>0.09</v>
      </c>
      <c r="O72" s="3"/>
      <c r="P72" s="2"/>
      <c r="Q72" s="3"/>
      <c r="R72" s="2"/>
    </row>
    <row r="73" spans="1:18" s="16" customFormat="1" hidden="1" outlineLevel="2" x14ac:dyDescent="0.35">
      <c r="B73" s="11" t="str">
        <f>CONCATENATE("          ", "9175", " - ", "EARNED DISCOUNTS")</f>
        <v xml:space="preserve">          9175 - EARNED DISCOUNTS</v>
      </c>
      <c r="D73" s="2">
        <v>-26.8</v>
      </c>
      <c r="F73" s="2">
        <v>-112.7</v>
      </c>
      <c r="G73" s="3"/>
      <c r="H73" s="2">
        <v>9.26</v>
      </c>
      <c r="I73" s="3"/>
      <c r="J73" s="2">
        <v>-1313.76</v>
      </c>
      <c r="K73" s="3"/>
      <c r="L73" s="2"/>
      <c r="M73" s="3"/>
      <c r="N73" s="2"/>
      <c r="O73" s="3"/>
      <c r="P73" s="2"/>
      <c r="Q73" s="3"/>
      <c r="R73" s="2"/>
    </row>
    <row r="74" spans="1:18" s="15" customFormat="1" outlineLevel="1" collapsed="1" x14ac:dyDescent="0.35">
      <c r="A74" s="7"/>
      <c r="B74" s="20" t="str">
        <f>CONCATENATE("     ","Donations                                         ")</f>
        <v xml:space="preserve">     Donations                                         </v>
      </c>
      <c r="C74" s="7"/>
      <c r="D74" s="1">
        <f>SUM(OSRRefD21_7x_0)</f>
        <v>121394.93</v>
      </c>
      <c r="E74" s="19"/>
      <c r="F74" s="1">
        <f>SUM(OSRRefF21_7x_0)</f>
        <v>112929.61</v>
      </c>
      <c r="G74" s="4"/>
      <c r="H74" s="1">
        <f>SUM(OSRRefH21_7x_0)</f>
        <v>78899.539999999994</v>
      </c>
      <c r="I74" s="4"/>
      <c r="J74" s="1">
        <f>SUM(OSRRefJ21_7x_0)</f>
        <v>120551.05</v>
      </c>
      <c r="K74" s="4"/>
      <c r="L74" s="1">
        <f>SUM(OSRRefL21_7x_0)</f>
        <v>135087.18</v>
      </c>
      <c r="M74" s="4"/>
      <c r="N74" s="1">
        <f>SUM(OSRRefN21_7x_0)</f>
        <v>140336.20000000001</v>
      </c>
      <c r="O74" s="4"/>
      <c r="P74" s="1">
        <f>SUM(OSRRefP21_7x_0)</f>
        <v>130730</v>
      </c>
      <c r="Q74" s="4"/>
      <c r="R74" s="1">
        <f>SUM(OSRRefR21_7x_0)</f>
        <v>155000</v>
      </c>
    </row>
    <row r="75" spans="1:18" s="16" customFormat="1" hidden="1" outlineLevel="2" x14ac:dyDescent="0.35">
      <c r="B75" s="11" t="str">
        <f>CONCATENATE("          ", "6399", " - ", "DONATION-ON CAMPUS")</f>
        <v xml:space="preserve">          6399 - DONATION-ON CAMPUS</v>
      </c>
      <c r="D75" s="2">
        <v>121394.93</v>
      </c>
      <c r="F75" s="2">
        <v>112929.61</v>
      </c>
      <c r="G75" s="3"/>
      <c r="H75" s="2">
        <v>78899.539999999994</v>
      </c>
      <c r="I75" s="3"/>
      <c r="J75" s="2">
        <v>120551.05</v>
      </c>
      <c r="K75" s="3"/>
      <c r="L75" s="2">
        <v>135087.18</v>
      </c>
      <c r="M75" s="3"/>
      <c r="N75" s="2">
        <v>140336.20000000001</v>
      </c>
      <c r="O75" s="3"/>
      <c r="P75" s="2">
        <v>130730</v>
      </c>
      <c r="Q75" s="3"/>
      <c r="R75" s="2">
        <v>155000</v>
      </c>
    </row>
    <row r="76" spans="1:18" s="15" customFormat="1" outlineLevel="1" collapsed="1" x14ac:dyDescent="0.35">
      <c r="A76" s="7"/>
      <c r="B76" s="20" t="str">
        <f>CONCATENATE("     ","Employees' Appreciation                           ")</f>
        <v xml:space="preserve">     Employees' Appreciation                           </v>
      </c>
      <c r="C76" s="7"/>
      <c r="D76" s="1">
        <f>SUM(OSRRefD21_8x_0)</f>
        <v>1857.34</v>
      </c>
      <c r="E76" s="19"/>
      <c r="F76" s="1">
        <f>SUM(OSRRefF21_8x_0)</f>
        <v>2311.39</v>
      </c>
      <c r="G76" s="4"/>
      <c r="H76" s="1">
        <f>SUM(OSRRefH21_8x_0)</f>
        <v>3294.5</v>
      </c>
      <c r="I76" s="4"/>
      <c r="J76" s="1">
        <f>SUM(OSRRefJ21_8x_0)</f>
        <v>7004.56</v>
      </c>
      <c r="K76" s="4"/>
      <c r="L76" s="1">
        <f>SUM(OSRRefL21_8x_0)</f>
        <v>7914.39</v>
      </c>
      <c r="M76" s="4"/>
      <c r="N76" s="1">
        <f>SUM(OSRRefN21_8x_0)</f>
        <v>3471.24</v>
      </c>
      <c r="O76" s="4"/>
      <c r="P76" s="1">
        <f>SUM(OSRRefP21_8x_0)</f>
        <v>3400</v>
      </c>
      <c r="Q76" s="4"/>
      <c r="R76" s="1">
        <f>SUM(OSRRefR21_8x_0)</f>
        <v>3480</v>
      </c>
    </row>
    <row r="77" spans="1:18" s="16" customFormat="1" hidden="1" outlineLevel="2" x14ac:dyDescent="0.35">
      <c r="B77" s="11" t="str">
        <f>CONCATENATE("          ", "6277", " - ", "EMPLOYEE APPRECIATION")</f>
        <v xml:space="preserve">          6277 - EMPLOYEE APPRECIATION</v>
      </c>
      <c r="D77" s="2">
        <v>1857.34</v>
      </c>
      <c r="F77" s="2">
        <v>2311.39</v>
      </c>
      <c r="G77" s="3"/>
      <c r="H77" s="2">
        <v>3294.5</v>
      </c>
      <c r="I77" s="3"/>
      <c r="J77" s="2">
        <v>7004.56</v>
      </c>
      <c r="K77" s="3"/>
      <c r="L77" s="2">
        <v>7914.39</v>
      </c>
      <c r="M77" s="3"/>
      <c r="N77" s="2">
        <v>3471.24</v>
      </c>
      <c r="O77" s="3"/>
      <c r="P77" s="2">
        <v>3400</v>
      </c>
      <c r="Q77" s="3"/>
      <c r="R77" s="2">
        <v>3480</v>
      </c>
    </row>
    <row r="78" spans="1:18" s="15" customFormat="1" outlineLevel="1" collapsed="1" x14ac:dyDescent="0.35">
      <c r="A78" s="7"/>
      <c r="B78" s="20" t="str">
        <f>CONCATENATE("     ","Equipment Rental                                  ")</f>
        <v xml:space="preserve">     Equipment Rental                                  </v>
      </c>
      <c r="C78" s="7"/>
      <c r="D78" s="1">
        <f>SUM(OSRRefD21_9x_0)</f>
        <v>26470.38</v>
      </c>
      <c r="E78" s="19"/>
      <c r="F78" s="1">
        <f>SUM(OSRRefF21_9x_0)</f>
        <v>27571.360000000001</v>
      </c>
      <c r="G78" s="4"/>
      <c r="H78" s="1">
        <f>SUM(OSRRefH21_9x_0)</f>
        <v>24122.69</v>
      </c>
      <c r="I78" s="4"/>
      <c r="J78" s="1">
        <f>SUM(OSRRefJ21_9x_0)</f>
        <v>31552.84</v>
      </c>
      <c r="K78" s="4"/>
      <c r="L78" s="1">
        <f>SUM(OSRRefL21_9x_0)</f>
        <v>28684.89</v>
      </c>
      <c r="M78" s="4"/>
      <c r="N78" s="1">
        <f>SUM(OSRRefN21_9x_0)</f>
        <v>34249.83</v>
      </c>
      <c r="O78" s="4"/>
      <c r="P78" s="1">
        <f>SUM(OSRRefP21_9x_0)</f>
        <v>12225</v>
      </c>
      <c r="Q78" s="4"/>
      <c r="R78" s="1">
        <f>SUM(OSRRefR21_9x_0)</f>
        <v>18840</v>
      </c>
    </row>
    <row r="79" spans="1:18" s="16" customFormat="1" hidden="1" outlineLevel="2" x14ac:dyDescent="0.35">
      <c r="B79" s="11" t="str">
        <f>CONCATENATE("          ", "6351", " - ", "EQUIPMENT RENTAL")</f>
        <v xml:space="preserve">          6351 - EQUIPMENT RENTAL</v>
      </c>
      <c r="D79" s="2">
        <v>26470.38</v>
      </c>
      <c r="F79" s="2">
        <v>27571.360000000001</v>
      </c>
      <c r="G79" s="3"/>
      <c r="H79" s="2">
        <v>24122.69</v>
      </c>
      <c r="I79" s="3"/>
      <c r="J79" s="2">
        <v>31552.84</v>
      </c>
      <c r="K79" s="3"/>
      <c r="L79" s="2">
        <v>28684.89</v>
      </c>
      <c r="M79" s="3"/>
      <c r="N79" s="2">
        <v>34249.83</v>
      </c>
      <c r="O79" s="3"/>
      <c r="P79" s="2">
        <v>12225</v>
      </c>
      <c r="Q79" s="3"/>
      <c r="R79" s="2">
        <v>18840</v>
      </c>
    </row>
    <row r="80" spans="1:18" s="15" customFormat="1" outlineLevel="1" collapsed="1" x14ac:dyDescent="0.35">
      <c r="A80" s="7"/>
      <c r="B80" s="20" t="str">
        <f>CONCATENATE("     ","Freight out/Postage                               ")</f>
        <v xml:space="preserve">     Freight out/Postage                               </v>
      </c>
      <c r="C80" s="7"/>
      <c r="D80" s="1">
        <f>SUM(OSRRefD21_10x_0)</f>
        <v>0</v>
      </c>
      <c r="E80" s="19"/>
      <c r="F80" s="1">
        <f>SUM(OSRRefF21_10x_0)</f>
        <v>59.91</v>
      </c>
      <c r="G80" s="4"/>
      <c r="H80" s="1">
        <f>SUM(OSRRefH21_10x_0)</f>
        <v>0</v>
      </c>
      <c r="I80" s="4"/>
      <c r="J80" s="1">
        <f>SUM(OSRRefJ21_10x_0)</f>
        <v>10.8</v>
      </c>
      <c r="K80" s="4"/>
      <c r="L80" s="1">
        <f>SUM(OSRRefL21_10x_0)</f>
        <v>51.41</v>
      </c>
      <c r="M80" s="4"/>
      <c r="N80" s="1">
        <f>SUM(OSRRefN21_10x_0)</f>
        <v>0.57999999999999996</v>
      </c>
      <c r="O80" s="4"/>
      <c r="P80" s="1">
        <f>SUM(OSRRefP21_10x_0)</f>
        <v>0</v>
      </c>
      <c r="Q80" s="4"/>
      <c r="R80" s="1">
        <f>SUM(OSRRefR21_10x_0)</f>
        <v>0</v>
      </c>
    </row>
    <row r="81" spans="1:18" s="16" customFormat="1" hidden="1" outlineLevel="2" x14ac:dyDescent="0.35">
      <c r="B81" s="11" t="str">
        <f>CONCATENATE("          ", "6307", " - ", "POSTAGE")</f>
        <v xml:space="preserve">          6307 - POSTAGE</v>
      </c>
      <c r="D81" s="2"/>
      <c r="F81" s="2">
        <v>59.91</v>
      </c>
      <c r="G81" s="3"/>
      <c r="H81" s="2"/>
      <c r="I81" s="3"/>
      <c r="J81" s="2">
        <v>10.8</v>
      </c>
      <c r="K81" s="3"/>
      <c r="L81" s="2">
        <v>51.41</v>
      </c>
      <c r="M81" s="3"/>
      <c r="N81" s="2">
        <v>0.57999999999999996</v>
      </c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","General                                           ")</f>
        <v xml:space="preserve">     General                                           </v>
      </c>
      <c r="C82" s="7"/>
      <c r="D82" s="1">
        <f>SUM(OSRRefD21_11x_0)</f>
        <v>59589.42</v>
      </c>
      <c r="E82" s="19"/>
      <c r="F82" s="1">
        <f>SUM(OSRRefF21_11x_0)</f>
        <v>111613.89</v>
      </c>
      <c r="G82" s="4"/>
      <c r="H82" s="1">
        <f>SUM(OSRRefH21_11x_0)</f>
        <v>57815.76</v>
      </c>
      <c r="I82" s="4"/>
      <c r="J82" s="1">
        <f>SUM(OSRRefJ21_11x_0)</f>
        <v>89340.3</v>
      </c>
      <c r="K82" s="4"/>
      <c r="L82" s="1">
        <f>SUM(OSRRefL21_11x_0)</f>
        <v>71478</v>
      </c>
      <c r="M82" s="4"/>
      <c r="N82" s="1">
        <f>SUM(OSRRefN21_11x_0)</f>
        <v>97175.52</v>
      </c>
      <c r="O82" s="4"/>
      <c r="P82" s="1">
        <f>SUM(OSRRefP21_11x_0)</f>
        <v>16190</v>
      </c>
      <c r="Q82" s="4"/>
      <c r="R82" s="1">
        <f>SUM(OSRRefR21_11x_0)</f>
        <v>17640</v>
      </c>
    </row>
    <row r="83" spans="1:18" s="16" customFormat="1" hidden="1" outlineLevel="2" x14ac:dyDescent="0.35">
      <c r="B83" s="11" t="str">
        <f>CONCATENATE("          ", "6269", " - ", "ENTERTAINMENT")</f>
        <v xml:space="preserve">          6269 - ENTERTAINMENT</v>
      </c>
      <c r="D83" s="2">
        <v>1884.79</v>
      </c>
      <c r="F83" s="2">
        <v>2513.13</v>
      </c>
      <c r="G83" s="3"/>
      <c r="H83" s="2">
        <v>2661.68</v>
      </c>
      <c r="I83" s="3"/>
      <c r="J83" s="2">
        <v>6380</v>
      </c>
      <c r="K83" s="3"/>
      <c r="L83" s="2">
        <v>10824.27</v>
      </c>
      <c r="M83" s="3"/>
      <c r="N83" s="2">
        <v>10050</v>
      </c>
      <c r="O83" s="3"/>
      <c r="P83" s="2"/>
      <c r="Q83" s="3"/>
      <c r="R83" s="2">
        <v>500</v>
      </c>
    </row>
    <row r="84" spans="1:18" s="16" customFormat="1" hidden="1" outlineLevel="2" x14ac:dyDescent="0.35">
      <c r="B84" s="11" t="str">
        <f>CONCATENATE("          ", "6279", " - ", "GENERAL EXPENSE")</f>
        <v xml:space="preserve">          6279 - GENERAL EXPENSE</v>
      </c>
      <c r="D84" s="2">
        <v>57704.63</v>
      </c>
      <c r="F84" s="2">
        <v>109100.76</v>
      </c>
      <c r="G84" s="3"/>
      <c r="H84" s="2">
        <v>55154.080000000002</v>
      </c>
      <c r="I84" s="3"/>
      <c r="J84" s="2">
        <v>82960.3</v>
      </c>
      <c r="K84" s="3"/>
      <c r="L84" s="2">
        <v>60653.73</v>
      </c>
      <c r="M84" s="3"/>
      <c r="N84" s="2">
        <v>87125.52</v>
      </c>
      <c r="O84" s="3"/>
      <c r="P84" s="2">
        <v>16190</v>
      </c>
      <c r="Q84" s="3"/>
      <c r="R84" s="2">
        <v>17140</v>
      </c>
    </row>
    <row r="85" spans="1:18" s="15" customFormat="1" outlineLevel="1" collapsed="1" x14ac:dyDescent="0.35">
      <c r="A85" s="7"/>
      <c r="B85" s="20" t="str">
        <f>CONCATENATE("     ","Insurance                                         ")</f>
        <v xml:space="preserve">     Insurance                                         </v>
      </c>
      <c r="C85" s="7"/>
      <c r="D85" s="1">
        <f>SUM(OSRRefD21_12x_0)</f>
        <v>41206.14</v>
      </c>
      <c r="E85" s="19"/>
      <c r="F85" s="1">
        <f>SUM(OSRRefF21_12x_0)</f>
        <v>48545.24</v>
      </c>
      <c r="G85" s="4"/>
      <c r="H85" s="1">
        <f>SUM(OSRRefH21_12x_0)</f>
        <v>42897.57</v>
      </c>
      <c r="I85" s="4"/>
      <c r="J85" s="1">
        <f>SUM(OSRRefJ21_12x_0)</f>
        <v>46934.63</v>
      </c>
      <c r="K85" s="4"/>
      <c r="L85" s="1">
        <f>SUM(OSRRefL21_12x_0)</f>
        <v>45462.01</v>
      </c>
      <c r="M85" s="4"/>
      <c r="N85" s="1">
        <f>SUM(OSRRefN21_12x_0)</f>
        <v>56713.36</v>
      </c>
      <c r="O85" s="4"/>
      <c r="P85" s="1">
        <f>SUM(OSRRefP21_12x_0)</f>
        <v>54864</v>
      </c>
      <c r="Q85" s="4"/>
      <c r="R85" s="1">
        <f>SUM(OSRRefR21_12x_0)</f>
        <v>68160</v>
      </c>
    </row>
    <row r="86" spans="1:18" s="16" customFormat="1" hidden="1" outlineLevel="2" x14ac:dyDescent="0.35">
      <c r="B86" s="11" t="str">
        <f>CONCATENATE("          ", "6314", " - ", "LIABILITY INSURANCE")</f>
        <v xml:space="preserve">          6314 - LIABILITY INSURANCE</v>
      </c>
      <c r="D86" s="2">
        <v>41206.14</v>
      </c>
      <c r="F86" s="2">
        <v>48545.24</v>
      </c>
      <c r="G86" s="3"/>
      <c r="H86" s="2">
        <v>42897.57</v>
      </c>
      <c r="I86" s="3"/>
      <c r="J86" s="2">
        <v>46934.63</v>
      </c>
      <c r="K86" s="3"/>
      <c r="L86" s="2">
        <v>45462.01</v>
      </c>
      <c r="M86" s="3"/>
      <c r="N86" s="2">
        <v>56713.36</v>
      </c>
      <c r="O86" s="3"/>
      <c r="P86" s="2">
        <v>54864</v>
      </c>
      <c r="Q86" s="3"/>
      <c r="R86" s="2">
        <v>68160</v>
      </c>
    </row>
    <row r="87" spans="1:18" s="15" customFormat="1" outlineLevel="1" collapsed="1" x14ac:dyDescent="0.35">
      <c r="A87" s="7"/>
      <c r="B87" s="20" t="str">
        <f>CONCATENATE("     ","Interest                                          ")</f>
        <v xml:space="preserve">     Interest                                          </v>
      </c>
      <c r="C87" s="7"/>
      <c r="D87" s="1">
        <f>SUM(OSRRefD21_13x_0)</f>
        <v>118860.89</v>
      </c>
      <c r="E87" s="19"/>
      <c r="F87" s="1">
        <f>SUM(OSRRefF21_13x_0)</f>
        <v>110653.33</v>
      </c>
      <c r="G87" s="4"/>
      <c r="H87" s="1">
        <f>SUM(OSRRefH21_13x_0)</f>
        <v>90889.8</v>
      </c>
      <c r="I87" s="4"/>
      <c r="J87" s="1">
        <f>SUM(OSRRefJ21_13x_0)</f>
        <v>86827.28</v>
      </c>
      <c r="K87" s="4"/>
      <c r="L87" s="1">
        <f>SUM(OSRRefL21_13x_0)</f>
        <v>85492.9</v>
      </c>
      <c r="M87" s="4"/>
      <c r="N87" s="1">
        <f>SUM(OSRRefN21_13x_0)</f>
        <v>82378.58</v>
      </c>
      <c r="O87" s="4"/>
      <c r="P87" s="1">
        <f>SUM(OSRRefP21_13x_0)</f>
        <v>89606</v>
      </c>
      <c r="Q87" s="4"/>
      <c r="R87" s="1">
        <f>SUM(OSRRefR21_13x_0)</f>
        <v>86494</v>
      </c>
    </row>
    <row r="88" spans="1:18" s="16" customFormat="1" hidden="1" outlineLevel="2" x14ac:dyDescent="0.35">
      <c r="B88" s="11" t="str">
        <f>CONCATENATE("          ", "6401", " - ", "INTEREST EXPENSE")</f>
        <v xml:space="preserve">          6401 - INTEREST EXPENSE</v>
      </c>
      <c r="D88" s="2">
        <v>118860.89</v>
      </c>
      <c r="F88" s="2">
        <v>110653.33</v>
      </c>
      <c r="G88" s="3"/>
      <c r="H88" s="2">
        <v>90889.8</v>
      </c>
      <c r="I88" s="3"/>
      <c r="J88" s="2">
        <v>86827.28</v>
      </c>
      <c r="K88" s="3"/>
      <c r="L88" s="2">
        <v>85492.9</v>
      </c>
      <c r="M88" s="3"/>
      <c r="N88" s="2">
        <v>82378.58</v>
      </c>
      <c r="O88" s="3"/>
      <c r="P88" s="2">
        <v>89606</v>
      </c>
      <c r="Q88" s="3"/>
      <c r="R88" s="2">
        <v>86494</v>
      </c>
    </row>
    <row r="89" spans="1:18" s="15" customFormat="1" outlineLevel="1" collapsed="1" x14ac:dyDescent="0.35">
      <c r="A89" s="7"/>
      <c r="B89" s="20" t="str">
        <f>CONCATENATE("     ","Professional Services                             ")</f>
        <v xml:space="preserve">     Professional Services                             </v>
      </c>
      <c r="C89" s="7"/>
      <c r="D89" s="1">
        <f>SUM(OSRRefD21_14x_0)</f>
        <v>0</v>
      </c>
      <c r="E89" s="19"/>
      <c r="F89" s="1">
        <f>SUM(OSRRefF21_14x_0)</f>
        <v>500</v>
      </c>
      <c r="G89" s="4"/>
      <c r="H89" s="1">
        <f>SUM(OSRRefH21_14x_0)</f>
        <v>1800</v>
      </c>
      <c r="I89" s="4"/>
      <c r="J89" s="1">
        <f>SUM(OSRRefJ21_14x_0)</f>
        <v>0</v>
      </c>
      <c r="K89" s="4"/>
      <c r="L89" s="1">
        <f>SUM(OSRRefL21_14x_0)</f>
        <v>0</v>
      </c>
      <c r="M89" s="4"/>
      <c r="N89" s="1">
        <f>SUM(OSRRefN21_14x_0)</f>
        <v>125</v>
      </c>
      <c r="O89" s="4"/>
      <c r="P89" s="1">
        <f>SUM(OSRRefP21_14x_0)</f>
        <v>0</v>
      </c>
      <c r="Q89" s="4"/>
      <c r="R89" s="1">
        <f>SUM(OSRRefR21_14x_0)</f>
        <v>0</v>
      </c>
    </row>
    <row r="90" spans="1:18" s="16" customFormat="1" hidden="1" outlineLevel="2" x14ac:dyDescent="0.35">
      <c r="B90" s="11" t="str">
        <f>CONCATENATE("          ", "6332", " - ", "CONSULTANT FEES")</f>
        <v xml:space="preserve">          6332 - CONSULTANT FEES</v>
      </c>
      <c r="D90" s="2"/>
      <c r="F90" s="2">
        <v>500</v>
      </c>
      <c r="G90" s="3"/>
      <c r="H90" s="2"/>
      <c r="I90" s="3"/>
      <c r="J90" s="2"/>
      <c r="K90" s="3"/>
      <c r="L90" s="2"/>
      <c r="M90" s="3"/>
      <c r="N90" s="2"/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"6336", " - ", "PROFESSIONAL SERVICES")</f>
        <v xml:space="preserve">          6336 - PROFESSIONAL SERVICES</v>
      </c>
      <c r="D91" s="2"/>
      <c r="F91" s="2"/>
      <c r="G91" s="3"/>
      <c r="H91" s="2">
        <v>1800</v>
      </c>
      <c r="I91" s="3"/>
      <c r="J91" s="2"/>
      <c r="K91" s="3"/>
      <c r="L91" s="2"/>
      <c r="M91" s="3"/>
      <c r="N91" s="2">
        <v>125</v>
      </c>
      <c r="O91" s="3"/>
      <c r="P91" s="2"/>
      <c r="Q91" s="3"/>
      <c r="R91" s="2"/>
    </row>
    <row r="92" spans="1:18" s="15" customFormat="1" outlineLevel="1" collapsed="1" x14ac:dyDescent="0.35">
      <c r="A92" s="7"/>
      <c r="B92" s="20" t="str">
        <f>CONCATENATE("     ","R/H Commissions                                   ")</f>
        <v xml:space="preserve">     R/H Commissions                                   </v>
      </c>
      <c r="C92" s="7"/>
      <c r="D92" s="1">
        <f>SUM(OSRRefD21_15x_0)</f>
        <v>751532.92</v>
      </c>
      <c r="E92" s="19"/>
      <c r="F92" s="1">
        <f>SUM(OSRRefF21_15x_0)</f>
        <v>847345.28</v>
      </c>
      <c r="G92" s="4"/>
      <c r="H92" s="1">
        <f>SUM(OSRRefH21_15x_0)</f>
        <v>785042.57</v>
      </c>
      <c r="I92" s="4"/>
      <c r="J92" s="1">
        <f>SUM(OSRRefJ21_15x_0)</f>
        <v>786835.59</v>
      </c>
      <c r="K92" s="4"/>
      <c r="L92" s="1">
        <f>SUM(OSRRefL21_15x_0)</f>
        <v>853864.66</v>
      </c>
      <c r="M92" s="4"/>
      <c r="N92" s="1">
        <f>SUM(OSRRefN21_15x_0)</f>
        <v>703130.05</v>
      </c>
      <c r="O92" s="4"/>
      <c r="P92" s="1">
        <f>SUM(OSRRefP21_15x_0)</f>
        <v>319179</v>
      </c>
      <c r="Q92" s="4"/>
      <c r="R92" s="1">
        <f>SUM(OSRRefR21_15x_0)</f>
        <v>703152</v>
      </c>
    </row>
    <row r="93" spans="1:18" s="16" customFormat="1" hidden="1" outlineLevel="2" x14ac:dyDescent="0.35">
      <c r="B93" s="11" t="str">
        <f>CONCATENATE("          ", "6387", " - ", "COMMISSION DUE HOUSING")</f>
        <v xml:space="preserve">          6387 - COMMISSION DUE HOUSING</v>
      </c>
      <c r="D93" s="2">
        <v>751532.92</v>
      </c>
      <c r="F93" s="2">
        <v>847345.28</v>
      </c>
      <c r="G93" s="3"/>
      <c r="H93" s="2">
        <v>785042.57</v>
      </c>
      <c r="I93" s="3"/>
      <c r="J93" s="2">
        <v>786835.59</v>
      </c>
      <c r="K93" s="3"/>
      <c r="L93" s="2">
        <v>853864.66</v>
      </c>
      <c r="M93" s="3"/>
      <c r="N93" s="2">
        <v>703130.05</v>
      </c>
      <c r="O93" s="3"/>
      <c r="P93" s="2">
        <v>319179</v>
      </c>
      <c r="Q93" s="3"/>
      <c r="R93" s="2">
        <v>703152</v>
      </c>
    </row>
    <row r="94" spans="1:18" s="15" customFormat="1" outlineLevel="1" collapsed="1" x14ac:dyDescent="0.35">
      <c r="A94" s="7"/>
      <c r="B94" s="20" t="str">
        <f>CONCATENATE("     ","Rent                                              ")</f>
        <v xml:space="preserve">     Rent                                              </v>
      </c>
      <c r="C94" s="7"/>
      <c r="D94" s="1">
        <f>SUM(OSRRefD21_16x_0)</f>
        <v>12000</v>
      </c>
      <c r="E94" s="19"/>
      <c r="F94" s="1">
        <f>SUM(OSRRefF21_16x_0)</f>
        <v>12000</v>
      </c>
      <c r="G94" s="4"/>
      <c r="H94" s="1">
        <f>SUM(OSRRefH21_16x_0)</f>
        <v>14500</v>
      </c>
      <c r="I94" s="4"/>
      <c r="J94" s="1">
        <f>SUM(OSRRefJ21_16x_0)</f>
        <v>12000</v>
      </c>
      <c r="K94" s="4"/>
      <c r="L94" s="1">
        <f>SUM(OSRRefL21_16x_0)</f>
        <v>22200</v>
      </c>
      <c r="M94" s="4"/>
      <c r="N94" s="1">
        <f>SUM(OSRRefN21_16x_0)</f>
        <v>22200</v>
      </c>
      <c r="O94" s="4"/>
      <c r="P94" s="1">
        <f>SUM(OSRRefP21_16x_0)</f>
        <v>23316</v>
      </c>
      <c r="Q94" s="4"/>
      <c r="R94" s="1">
        <f>SUM(OSRRefR21_16x_0)</f>
        <v>22200</v>
      </c>
    </row>
    <row r="95" spans="1:18" s="16" customFormat="1" hidden="1" outlineLevel="2" x14ac:dyDescent="0.35">
      <c r="B95" s="11" t="str">
        <f>CONCATENATE("          ", "6273", " - ", "RENT")</f>
        <v xml:space="preserve">          6273 - RENT</v>
      </c>
      <c r="D95" s="2">
        <v>12000</v>
      </c>
      <c r="F95" s="2">
        <v>12000</v>
      </c>
      <c r="G95" s="3"/>
      <c r="H95" s="2">
        <v>14500</v>
      </c>
      <c r="I95" s="3"/>
      <c r="J95" s="2">
        <v>12000</v>
      </c>
      <c r="K95" s="3"/>
      <c r="L95" s="2">
        <v>22200</v>
      </c>
      <c r="M95" s="3"/>
      <c r="N95" s="2">
        <v>22200</v>
      </c>
      <c r="O95" s="3"/>
      <c r="P95" s="2">
        <v>23316</v>
      </c>
      <c r="Q95" s="3"/>
      <c r="R95" s="2">
        <v>22200</v>
      </c>
    </row>
    <row r="96" spans="1:18" s="15" customFormat="1" outlineLevel="1" collapsed="1" x14ac:dyDescent="0.35">
      <c r="A96" s="7"/>
      <c r="B96" s="20" t="str">
        <f>CONCATENATE("     ","Repair and Maintenance                            ")</f>
        <v xml:space="preserve">     Repair and Maintenance                            </v>
      </c>
      <c r="C96" s="7"/>
      <c r="D96" s="1">
        <f>SUM(OSRRefD21_17x_0)</f>
        <v>309045.92000000004</v>
      </c>
      <c r="E96" s="19"/>
      <c r="F96" s="1">
        <f>SUM(OSRRefF21_17x_0)</f>
        <v>276668.03000000003</v>
      </c>
      <c r="G96" s="4"/>
      <c r="H96" s="1">
        <f>SUM(OSRRefH21_17x_0)</f>
        <v>267325.75</v>
      </c>
      <c r="I96" s="4"/>
      <c r="J96" s="1">
        <f>SUM(OSRRefJ21_17x_0)</f>
        <v>281420.59000000003</v>
      </c>
      <c r="K96" s="4"/>
      <c r="L96" s="1">
        <f>SUM(OSRRefL21_17x_0)</f>
        <v>364370.06000000006</v>
      </c>
      <c r="M96" s="4"/>
      <c r="N96" s="1">
        <f>SUM(OSRRefN21_17x_0)</f>
        <v>299126.58999999997</v>
      </c>
      <c r="O96" s="4"/>
      <c r="P96" s="1">
        <f>SUM(OSRRefP21_17x_0)</f>
        <v>97187</v>
      </c>
      <c r="Q96" s="4"/>
      <c r="R96" s="1">
        <f>SUM(OSRRefR21_17x_0)</f>
        <v>119122</v>
      </c>
    </row>
    <row r="97" spans="1:18" s="16" customFormat="1" hidden="1" outlineLevel="2" x14ac:dyDescent="0.35">
      <c r="B97" s="11" t="str">
        <f>CONCATENATE("          ", "6371", " - ", "COMPUTER SOFTWARE MAINTENANCE")</f>
        <v xml:space="preserve">          6371 - COMPUTER SOFTWARE MAINTENANCE</v>
      </c>
      <c r="D97" s="2">
        <v>52981.81</v>
      </c>
      <c r="F97" s="2">
        <v>59625.65</v>
      </c>
      <c r="G97" s="3"/>
      <c r="H97" s="2">
        <v>68418.42</v>
      </c>
      <c r="I97" s="3"/>
      <c r="J97" s="2">
        <v>74991.899999999994</v>
      </c>
      <c r="K97" s="3"/>
      <c r="L97" s="2">
        <v>71970.210000000006</v>
      </c>
      <c r="M97" s="3"/>
      <c r="N97" s="2">
        <v>73995.62</v>
      </c>
      <c r="O97" s="3"/>
      <c r="P97" s="2">
        <v>56745</v>
      </c>
      <c r="Q97" s="3"/>
      <c r="R97" s="2">
        <v>42000</v>
      </c>
    </row>
    <row r="98" spans="1:18" s="16" customFormat="1" hidden="1" outlineLevel="2" x14ac:dyDescent="0.35">
      <c r="B98" s="11" t="str">
        <f>CONCATENATE("          ", "6372", " - ", "COMPUTER HARDWARE MAINTENANCE")</f>
        <v xml:space="preserve">          6372 - COMPUTER HARDWARE MAINTENANCE</v>
      </c>
      <c r="D98" s="2"/>
      <c r="F98" s="2"/>
      <c r="G98" s="3"/>
      <c r="H98" s="2"/>
      <c r="I98" s="3"/>
      <c r="J98" s="2">
        <v>1027.96</v>
      </c>
      <c r="K98" s="3"/>
      <c r="L98" s="2">
        <v>880.96</v>
      </c>
      <c r="M98" s="3"/>
      <c r="N98" s="2">
        <v>8142.87</v>
      </c>
      <c r="O98" s="3"/>
      <c r="P98" s="2">
        <v>3083</v>
      </c>
      <c r="Q98" s="3"/>
      <c r="R98" s="2">
        <v>8000</v>
      </c>
    </row>
    <row r="99" spans="1:18" s="16" customFormat="1" hidden="1" outlineLevel="2" x14ac:dyDescent="0.35">
      <c r="B99" s="11" t="str">
        <f>CONCATENATE("          ", "6373", " - ", "MAINTENANCE CONTRACTS")</f>
        <v xml:space="preserve">          6373 - MAINTENANCE CONTRACTS</v>
      </c>
      <c r="D99" s="2">
        <v>101717.91</v>
      </c>
      <c r="F99" s="2">
        <v>98468.54</v>
      </c>
      <c r="G99" s="3"/>
      <c r="H99" s="2">
        <v>83572.94</v>
      </c>
      <c r="I99" s="3"/>
      <c r="J99" s="2">
        <v>95794.91</v>
      </c>
      <c r="K99" s="3"/>
      <c r="L99" s="2">
        <v>127657.54</v>
      </c>
      <c r="M99" s="3"/>
      <c r="N99" s="2">
        <v>101890.44</v>
      </c>
      <c r="O99" s="3"/>
      <c r="P99" s="2">
        <v>11665</v>
      </c>
      <c r="Q99" s="3"/>
      <c r="R99" s="2">
        <v>23345</v>
      </c>
    </row>
    <row r="100" spans="1:18" s="16" customFormat="1" hidden="1" outlineLevel="2" x14ac:dyDescent="0.35">
      <c r="B100" s="11" t="str">
        <f>CONCATENATE("          ", "6375", " - ", "OUTSIDE REPAIRS &amp; MAINTENANCE")</f>
        <v xml:space="preserve">          6375 - OUTSIDE REPAIRS &amp; MAINTENANCE</v>
      </c>
      <c r="D100" s="2">
        <v>154346.20000000001</v>
      </c>
      <c r="F100" s="2">
        <v>118573.84</v>
      </c>
      <c r="G100" s="3"/>
      <c r="H100" s="2">
        <v>115334.39</v>
      </c>
      <c r="I100" s="3"/>
      <c r="J100" s="2">
        <v>109605.82</v>
      </c>
      <c r="K100" s="3"/>
      <c r="L100" s="2">
        <v>163861.35</v>
      </c>
      <c r="M100" s="3"/>
      <c r="N100" s="2">
        <v>115097.66</v>
      </c>
      <c r="O100" s="3"/>
      <c r="P100" s="2">
        <v>25694</v>
      </c>
      <c r="Q100" s="3"/>
      <c r="R100" s="2">
        <v>45777</v>
      </c>
    </row>
    <row r="101" spans="1:18" s="15" customFormat="1" outlineLevel="1" collapsed="1" x14ac:dyDescent="0.35">
      <c r="A101" s="7"/>
      <c r="B101" s="20" t="str">
        <f>CONCATENATE("     ","Royalty &amp; Commissions                             ")</f>
        <v xml:space="preserve">     Royalty &amp; Commissions                             </v>
      </c>
      <c r="C101" s="7"/>
      <c r="D101" s="1">
        <f>SUM(OSRRefD21_18x_0)</f>
        <v>304270.89</v>
      </c>
      <c r="E101" s="19"/>
      <c r="F101" s="1">
        <f>SUM(OSRRefF21_18x_0)</f>
        <v>374798.08999999997</v>
      </c>
      <c r="G101" s="4"/>
      <c r="H101" s="1">
        <f>SUM(OSRRefH21_18x_0)</f>
        <v>377501.65</v>
      </c>
      <c r="I101" s="4"/>
      <c r="J101" s="1">
        <f>SUM(OSRRefJ21_18x_0)</f>
        <v>493517.35</v>
      </c>
      <c r="K101" s="4"/>
      <c r="L101" s="1">
        <f>SUM(OSRRefL21_18x_0)</f>
        <v>446474.05</v>
      </c>
      <c r="M101" s="4"/>
      <c r="N101" s="1">
        <f>SUM(OSRRefN21_18x_0)</f>
        <v>233763.47</v>
      </c>
      <c r="O101" s="4"/>
      <c r="P101" s="1">
        <f>SUM(OSRRefP21_18x_0)</f>
        <v>0</v>
      </c>
      <c r="Q101" s="4"/>
      <c r="R101" s="1">
        <f>SUM(OSRRefR21_18x_0)</f>
        <v>0</v>
      </c>
    </row>
    <row r="102" spans="1:18" s="16" customFormat="1" hidden="1" outlineLevel="2" x14ac:dyDescent="0.35">
      <c r="B102" s="11" t="str">
        <f>CONCATENATE("          ", "6254", " - ", "ROYALTY &amp; COMMISSIONS")</f>
        <v xml:space="preserve">          6254 - ROYALTY &amp; COMMISSIONS</v>
      </c>
      <c r="D102" s="2">
        <v>172559.45</v>
      </c>
      <c r="F102" s="2">
        <v>229721.21</v>
      </c>
      <c r="G102" s="3"/>
      <c r="H102" s="2">
        <v>214795.33</v>
      </c>
      <c r="I102" s="3"/>
      <c r="J102" s="2">
        <v>345159.19</v>
      </c>
      <c r="K102" s="3"/>
      <c r="L102" s="2">
        <v>305470.61</v>
      </c>
      <c r="M102" s="3"/>
      <c r="N102" s="2">
        <v>129093.51</v>
      </c>
      <c r="O102" s="3"/>
      <c r="P102" s="2">
        <v>0</v>
      </c>
      <c r="Q102" s="3"/>
      <c r="R102" s="2"/>
    </row>
    <row r="103" spans="1:18" s="16" customFormat="1" hidden="1" outlineLevel="2" x14ac:dyDescent="0.35">
      <c r="B103" s="11" t="str">
        <f>CONCATENATE("          ", "6259", " - ", "ROYALTY &amp; COMMISSIONS")</f>
        <v xml:space="preserve">          6259 - ROYALTY &amp; COMMISSIONS</v>
      </c>
      <c r="D103" s="2">
        <v>131711.44</v>
      </c>
      <c r="F103" s="2">
        <v>145076.88</v>
      </c>
      <c r="G103" s="3"/>
      <c r="H103" s="2">
        <v>162706.32</v>
      </c>
      <c r="I103" s="3"/>
      <c r="J103" s="2">
        <v>148358.16</v>
      </c>
      <c r="K103" s="3"/>
      <c r="L103" s="2">
        <v>141003.44</v>
      </c>
      <c r="M103" s="3"/>
      <c r="N103" s="2">
        <v>104669.96</v>
      </c>
      <c r="O103" s="3"/>
      <c r="P103" s="2">
        <v>0</v>
      </c>
      <c r="Q103" s="3"/>
      <c r="R103" s="2"/>
    </row>
    <row r="104" spans="1:18" s="15" customFormat="1" outlineLevel="1" collapsed="1" x14ac:dyDescent="0.35">
      <c r="A104" s="7"/>
      <c r="B104" s="20" t="str">
        <f>CONCATENATE("     ","Services                                          ")</f>
        <v xml:space="preserve">     Services                                          </v>
      </c>
      <c r="C104" s="7"/>
      <c r="D104" s="1">
        <f>SUM(OSRRefD21_19x_0)</f>
        <v>391496.56000000006</v>
      </c>
      <c r="E104" s="19"/>
      <c r="F104" s="1">
        <f>SUM(OSRRefF21_19x_0)</f>
        <v>434976.91</v>
      </c>
      <c r="G104" s="4"/>
      <c r="H104" s="1">
        <f>SUM(OSRRefH21_19x_0)</f>
        <v>489432.91000000003</v>
      </c>
      <c r="I104" s="4"/>
      <c r="J104" s="1">
        <f>SUM(OSRRefJ21_19x_0)</f>
        <v>477247.31</v>
      </c>
      <c r="K104" s="4"/>
      <c r="L104" s="1">
        <f>SUM(OSRRefL21_19x_0)</f>
        <v>472584.26</v>
      </c>
      <c r="M104" s="4"/>
      <c r="N104" s="1">
        <f>SUM(OSRRefN21_19x_0)</f>
        <v>429132.06</v>
      </c>
      <c r="O104" s="4"/>
      <c r="P104" s="1">
        <f>SUM(OSRRefP21_19x_0)</f>
        <v>320954</v>
      </c>
      <c r="Q104" s="4"/>
      <c r="R104" s="1">
        <f>SUM(OSRRefR21_19x_0)</f>
        <v>386051</v>
      </c>
    </row>
    <row r="105" spans="1:18" s="16" customFormat="1" hidden="1" outlineLevel="2" x14ac:dyDescent="0.35">
      <c r="B105" s="11" t="str">
        <f>CONCATENATE("          ", "6282", " - ", "JANITORIAL/EXTERMINATOR EXPENS")</f>
        <v xml:space="preserve">          6282 - JANITORIAL/EXTERMINATOR EXPENS</v>
      </c>
      <c r="D105" s="2">
        <v>27459.52</v>
      </c>
      <c r="F105" s="2">
        <v>31401.19</v>
      </c>
      <c r="G105" s="3"/>
      <c r="H105" s="2">
        <v>30364.26</v>
      </c>
      <c r="I105" s="3"/>
      <c r="J105" s="2">
        <v>32597.03</v>
      </c>
      <c r="K105" s="3"/>
      <c r="L105" s="2">
        <v>30764.77</v>
      </c>
      <c r="M105" s="3"/>
      <c r="N105" s="2">
        <v>34466.239999999998</v>
      </c>
      <c r="O105" s="3"/>
      <c r="P105" s="2">
        <v>33604</v>
      </c>
      <c r="Q105" s="3"/>
      <c r="R105" s="2">
        <v>32276</v>
      </c>
    </row>
    <row r="106" spans="1:18" s="16" customFormat="1" hidden="1" outlineLevel="2" x14ac:dyDescent="0.35">
      <c r="B106" s="11" t="str">
        <f>CONCATENATE("          ", "6283", " - ", "PLANT SERVICE")</f>
        <v xml:space="preserve">          6283 - PLANT SERVICE</v>
      </c>
      <c r="D106" s="2">
        <v>2624</v>
      </c>
      <c r="F106" s="2">
        <v>1752</v>
      </c>
      <c r="G106" s="3"/>
      <c r="H106" s="2">
        <v>2488.9899999999998</v>
      </c>
      <c r="I106" s="3"/>
      <c r="J106" s="2">
        <v>1936</v>
      </c>
      <c r="K106" s="3"/>
      <c r="L106" s="2">
        <v>2135.7800000000002</v>
      </c>
      <c r="M106" s="3"/>
      <c r="N106" s="2">
        <v>1798.02</v>
      </c>
      <c r="O106" s="3"/>
      <c r="P106" s="2">
        <v>310</v>
      </c>
      <c r="Q106" s="3"/>
      <c r="R106" s="2">
        <v>1200</v>
      </c>
    </row>
    <row r="107" spans="1:18" s="16" customFormat="1" hidden="1" outlineLevel="2" x14ac:dyDescent="0.35">
      <c r="B107" s="11" t="str">
        <f>CONCATENATE("          ", "6284", " - ", "TRASH REMOVAL EXPENSE")</f>
        <v xml:space="preserve">          6284 - TRASH REMOVAL EXPENSE</v>
      </c>
      <c r="D107" s="2">
        <v>35736.1</v>
      </c>
      <c r="F107" s="2">
        <v>45151.77</v>
      </c>
      <c r="G107" s="3"/>
      <c r="H107" s="2">
        <v>54342.51</v>
      </c>
      <c r="I107" s="3"/>
      <c r="J107" s="2">
        <v>57596.85</v>
      </c>
      <c r="K107" s="3"/>
      <c r="L107" s="2">
        <v>59177.27</v>
      </c>
      <c r="M107" s="3"/>
      <c r="N107" s="2">
        <v>62179</v>
      </c>
      <c r="O107" s="3"/>
      <c r="P107" s="2">
        <v>42163</v>
      </c>
      <c r="Q107" s="3"/>
      <c r="R107" s="2">
        <v>19200</v>
      </c>
    </row>
    <row r="108" spans="1:18" s="16" customFormat="1" hidden="1" outlineLevel="2" x14ac:dyDescent="0.35">
      <c r="B108" s="11" t="str">
        <f>CONCATENATE("          ", "6285", " - ", "JANITORIAL SERVICES")</f>
        <v xml:space="preserve">          6285 - JANITORIAL SERVICES</v>
      </c>
      <c r="D108" s="2">
        <v>212251.17</v>
      </c>
      <c r="F108" s="2">
        <v>237907.22</v>
      </c>
      <c r="G108" s="3"/>
      <c r="H108" s="2">
        <v>275885.18</v>
      </c>
      <c r="I108" s="3"/>
      <c r="J108" s="2">
        <v>280827.21999999997</v>
      </c>
      <c r="K108" s="3"/>
      <c r="L108" s="2">
        <v>291189.24</v>
      </c>
      <c r="M108" s="3"/>
      <c r="N108" s="2">
        <v>261468.63</v>
      </c>
      <c r="O108" s="3"/>
      <c r="P108" s="2">
        <v>190877</v>
      </c>
      <c r="Q108" s="3"/>
      <c r="R108" s="2">
        <v>270419</v>
      </c>
    </row>
    <row r="109" spans="1:18" s="16" customFormat="1" hidden="1" outlineLevel="2" x14ac:dyDescent="0.35">
      <c r="B109" s="11" t="str">
        <f>CONCATENATE("          ", "6286", " - ", "LAUNDRY EXPENSE")</f>
        <v xml:space="preserve">          6286 - LAUNDRY EXPENSE</v>
      </c>
      <c r="D109" s="2">
        <v>113425.77</v>
      </c>
      <c r="F109" s="2">
        <v>118764.73</v>
      </c>
      <c r="G109" s="3"/>
      <c r="H109" s="2">
        <v>126351.97</v>
      </c>
      <c r="I109" s="3"/>
      <c r="J109" s="2">
        <v>104290.21</v>
      </c>
      <c r="K109" s="3"/>
      <c r="L109" s="2">
        <v>89317.2</v>
      </c>
      <c r="M109" s="3"/>
      <c r="N109" s="2">
        <v>69220.17</v>
      </c>
      <c r="O109" s="3"/>
      <c r="P109" s="2">
        <v>54000</v>
      </c>
      <c r="Q109" s="3"/>
      <c r="R109" s="2">
        <v>62956</v>
      </c>
    </row>
    <row r="110" spans="1:18" s="15" customFormat="1" outlineLevel="1" collapsed="1" x14ac:dyDescent="0.35">
      <c r="A110" s="7"/>
      <c r="B110" s="20" t="str">
        <f>CONCATENATE("     ","Subscriptions &amp; Dues                              ")</f>
        <v xml:space="preserve">     Subscriptions &amp; Dues                              </v>
      </c>
      <c r="C110" s="7"/>
      <c r="D110" s="1">
        <f>SUM(OSRRefD21_20x_0)</f>
        <v>6216.96</v>
      </c>
      <c r="E110" s="19"/>
      <c r="F110" s="1">
        <f>SUM(OSRRefF21_20x_0)</f>
        <v>15117.35</v>
      </c>
      <c r="G110" s="4"/>
      <c r="H110" s="1">
        <f>SUM(OSRRefH21_20x_0)</f>
        <v>5140.9399999999996</v>
      </c>
      <c r="I110" s="4"/>
      <c r="J110" s="1">
        <f>SUM(OSRRefJ21_20x_0)</f>
        <v>11768.99</v>
      </c>
      <c r="K110" s="4"/>
      <c r="L110" s="1">
        <f>SUM(OSRRefL21_20x_0)</f>
        <v>7666.05</v>
      </c>
      <c r="M110" s="4"/>
      <c r="N110" s="1">
        <f>SUM(OSRRefN21_20x_0)</f>
        <v>7300.55</v>
      </c>
      <c r="O110" s="4"/>
      <c r="P110" s="1">
        <f>SUM(OSRRefP21_20x_0)</f>
        <v>3281</v>
      </c>
      <c r="Q110" s="4"/>
      <c r="R110" s="1">
        <f>SUM(OSRRefR21_20x_0)</f>
        <v>7885</v>
      </c>
    </row>
    <row r="111" spans="1:18" s="16" customFormat="1" hidden="1" outlineLevel="2" x14ac:dyDescent="0.35">
      <c r="B111" s="11" t="str">
        <f>CONCATENATE("          ", "6258", " - ", "MEMBERSHIP DUES")</f>
        <v xml:space="preserve">          6258 - MEMBERSHIP DUES</v>
      </c>
      <c r="D111" s="2">
        <v>700</v>
      </c>
      <c r="F111" s="2">
        <v>255</v>
      </c>
      <c r="G111" s="3"/>
      <c r="H111" s="2">
        <v>600</v>
      </c>
      <c r="I111" s="3"/>
      <c r="J111" s="2">
        <v>1264.02</v>
      </c>
      <c r="K111" s="3"/>
      <c r="L111" s="2"/>
      <c r="M111" s="3"/>
      <c r="N111" s="2">
        <v>3730</v>
      </c>
      <c r="O111" s="3"/>
      <c r="P111" s="2">
        <v>900</v>
      </c>
      <c r="Q111" s="3"/>
      <c r="R111" s="2">
        <v>795</v>
      </c>
    </row>
    <row r="112" spans="1:18" s="16" customFormat="1" hidden="1" outlineLevel="2" x14ac:dyDescent="0.35">
      <c r="B112" s="11" t="str">
        <f>CONCATENATE("          ", "6275", " - ", "SUBSCRIPTIONS")</f>
        <v xml:space="preserve">          6275 - SUBSCRIPTIONS</v>
      </c>
      <c r="D112" s="2">
        <v>5516.96</v>
      </c>
      <c r="F112" s="2">
        <v>14862.35</v>
      </c>
      <c r="G112" s="3"/>
      <c r="H112" s="2">
        <v>4540.9399999999996</v>
      </c>
      <c r="I112" s="3"/>
      <c r="J112" s="2">
        <v>10504.97</v>
      </c>
      <c r="K112" s="3"/>
      <c r="L112" s="2">
        <v>7666.05</v>
      </c>
      <c r="M112" s="3"/>
      <c r="N112" s="2">
        <v>3570.55</v>
      </c>
      <c r="O112" s="3"/>
      <c r="P112" s="2">
        <v>2381</v>
      </c>
      <c r="Q112" s="3"/>
      <c r="R112" s="2">
        <v>7090</v>
      </c>
    </row>
    <row r="113" spans="1:18" s="15" customFormat="1" outlineLevel="1" collapsed="1" x14ac:dyDescent="0.35">
      <c r="A113" s="7"/>
      <c r="B113" s="20" t="str">
        <f>CONCATENATE("     ","Supplies                                          ")</f>
        <v xml:space="preserve">     Supplies                                          </v>
      </c>
      <c r="C113" s="7"/>
      <c r="D113" s="1">
        <f>SUM(OSRRefD21_21x_0)</f>
        <v>605993.86</v>
      </c>
      <c r="E113" s="19"/>
      <c r="F113" s="1">
        <f>SUM(OSRRefF21_21x_0)</f>
        <v>465063.52</v>
      </c>
      <c r="G113" s="4"/>
      <c r="H113" s="1">
        <f>SUM(OSRRefH21_21x_0)</f>
        <v>458830.76999999996</v>
      </c>
      <c r="I113" s="4"/>
      <c r="J113" s="1">
        <f>SUM(OSRRefJ21_21x_0)</f>
        <v>510253.49</v>
      </c>
      <c r="K113" s="4"/>
      <c r="L113" s="1">
        <f>SUM(OSRRefL21_21x_0)</f>
        <v>469501.19</v>
      </c>
      <c r="M113" s="4"/>
      <c r="N113" s="1">
        <f>SUM(OSRRefN21_21x_0)</f>
        <v>365454.65</v>
      </c>
      <c r="O113" s="4"/>
      <c r="P113" s="1">
        <f>SUM(OSRRefP21_21x_0)</f>
        <v>317985</v>
      </c>
      <c r="Q113" s="4"/>
      <c r="R113" s="1">
        <f>SUM(OSRRefR21_21x_0)</f>
        <v>387963</v>
      </c>
    </row>
    <row r="114" spans="1:18" s="16" customFormat="1" hidden="1" outlineLevel="2" x14ac:dyDescent="0.35">
      <c r="B114" s="11" t="str">
        <f>CONCATENATE("          ", "6234", " - ", "EXPENDABLE SUPPLIES &amp; EQUIPMEN")</f>
        <v xml:space="preserve">          6234 - EXPENDABLE SUPPLIES &amp; EQUIPMEN</v>
      </c>
      <c r="D114" s="2">
        <v>11164.03</v>
      </c>
      <c r="F114" s="2">
        <v>4841.1099999999997</v>
      </c>
      <c r="G114" s="3"/>
      <c r="H114" s="2">
        <v>11935.32</v>
      </c>
      <c r="I114" s="3"/>
      <c r="J114" s="2">
        <v>10977.85</v>
      </c>
      <c r="K114" s="3"/>
      <c r="L114" s="2">
        <v>8497.73</v>
      </c>
      <c r="M114" s="3"/>
      <c r="N114" s="2">
        <v>15853.63</v>
      </c>
      <c r="O114" s="3"/>
      <c r="P114" s="2">
        <v>2276</v>
      </c>
      <c r="Q114" s="3"/>
      <c r="R114" s="2">
        <v>4100</v>
      </c>
    </row>
    <row r="115" spans="1:18" s="16" customFormat="1" hidden="1" outlineLevel="2" x14ac:dyDescent="0.35">
      <c r="B115" s="11" t="str">
        <f>CONCATENATE("          ", "6235", " - ", "COVID-19 EXPENSES")</f>
        <v xml:space="preserve">          6235 - COVID-19 EXPENSES</v>
      </c>
      <c r="D115" s="2"/>
      <c r="F115" s="2"/>
      <c r="G115" s="3"/>
      <c r="H115" s="2"/>
      <c r="I115" s="3"/>
      <c r="J115" s="2"/>
      <c r="K115" s="3"/>
      <c r="L115" s="2"/>
      <c r="M115" s="3"/>
      <c r="N115" s="2">
        <v>1980.88</v>
      </c>
      <c r="O115" s="3"/>
      <c r="P115" s="2">
        <v>134400</v>
      </c>
      <c r="Q115" s="3"/>
      <c r="R115" s="2">
        <v>3225</v>
      </c>
    </row>
    <row r="116" spans="1:18" s="16" customFormat="1" hidden="1" outlineLevel="2" x14ac:dyDescent="0.35">
      <c r="B116" s="11" t="str">
        <f>CONCATENATE("          ", "6237", " - ", "JANITORIAL SUPPLIES")</f>
        <v xml:space="preserve">          6237 - JANITORIAL SUPPLIES</v>
      </c>
      <c r="D116" s="2">
        <v>99466.11</v>
      </c>
      <c r="F116" s="2">
        <v>134530.06</v>
      </c>
      <c r="G116" s="3"/>
      <c r="H116" s="2">
        <v>141658.01999999999</v>
      </c>
      <c r="I116" s="3"/>
      <c r="J116" s="2">
        <v>171665.62</v>
      </c>
      <c r="K116" s="3"/>
      <c r="L116" s="2">
        <v>159217.12</v>
      </c>
      <c r="M116" s="3"/>
      <c r="N116" s="2">
        <v>125027.55</v>
      </c>
      <c r="O116" s="3"/>
      <c r="P116" s="2">
        <v>108899</v>
      </c>
      <c r="Q116" s="3"/>
      <c r="R116" s="2">
        <v>122128</v>
      </c>
    </row>
    <row r="117" spans="1:18" s="16" customFormat="1" hidden="1" outlineLevel="2" x14ac:dyDescent="0.35">
      <c r="B117" s="11" t="str">
        <f>CONCATENATE("          ", "6239", " - ", "KITCHEN SUPPLIES")</f>
        <v xml:space="preserve">          6239 - KITCHEN SUPPLIES</v>
      </c>
      <c r="D117" s="2">
        <v>123212.55</v>
      </c>
      <c r="F117" s="2">
        <v>57407.22</v>
      </c>
      <c r="G117" s="3"/>
      <c r="H117" s="2">
        <v>70075.100000000006</v>
      </c>
      <c r="I117" s="3"/>
      <c r="J117" s="2">
        <v>76279.929999999993</v>
      </c>
      <c r="K117" s="3"/>
      <c r="L117" s="2">
        <v>99819.8</v>
      </c>
      <c r="M117" s="3"/>
      <c r="N117" s="2">
        <v>72723.39</v>
      </c>
      <c r="O117" s="3"/>
      <c r="P117" s="2">
        <v>26543</v>
      </c>
      <c r="Q117" s="3"/>
      <c r="R117" s="2">
        <v>54049</v>
      </c>
    </row>
    <row r="118" spans="1:18" s="16" customFormat="1" hidden="1" outlineLevel="2" x14ac:dyDescent="0.35">
      <c r="B118" s="11" t="str">
        <f>CONCATENATE("          ", "6241", " - ", "OFFICE EXPENSE")</f>
        <v xml:space="preserve">          6241 - OFFICE EXPENSE</v>
      </c>
      <c r="D118" s="2">
        <v>25811.15</v>
      </c>
      <c r="F118" s="2">
        <v>31334.82</v>
      </c>
      <c r="G118" s="3"/>
      <c r="H118" s="2">
        <v>41433.42</v>
      </c>
      <c r="I118" s="3"/>
      <c r="J118" s="2">
        <v>58348.34</v>
      </c>
      <c r="K118" s="3"/>
      <c r="L118" s="2">
        <v>45111.39</v>
      </c>
      <c r="M118" s="3"/>
      <c r="N118" s="2">
        <v>45765.36</v>
      </c>
      <c r="O118" s="3"/>
      <c r="P118" s="2">
        <v>17212</v>
      </c>
      <c r="Q118" s="3"/>
      <c r="R118" s="2">
        <v>20567</v>
      </c>
    </row>
    <row r="119" spans="1:18" s="16" customFormat="1" hidden="1" outlineLevel="2" x14ac:dyDescent="0.35">
      <c r="B119" s="11" t="str">
        <f>CONCATENATE("          ", "6243", " - ", "PAPER SUPPLIES")</f>
        <v xml:space="preserve">          6243 - PAPER SUPPLIES</v>
      </c>
      <c r="D119" s="2">
        <v>254361.34</v>
      </c>
      <c r="F119" s="2">
        <v>169759.68</v>
      </c>
      <c r="G119" s="3"/>
      <c r="H119" s="2">
        <v>170190.3</v>
      </c>
      <c r="I119" s="3"/>
      <c r="J119" s="2">
        <v>149708.41</v>
      </c>
      <c r="K119" s="3"/>
      <c r="L119" s="2">
        <v>125204.93</v>
      </c>
      <c r="M119" s="3"/>
      <c r="N119" s="2">
        <v>89968.26</v>
      </c>
      <c r="O119" s="3"/>
      <c r="P119" s="2">
        <v>12319</v>
      </c>
      <c r="Q119" s="3"/>
      <c r="R119" s="2">
        <v>164133</v>
      </c>
    </row>
    <row r="120" spans="1:18" s="16" customFormat="1" hidden="1" outlineLevel="2" x14ac:dyDescent="0.35">
      <c r="B120" s="11" t="str">
        <f>CONCATENATE("          ", "6244", " - ", "SAFETY SUPPLY EXPENSE")</f>
        <v xml:space="preserve">          6244 - SAFETY SUPPLY EXPENSE</v>
      </c>
      <c r="D120" s="2"/>
      <c r="F120" s="2"/>
      <c r="G120" s="3"/>
      <c r="H120" s="2"/>
      <c r="I120" s="3"/>
      <c r="J120" s="2"/>
      <c r="K120" s="3"/>
      <c r="L120" s="2"/>
      <c r="M120" s="3"/>
      <c r="N120" s="2"/>
      <c r="O120" s="3"/>
      <c r="P120" s="2">
        <v>1580</v>
      </c>
      <c r="Q120" s="3"/>
      <c r="R120" s="2">
        <v>6450</v>
      </c>
    </row>
    <row r="121" spans="1:18" s="16" customFormat="1" hidden="1" outlineLevel="2" x14ac:dyDescent="0.35">
      <c r="B121" s="11" t="str">
        <f>CONCATENATE("          ", "6245", " - ", "PRINTING")</f>
        <v xml:space="preserve">          6245 - PRINTING</v>
      </c>
      <c r="D121" s="2">
        <v>299.92</v>
      </c>
      <c r="F121" s="2">
        <v>2348.9</v>
      </c>
      <c r="G121" s="3"/>
      <c r="H121" s="2">
        <v>632.74</v>
      </c>
      <c r="I121" s="3"/>
      <c r="J121" s="2">
        <v>1089.6300000000001</v>
      </c>
      <c r="K121" s="3"/>
      <c r="L121" s="2">
        <v>2769.79</v>
      </c>
      <c r="M121" s="3"/>
      <c r="N121" s="2">
        <v>1882.72</v>
      </c>
      <c r="O121" s="3"/>
      <c r="P121" s="2">
        <v>2800</v>
      </c>
      <c r="Q121" s="3"/>
      <c r="R121" s="2">
        <v>2000</v>
      </c>
    </row>
    <row r="122" spans="1:18" s="16" customFormat="1" hidden="1" outlineLevel="2" x14ac:dyDescent="0.35">
      <c r="B122" s="11" t="str">
        <f>CONCATENATE("          ", "6246", " - ", "REPLACEMENTS")</f>
        <v xml:space="preserve">          6246 - REPLACEMENTS</v>
      </c>
      <c r="D122" s="2"/>
      <c r="F122" s="2"/>
      <c r="G122" s="3"/>
      <c r="H122" s="2"/>
      <c r="I122" s="3"/>
      <c r="J122" s="2">
        <v>1011.44</v>
      </c>
      <c r="K122" s="3"/>
      <c r="L122" s="2"/>
      <c r="M122" s="3"/>
      <c r="N122" s="2">
        <v>25.87</v>
      </c>
      <c r="O122" s="3"/>
      <c r="P122" s="2">
        <v>0</v>
      </c>
      <c r="Q122" s="3"/>
      <c r="R122" s="2"/>
    </row>
    <row r="123" spans="1:18" s="16" customFormat="1" hidden="1" outlineLevel="2" x14ac:dyDescent="0.35">
      <c r="B123" s="11" t="str">
        <f>CONCATENATE("          ", "6247", " - ", "STORE SUPPLIES")</f>
        <v xml:space="preserve">          6247 - STORE SUPPLIES</v>
      </c>
      <c r="D123" s="2">
        <v>69942.27</v>
      </c>
      <c r="F123" s="2">
        <v>41156.97</v>
      </c>
      <c r="G123" s="3"/>
      <c r="H123" s="2">
        <v>3395.93</v>
      </c>
      <c r="I123" s="3"/>
      <c r="J123" s="2">
        <v>15122.41</v>
      </c>
      <c r="K123" s="3"/>
      <c r="L123" s="2">
        <v>8612.26</v>
      </c>
      <c r="M123" s="3"/>
      <c r="N123" s="2">
        <v>7629.9</v>
      </c>
      <c r="O123" s="3"/>
      <c r="P123" s="2">
        <v>591</v>
      </c>
      <c r="Q123" s="3"/>
      <c r="R123" s="2">
        <v>411</v>
      </c>
    </row>
    <row r="124" spans="1:18" s="16" customFormat="1" hidden="1" outlineLevel="2" x14ac:dyDescent="0.35">
      <c r="B124" s="11" t="str">
        <f>CONCATENATE("          ", "6248", " - ", "UNIFORMS")</f>
        <v xml:space="preserve">          6248 - UNIFORMS</v>
      </c>
      <c r="D124" s="2">
        <v>21736.49</v>
      </c>
      <c r="F124" s="2">
        <v>23684.76</v>
      </c>
      <c r="G124" s="3"/>
      <c r="H124" s="2">
        <v>19509.939999999999</v>
      </c>
      <c r="I124" s="3"/>
      <c r="J124" s="2">
        <v>26049.86</v>
      </c>
      <c r="K124" s="3"/>
      <c r="L124" s="2">
        <v>20268.169999999998</v>
      </c>
      <c r="M124" s="3"/>
      <c r="N124" s="2">
        <v>4597.09</v>
      </c>
      <c r="O124" s="3"/>
      <c r="P124" s="2">
        <v>11365</v>
      </c>
      <c r="Q124" s="3"/>
      <c r="R124" s="2">
        <v>10900</v>
      </c>
    </row>
    <row r="125" spans="1:18" s="15" customFormat="1" outlineLevel="1" collapsed="1" x14ac:dyDescent="0.35">
      <c r="A125" s="7"/>
      <c r="B125" s="20" t="str">
        <f>CONCATENATE("     ","Telephone/Data Lines                              ")</f>
        <v xml:space="preserve">     Telephone/Data Lines                              </v>
      </c>
      <c r="C125" s="7"/>
      <c r="D125" s="1">
        <f>SUM(OSRRefD21_22x_0)</f>
        <v>22094.38</v>
      </c>
      <c r="E125" s="19"/>
      <c r="F125" s="1">
        <f>SUM(OSRRefF21_22x_0)</f>
        <v>26743.56</v>
      </c>
      <c r="G125" s="4"/>
      <c r="H125" s="1">
        <f>SUM(OSRRefH21_22x_0)</f>
        <v>24770.19</v>
      </c>
      <c r="I125" s="4"/>
      <c r="J125" s="1">
        <f>SUM(OSRRefJ21_22x_0)</f>
        <v>31568.54</v>
      </c>
      <c r="K125" s="4"/>
      <c r="L125" s="1">
        <f>SUM(OSRRefL21_22x_0)</f>
        <v>32688.48</v>
      </c>
      <c r="M125" s="4"/>
      <c r="N125" s="1">
        <f>SUM(OSRRefN21_22x_0)</f>
        <v>28396.59</v>
      </c>
      <c r="O125" s="4"/>
      <c r="P125" s="1">
        <f>SUM(OSRRefP21_22x_0)</f>
        <v>12762</v>
      </c>
      <c r="Q125" s="4"/>
      <c r="R125" s="1">
        <f>SUM(OSRRefR21_22x_0)</f>
        <v>12136</v>
      </c>
    </row>
    <row r="126" spans="1:18" s="16" customFormat="1" hidden="1" outlineLevel="2" x14ac:dyDescent="0.35">
      <c r="B126" s="11" t="str">
        <f>CONCATENATE("          ", "6303", " - ", "DATA PHONE LINES")</f>
        <v xml:space="preserve">          6303 - DATA PHONE LINES</v>
      </c>
      <c r="D126" s="2"/>
      <c r="F126" s="2"/>
      <c r="G126" s="3"/>
      <c r="H126" s="2"/>
      <c r="I126" s="3"/>
      <c r="J126" s="2"/>
      <c r="K126" s="3"/>
      <c r="L126" s="2"/>
      <c r="M126" s="3"/>
      <c r="N126" s="2"/>
      <c r="O126" s="3"/>
      <c r="P126" s="2">
        <v>7662</v>
      </c>
      <c r="Q126" s="3"/>
      <c r="R126" s="2">
        <v>2320</v>
      </c>
    </row>
    <row r="127" spans="1:18" s="16" customFormat="1" hidden="1" outlineLevel="2" x14ac:dyDescent="0.35">
      <c r="B127" s="11" t="str">
        <f>CONCATENATE("          ", "6309", " - ", "TELEPHONE")</f>
        <v xml:space="preserve">          6309 - TELEPHONE</v>
      </c>
      <c r="D127" s="2">
        <v>22094.38</v>
      </c>
      <c r="F127" s="2">
        <v>26743.56</v>
      </c>
      <c r="G127" s="3"/>
      <c r="H127" s="2">
        <v>24770.19</v>
      </c>
      <c r="I127" s="3"/>
      <c r="J127" s="2">
        <v>31568.54</v>
      </c>
      <c r="K127" s="3"/>
      <c r="L127" s="2">
        <v>32688.48</v>
      </c>
      <c r="M127" s="3"/>
      <c r="N127" s="2">
        <v>28396.59</v>
      </c>
      <c r="O127" s="3"/>
      <c r="P127" s="2">
        <v>5100</v>
      </c>
      <c r="Q127" s="3"/>
      <c r="R127" s="2">
        <v>9816</v>
      </c>
    </row>
    <row r="128" spans="1:18" s="15" customFormat="1" outlineLevel="1" collapsed="1" x14ac:dyDescent="0.35">
      <c r="A128" s="7"/>
      <c r="B128" s="20" t="str">
        <f>CONCATENATE("     ","Training                                          ")</f>
        <v xml:space="preserve">     Training                                          </v>
      </c>
      <c r="C128" s="7"/>
      <c r="D128" s="1">
        <f>SUM(OSRRefD21_23x_0)</f>
        <v>10210.49</v>
      </c>
      <c r="E128" s="19"/>
      <c r="F128" s="1">
        <f>SUM(OSRRefF21_23x_0)</f>
        <v>12155.06</v>
      </c>
      <c r="G128" s="4"/>
      <c r="H128" s="1">
        <f>SUM(OSRRefH21_23x_0)</f>
        <v>26400.77</v>
      </c>
      <c r="I128" s="4"/>
      <c r="J128" s="1">
        <f>SUM(OSRRefJ21_23x_0)</f>
        <v>14192.65</v>
      </c>
      <c r="K128" s="4"/>
      <c r="L128" s="1">
        <f>SUM(OSRRefL21_23x_0)</f>
        <v>16873.43</v>
      </c>
      <c r="M128" s="4"/>
      <c r="N128" s="1">
        <f>SUM(OSRRefN21_23x_0)</f>
        <v>9015.24</v>
      </c>
      <c r="O128" s="4"/>
      <c r="P128" s="1">
        <f>SUM(OSRRefP21_23x_0)</f>
        <v>11650</v>
      </c>
      <c r="Q128" s="4"/>
      <c r="R128" s="1">
        <f>SUM(OSRRefR21_23x_0)</f>
        <v>14760</v>
      </c>
    </row>
    <row r="129" spans="1:18" s="16" customFormat="1" hidden="1" outlineLevel="2" x14ac:dyDescent="0.35">
      <c r="B129" s="11" t="str">
        <f>CONCATENATE("          ", "6376", " - ", "TRAINING")</f>
        <v xml:space="preserve">          6376 - TRAINING</v>
      </c>
      <c r="D129" s="2">
        <v>10210.49</v>
      </c>
      <c r="F129" s="2">
        <v>12155.06</v>
      </c>
      <c r="G129" s="3"/>
      <c r="H129" s="2">
        <v>26400.77</v>
      </c>
      <c r="I129" s="3"/>
      <c r="J129" s="2">
        <v>14192.65</v>
      </c>
      <c r="K129" s="3"/>
      <c r="L129" s="2">
        <v>16873.43</v>
      </c>
      <c r="M129" s="3"/>
      <c r="N129" s="2">
        <v>9015.24</v>
      </c>
      <c r="O129" s="3"/>
      <c r="P129" s="2">
        <v>11650</v>
      </c>
      <c r="Q129" s="3"/>
      <c r="R129" s="2">
        <v>14760</v>
      </c>
    </row>
    <row r="130" spans="1:18" s="15" customFormat="1" outlineLevel="1" collapsed="1" x14ac:dyDescent="0.35">
      <c r="A130" s="7"/>
      <c r="B130" s="20" t="str">
        <f>CONCATENATE("     ","Travel                                            ")</f>
        <v xml:space="preserve">     Travel                                            </v>
      </c>
      <c r="C130" s="7"/>
      <c r="D130" s="1">
        <f>SUM(OSRRefD21_24x_0)</f>
        <v>9146.92</v>
      </c>
      <c r="E130" s="19"/>
      <c r="F130" s="1">
        <f>SUM(OSRRefF21_24x_0)</f>
        <v>11354.54</v>
      </c>
      <c r="G130" s="4"/>
      <c r="H130" s="1">
        <f>SUM(OSRRefH21_24x_0)</f>
        <v>14285.279999999999</v>
      </c>
      <c r="I130" s="4"/>
      <c r="J130" s="1">
        <f>SUM(OSRRefJ21_24x_0)</f>
        <v>10666.02</v>
      </c>
      <c r="K130" s="4"/>
      <c r="L130" s="1">
        <f>SUM(OSRRefL21_24x_0)</f>
        <v>6757.41</v>
      </c>
      <c r="M130" s="4"/>
      <c r="N130" s="1">
        <f>SUM(OSRRefN21_24x_0)</f>
        <v>8235.58</v>
      </c>
      <c r="O130" s="4"/>
      <c r="P130" s="1">
        <f>SUM(OSRRefP21_24x_0)</f>
        <v>3600</v>
      </c>
      <c r="Q130" s="4"/>
      <c r="R130" s="1">
        <f>SUM(OSRRefR21_24x_0)</f>
        <v>1200</v>
      </c>
    </row>
    <row r="131" spans="1:18" s="16" customFormat="1" hidden="1" outlineLevel="2" x14ac:dyDescent="0.35">
      <c r="B131" s="11" t="str">
        <f>CONCATENATE("          ", "6292", " - ", "TRAVEL/CONFERENCE")</f>
        <v xml:space="preserve">          6292 - TRAVEL/CONFERENCE</v>
      </c>
      <c r="D131" s="2">
        <v>5915.96</v>
      </c>
      <c r="F131" s="2">
        <v>9304.7900000000009</v>
      </c>
      <c r="G131" s="3"/>
      <c r="H131" s="2">
        <v>9273.66</v>
      </c>
      <c r="I131" s="3"/>
      <c r="J131" s="2">
        <v>6833.52</v>
      </c>
      <c r="K131" s="3"/>
      <c r="L131" s="2">
        <v>3383.41</v>
      </c>
      <c r="M131" s="3"/>
      <c r="N131" s="2">
        <v>6889.94</v>
      </c>
      <c r="O131" s="3"/>
      <c r="P131" s="2">
        <v>3600</v>
      </c>
      <c r="Q131" s="3"/>
      <c r="R131" s="2">
        <v>1200</v>
      </c>
    </row>
    <row r="132" spans="1:18" s="16" customFormat="1" hidden="1" outlineLevel="2" x14ac:dyDescent="0.35">
      <c r="B132" s="11" t="str">
        <f>CONCATENATE("          ", "6294", " - ", "TRAVEL OPERATIONAL")</f>
        <v xml:space="preserve">          6294 - TRAVEL OPERATIONAL</v>
      </c>
      <c r="D132" s="2">
        <v>2244.83</v>
      </c>
      <c r="F132" s="2">
        <v>988.89</v>
      </c>
      <c r="G132" s="3"/>
      <c r="H132" s="2">
        <v>3781.14</v>
      </c>
      <c r="I132" s="3"/>
      <c r="J132" s="2">
        <v>2121.29</v>
      </c>
      <c r="K132" s="3"/>
      <c r="L132" s="2">
        <v>1927.4</v>
      </c>
      <c r="M132" s="3"/>
      <c r="N132" s="2">
        <v>56.99</v>
      </c>
      <c r="O132" s="3"/>
      <c r="P132" s="2">
        <v>0</v>
      </c>
      <c r="Q132" s="3"/>
      <c r="R132" s="2"/>
    </row>
    <row r="133" spans="1:18" s="16" customFormat="1" hidden="1" outlineLevel="2" x14ac:dyDescent="0.35">
      <c r="B133" s="11" t="str">
        <f>CONCATENATE("          ", "6298", " - ", "VEHICLE MILEAGE")</f>
        <v xml:space="preserve">          6298 - VEHICLE MILEAGE</v>
      </c>
      <c r="D133" s="2">
        <v>986.13</v>
      </c>
      <c r="F133" s="2">
        <v>1060.8599999999999</v>
      </c>
      <c r="G133" s="3"/>
      <c r="H133" s="2">
        <v>1230.48</v>
      </c>
      <c r="I133" s="3"/>
      <c r="J133" s="2">
        <v>1711.21</v>
      </c>
      <c r="K133" s="3"/>
      <c r="L133" s="2">
        <v>1446.6</v>
      </c>
      <c r="M133" s="3"/>
      <c r="N133" s="2">
        <v>1288.6500000000001</v>
      </c>
      <c r="O133" s="3"/>
      <c r="P133" s="2"/>
      <c r="Q133" s="3"/>
      <c r="R133" s="2"/>
    </row>
    <row r="134" spans="1:18" s="15" customFormat="1" outlineLevel="1" collapsed="1" x14ac:dyDescent="0.35">
      <c r="A134" s="7"/>
      <c r="B134" s="20" t="str">
        <f>CONCATENATE("     ","Utilities                                         ")</f>
        <v xml:space="preserve">     Utilities                                         </v>
      </c>
      <c r="C134" s="7"/>
      <c r="D134" s="1">
        <f>SUM(OSRRefD21_25x_0)</f>
        <v>206869.14</v>
      </c>
      <c r="E134" s="19"/>
      <c r="F134" s="1">
        <f>SUM(OSRRefF21_25x_0)</f>
        <v>275580.83</v>
      </c>
      <c r="G134" s="4"/>
      <c r="H134" s="1">
        <f>SUM(OSRRefH21_25x_0)</f>
        <v>212305.5</v>
      </c>
      <c r="I134" s="4"/>
      <c r="J134" s="1">
        <f>SUM(OSRRefJ21_25x_0)</f>
        <v>138372.71</v>
      </c>
      <c r="K134" s="4"/>
      <c r="L134" s="1">
        <f>SUM(OSRRefL21_25x_0)</f>
        <v>141213.62</v>
      </c>
      <c r="M134" s="4"/>
      <c r="N134" s="1">
        <f>SUM(OSRRefN21_25x_0)</f>
        <v>213536</v>
      </c>
      <c r="O134" s="4"/>
      <c r="P134" s="1">
        <f>SUM(OSRRefP21_25x_0)</f>
        <v>39600</v>
      </c>
      <c r="Q134" s="4"/>
      <c r="R134" s="1">
        <f>SUM(OSRRefR21_25x_0)</f>
        <v>104000</v>
      </c>
    </row>
    <row r="135" spans="1:18" s="16" customFormat="1" hidden="1" outlineLevel="2" x14ac:dyDescent="0.35">
      <c r="B135" s="11" t="str">
        <f>CONCATENATE("          ", "6274", " - ", "UTILITIES")</f>
        <v xml:space="preserve">          6274 - UTILITIES</v>
      </c>
      <c r="D135" s="2">
        <v>206869.14</v>
      </c>
      <c r="F135" s="2">
        <v>275580.83</v>
      </c>
      <c r="G135" s="3"/>
      <c r="H135" s="2">
        <v>212305.5</v>
      </c>
      <c r="I135" s="3"/>
      <c r="J135" s="2">
        <v>138372.71</v>
      </c>
      <c r="K135" s="3"/>
      <c r="L135" s="2">
        <v>141213.62</v>
      </c>
      <c r="M135" s="3"/>
      <c r="N135" s="2">
        <v>213536</v>
      </c>
      <c r="O135" s="3"/>
      <c r="P135" s="2">
        <v>39600</v>
      </c>
      <c r="Q135" s="3"/>
      <c r="R135" s="2">
        <v>104000</v>
      </c>
    </row>
    <row r="136" spans="1:18" x14ac:dyDescent="0.35">
      <c r="A136" s="12"/>
      <c r="B136" s="12"/>
      <c r="C136" s="12"/>
      <c r="D136" s="1"/>
      <c r="F136" s="1"/>
      <c r="H136" s="1"/>
      <c r="J136" s="1"/>
      <c r="L136" s="1"/>
      <c r="N136" s="1"/>
      <c r="P136" s="1"/>
      <c r="R136" s="1"/>
    </row>
    <row r="137" spans="1:18" s="7" customFormat="1" collapsed="1" x14ac:dyDescent="0.35">
      <c r="A137" s="36"/>
      <c r="B137" s="34" t="s">
        <v>295</v>
      </c>
      <c r="D137" s="6">
        <f>SUM(OSRRefD24x_0)</f>
        <v>736934.65</v>
      </c>
      <c r="E137" s="12"/>
      <c r="F137" s="6">
        <f>SUM(OSRRefF24x_0)</f>
        <v>663813.24</v>
      </c>
      <c r="G137" s="5"/>
      <c r="H137" s="6">
        <f>SUM(OSRRefH24x_0)</f>
        <v>740432.07000000007</v>
      </c>
      <c r="I137" s="5"/>
      <c r="J137" s="6">
        <f>SUM(OSRRefJ24x_0)</f>
        <v>714517.19</v>
      </c>
      <c r="K137" s="5"/>
      <c r="L137" s="6">
        <f>SUM(OSRRefL24x_0)</f>
        <v>731041.09</v>
      </c>
      <c r="M137" s="5"/>
      <c r="N137" s="6">
        <f>SUM(OSRRefN24x_0)</f>
        <v>730460.52</v>
      </c>
      <c r="O137" s="5"/>
      <c r="P137" s="6">
        <f>SUM(OSRRefP24x_0)</f>
        <v>108558</v>
      </c>
      <c r="Q137" s="5"/>
      <c r="R137" s="6">
        <f>SUM(OSRRefR24x_0)</f>
        <v>175853.02000000002</v>
      </c>
    </row>
    <row r="138" spans="1:18" s="7" customFormat="1" hidden="1" outlineLevel="1" x14ac:dyDescent="0.35">
      <c r="A138" s="36"/>
      <c r="B138" s="11" t="str">
        <f>CONCATENATE("          ", "9150", " - ", "MISC. INCOME")</f>
        <v xml:space="preserve">          9150 - MISC. INCOME</v>
      </c>
      <c r="D138" s="11">
        <f>--352651.14</f>
        <v>352651.14</v>
      </c>
      <c r="E138" s="16"/>
      <c r="F138" s="11">
        <f>--318919.08</f>
        <v>318919.08</v>
      </c>
      <c r="G138" s="3"/>
      <c r="H138" s="11">
        <f>--387259.12</f>
        <v>387259.12</v>
      </c>
      <c r="I138" s="3"/>
      <c r="J138" s="11">
        <f>--379317.36</f>
        <v>379317.36</v>
      </c>
      <c r="K138" s="3"/>
      <c r="L138" s="11">
        <f>--389464.12</f>
        <v>389464.12</v>
      </c>
      <c r="M138" s="3"/>
      <c r="N138" s="11">
        <f>--330936.39</f>
        <v>330936.39</v>
      </c>
      <c r="O138" s="3"/>
      <c r="P138" s="11">
        <v>42725</v>
      </c>
      <c r="Q138" s="3"/>
      <c r="R138" s="11">
        <v>1000</v>
      </c>
    </row>
    <row r="139" spans="1:18" s="7" customFormat="1" hidden="1" outlineLevel="1" x14ac:dyDescent="0.35">
      <c r="A139" s="36"/>
      <c r="B139" s="11" t="str">
        <f>CONCATENATE("          ", "9151", " - ", "MISC. INCOME")</f>
        <v xml:space="preserve">          9151 - MISC. INCOME</v>
      </c>
      <c r="D139" s="11">
        <f>0</f>
        <v>0</v>
      </c>
      <c r="E139" s="16"/>
      <c r="F139" s="11">
        <f>0</f>
        <v>0</v>
      </c>
      <c r="G139" s="3"/>
      <c r="H139" s="11">
        <f>0</f>
        <v>0</v>
      </c>
      <c r="I139" s="3"/>
      <c r="J139" s="11">
        <f>0</f>
        <v>0</v>
      </c>
      <c r="K139" s="3"/>
      <c r="L139" s="11">
        <f>0</f>
        <v>0</v>
      </c>
      <c r="M139" s="3"/>
      <c r="N139" s="11">
        <f>0</f>
        <v>0</v>
      </c>
      <c r="O139" s="3"/>
      <c r="P139" s="11">
        <v>41738</v>
      </c>
      <c r="Q139" s="3"/>
      <c r="R139" s="11">
        <v>83840.89</v>
      </c>
    </row>
    <row r="140" spans="1:18" s="7" customFormat="1" hidden="1" outlineLevel="1" x14ac:dyDescent="0.35">
      <c r="A140" s="36"/>
      <c r="B140" s="11" t="str">
        <f>CONCATENATE("          ", "9160", " - ", "MISC. INCOME")</f>
        <v xml:space="preserve">          9160 - MISC. INCOME</v>
      </c>
      <c r="D140" s="11">
        <f>--112645.41</f>
        <v>112645.41</v>
      </c>
      <c r="E140" s="16"/>
      <c r="F140" s="11">
        <f>--68345.7</f>
        <v>68345.7</v>
      </c>
      <c r="G140" s="3"/>
      <c r="H140" s="11">
        <f>--90320.02</f>
        <v>90320.02</v>
      </c>
      <c r="I140" s="3"/>
      <c r="J140" s="11">
        <f>--85355.63</f>
        <v>85355.63</v>
      </c>
      <c r="K140" s="3"/>
      <c r="L140" s="11">
        <f>--91560.73</f>
        <v>91560.73</v>
      </c>
      <c r="M140" s="3"/>
      <c r="N140" s="11">
        <f>--155089.34</f>
        <v>155089.34</v>
      </c>
      <c r="O140" s="3"/>
      <c r="P140" s="11">
        <v>24095</v>
      </c>
      <c r="Q140" s="3"/>
      <c r="R140" s="11">
        <v>91012.13</v>
      </c>
    </row>
    <row r="141" spans="1:18" s="7" customFormat="1" hidden="1" outlineLevel="1" x14ac:dyDescent="0.35">
      <c r="A141" s="36"/>
      <c r="B141" s="11" t="str">
        <f>CONCATENATE("          ", "9165", " - ", "OTHER INCOME")</f>
        <v xml:space="preserve">          9165 - OTHER INCOME</v>
      </c>
      <c r="D141" s="11">
        <f>--271638.1</f>
        <v>271638.09999999998</v>
      </c>
      <c r="E141" s="16"/>
      <c r="F141" s="11">
        <f>--276548.46</f>
        <v>276548.46000000002</v>
      </c>
      <c r="G141" s="3"/>
      <c r="H141" s="11">
        <f>--262852.93</f>
        <v>262852.93</v>
      </c>
      <c r="I141" s="3"/>
      <c r="J141" s="11">
        <f>--249844.2</f>
        <v>249844.2</v>
      </c>
      <c r="K141" s="3"/>
      <c r="L141" s="11">
        <f>--250016.24</f>
        <v>250016.24</v>
      </c>
      <c r="M141" s="3"/>
      <c r="N141" s="11">
        <f>--244434.79</f>
        <v>244434.79</v>
      </c>
      <c r="O141" s="3"/>
      <c r="P141" s="11"/>
      <c r="Q141" s="3"/>
      <c r="R141" s="11"/>
    </row>
    <row r="142" spans="1:18" x14ac:dyDescent="0.35">
      <c r="A142" s="12"/>
      <c r="B142" s="7"/>
      <c r="C142" s="7"/>
      <c r="D142" s="6"/>
      <c r="F142" s="6"/>
      <c r="H142" s="6"/>
      <c r="J142" s="6"/>
      <c r="L142" s="6"/>
      <c r="N142" s="6"/>
      <c r="P142" s="6"/>
      <c r="R142" s="6"/>
    </row>
    <row r="143" spans="1:18" s="15" customFormat="1" x14ac:dyDescent="0.35">
      <c r="A143" s="7"/>
      <c r="B143" s="22" t="s">
        <v>279</v>
      </c>
      <c r="C143" s="22"/>
      <c r="D143" s="10">
        <f>+D33-D36+D137</f>
        <v>2688305.9</v>
      </c>
      <c r="E143" s="12"/>
      <c r="F143" s="10">
        <f>+F33-F36+F137</f>
        <v>3252089.8899999987</v>
      </c>
      <c r="G143" s="5"/>
      <c r="H143" s="10">
        <f>+H33-H36+H137</f>
        <v>2675954.3499999978</v>
      </c>
      <c r="I143" s="5"/>
      <c r="J143" s="10">
        <f>+J33-J36+J137</f>
        <v>2290231.4299999983</v>
      </c>
      <c r="K143" s="5"/>
      <c r="L143" s="10">
        <f>+L33-L36+L137</f>
        <v>2732584.910000002</v>
      </c>
      <c r="M143" s="5"/>
      <c r="N143" s="10">
        <f>+N33-N36+N137</f>
        <v>691334.07999999495</v>
      </c>
      <c r="O143" s="5"/>
      <c r="P143" s="10">
        <f>+P33-P36+P137</f>
        <v>-2446009.3882990247</v>
      </c>
      <c r="Q143" s="5"/>
      <c r="R143" s="10">
        <f>+R33-R36+R137</f>
        <v>-199626.97729497636</v>
      </c>
    </row>
    <row r="144" spans="1:18" s="27" customFormat="1" x14ac:dyDescent="0.35">
      <c r="A144" s="18"/>
      <c r="B144" s="31"/>
      <c r="C144" s="18"/>
      <c r="D144" s="9">
        <f>IFERROR(D143/D10, 0)</f>
        <v>0.17646821667287113</v>
      </c>
      <c r="E144" s="18"/>
      <c r="F144" s="9">
        <f>IFERROR(F143/F10, 0)</f>
        <v>0.18971781336867763</v>
      </c>
      <c r="G144" s="14"/>
      <c r="H144" s="9">
        <f>IFERROR(H143/H10, 0)</f>
        <v>0.15908501364107694</v>
      </c>
      <c r="I144" s="14"/>
      <c r="J144" s="9">
        <f>IFERROR(J143/J10, 0)</f>
        <v>0.13552492601839777</v>
      </c>
      <c r="K144" s="14"/>
      <c r="L144" s="9">
        <f>IFERROR(L143/L10, 0)</f>
        <v>0.15360624268481446</v>
      </c>
      <c r="M144" s="14"/>
      <c r="N144" s="9">
        <f>IFERROR(N143/N10, 0)</f>
        <v>5.0621640147862884E-2</v>
      </c>
      <c r="O144" s="14"/>
      <c r="P144" s="9">
        <f>IFERROR(P143/P10, 0)</f>
        <v>-0.58657904345273215</v>
      </c>
      <c r="Q144" s="14"/>
      <c r="R144" s="9">
        <f>IFERROR(R143/R10, 0)</f>
        <v>-1.8136240477941313E-2</v>
      </c>
    </row>
    <row r="145" spans="1:18" s="27" customFormat="1" x14ac:dyDescent="0.35">
      <c r="A145" s="18"/>
      <c r="B145" s="31"/>
      <c r="C145" s="18"/>
      <c r="D145" s="13"/>
      <c r="E145" s="18"/>
      <c r="F145" s="13"/>
      <c r="G145" s="14"/>
      <c r="H145" s="13"/>
      <c r="I145" s="14"/>
      <c r="J145" s="13"/>
      <c r="K145" s="14"/>
      <c r="L145" s="13"/>
      <c r="M145" s="14"/>
      <c r="N145" s="13"/>
      <c r="O145" s="14"/>
      <c r="P145" s="13"/>
      <c r="Q145" s="14"/>
      <c r="R145" s="13"/>
    </row>
    <row r="146" spans="1:18" s="15" customFormat="1" x14ac:dyDescent="0.35">
      <c r="A146" s="37"/>
      <c r="B146" s="7" t="s">
        <v>127</v>
      </c>
      <c r="C146" s="7"/>
      <c r="D146" s="6">
        <v>3310450.11</v>
      </c>
      <c r="E146" s="12"/>
      <c r="F146" s="6">
        <v>2440242.71</v>
      </c>
      <c r="G146" s="5"/>
      <c r="H146" s="6">
        <v>2249052.13</v>
      </c>
      <c r="I146" s="5"/>
      <c r="J146" s="6">
        <v>2268069.2799999998</v>
      </c>
      <c r="K146" s="5"/>
      <c r="L146" s="6">
        <v>1267986.92</v>
      </c>
      <c r="M146" s="5"/>
      <c r="N146" s="6">
        <v>2067961.84</v>
      </c>
      <c r="O146" s="5"/>
      <c r="P146" s="6">
        <v>704630</v>
      </c>
      <c r="Q146" s="5"/>
      <c r="R146" s="6">
        <v>1248141</v>
      </c>
    </row>
    <row r="147" spans="1:18" x14ac:dyDescent="0.35">
      <c r="A147" s="12"/>
      <c r="B147" s="7"/>
      <c r="C147" s="7"/>
      <c r="D147" s="6"/>
      <c r="F147" s="6"/>
      <c r="H147" s="6"/>
      <c r="J147" s="6"/>
      <c r="L147" s="6"/>
      <c r="N147" s="6"/>
      <c r="P147" s="6"/>
      <c r="R147" s="6"/>
    </row>
    <row r="148" spans="1:18" s="15" customFormat="1" x14ac:dyDescent="0.35">
      <c r="A148" s="7"/>
      <c r="B148" s="22" t="s">
        <v>126</v>
      </c>
      <c r="C148" s="22"/>
      <c r="D148" s="10">
        <f>+D143-D146</f>
        <v>-622144.21</v>
      </c>
      <c r="E148" s="12"/>
      <c r="F148" s="10">
        <f>+F143-F146</f>
        <v>811847.17999999877</v>
      </c>
      <c r="G148" s="5"/>
      <c r="H148" s="10">
        <f>+H143-H146</f>
        <v>426902.21999999788</v>
      </c>
      <c r="I148" s="5"/>
      <c r="J148" s="10">
        <f>+J143-J146</f>
        <v>22162.14999999851</v>
      </c>
      <c r="K148" s="5"/>
      <c r="L148" s="10">
        <f>+L143-L146</f>
        <v>1464597.9900000021</v>
      </c>
      <c r="M148" s="5"/>
      <c r="N148" s="10">
        <f>+N143-N146</f>
        <v>-1376627.7600000051</v>
      </c>
      <c r="O148" s="5"/>
      <c r="P148" s="10">
        <f>+P143-P146</f>
        <v>-3150639.3882990247</v>
      </c>
      <c r="Q148" s="5"/>
      <c r="R148" s="10">
        <f>+R143-R146</f>
        <v>-1447767.9772949764</v>
      </c>
    </row>
    <row r="149" spans="1:18" s="27" customFormat="1" x14ac:dyDescent="0.35">
      <c r="A149" s="18"/>
      <c r="B149" s="18"/>
      <c r="C149" s="18"/>
      <c r="D149" s="9">
        <f>IFERROR(D148/D10, 0)</f>
        <v>-4.0839355094244384E-2</v>
      </c>
      <c r="E149" s="18"/>
      <c r="F149" s="9">
        <f>IFERROR(F148/F10, 0)</f>
        <v>4.7360890070331688E-2</v>
      </c>
      <c r="G149" s="14"/>
      <c r="H149" s="9">
        <f>IFERROR(H148/H10, 0)</f>
        <v>2.537926160515621E-2</v>
      </c>
      <c r="I149" s="14"/>
      <c r="J149" s="9">
        <f>IFERROR(J148/J10, 0)</f>
        <v>1.3114498822323971E-3</v>
      </c>
      <c r="K149" s="14"/>
      <c r="L149" s="9">
        <f>IFERROR(L148/L10, 0)</f>
        <v>8.232915049202684E-2</v>
      </c>
      <c r="M149" s="14"/>
      <c r="N149" s="9">
        <f>IFERROR(N148/N10, 0)</f>
        <v>-0.10080098334553292</v>
      </c>
      <c r="O149" s="14"/>
      <c r="P149" s="9">
        <f>IFERROR(P148/P10, 0)</f>
        <v>-0.75555680509391931</v>
      </c>
      <c r="Q149" s="14"/>
      <c r="R149" s="9">
        <f>IFERROR(R148/R10, 0)</f>
        <v>-0.13153066057643067</v>
      </c>
    </row>
    <row r="150" spans="1:18" s="27" customFormat="1" x14ac:dyDescent="0.35">
      <c r="A150" s="18"/>
      <c r="B150" s="18"/>
      <c r="C150" s="18"/>
      <c r="D150" s="13"/>
      <c r="E150" s="18"/>
      <c r="F150" s="13"/>
      <c r="G150" s="14"/>
      <c r="H150" s="13"/>
      <c r="I150" s="14"/>
      <c r="J150" s="13"/>
      <c r="K150" s="14"/>
      <c r="L150" s="13"/>
      <c r="M150" s="14"/>
      <c r="N150" s="13"/>
      <c r="O150" s="14"/>
      <c r="P150" s="13"/>
      <c r="Q150" s="14"/>
      <c r="R150" s="13"/>
    </row>
    <row r="151" spans="1:18" x14ac:dyDescent="0.35">
      <c r="A151" s="12"/>
      <c r="B151" s="12"/>
      <c r="C151" s="12"/>
      <c r="D151" s="6"/>
      <c r="F151" s="6"/>
      <c r="H151" s="6"/>
      <c r="J151" s="6"/>
      <c r="L151" s="6"/>
      <c r="N151" s="6"/>
      <c r="P151" s="6"/>
      <c r="R151" s="6"/>
    </row>
    <row r="152" spans="1:18" s="15" customFormat="1" x14ac:dyDescent="0.35">
      <c r="A152" s="7"/>
      <c r="B152" s="22" t="s">
        <v>296</v>
      </c>
      <c r="C152" s="22"/>
      <c r="D152" s="10">
        <f>SUM(D148:D151)</f>
        <v>-622144.25083935505</v>
      </c>
      <c r="E152" s="12"/>
      <c r="F152" s="10">
        <f>SUM(F148:F151)</f>
        <v>811847.22736088885</v>
      </c>
      <c r="G152" s="5"/>
      <c r="H152" s="10">
        <f>SUM(H148:H151)</f>
        <v>426902.24537925946</v>
      </c>
      <c r="I152" s="5"/>
      <c r="J152" s="10">
        <f>SUM(J148:J151)</f>
        <v>22162.151311448393</v>
      </c>
      <c r="K152" s="5"/>
      <c r="L152" s="10">
        <f>SUM(L148:L151)</f>
        <v>1464598.0723291526</v>
      </c>
      <c r="M152" s="5"/>
      <c r="N152" s="10">
        <f>SUM(N148:N151)</f>
        <v>-1376627.8608009885</v>
      </c>
      <c r="O152" s="5"/>
      <c r="P152" s="10">
        <f>SUM(P148:P151)</f>
        <v>-3150640.1438558297</v>
      </c>
      <c r="Q152" s="5"/>
      <c r="R152" s="10">
        <f>SUM(R148:R151)</f>
        <v>-1447768.108825637</v>
      </c>
    </row>
    <row r="153" spans="1:18" s="27" customFormat="1" x14ac:dyDescent="0.35">
      <c r="A153" s="18"/>
      <c r="B153" s="41"/>
      <c r="C153" s="18"/>
      <c r="D153" s="9">
        <f>IFERROR(D152/D10, 0)</f>
        <v>-4.0839357775058413E-2</v>
      </c>
      <c r="E153" s="18"/>
      <c r="F153" s="9">
        <f>IFERROR(F152/F10, 0)</f>
        <v>4.7360892833233331E-2</v>
      </c>
      <c r="G153" s="14"/>
      <c r="H153" s="9">
        <f>IFERROR(H152/H10, 0)</f>
        <v>2.5379263113948832E-2</v>
      </c>
      <c r="I153" s="14"/>
      <c r="J153" s="9">
        <f>IFERROR(J152/J10, 0)</f>
        <v>1.3114499598377196E-3</v>
      </c>
      <c r="K153" s="14"/>
      <c r="L153" s="9">
        <f>IFERROR(L152/L10, 0)</f>
        <v>8.2329155119978722E-2</v>
      </c>
      <c r="M153" s="14"/>
      <c r="N153" s="9">
        <f>IFERROR(N152/N10, 0)</f>
        <v>-0.10080099072649569</v>
      </c>
      <c r="O153" s="14"/>
      <c r="P153" s="9">
        <f>IFERROR(P152/P10, 0)</f>
        <v>-0.75555698628446999</v>
      </c>
      <c r="Q153" s="14"/>
      <c r="R153" s="9">
        <f>IFERROR(R152/R10, 0)</f>
        <v>-0.13153067252607659</v>
      </c>
    </row>
    <row r="154" spans="1:18" x14ac:dyDescent="0.35">
      <c r="A154" s="12"/>
      <c r="B154" s="40">
        <v>44319.88341894676</v>
      </c>
      <c r="D154" s="24"/>
      <c r="F154" s="24"/>
      <c r="H154" s="24"/>
      <c r="J154" s="24"/>
      <c r="L154" s="24"/>
      <c r="N154" s="24"/>
      <c r="P154" s="24"/>
      <c r="R154" s="24"/>
    </row>
    <row r="155" spans="1:18" x14ac:dyDescent="0.35">
      <c r="A155" s="12"/>
      <c r="B155" s="39" t="s">
        <v>23</v>
      </c>
      <c r="D155" s="24"/>
      <c r="F155" s="24"/>
      <c r="H155" s="24"/>
      <c r="J155" s="24"/>
      <c r="L155" s="24"/>
      <c r="N155" s="24"/>
      <c r="P155" s="24"/>
      <c r="R155" s="24"/>
    </row>
    <row r="156" spans="1:18" x14ac:dyDescent="0.35">
      <c r="A156" s="12"/>
      <c r="D156" s="24"/>
      <c r="F156" s="24"/>
      <c r="H156" s="24"/>
      <c r="J156" s="24"/>
      <c r="L156" s="24"/>
      <c r="N156" s="24"/>
      <c r="P156" s="24"/>
      <c r="R156" s="24"/>
    </row>
    <row r="157" spans="1:18" x14ac:dyDescent="0.35">
      <c r="D157" s="24"/>
      <c r="F157" s="24"/>
      <c r="H157" s="24"/>
      <c r="J157" s="24"/>
      <c r="L157" s="24"/>
      <c r="N157" s="24"/>
      <c r="P157" s="24"/>
      <c r="R157" s="24"/>
    </row>
  </sheetData>
  <pageMargins left="0.5" right="0.5" top="0.5" bottom="0.5" header="0.3" footer="0.3"/>
  <pageSetup scale="5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37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258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13722702.290000012</v>
      </c>
      <c r="F10" s="8">
        <f>SUM(OSRRefF11x_0)</f>
        <v>13381907.549999999</v>
      </c>
      <c r="G10" s="8"/>
      <c r="H10" s="8">
        <f>SUM(OSRRefH11x_0)</f>
        <v>12850363.369999994</v>
      </c>
      <c r="I10" s="8"/>
      <c r="J10" s="8">
        <f>SUM(OSRRefJ11x_0)</f>
        <v>12545618.790000005</v>
      </c>
      <c r="K10" s="8"/>
      <c r="L10" s="8">
        <f>SUM(OSRRefL11x_0)</f>
        <v>11490396.719999991</v>
      </c>
      <c r="M10" s="8"/>
      <c r="N10" s="8">
        <f>SUM(OSRRefN11x_0)</f>
        <v>9237857.3600000013</v>
      </c>
      <c r="O10" s="8"/>
      <c r="P10" s="8">
        <f>SUM(OSRRefP11x_0)</f>
        <v>9142211</v>
      </c>
      <c r="Q10" s="8"/>
      <c r="R10" s="8">
        <f>SUM(OSRRefR11x_0)</f>
        <v>8874417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--1532.75</f>
        <v>1532.75</v>
      </c>
      <c r="M11" s="3"/>
      <c r="N11" s="11">
        <f>0</f>
        <v>0</v>
      </c>
      <c r="O11" s="3"/>
      <c r="P11" s="11">
        <v>8845162</v>
      </c>
      <c r="Q11" s="3"/>
      <c r="R11" s="11">
        <v>8498817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-5629087.99*-1</f>
        <v>5629087.9900000002</v>
      </c>
      <c r="F12" s="11">
        <f>-4830911.55*-1</f>
        <v>4830911.55</v>
      </c>
      <c r="G12" s="3"/>
      <c r="H12" s="11">
        <f>-4243327.57*-1</f>
        <v>4243327.57</v>
      </c>
      <c r="I12" s="3"/>
      <c r="J12" s="11">
        <f>--3955085.18</f>
        <v>3955085.18</v>
      </c>
      <c r="K12" s="3"/>
      <c r="L12" s="11">
        <f>--3126487.75</f>
        <v>3126487.75</v>
      </c>
      <c r="M12" s="3"/>
      <c r="N12" s="11">
        <f>--2451163.71</f>
        <v>2451163.71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-1780006.45*-1</f>
        <v>1780006.45</v>
      </c>
      <c r="F13" s="11">
        <f>-1930957.06*-1</f>
        <v>1930957.06</v>
      </c>
      <c r="G13" s="3"/>
      <c r="H13" s="11">
        <f>-1615125.52*-1</f>
        <v>1615125.52</v>
      </c>
      <c r="I13" s="3"/>
      <c r="J13" s="11">
        <f>--1442432.66</f>
        <v>1442432.66</v>
      </c>
      <c r="K13" s="3"/>
      <c r="L13" s="11">
        <f>--1404207.63</f>
        <v>1404207.63</v>
      </c>
      <c r="M13" s="3"/>
      <c r="N13" s="11">
        <f>--1271803.19</f>
        <v>1271803.19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--5496.9</f>
        <v>5496.9</v>
      </c>
      <c r="K14" s="3"/>
      <c r="L14" s="11">
        <f>--15422.64</f>
        <v>15422.64</v>
      </c>
      <c r="M14" s="3"/>
      <c r="N14" s="11">
        <f>--34659.88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--46</f>
        <v>46</v>
      </c>
      <c r="K15" s="3"/>
      <c r="L15" s="11">
        <f>--70418.64</f>
        <v>70418.64</v>
      </c>
      <c r="M15" s="3"/>
      <c r="N15" s="11">
        <f>--42195.3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>-43.1*-1</f>
        <v>43.1</v>
      </c>
      <c r="F16" s="11">
        <f>-2508.97*-1</f>
        <v>2508.9699999999998</v>
      </c>
      <c r="G16" s="3"/>
      <c r="H16" s="11">
        <f>-0.01*-1</f>
        <v>0.01</v>
      </c>
      <c r="I16" s="3"/>
      <c r="J16" s="11">
        <f>--48.23</f>
        <v>48.23</v>
      </c>
      <c r="K16" s="3"/>
      <c r="L16" s="11">
        <f>--9.71</f>
        <v>9.7100000000000009</v>
      </c>
      <c r="M16" s="3"/>
      <c r="N16" s="11">
        <f>--1052.48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"4012", " - ", "TAXABLE SALES-MAGAZINES")</f>
        <v xml:space="preserve">          4012 - TAXABLE SALES-MAGAZINES</v>
      </c>
      <c r="D17" s="11">
        <f>-53.7*-1</f>
        <v>53.7</v>
      </c>
      <c r="F17" s="11">
        <f>-156.05*-1</f>
        <v>156.05000000000001</v>
      </c>
      <c r="G17" s="3"/>
      <c r="H17" s="11">
        <f>-44.75*-1</f>
        <v>44.75</v>
      </c>
      <c r="I17" s="3"/>
      <c r="J17" s="11">
        <f>0</f>
        <v>0</v>
      </c>
      <c r="K17" s="3"/>
      <c r="L17" s="11">
        <f>0</f>
        <v>0</v>
      </c>
      <c r="M17" s="3"/>
      <c r="N17" s="11">
        <f>0</f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"4013", " - ", "TAXABLE SALES-TRADE BOOKS")</f>
        <v xml:space="preserve">          4013 - TAXABLE SALES-TRADE BOOKS</v>
      </c>
      <c r="D18" s="11">
        <f>-38609.93*-1</f>
        <v>38609.93</v>
      </c>
      <c r="F18" s="11">
        <f>-33144.5*-1</f>
        <v>33144.5</v>
      </c>
      <c r="G18" s="3"/>
      <c r="H18" s="11">
        <f>-15930.49*-1</f>
        <v>15930.49</v>
      </c>
      <c r="I18" s="3"/>
      <c r="J18" s="11">
        <f>--8409.57</f>
        <v>8409.57</v>
      </c>
      <c r="K18" s="3"/>
      <c r="L18" s="11">
        <f>--7572.79</f>
        <v>7572.79</v>
      </c>
      <c r="M18" s="3"/>
      <c r="N18" s="11">
        <f>--2778.35</f>
        <v>2778.35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"4014", " - ", "TAXABLE SALES-REMAINDERS")</f>
        <v xml:space="preserve">          4014 - TAXABLE SALES-REMAINDERS</v>
      </c>
      <c r="D19" s="11">
        <f>-2636.61*-1</f>
        <v>2636.61</v>
      </c>
      <c r="F19" s="11">
        <f>-2218.41*-1</f>
        <v>2218.41</v>
      </c>
      <c r="G19" s="3"/>
      <c r="H19" s="11">
        <f>-736.04*-1</f>
        <v>736.04</v>
      </c>
      <c r="I19" s="3"/>
      <c r="J19" s="11">
        <f>--3759.76</f>
        <v>3759.76</v>
      </c>
      <c r="K19" s="3"/>
      <c r="L19" s="11">
        <f>--2221.33</f>
        <v>2221.33</v>
      </c>
      <c r="M19" s="3"/>
      <c r="N19" s="11">
        <f>--1233.88</f>
        <v>1233.8800000000001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"4015", " - ", "TAXABLE SALES-CALENDARS")</f>
        <v xml:space="preserve">          4015 - TAXABLE SALES-CALENDARS</v>
      </c>
      <c r="D20" s="11">
        <f>-4640.46*-1</f>
        <v>4640.46</v>
      </c>
      <c r="F20" s="11">
        <f>-4266.02*-1</f>
        <v>4266.0200000000004</v>
      </c>
      <c r="G20" s="3"/>
      <c r="H20" s="11">
        <f>-166.8*-1</f>
        <v>166.8</v>
      </c>
      <c r="I20" s="3"/>
      <c r="J20" s="11">
        <f>0</f>
        <v>0</v>
      </c>
      <c r="K20" s="3"/>
      <c r="L20" s="11">
        <f>0</f>
        <v>0</v>
      </c>
      <c r="M20" s="3"/>
      <c r="N20" s="11">
        <f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"4017", " - ", "TAXABLE SALES-DORM/HOUSEWARES")</f>
        <v xml:space="preserve">          4017 - TAXABLE SALES-DORM/HOUSEWARES</v>
      </c>
      <c r="D21" s="11">
        <f>-544.67*-1</f>
        <v>544.66999999999996</v>
      </c>
      <c r="F21" s="11">
        <f>-2054.11*-1</f>
        <v>2054.11</v>
      </c>
      <c r="G21" s="3"/>
      <c r="H21" s="11">
        <f>-44.7*-1</f>
        <v>44.7</v>
      </c>
      <c r="I21" s="3"/>
      <c r="J21" s="11">
        <f>--524.99</f>
        <v>524.99</v>
      </c>
      <c r="K21" s="3"/>
      <c r="L21" s="11">
        <f>--1055.55</f>
        <v>1055.55</v>
      </c>
      <c r="M21" s="3"/>
      <c r="N21" s="11">
        <f>--347.52</f>
        <v>347.52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"4018", " - ", "TAXABLE SALES-STUDY GUIDES")</f>
        <v xml:space="preserve">          4018 - TAXABLE SALES-STUDY GUIDES</v>
      </c>
      <c r="D22" s="11">
        <f>-15442.23*-1</f>
        <v>15442.23</v>
      </c>
      <c r="F22" s="11">
        <f>-9203.96*-1</f>
        <v>9203.9599999999991</v>
      </c>
      <c r="G22" s="3"/>
      <c r="H22" s="11">
        <f>-8469.9*-1</f>
        <v>8469.9</v>
      </c>
      <c r="I22" s="3"/>
      <c r="J22" s="11">
        <f>--7616.72</f>
        <v>7616.72</v>
      </c>
      <c r="K22" s="3"/>
      <c r="L22" s="11">
        <f>--6524.46</f>
        <v>6524.46</v>
      </c>
      <c r="M22" s="3"/>
      <c r="N22" s="11">
        <f>--4179.3</f>
        <v>4179.3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"4019", " - ", "TAXABLE SALES-BOOK RELATED")</f>
        <v xml:space="preserve">          4019 - TAXABLE SALES-BOOK RELATED</v>
      </c>
      <c r="D23" s="11">
        <f>-12332.23*-1</f>
        <v>12332.23</v>
      </c>
      <c r="F23" s="11">
        <f>-11610.6*-1</f>
        <v>11610.6</v>
      </c>
      <c r="G23" s="3"/>
      <c r="H23" s="11">
        <f>-4849.34*-1</f>
        <v>4849.34</v>
      </c>
      <c r="I23" s="3"/>
      <c r="J23" s="11">
        <f>--584.61</f>
        <v>584.61</v>
      </c>
      <c r="K23" s="3"/>
      <c r="L23" s="11">
        <f>--81.89</f>
        <v>81.89</v>
      </c>
      <c r="M23" s="3"/>
      <c r="N23" s="11">
        <f>--42.85</f>
        <v>42.85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"4025", " - ", "TAXABLE SALES-TEST FORMS")</f>
        <v xml:space="preserve">          4025 - TAXABLE SALES-TEST FORMS</v>
      </c>
      <c r="D24" s="11">
        <f>-51956.53*-1</f>
        <v>51956.53</v>
      </c>
      <c r="F24" s="11">
        <f>-49379.15*-1</f>
        <v>49379.15</v>
      </c>
      <c r="G24" s="3"/>
      <c r="H24" s="11">
        <f>-55016.19*-1</f>
        <v>55016.19</v>
      </c>
      <c r="I24" s="3"/>
      <c r="J24" s="11">
        <f>--61493.16</f>
        <v>61493.16</v>
      </c>
      <c r="K24" s="3"/>
      <c r="L24" s="11">
        <f>--61223.1</f>
        <v>61223.1</v>
      </c>
      <c r="M24" s="3"/>
      <c r="N24" s="11">
        <f>--57819.85</f>
        <v>57819.85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"4026", " - ", "TAXABLE SALES-WRITING INSTRUME")</f>
        <v xml:space="preserve">          4026 - TAXABLE SALES-WRITING INSTRUME</v>
      </c>
      <c r="D25" s="11">
        <f>-83537.66*-1</f>
        <v>83537.66</v>
      </c>
      <c r="F25" s="11">
        <f>-97805.14*-1</f>
        <v>97805.14</v>
      </c>
      <c r="G25" s="3"/>
      <c r="H25" s="11">
        <f>-95318.43*-1</f>
        <v>95318.43</v>
      </c>
      <c r="I25" s="3"/>
      <c r="J25" s="11">
        <f>--84348.15</f>
        <v>84348.15</v>
      </c>
      <c r="K25" s="3"/>
      <c r="L25" s="11">
        <f>--84530.93</f>
        <v>84530.93</v>
      </c>
      <c r="M25" s="3"/>
      <c r="N25" s="11">
        <f>--83341.48</f>
        <v>83341.48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"4027", " - ", "TAXABLE SALES-SCHOOL SUPPLIES")</f>
        <v xml:space="preserve">          4027 - TAXABLE SALES-SCHOOL SUPPLIES</v>
      </c>
      <c r="D26" s="11">
        <f>-319354.8*-1</f>
        <v>319354.8</v>
      </c>
      <c r="F26" s="11">
        <f>-335265.6*-1</f>
        <v>335265.59999999998</v>
      </c>
      <c r="G26" s="3"/>
      <c r="H26" s="11">
        <f>-307441.53*-1</f>
        <v>307441.53000000003</v>
      </c>
      <c r="I26" s="3"/>
      <c r="J26" s="11">
        <f>--291064.08</f>
        <v>291064.08</v>
      </c>
      <c r="K26" s="3"/>
      <c r="L26" s="11">
        <f>--308997.93</f>
        <v>308997.93</v>
      </c>
      <c r="M26" s="3"/>
      <c r="N26" s="11">
        <f>--280850.13</f>
        <v>280850.13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"4028", " - ", "TAXABLE SALES-ART/TECH")</f>
        <v xml:space="preserve">          4028 - TAXABLE SALES-ART/TECH</v>
      </c>
      <c r="D27" s="11">
        <f>-333796.97*-1</f>
        <v>333796.96999999997</v>
      </c>
      <c r="F27" s="11">
        <f>-358576.17*-1</f>
        <v>358576.17</v>
      </c>
      <c r="G27" s="3"/>
      <c r="H27" s="11">
        <f>-349330.18*-1</f>
        <v>349330.18</v>
      </c>
      <c r="I27" s="3"/>
      <c r="J27" s="11">
        <f>--343847.2</f>
        <v>343847.2</v>
      </c>
      <c r="K27" s="3"/>
      <c r="L27" s="11">
        <f>--346880.65</f>
        <v>346880.65</v>
      </c>
      <c r="M27" s="3"/>
      <c r="N27" s="11">
        <f>--293577.64</f>
        <v>293577.64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"4031", " - ", "TAXABLE SALES-FOOD")</f>
        <v xml:space="preserve">          4031 - TAXABLE SALES-FOOD</v>
      </c>
      <c r="D28" s="11">
        <f>-1019.28*-1</f>
        <v>1019.28</v>
      </c>
      <c r="F28" s="11">
        <f>-2622.63*-1</f>
        <v>2622.63</v>
      </c>
      <c r="G28" s="3"/>
      <c r="H28" s="11">
        <f>-1010.63*-1</f>
        <v>1010.63</v>
      </c>
      <c r="I28" s="3"/>
      <c r="J28" s="11">
        <f>--992.43</f>
        <v>992.43</v>
      </c>
      <c r="K28" s="3"/>
      <c r="L28" s="11">
        <f>--834.06</f>
        <v>834.06</v>
      </c>
      <c r="M28" s="3"/>
      <c r="N28" s="11">
        <f>--486.34</f>
        <v>486.34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"4032", " - ", "TAXABLE SALES-JUICE")</f>
        <v xml:space="preserve">          4032 - TAXABLE SALES-JUICE</v>
      </c>
      <c r="D29" s="11">
        <f>-4149.87*-1</f>
        <v>4149.87</v>
      </c>
      <c r="F29" s="11">
        <f>-2831.41*-1</f>
        <v>2831.41</v>
      </c>
      <c r="G29" s="3"/>
      <c r="H29" s="11">
        <f>-219.69*-1</f>
        <v>219.69</v>
      </c>
      <c r="I29" s="3"/>
      <c r="J29" s="11">
        <f>--158.24</f>
        <v>158.24</v>
      </c>
      <c r="K29" s="3"/>
      <c r="L29" s="11">
        <f>--498.84</f>
        <v>498.84</v>
      </c>
      <c r="M29" s="3"/>
      <c r="N29" s="11">
        <f>--1905.06</f>
        <v>1905.06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"4033", " - ", "TAXABLE SALES-CANDY")</f>
        <v xml:space="preserve">          4033 - TAXABLE SALES-CANDY</v>
      </c>
      <c r="D30" s="11">
        <f>-0.89*-1</f>
        <v>0.89</v>
      </c>
      <c r="F30" s="11">
        <f>-140.65*-1</f>
        <v>140.65</v>
      </c>
      <c r="G30" s="3"/>
      <c r="H30" s="11">
        <f>-214.02*-1</f>
        <v>214.02</v>
      </c>
      <c r="I30" s="3"/>
      <c r="J30" s="11">
        <f>--202.55</f>
        <v>202.55</v>
      </c>
      <c r="K30" s="3"/>
      <c r="L30" s="11">
        <f>--264.15</f>
        <v>264.14999999999998</v>
      </c>
      <c r="M30" s="3"/>
      <c r="N30" s="11">
        <f>--205.53</f>
        <v>205.53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"4034", " - ", "TAXABLE SALES-SODA")</f>
        <v xml:space="preserve">          4034 - TAXABLE SALES-SODA</v>
      </c>
      <c r="D31" s="11">
        <f>-7787.4*-1</f>
        <v>7787.4</v>
      </c>
      <c r="F31" s="11">
        <f>-6032.75*-1</f>
        <v>6032.75</v>
      </c>
      <c r="G31" s="3"/>
      <c r="H31" s="11">
        <f>-9636.55*-1</f>
        <v>9636.5499999999993</v>
      </c>
      <c r="I31" s="3"/>
      <c r="J31" s="11">
        <f>--10036.08</f>
        <v>10036.08</v>
      </c>
      <c r="K31" s="3"/>
      <c r="L31" s="11">
        <f>--9299.56</f>
        <v>9299.56</v>
      </c>
      <c r="M31" s="3"/>
      <c r="N31" s="11">
        <f>--7803.51</f>
        <v>7803.51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"4035", " - ", "TAXABLE SALES-HEALTH &amp; BEAUTY")</f>
        <v xml:space="preserve">          4035 - TAXABLE SALES-HEALTH &amp; BEAUTY</v>
      </c>
      <c r="D32" s="11">
        <f>-1445.9*-1</f>
        <v>1445.9</v>
      </c>
      <c r="F32" s="11">
        <f>-2162.84*-1</f>
        <v>2162.84</v>
      </c>
      <c r="G32" s="3"/>
      <c r="H32" s="11">
        <f>-2572.19*-1</f>
        <v>2572.19</v>
      </c>
      <c r="I32" s="3"/>
      <c r="J32" s="11">
        <f>--2732.89</f>
        <v>2732.89</v>
      </c>
      <c r="K32" s="3"/>
      <c r="L32" s="11">
        <f>--2675.56</f>
        <v>2675.56</v>
      </c>
      <c r="M32" s="3"/>
      <c r="N32" s="11">
        <f>--1981.84</f>
        <v>1981.84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"4037", " - ", "TAXABLE SALES-WATER")</f>
        <v xml:space="preserve">          4037 - TAXABLE SALES-WATER</v>
      </c>
      <c r="D33" s="11">
        <f>0*-1</f>
        <v>0</v>
      </c>
      <c r="F33" s="11">
        <f>-165.87*-1</f>
        <v>165.87</v>
      </c>
      <c r="G33" s="3"/>
      <c r="H33" s="11">
        <f>-797.05*-1</f>
        <v>797.05</v>
      </c>
      <c r="I33" s="3"/>
      <c r="J33" s="11">
        <f>--705.4</f>
        <v>705.4</v>
      </c>
      <c r="K33" s="3"/>
      <c r="L33" s="11">
        <f>--881.19</f>
        <v>881.19</v>
      </c>
      <c r="M33" s="3"/>
      <c r="N33" s="11">
        <f>--513.51</f>
        <v>513.51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"4040", " - ", "TAXABLE SALES-LOGO CLOTHING")</f>
        <v xml:space="preserve">          4040 - TAXABLE SALES-LOGO CLOTHING</v>
      </c>
      <c r="D34" s="11">
        <f>-2091546.66*-1</f>
        <v>2091546.66</v>
      </c>
      <c r="F34" s="11">
        <f>-2361034.68*-1</f>
        <v>2361034.6800000002</v>
      </c>
      <c r="G34" s="3"/>
      <c r="H34" s="11">
        <f>-2542019.78*-1</f>
        <v>2542019.7799999998</v>
      </c>
      <c r="I34" s="3"/>
      <c r="J34" s="11">
        <f>--2496988.94</f>
        <v>2496988.94</v>
      </c>
      <c r="K34" s="3"/>
      <c r="L34" s="11">
        <f>--2503852.42</f>
        <v>2503852.42</v>
      </c>
      <c r="M34" s="3"/>
      <c r="N34" s="11">
        <f>--1941274.42</f>
        <v>1941274.42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"4041", " - ", "TAXABLE SALES-LOGO GIFTS")</f>
        <v xml:space="preserve">          4041 - TAXABLE SALES-LOGO GIFTS</v>
      </c>
      <c r="D35" s="11">
        <f>-872583.71*-1</f>
        <v>872583.71</v>
      </c>
      <c r="F35" s="11">
        <f>-912522.76*-1</f>
        <v>912522.76</v>
      </c>
      <c r="G35" s="3"/>
      <c r="H35" s="11">
        <f>-914844.45*-1</f>
        <v>914844.45</v>
      </c>
      <c r="I35" s="3"/>
      <c r="J35" s="11">
        <f>--914522.14</f>
        <v>914522.14</v>
      </c>
      <c r="K35" s="3"/>
      <c r="L35" s="11">
        <f>--859767.82</f>
        <v>859767.82</v>
      </c>
      <c r="M35" s="3"/>
      <c r="N35" s="11">
        <f>--556536.79</f>
        <v>556536.79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"4042", " - ", "TAXABLE SALES-EVERYDAY GIFTS")</f>
        <v xml:space="preserve">          4042 - TAXABLE SALES-EVERYDAY GIFTS</v>
      </c>
      <c r="D36" s="11">
        <f>-216339.99*-1</f>
        <v>216339.99</v>
      </c>
      <c r="F36" s="11">
        <f>-224508.74*-1</f>
        <v>224508.74</v>
      </c>
      <c r="G36" s="3"/>
      <c r="H36" s="11">
        <f>-243721.82*-1</f>
        <v>243721.82</v>
      </c>
      <c r="I36" s="3"/>
      <c r="J36" s="11">
        <f>--342271.68</f>
        <v>342271.68</v>
      </c>
      <c r="K36" s="3"/>
      <c r="L36" s="11">
        <f>--334175.22</f>
        <v>334175.21999999997</v>
      </c>
      <c r="M36" s="3"/>
      <c r="N36" s="11">
        <f>--285558.05</f>
        <v>285558.05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"4043", " - ", "TAXABLE SALES-CARDS")</f>
        <v xml:space="preserve">          4043 - TAXABLE SALES-CARDS</v>
      </c>
      <c r="D37" s="11">
        <f>-31993.73*-1</f>
        <v>31993.73</v>
      </c>
      <c r="F37" s="11">
        <f>-33431.2*-1</f>
        <v>33431.199999999997</v>
      </c>
      <c r="G37" s="3"/>
      <c r="H37" s="11">
        <f>-13466.67*-1</f>
        <v>13466.67</v>
      </c>
      <c r="I37" s="3"/>
      <c r="J37" s="11">
        <f>--9233.79</f>
        <v>9233.7900000000009</v>
      </c>
      <c r="K37" s="3"/>
      <c r="L37" s="11">
        <f>--4859.22</f>
        <v>4859.22</v>
      </c>
      <c r="M37" s="3"/>
      <c r="N37" s="11">
        <f>--77324.14</f>
        <v>77324.14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"4044", " - ", "TAXABLE SALES-ACCESSORIES")</f>
        <v xml:space="preserve">          4044 - TAXABLE SALES-ACCESSORIES</v>
      </c>
      <c r="D38" s="11">
        <f>-72513.34*-1</f>
        <v>72513.34</v>
      </c>
      <c r="F38" s="11">
        <f>-88358.95*-1</f>
        <v>88358.95</v>
      </c>
      <c r="G38" s="3"/>
      <c r="H38" s="11">
        <f>-84270.22*-1</f>
        <v>84270.22</v>
      </c>
      <c r="I38" s="3"/>
      <c r="J38" s="11">
        <f>--74129.41</f>
        <v>74129.41</v>
      </c>
      <c r="K38" s="3"/>
      <c r="L38" s="11">
        <f>--87817.61</f>
        <v>87817.61</v>
      </c>
      <c r="M38" s="3"/>
      <c r="N38" s="11">
        <f>--73780.56</f>
        <v>73780.56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"4045", " - ", "TAXABLE SALES-SPECIAL ORDERS")</f>
        <v xml:space="preserve">          4045 - TAXABLE SALES-SPECIAL ORDERS</v>
      </c>
      <c r="D39" s="11">
        <f>-122181.44*-1</f>
        <v>122181.44</v>
      </c>
      <c r="F39" s="11">
        <f>-106486.25*-1</f>
        <v>106486.25</v>
      </c>
      <c r="G39" s="3"/>
      <c r="H39" s="11">
        <f>-192412.91*-1</f>
        <v>192412.91</v>
      </c>
      <c r="I39" s="3"/>
      <c r="J39" s="11">
        <f>--185422.86</f>
        <v>185422.86</v>
      </c>
      <c r="K39" s="3"/>
      <c r="L39" s="11">
        <f>--219240.28</f>
        <v>219240.28</v>
      </c>
      <c r="M39" s="3"/>
      <c r="N39" s="11">
        <f>--123103.09</f>
        <v>123103.09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"4047", " - ", "TAXABLE SALES-MISC")</f>
        <v xml:space="preserve">          4047 - TAXABLE SALES-MISC</v>
      </c>
      <c r="D40" s="11">
        <f>-7763.72*-1</f>
        <v>7763.72</v>
      </c>
      <c r="F40" s="11">
        <f>-3475.74*-1</f>
        <v>3475.74</v>
      </c>
      <c r="G40" s="3"/>
      <c r="H40" s="11">
        <f>-5619.91*-1</f>
        <v>5619.91</v>
      </c>
      <c r="I40" s="3"/>
      <c r="J40" s="11">
        <f>--5136.78</f>
        <v>5136.78</v>
      </c>
      <c r="K40" s="3"/>
      <c r="L40" s="11">
        <f>--5818.6</f>
        <v>5818.6</v>
      </c>
      <c r="M40" s="3"/>
      <c r="N40" s="11">
        <f>--2676.14</f>
        <v>2676.14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"4081", " - ", "TAXABLE SALES-ELECTRONICS")</f>
        <v xml:space="preserve">          4081 - TAXABLE SALES-ELECTRONICS</v>
      </c>
      <c r="D41" s="11">
        <f>-1428.29*-1</f>
        <v>1428.29</v>
      </c>
      <c r="F41" s="11">
        <f>-1294.61*-1</f>
        <v>1294.6099999999999</v>
      </c>
      <c r="G41" s="3"/>
      <c r="H41" s="11">
        <f>-3518.08*-1</f>
        <v>3518.08</v>
      </c>
      <c r="I41" s="3"/>
      <c r="J41" s="11">
        <f>--5235.06</f>
        <v>5235.0600000000004</v>
      </c>
      <c r="K41" s="3"/>
      <c r="L41" s="11">
        <f>--4426.51</f>
        <v>4426.51</v>
      </c>
      <c r="M41" s="3"/>
      <c r="N41" s="11">
        <f>--3174.93</f>
        <v>3174.93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"4082", " - ", "TAXABLE SALES-COMPUTER HARDWAR")</f>
        <v xml:space="preserve">          4082 - TAXABLE SALES-COMPUTER HARDWAR</v>
      </c>
      <c r="D42" s="11">
        <f>0*-1</f>
        <v>0</v>
      </c>
      <c r="F42" s="11">
        <f>0*-1</f>
        <v>0</v>
      </c>
      <c r="G42" s="3"/>
      <c r="H42" s="11">
        <f>-775.83*-1</f>
        <v>775.83</v>
      </c>
      <c r="I42" s="3"/>
      <c r="J42" s="11">
        <f>--1439.96</f>
        <v>1439.96</v>
      </c>
      <c r="K42" s="3"/>
      <c r="L42" s="11">
        <f>--1650</f>
        <v>1650</v>
      </c>
      <c r="M42" s="3"/>
      <c r="N42" s="11">
        <f>--363.94</f>
        <v>363.94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"4083", " - ", "TAXABLE SALES-COMPUTER EQUIPME")</f>
        <v xml:space="preserve">          4083 - TAXABLE SALES-COMPUTER EQUIPME</v>
      </c>
      <c r="D43" s="11">
        <f>-597.05*-1</f>
        <v>597.04999999999995</v>
      </c>
      <c r="F43" s="11">
        <f>-810.29*-1</f>
        <v>810.29</v>
      </c>
      <c r="G43" s="3"/>
      <c r="H43" s="11">
        <f>-1003.1*-1</f>
        <v>1003.1</v>
      </c>
      <c r="I43" s="3"/>
      <c r="J43" s="11">
        <f>--1491.86</f>
        <v>1491.86</v>
      </c>
      <c r="K43" s="3"/>
      <c r="L43" s="11">
        <f>--1403.83</f>
        <v>1403.83</v>
      </c>
      <c r="M43" s="3"/>
      <c r="N43" s="11">
        <f>--914.33</f>
        <v>914.33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"4086", " - ", "TAXABLE SALES-COMPUTER SUPPLIE")</f>
        <v xml:space="preserve">          4086 - TAXABLE SALES-COMPUTER SUPPLIE</v>
      </c>
      <c r="D44" s="11">
        <f>-178.09*-1</f>
        <v>178.09</v>
      </c>
      <c r="F44" s="11">
        <f>-419.92*-1</f>
        <v>419.92</v>
      </c>
      <c r="G44" s="3"/>
      <c r="H44" s="11">
        <f>-1498.25*-1</f>
        <v>1498.25</v>
      </c>
      <c r="I44" s="3"/>
      <c r="J44" s="11">
        <f>--2714.01</f>
        <v>2714.01</v>
      </c>
      <c r="K44" s="3"/>
      <c r="L44" s="11">
        <f>--2115.11</f>
        <v>2115.11</v>
      </c>
      <c r="M44" s="3"/>
      <c r="N44" s="11">
        <f>--813.74</f>
        <v>813.74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"4088", " - ", "TAXABLE SALES-MUSIC")</f>
        <v xml:space="preserve">          4088 - TAXABLE SALES-MUSIC</v>
      </c>
      <c r="D45" s="11">
        <f>0*-1</f>
        <v>0</v>
      </c>
      <c r="F45" s="11">
        <f>0*-1</f>
        <v>0</v>
      </c>
      <c r="G45" s="3"/>
      <c r="H45" s="11">
        <f>0*-1</f>
        <v>0</v>
      </c>
      <c r="I45" s="3"/>
      <c r="J45" s="11">
        <f>--59</f>
        <v>59</v>
      </c>
      <c r="K45" s="3"/>
      <c r="L45" s="11">
        <f t="shared" ref="L45:L46" si="0">0</f>
        <v>0</v>
      </c>
      <c r="M45" s="3"/>
      <c r="N45" s="11">
        <f t="shared" ref="N45:N46" si="1">0</f>
        <v>0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"4091", " - ", "TAXABLE SALES-GRAD ANNOUNCEMEN")</f>
        <v xml:space="preserve">          4091 - TAXABLE SALES-GRAD ANNOUNCEMEN</v>
      </c>
      <c r="D46" s="11">
        <f>-1250.64*-1</f>
        <v>1250.6400000000001</v>
      </c>
      <c r="F46" s="11">
        <f>-2134.69*-1</f>
        <v>2134.69</v>
      </c>
      <c r="G46" s="3"/>
      <c r="H46" s="11">
        <f>-927.2*-1</f>
        <v>927.2</v>
      </c>
      <c r="I46" s="3"/>
      <c r="J46" s="11">
        <f>--1013.94</f>
        <v>1013.94</v>
      </c>
      <c r="K46" s="3"/>
      <c r="L46" s="11">
        <f t="shared" si="0"/>
        <v>0</v>
      </c>
      <c r="M46" s="3"/>
      <c r="N46" s="11">
        <f t="shared" si="1"/>
        <v>0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"4092", " - ", "TAXABLE SALES-GRAD MERCH")</f>
        <v xml:space="preserve">          4092 - TAXABLE SALES-GRAD MERCH</v>
      </c>
      <c r="D47" s="11">
        <f>-345184.89*-1</f>
        <v>345184.89</v>
      </c>
      <c r="F47" s="11">
        <f>-400900.6*-1</f>
        <v>400900.6</v>
      </c>
      <c r="G47" s="3"/>
      <c r="H47" s="11">
        <f>-436215.05*-1</f>
        <v>436215.05</v>
      </c>
      <c r="I47" s="3"/>
      <c r="J47" s="11">
        <f>--521288.3</f>
        <v>521288.3</v>
      </c>
      <c r="K47" s="3"/>
      <c r="L47" s="11">
        <f>--223303.91</f>
        <v>223303.91</v>
      </c>
      <c r="M47" s="3"/>
      <c r="N47" s="11">
        <f>--41685.94</f>
        <v>41685.94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"4093", " - ", "TAXABLE SALES-CATALOGS")</f>
        <v xml:space="preserve">          4093 - TAXABLE SALES-CATALOGS</v>
      </c>
      <c r="D48" s="11">
        <f>0*-1</f>
        <v>0</v>
      </c>
      <c r="F48" s="11">
        <f>0*-1</f>
        <v>0</v>
      </c>
      <c r="G48" s="3"/>
      <c r="H48" s="11">
        <f>0*-1</f>
        <v>0</v>
      </c>
      <c r="I48" s="3"/>
      <c r="J48" s="11">
        <f>0</f>
        <v>0</v>
      </c>
      <c r="K48" s="3"/>
      <c r="L48" s="11">
        <f>0</f>
        <v>0</v>
      </c>
      <c r="M48" s="3"/>
      <c r="N48" s="11">
        <f>0</f>
        <v>0</v>
      </c>
      <c r="O48" s="3"/>
      <c r="P48" s="11"/>
      <c r="Q48" s="3"/>
      <c r="R48" s="11"/>
    </row>
    <row r="49" spans="2:18" s="16" customFormat="1" hidden="1" outlineLevel="1" x14ac:dyDescent="0.35">
      <c r="B49" s="35" t="str">
        <f>CONCATENATE("          ", "4095", " - ", "TAXABLE SALES-CUSTOMER SERVICE")</f>
        <v xml:space="preserve">          4095 - TAXABLE SALES-CUSTOMER SERVICE</v>
      </c>
      <c r="D49" s="11">
        <f>-3526.03*-1</f>
        <v>3526.03</v>
      </c>
      <c r="F49" s="11">
        <f>-2766.9*-1</f>
        <v>2766.9</v>
      </c>
      <c r="G49" s="3"/>
      <c r="H49" s="11">
        <f>-2405.17*-1</f>
        <v>2405.17</v>
      </c>
      <c r="I49" s="3"/>
      <c r="J49" s="11">
        <f>--1686.52</f>
        <v>1686.52</v>
      </c>
      <c r="K49" s="3"/>
      <c r="L49" s="11">
        <f>--2235.12</f>
        <v>2235.12</v>
      </c>
      <c r="M49" s="3"/>
      <c r="N49" s="11">
        <f>--309.26</f>
        <v>309.26</v>
      </c>
      <c r="O49" s="3"/>
      <c r="P49" s="11"/>
      <c r="Q49" s="3"/>
      <c r="R49" s="11"/>
    </row>
    <row r="50" spans="2:18" s="16" customFormat="1" hidden="1" outlineLevel="1" x14ac:dyDescent="0.35">
      <c r="B50" s="35" t="str">
        <f>CONCATENATE("          ", "4100", " - ", "NON-TAXABLE SALES")</f>
        <v xml:space="preserve">          4100 - NON-TAXABLE SALES</v>
      </c>
      <c r="D50" s="11">
        <f>-1174665.03*-1</f>
        <v>1174665.03</v>
      </c>
      <c r="F50" s="11">
        <f>-957549.38*-1</f>
        <v>957549.38</v>
      </c>
      <c r="G50" s="3"/>
      <c r="H50" s="11">
        <f>-812045.06*-1</f>
        <v>812045.06</v>
      </c>
      <c r="I50" s="3"/>
      <c r="J50" s="11">
        <f>--961357.32</f>
        <v>961357.32</v>
      </c>
      <c r="K50" s="3"/>
      <c r="L50" s="11">
        <f>--792359.45</f>
        <v>792359.45</v>
      </c>
      <c r="M50" s="3"/>
      <c r="N50" s="11">
        <f>--591246.5</f>
        <v>591246.5</v>
      </c>
      <c r="O50" s="3"/>
      <c r="P50" s="11">
        <v>297049</v>
      </c>
      <c r="Q50" s="3"/>
      <c r="R50" s="11">
        <v>375600</v>
      </c>
    </row>
    <row r="51" spans="2:18" s="16" customFormat="1" hidden="1" outlineLevel="1" x14ac:dyDescent="0.35">
      <c r="B51" s="35" t="str">
        <f>CONCATENATE("          ", "4101", " - ", "NON-TAXABLE SALES-NEW TEXT")</f>
        <v xml:space="preserve">          4101 - NON-TAXABLE SALES-NEW TEXT</v>
      </c>
      <c r="D51" s="11">
        <f>-333541.05*-1</f>
        <v>333541.05</v>
      </c>
      <c r="F51" s="11">
        <f>-331768.56*-1</f>
        <v>331768.56</v>
      </c>
      <c r="G51" s="3"/>
      <c r="H51" s="11">
        <f>-436453.6*-1</f>
        <v>436453.6</v>
      </c>
      <c r="I51" s="3"/>
      <c r="J51" s="11">
        <f>--176688.8</f>
        <v>176688.8</v>
      </c>
      <c r="K51" s="3"/>
      <c r="L51" s="11">
        <f>--281995.26</f>
        <v>281995.26</v>
      </c>
      <c r="M51" s="3"/>
      <c r="N51" s="11">
        <f>--153953.68</f>
        <v>153953.68</v>
      </c>
      <c r="O51" s="3"/>
      <c r="P51" s="11"/>
      <c r="Q51" s="3"/>
      <c r="R51" s="11"/>
    </row>
    <row r="52" spans="2:18" s="16" customFormat="1" hidden="1" outlineLevel="1" x14ac:dyDescent="0.35">
      <c r="B52" s="35" t="str">
        <f>CONCATENATE("          ", "4102", " - ", "NON-TAXABLE SALES-USED TEXT")</f>
        <v xml:space="preserve">          4102 - NON-TAXABLE SALES-USED TEXT</v>
      </c>
      <c r="D52" s="11">
        <f>-169093.51*-1</f>
        <v>169093.51</v>
      </c>
      <c r="F52" s="11">
        <f>-105992.28*-1</f>
        <v>105992.28</v>
      </c>
      <c r="G52" s="3"/>
      <c r="H52" s="11">
        <f>-102473.76*-1</f>
        <v>102473.76</v>
      </c>
      <c r="I52" s="3"/>
      <c r="J52" s="11">
        <f>--115900.77</f>
        <v>115900.77</v>
      </c>
      <c r="K52" s="3"/>
      <c r="L52" s="11">
        <f>--98541.39</f>
        <v>98541.39</v>
      </c>
      <c r="M52" s="3"/>
      <c r="N52" s="11">
        <f>--71943.61</f>
        <v>71943.61</v>
      </c>
      <c r="O52" s="3"/>
      <c r="P52" s="11"/>
      <c r="Q52" s="3"/>
      <c r="R52" s="11"/>
    </row>
    <row r="53" spans="2:18" s="16" customFormat="1" hidden="1" outlineLevel="1" x14ac:dyDescent="0.35">
      <c r="B53" s="35" t="str">
        <f>CONCATENATE("          ", "4103", " - ", "NON-TAXABLE SALES-RENTAL TEXT")</f>
        <v xml:space="preserve">          4103 - NON-TAXABLE SALES-RENTAL TEXT</v>
      </c>
      <c r="D53" s="11">
        <f>0*-1</f>
        <v>0</v>
      </c>
      <c r="F53" s="11">
        <f>0*-1</f>
        <v>0</v>
      </c>
      <c r="G53" s="3"/>
      <c r="H53" s="11">
        <f>0*-1</f>
        <v>0</v>
      </c>
      <c r="I53" s="3"/>
      <c r="J53" s="11">
        <f>0</f>
        <v>0</v>
      </c>
      <c r="K53" s="3"/>
      <c r="L53" s="11">
        <f>--830.85</f>
        <v>830.85</v>
      </c>
      <c r="M53" s="3"/>
      <c r="N53" s="11">
        <f>--664.97</f>
        <v>664.97</v>
      </c>
      <c r="O53" s="3"/>
      <c r="P53" s="11"/>
      <c r="Q53" s="3"/>
      <c r="R53" s="11"/>
    </row>
    <row r="54" spans="2:18" s="16" customFormat="1" hidden="1" outlineLevel="1" x14ac:dyDescent="0.35">
      <c r="B54" s="35" t="str">
        <f>CONCATENATE("          ", "4104", " - ", "NON-TAXABLE SALES-DIGITAL TEXT")</f>
        <v xml:space="preserve">          4104 - NON-TAXABLE SALES-DIGITAL TEXT</v>
      </c>
      <c r="D54" s="11">
        <f>-35063.14*-1</f>
        <v>35063.14</v>
      </c>
      <c r="F54" s="11">
        <f>-87423.09*-1</f>
        <v>87423.09</v>
      </c>
      <c r="G54" s="3"/>
      <c r="H54" s="11">
        <f>-168064.67*-1</f>
        <v>168064.67</v>
      </c>
      <c r="I54" s="3"/>
      <c r="J54" s="11">
        <f>--514704.82</f>
        <v>514704.82</v>
      </c>
      <c r="K54" s="3"/>
      <c r="L54" s="11">
        <f>--535221.75</f>
        <v>535221.75</v>
      </c>
      <c r="M54" s="3"/>
      <c r="N54" s="11">
        <f>--533640.31</f>
        <v>533640.31000000006</v>
      </c>
      <c r="O54" s="3"/>
      <c r="P54" s="11"/>
      <c r="Q54" s="3"/>
      <c r="R54" s="11"/>
    </row>
    <row r="55" spans="2:18" s="16" customFormat="1" hidden="1" outlineLevel="1" x14ac:dyDescent="0.35">
      <c r="B55" s="35" t="str">
        <f>CONCATENATE("          ", "4111", " - ", "NON-TAXABLE SALES-NO VALUE TEX")</f>
        <v xml:space="preserve">          4111 - NON-TAXABLE SALES-NO VALUE TEX</v>
      </c>
      <c r="D55" s="11">
        <f>-43256.3*-1</f>
        <v>43256.3</v>
      </c>
      <c r="F55" s="11">
        <f>-43259.52*-1</f>
        <v>43259.519999999997</v>
      </c>
      <c r="G55" s="3"/>
      <c r="H55" s="11">
        <f>-44203.6*-1</f>
        <v>44203.6</v>
      </c>
      <c r="I55" s="3"/>
      <c r="J55" s="11">
        <f>--38359.07</f>
        <v>38359.07</v>
      </c>
      <c r="K55" s="3"/>
      <c r="L55" s="11">
        <f>--25086.75</f>
        <v>25086.75</v>
      </c>
      <c r="M55" s="3"/>
      <c r="N55" s="11">
        <f>--16342.67</f>
        <v>16342.67</v>
      </c>
      <c r="O55" s="3"/>
      <c r="P55" s="11"/>
      <c r="Q55" s="3"/>
      <c r="R55" s="11"/>
    </row>
    <row r="56" spans="2:18" s="16" customFormat="1" hidden="1" outlineLevel="1" x14ac:dyDescent="0.35">
      <c r="B56" s="35" t="str">
        <f>CONCATENATE("          ", "4113", " - ", "NON-TAXABLE SALES-TRADE BOOKS")</f>
        <v xml:space="preserve">          4113 - NON-TAXABLE SALES-TRADE BOOKS</v>
      </c>
      <c r="D56" s="11">
        <f>-1319.69*-1</f>
        <v>1319.69</v>
      </c>
      <c r="F56" s="11">
        <f>-1790.87*-1</f>
        <v>1790.87</v>
      </c>
      <c r="G56" s="3"/>
      <c r="H56" s="11">
        <f>-5971.51*-1</f>
        <v>5971.51</v>
      </c>
      <c r="I56" s="3"/>
      <c r="J56" s="11">
        <f>--1947.27</f>
        <v>1947.27</v>
      </c>
      <c r="K56" s="3"/>
      <c r="L56" s="11">
        <f>--5373</f>
        <v>5373</v>
      </c>
      <c r="M56" s="3"/>
      <c r="N56" s="11">
        <f>--8266.16</f>
        <v>8266.16</v>
      </c>
      <c r="O56" s="3"/>
      <c r="P56" s="11"/>
      <c r="Q56" s="3"/>
      <c r="R56" s="11"/>
    </row>
    <row r="57" spans="2:18" s="16" customFormat="1" hidden="1" outlineLevel="1" x14ac:dyDescent="0.35">
      <c r="B57" s="35" t="str">
        <f>CONCATENATE("          ", "4114", " - ", "NON-TAXABLE SALES-REMAINDERS")</f>
        <v xml:space="preserve">          4114 - NON-TAXABLE SALES-REMAINDERS</v>
      </c>
      <c r="D57" s="11">
        <f>0*-1</f>
        <v>0</v>
      </c>
      <c r="F57" s="11">
        <f>0*-1</f>
        <v>0</v>
      </c>
      <c r="G57" s="3"/>
      <c r="H57" s="11">
        <f t="shared" ref="H57:H58" si="2">0*-1</f>
        <v>0</v>
      </c>
      <c r="I57" s="3"/>
      <c r="J57" s="11">
        <f t="shared" ref="J57:J58" si="3">0</f>
        <v>0</v>
      </c>
      <c r="K57" s="3"/>
      <c r="L57" s="11">
        <f t="shared" ref="L57:L58" si="4">0</f>
        <v>0</v>
      </c>
      <c r="M57" s="3"/>
      <c r="N57" s="11">
        <f>--3.19</f>
        <v>3.19</v>
      </c>
      <c r="O57" s="3"/>
      <c r="P57" s="11"/>
      <c r="Q57" s="3"/>
      <c r="R57" s="11"/>
    </row>
    <row r="58" spans="2:18" s="16" customFormat="1" hidden="1" outlineLevel="1" x14ac:dyDescent="0.35">
      <c r="B58" s="35" t="str">
        <f>CONCATENATE("          ", "4115", " - ", "NON-TAXABLE SALES-CALENDARS")</f>
        <v xml:space="preserve">          4115 - NON-TAXABLE SALES-CALENDARS</v>
      </c>
      <c r="D58" s="11">
        <f>-2*-1</f>
        <v>2</v>
      </c>
      <c r="F58" s="11">
        <f>-158.37*-1</f>
        <v>158.37</v>
      </c>
      <c r="G58" s="3"/>
      <c r="H58" s="11">
        <f t="shared" si="2"/>
        <v>0</v>
      </c>
      <c r="I58" s="3"/>
      <c r="J58" s="11">
        <f t="shared" si="3"/>
        <v>0</v>
      </c>
      <c r="K58" s="3"/>
      <c r="L58" s="11">
        <f t="shared" si="4"/>
        <v>0</v>
      </c>
      <c r="M58" s="3"/>
      <c r="N58" s="11">
        <f>0</f>
        <v>0</v>
      </c>
      <c r="O58" s="3"/>
      <c r="P58" s="11"/>
      <c r="Q58" s="3"/>
      <c r="R58" s="11"/>
    </row>
    <row r="59" spans="2:18" s="16" customFormat="1" hidden="1" outlineLevel="1" x14ac:dyDescent="0.35">
      <c r="B59" s="35" t="str">
        <f>CONCATENATE("          ", "4118", " - ", "NON-TAXABLE SALES-STUDY GUIDES")</f>
        <v xml:space="preserve">          4118 - NON-TAXABLE SALES-STUDY GUIDES</v>
      </c>
      <c r="D59" s="11">
        <f>-353.8*-1</f>
        <v>353.8</v>
      </c>
      <c r="F59" s="11">
        <f>-548.94*-1</f>
        <v>548.94000000000005</v>
      </c>
      <c r="G59" s="3"/>
      <c r="H59" s="11">
        <f>-571.8*-1</f>
        <v>571.79999999999995</v>
      </c>
      <c r="I59" s="3"/>
      <c r="J59" s="11">
        <f>--4573.16</f>
        <v>4573.16</v>
      </c>
      <c r="K59" s="3"/>
      <c r="L59" s="11">
        <f>--2773.48</f>
        <v>2773.48</v>
      </c>
      <c r="M59" s="3"/>
      <c r="N59" s="11">
        <f>--126.03</f>
        <v>126.03</v>
      </c>
      <c r="O59" s="3"/>
      <c r="P59" s="11"/>
      <c r="Q59" s="3"/>
      <c r="R59" s="11"/>
    </row>
    <row r="60" spans="2:18" s="16" customFormat="1" hidden="1" outlineLevel="1" x14ac:dyDescent="0.35">
      <c r="B60" s="35" t="str">
        <f>CONCATENATE("          ", "4119", " - ", "NON-TAXABLE SALES-BOOK RELATED")</f>
        <v xml:space="preserve">          4119 - NON-TAXABLE SALES-BOOK RELATED</v>
      </c>
      <c r="D60" s="11">
        <f>-151.27*-1</f>
        <v>151.27000000000001</v>
      </c>
      <c r="F60" s="11">
        <f>-120.62*-1</f>
        <v>120.62</v>
      </c>
      <c r="G60" s="3"/>
      <c r="H60" s="11">
        <f>-88.12*-1</f>
        <v>88.12</v>
      </c>
      <c r="I60" s="3"/>
      <c r="J60" s="11">
        <f>0</f>
        <v>0</v>
      </c>
      <c r="K60" s="3"/>
      <c r="L60" s="11">
        <f>0</f>
        <v>0</v>
      </c>
      <c r="M60" s="3"/>
      <c r="N60" s="11">
        <f>0</f>
        <v>0</v>
      </c>
      <c r="O60" s="3"/>
      <c r="P60" s="11"/>
      <c r="Q60" s="3"/>
      <c r="R60" s="11"/>
    </row>
    <row r="61" spans="2:18" s="16" customFormat="1" hidden="1" outlineLevel="1" x14ac:dyDescent="0.35">
      <c r="B61" s="35" t="str">
        <f>CONCATENATE("          ", "4125", " - ", "NON-TAXABLE SALES-TEST FORMS")</f>
        <v xml:space="preserve">          4125 - NON-TAXABLE SALES-TEST FORMS</v>
      </c>
      <c r="D61" s="11">
        <f>-224.26*-1</f>
        <v>224.26</v>
      </c>
      <c r="F61" s="11">
        <f>-235.54*-1</f>
        <v>235.54</v>
      </c>
      <c r="G61" s="3"/>
      <c r="H61" s="11">
        <f>-283.63*-1</f>
        <v>283.63</v>
      </c>
      <c r="I61" s="3"/>
      <c r="J61" s="11">
        <f>--349.35</f>
        <v>349.35</v>
      </c>
      <c r="K61" s="3"/>
      <c r="L61" s="11">
        <f>--331.15</f>
        <v>331.15</v>
      </c>
      <c r="M61" s="3"/>
      <c r="N61" s="11">
        <f>--452.61</f>
        <v>452.61</v>
      </c>
      <c r="O61" s="3"/>
      <c r="P61" s="11"/>
      <c r="Q61" s="3"/>
      <c r="R61" s="11"/>
    </row>
    <row r="62" spans="2:18" s="16" customFormat="1" hidden="1" outlineLevel="1" x14ac:dyDescent="0.35">
      <c r="B62" s="35" t="str">
        <f>CONCATENATE("          ", "4126", " - ", "NON-TAXABLE SALES-WRITING INST")</f>
        <v xml:space="preserve">          4126 - NON-TAXABLE SALES-WRITING INST</v>
      </c>
      <c r="D62" s="11">
        <f>-1895.22*-1</f>
        <v>1895.22</v>
      </c>
      <c r="F62" s="11">
        <f>-2640.93*-1</f>
        <v>2640.93</v>
      </c>
      <c r="G62" s="3"/>
      <c r="H62" s="11">
        <f>-3640.17*-1</f>
        <v>3640.17</v>
      </c>
      <c r="I62" s="3"/>
      <c r="J62" s="11">
        <f>--3799.86</f>
        <v>3799.86</v>
      </c>
      <c r="K62" s="3"/>
      <c r="L62" s="11">
        <f>--4171.98</f>
        <v>4171.9799999999996</v>
      </c>
      <c r="M62" s="3"/>
      <c r="N62" s="11">
        <f>--3301.44</f>
        <v>3301.44</v>
      </c>
      <c r="O62" s="3"/>
      <c r="P62" s="11"/>
      <c r="Q62" s="3"/>
      <c r="R62" s="11"/>
    </row>
    <row r="63" spans="2:18" s="16" customFormat="1" hidden="1" outlineLevel="1" x14ac:dyDescent="0.35">
      <c r="B63" s="35" t="str">
        <f>CONCATENATE("          ", "4127", " - ", "NON-TAXABLE SALES-SCHOOL SUPPL")</f>
        <v xml:space="preserve">          4127 - NON-TAXABLE SALES-SCHOOL SUPPL</v>
      </c>
      <c r="D63" s="11">
        <f>-5369.89*-1</f>
        <v>5369.89</v>
      </c>
      <c r="F63" s="11">
        <f>-5919.43*-1</f>
        <v>5919.43</v>
      </c>
      <c r="G63" s="3"/>
      <c r="H63" s="11">
        <f>-14303.61*-1</f>
        <v>14303.61</v>
      </c>
      <c r="I63" s="3"/>
      <c r="J63" s="11">
        <f>--6297.47</f>
        <v>6297.47</v>
      </c>
      <c r="K63" s="3"/>
      <c r="L63" s="11">
        <f>--12627.65</f>
        <v>12627.65</v>
      </c>
      <c r="M63" s="3"/>
      <c r="N63" s="11">
        <f>--6471.33</f>
        <v>6471.33</v>
      </c>
      <c r="O63" s="3"/>
      <c r="P63" s="11"/>
      <c r="Q63" s="3"/>
      <c r="R63" s="11"/>
    </row>
    <row r="64" spans="2:18" s="16" customFormat="1" hidden="1" outlineLevel="1" x14ac:dyDescent="0.35">
      <c r="B64" s="35" t="str">
        <f>CONCATENATE("          ", "4128", " - ", "NON-TAXABLE SALES-ART/TECH")</f>
        <v xml:space="preserve">          4128 - NON-TAXABLE SALES-ART/TECH</v>
      </c>
      <c r="D64" s="11">
        <f>-2829.75*-1</f>
        <v>2829.75</v>
      </c>
      <c r="F64" s="11">
        <f>-942.73*-1</f>
        <v>942.73</v>
      </c>
      <c r="G64" s="3"/>
      <c r="H64" s="11">
        <f>-1352.73*-1</f>
        <v>1352.73</v>
      </c>
      <c r="I64" s="3"/>
      <c r="J64" s="11">
        <f>--947.46</f>
        <v>947.46</v>
      </c>
      <c r="K64" s="3"/>
      <c r="L64" s="11">
        <f>--894.51</f>
        <v>894.51</v>
      </c>
      <c r="M64" s="3"/>
      <c r="N64" s="11">
        <f>--731.36</f>
        <v>731.36</v>
      </c>
      <c r="O64" s="3"/>
      <c r="P64" s="11"/>
      <c r="Q64" s="3"/>
      <c r="R64" s="11"/>
    </row>
    <row r="65" spans="2:18" s="16" customFormat="1" hidden="1" outlineLevel="1" x14ac:dyDescent="0.35">
      <c r="B65" s="35" t="str">
        <f>CONCATENATE("          ", "4131", " - ", "NON-TAXABLE SALES-FOOD")</f>
        <v xml:space="preserve">          4131 - NON-TAXABLE SALES-FOOD</v>
      </c>
      <c r="D65" s="11">
        <f>-50207.84*-1</f>
        <v>50207.839999999997</v>
      </c>
      <c r="F65" s="11">
        <f>-63237.13*-1</f>
        <v>63237.13</v>
      </c>
      <c r="G65" s="3"/>
      <c r="H65" s="11">
        <f>-85296.39*-1</f>
        <v>85296.39</v>
      </c>
      <c r="I65" s="3"/>
      <c r="J65" s="11">
        <f>--84180.45</f>
        <v>84180.45</v>
      </c>
      <c r="K65" s="3"/>
      <c r="L65" s="11">
        <f>--74222.68</f>
        <v>74222.679999999993</v>
      </c>
      <c r="M65" s="3"/>
      <c r="N65" s="11">
        <f>--57957.84</f>
        <v>57957.84</v>
      </c>
      <c r="O65" s="3"/>
      <c r="P65" s="11"/>
      <c r="Q65" s="3"/>
      <c r="R65" s="11"/>
    </row>
    <row r="66" spans="2:18" s="16" customFormat="1" hidden="1" outlineLevel="1" x14ac:dyDescent="0.35">
      <c r="B66" s="35" t="str">
        <f>CONCATENATE("          ", "4132", " - ", "NON-TAXABLE SALES-JUICE")</f>
        <v xml:space="preserve">          4132 - NON-TAXABLE SALES-JUICE</v>
      </c>
      <c r="D66" s="11">
        <f>-17244.1*-1</f>
        <v>17244.099999999999</v>
      </c>
      <c r="F66" s="11">
        <f>-20468.27*-1</f>
        <v>20468.27</v>
      </c>
      <c r="G66" s="3"/>
      <c r="H66" s="11">
        <f>-22043.96*-1</f>
        <v>22043.96</v>
      </c>
      <c r="I66" s="3"/>
      <c r="J66" s="11">
        <f>--19560.69</f>
        <v>19560.689999999999</v>
      </c>
      <c r="K66" s="3"/>
      <c r="L66" s="11">
        <f>--18307.55</f>
        <v>18307.55</v>
      </c>
      <c r="M66" s="3"/>
      <c r="N66" s="11">
        <f>--16199.63</f>
        <v>16199.63</v>
      </c>
      <c r="O66" s="3"/>
      <c r="P66" s="11"/>
      <c r="Q66" s="3"/>
      <c r="R66" s="11"/>
    </row>
    <row r="67" spans="2:18" s="16" customFormat="1" hidden="1" outlineLevel="1" x14ac:dyDescent="0.35">
      <c r="B67" s="35" t="str">
        <f>CONCATENATE("          ", "4133", " - ", "NON-TAXABLE SALES-CANDY")</f>
        <v xml:space="preserve">          4133 - NON-TAXABLE SALES-CANDY</v>
      </c>
      <c r="D67" s="11">
        <f>-32529.65*-1</f>
        <v>32529.65</v>
      </c>
      <c r="F67" s="11">
        <f>-35804.71*-1</f>
        <v>35804.71</v>
      </c>
      <c r="G67" s="3"/>
      <c r="H67" s="11">
        <f>-26566.22*-1</f>
        <v>26566.22</v>
      </c>
      <c r="I67" s="3"/>
      <c r="J67" s="11">
        <f>--23853.15</f>
        <v>23853.15</v>
      </c>
      <c r="K67" s="3"/>
      <c r="L67" s="11">
        <f>--23768.73</f>
        <v>23768.73</v>
      </c>
      <c r="M67" s="3"/>
      <c r="N67" s="11">
        <f>--18150.2</f>
        <v>18150.2</v>
      </c>
      <c r="O67" s="3"/>
      <c r="P67" s="11"/>
      <c r="Q67" s="3"/>
      <c r="R67" s="11"/>
    </row>
    <row r="68" spans="2:18" s="16" customFormat="1" hidden="1" outlineLevel="1" x14ac:dyDescent="0.35">
      <c r="B68" s="35" t="str">
        <f>CONCATENATE("          ", "4134", " - ", "NON-TAXABLE SALES-SODA")</f>
        <v xml:space="preserve">          4134 - NON-TAXABLE SALES-SODA</v>
      </c>
      <c r="D68" s="11">
        <f>-786.93*-1</f>
        <v>786.93</v>
      </c>
      <c r="F68" s="11">
        <f>-2404.6*-1</f>
        <v>2404.6</v>
      </c>
      <c r="G68" s="3"/>
      <c r="H68" s="11">
        <f>-382.67*-1</f>
        <v>382.67</v>
      </c>
      <c r="I68" s="3"/>
      <c r="J68" s="11">
        <f>--770.15</f>
        <v>770.15</v>
      </c>
      <c r="K68" s="3"/>
      <c r="L68" s="11">
        <f>--111.36</f>
        <v>111.36</v>
      </c>
      <c r="M68" s="3"/>
      <c r="N68" s="11">
        <f>--1.89</f>
        <v>1.89</v>
      </c>
      <c r="O68" s="3"/>
      <c r="P68" s="11"/>
      <c r="Q68" s="3"/>
      <c r="R68" s="11"/>
    </row>
    <row r="69" spans="2:18" s="16" customFormat="1" hidden="1" outlineLevel="1" x14ac:dyDescent="0.35">
      <c r="B69" s="35" t="str">
        <f>CONCATENATE("          ", "4135", " - ", "NON-TAXABLE SALES")</f>
        <v xml:space="preserve">          4135 - NON-TAXABLE SALES</v>
      </c>
      <c r="D69" s="11">
        <f>0*-1</f>
        <v>0</v>
      </c>
      <c r="F69" s="11">
        <f>0*-1</f>
        <v>0</v>
      </c>
      <c r="G69" s="3"/>
      <c r="H69" s="11">
        <f>-429.05*-1</f>
        <v>429.05</v>
      </c>
      <c r="I69" s="3"/>
      <c r="J69" s="11">
        <f>--469.36</f>
        <v>469.36</v>
      </c>
      <c r="K69" s="3"/>
      <c r="L69" s="11">
        <f>--383.81</f>
        <v>383.81</v>
      </c>
      <c r="M69" s="3"/>
      <c r="N69" s="11">
        <f>--161.4</f>
        <v>161.4</v>
      </c>
      <c r="O69" s="3"/>
      <c r="P69" s="11"/>
      <c r="Q69" s="3"/>
      <c r="R69" s="11"/>
    </row>
    <row r="70" spans="2:18" s="16" customFormat="1" hidden="1" outlineLevel="1" x14ac:dyDescent="0.35">
      <c r="B70" s="35" t="str">
        <f>CONCATENATE("          ", "4137", " - ", "NON-TAXABLE SALES-WATER")</f>
        <v xml:space="preserve">          4137 - NON-TAXABLE SALES-WATER</v>
      </c>
      <c r="D70" s="11">
        <f>-13255.47*-1</f>
        <v>13255.47</v>
      </c>
      <c r="F70" s="11">
        <f>-13633.74*-1</f>
        <v>13633.74</v>
      </c>
      <c r="G70" s="3"/>
      <c r="H70" s="11">
        <f>-11981.03*-1</f>
        <v>11981.03</v>
      </c>
      <c r="I70" s="3"/>
      <c r="J70" s="11">
        <f>--10548.1</f>
        <v>10548.1</v>
      </c>
      <c r="K70" s="3"/>
      <c r="L70" s="11">
        <f>--10182.76</f>
        <v>10182.76</v>
      </c>
      <c r="M70" s="3"/>
      <c r="N70" s="11">
        <f>--8519.06</f>
        <v>8519.06</v>
      </c>
      <c r="O70" s="3"/>
      <c r="P70" s="11"/>
      <c r="Q70" s="3"/>
      <c r="R70" s="11"/>
    </row>
    <row r="71" spans="2:18" s="16" customFormat="1" hidden="1" outlineLevel="1" x14ac:dyDescent="0.35">
      <c r="B71" s="35" t="str">
        <f>CONCATENATE("          ", "4140", " - ", "NON-TAXABLE SALES-LOGO CLOTHIN")</f>
        <v xml:space="preserve">          4140 - NON-TAXABLE SALES-LOGO CLOTHIN</v>
      </c>
      <c r="D71" s="11">
        <f>-66659.64*-1</f>
        <v>66659.64</v>
      </c>
      <c r="F71" s="11">
        <f>-54768.83*-1</f>
        <v>54768.83</v>
      </c>
      <c r="G71" s="3"/>
      <c r="H71" s="11">
        <f>-69204.87*-1</f>
        <v>69204.87</v>
      </c>
      <c r="I71" s="3"/>
      <c r="J71" s="11">
        <f>--67516.34</f>
        <v>67516.34</v>
      </c>
      <c r="K71" s="3"/>
      <c r="L71" s="11">
        <f>--62811.11</f>
        <v>62811.11</v>
      </c>
      <c r="M71" s="3"/>
      <c r="N71" s="11">
        <f>--176221.13</f>
        <v>176221.13</v>
      </c>
      <c r="O71" s="3"/>
      <c r="P71" s="11"/>
      <c r="Q71" s="3"/>
      <c r="R71" s="11"/>
    </row>
    <row r="72" spans="2:18" s="16" customFormat="1" hidden="1" outlineLevel="1" x14ac:dyDescent="0.35">
      <c r="B72" s="35" t="str">
        <f>CONCATENATE("          ", "4141", " - ", "NON-TAXABLE SALES-LOGO GIFTS")</f>
        <v xml:space="preserve">          4141 - NON-TAXABLE SALES-LOGO GIFTS</v>
      </c>
      <c r="D72" s="11">
        <f>-10801.42*-1</f>
        <v>10801.42</v>
      </c>
      <c r="F72" s="11">
        <f>-8388.38*-1</f>
        <v>8388.3799999999992</v>
      </c>
      <c r="G72" s="3"/>
      <c r="H72" s="11">
        <f>-7282.43*-1</f>
        <v>7282.43</v>
      </c>
      <c r="I72" s="3"/>
      <c r="J72" s="11">
        <f>--6513.46</f>
        <v>6513.46</v>
      </c>
      <c r="K72" s="3"/>
      <c r="L72" s="11">
        <f>--6856.03</f>
        <v>6856.03</v>
      </c>
      <c r="M72" s="3"/>
      <c r="N72" s="11">
        <f>--23601.45</f>
        <v>23601.45</v>
      </c>
      <c r="O72" s="3"/>
      <c r="P72" s="11"/>
      <c r="Q72" s="3"/>
      <c r="R72" s="11"/>
    </row>
    <row r="73" spans="2:18" s="16" customFormat="1" hidden="1" outlineLevel="1" x14ac:dyDescent="0.35">
      <c r="B73" s="35" t="str">
        <f>CONCATENATE("          ", "4142", " - ", "NON-TAXABLE SALES-EVERYDAY GIF")</f>
        <v xml:space="preserve">          4142 - NON-TAXABLE SALES-EVERYDAY GIF</v>
      </c>
      <c r="D73" s="11">
        <f>-8395.9*-1</f>
        <v>8395.9</v>
      </c>
      <c r="F73" s="11">
        <f>-11594.47*-1</f>
        <v>11594.47</v>
      </c>
      <c r="G73" s="3"/>
      <c r="H73" s="11">
        <f>-24990.14*-1</f>
        <v>24990.14</v>
      </c>
      <c r="I73" s="3"/>
      <c r="J73" s="11">
        <f>--19557.21</f>
        <v>19557.21</v>
      </c>
      <c r="K73" s="3"/>
      <c r="L73" s="11">
        <f>--21317.71</f>
        <v>21317.71</v>
      </c>
      <c r="M73" s="3"/>
      <c r="N73" s="11">
        <f>--19400.17</f>
        <v>19400.169999999998</v>
      </c>
      <c r="O73" s="3"/>
      <c r="P73" s="11"/>
      <c r="Q73" s="3"/>
      <c r="R73" s="11"/>
    </row>
    <row r="74" spans="2:18" s="16" customFormat="1" hidden="1" outlineLevel="1" x14ac:dyDescent="0.35">
      <c r="B74" s="35" t="str">
        <f>CONCATENATE("          ", "4143", " - ", "NON-TAXABLE SALES-CARDS")</f>
        <v xml:space="preserve">          4143 - NON-TAXABLE SALES-CARDS</v>
      </c>
      <c r="D74" s="11">
        <f>-1.5*-1</f>
        <v>1.5</v>
      </c>
      <c r="F74" s="11">
        <f>-7.95*-1</f>
        <v>7.95</v>
      </c>
      <c r="G74" s="3"/>
      <c r="H74" s="11">
        <f>0*-1</f>
        <v>0</v>
      </c>
      <c r="I74" s="3"/>
      <c r="J74" s="11">
        <f>0</f>
        <v>0</v>
      </c>
      <c r="K74" s="3"/>
      <c r="L74" s="11">
        <f>0</f>
        <v>0</v>
      </c>
      <c r="M74" s="3"/>
      <c r="N74" s="11">
        <f>--19.98</f>
        <v>19.98</v>
      </c>
      <c r="O74" s="3"/>
      <c r="P74" s="11"/>
      <c r="Q74" s="3"/>
      <c r="R74" s="11"/>
    </row>
    <row r="75" spans="2:18" s="16" customFormat="1" hidden="1" outlineLevel="1" x14ac:dyDescent="0.35">
      <c r="B75" s="35" t="str">
        <f>CONCATENATE("          ", "4144", " - ", "NON-TAXABLE SALES-ACCESSORIES")</f>
        <v xml:space="preserve">          4144 - NON-TAXABLE SALES-ACCESSORIES</v>
      </c>
      <c r="D75" s="11">
        <f>-1524.08*-1</f>
        <v>1524.08</v>
      </c>
      <c r="F75" s="11">
        <f>-1919.05*-1</f>
        <v>1919.05</v>
      </c>
      <c r="G75" s="3"/>
      <c r="H75" s="11">
        <f>-7162.32*-1</f>
        <v>7162.32</v>
      </c>
      <c r="I75" s="3"/>
      <c r="J75" s="11">
        <f>--1934.37</f>
        <v>1934.37</v>
      </c>
      <c r="K75" s="3"/>
      <c r="L75" s="11">
        <f>--659.84</f>
        <v>659.84</v>
      </c>
      <c r="M75" s="3"/>
      <c r="N75" s="11">
        <f>--3710.92</f>
        <v>3710.92</v>
      </c>
      <c r="O75" s="3"/>
      <c r="P75" s="11"/>
      <c r="Q75" s="3"/>
      <c r="R75" s="11"/>
    </row>
    <row r="76" spans="2:18" s="16" customFormat="1" hidden="1" outlineLevel="1" x14ac:dyDescent="0.35">
      <c r="B76" s="35" t="str">
        <f>CONCATENATE("          ", "4145", " - ", "NON-TAXABLE SALES-SPECIAL ORDE")</f>
        <v xml:space="preserve">          4145 - NON-TAXABLE SALES-SPECIAL ORDE</v>
      </c>
      <c r="D76" s="11">
        <f>-2024.48*-1</f>
        <v>2024.48</v>
      </c>
      <c r="F76" s="11">
        <f>270*-1</f>
        <v>-270</v>
      </c>
      <c r="G76" s="3"/>
      <c r="H76" s="11">
        <f>-183*-1</f>
        <v>183</v>
      </c>
      <c r="I76" s="3"/>
      <c r="J76" s="11">
        <f>--5341.94</f>
        <v>5341.94</v>
      </c>
      <c r="K76" s="3"/>
      <c r="L76" s="11">
        <f>--2382.85</f>
        <v>2382.85</v>
      </c>
      <c r="M76" s="3"/>
      <c r="N76" s="11">
        <f>--27208.18</f>
        <v>27208.18</v>
      </c>
      <c r="O76" s="3"/>
      <c r="P76" s="11"/>
      <c r="Q76" s="3"/>
      <c r="R76" s="11"/>
    </row>
    <row r="77" spans="2:18" s="16" customFormat="1" hidden="1" outlineLevel="1" x14ac:dyDescent="0.35">
      <c r="B77" s="35" t="str">
        <f>CONCATENATE("          ", "4146", " - ", "NON-TAXABLE SALES-COIN OP MACH")</f>
        <v xml:space="preserve">          4146 - NON-TAXABLE SALES-COIN OP MACH</v>
      </c>
      <c r="D77" s="11">
        <f>-319810.41*-1</f>
        <v>319810.40999999997</v>
      </c>
      <c r="F77" s="11">
        <f>-367498.96*-1</f>
        <v>367498.96</v>
      </c>
      <c r="G77" s="3"/>
      <c r="H77" s="11">
        <f>-347130.16*-1</f>
        <v>347130.16</v>
      </c>
      <c r="I77" s="3"/>
      <c r="J77" s="11">
        <f>--299409.05</f>
        <v>299409.05</v>
      </c>
      <c r="K77" s="3"/>
      <c r="L77" s="11">
        <f>--288251.29</f>
        <v>288251.28999999998</v>
      </c>
      <c r="M77" s="3"/>
      <c r="N77" s="11">
        <f>--205908.65</f>
        <v>205908.65</v>
      </c>
      <c r="O77" s="3"/>
      <c r="P77" s="11"/>
      <c r="Q77" s="3"/>
      <c r="R77" s="11"/>
    </row>
    <row r="78" spans="2:18" s="16" customFormat="1" hidden="1" outlineLevel="1" x14ac:dyDescent="0.35">
      <c r="B78" s="35" t="str">
        <f>CONCATENATE("          ", "4147", " - ", "NON-TAXABLE SALES-MISC")</f>
        <v xml:space="preserve">          4147 - NON-TAXABLE SALES-MISC</v>
      </c>
      <c r="D78" s="11">
        <f>-19396.27*-1</f>
        <v>19396.27</v>
      </c>
      <c r="F78" s="11">
        <f>-2120.65*-1</f>
        <v>2120.65</v>
      </c>
      <c r="G78" s="3"/>
      <c r="H78" s="11">
        <f>-1465.7*-1</f>
        <v>1465.7</v>
      </c>
      <c r="I78" s="3"/>
      <c r="J78" s="11">
        <f>--885</f>
        <v>885</v>
      </c>
      <c r="K78" s="3"/>
      <c r="L78" s="11">
        <f>--959.73</f>
        <v>959.73</v>
      </c>
      <c r="M78" s="3"/>
      <c r="N78" s="11">
        <f>--3446.37</f>
        <v>3446.37</v>
      </c>
      <c r="O78" s="3"/>
      <c r="P78" s="11"/>
      <c r="Q78" s="3"/>
      <c r="R78" s="11"/>
    </row>
    <row r="79" spans="2:18" s="16" customFormat="1" hidden="1" outlineLevel="1" x14ac:dyDescent="0.35">
      <c r="B79" s="35" t="str">
        <f>CONCATENATE("          ", "4186", " - ", "NON-TAXABLE SALES-COMPUTER SUP")</f>
        <v xml:space="preserve">          4186 - NON-TAXABLE SALES-COMPUTER SUP</v>
      </c>
      <c r="D79" s="11">
        <f>0*-1</f>
        <v>0</v>
      </c>
      <c r="F79" s="11">
        <f>0*-1</f>
        <v>0</v>
      </c>
      <c r="G79" s="3"/>
      <c r="H79" s="11">
        <f>-4.99*-1</f>
        <v>4.99</v>
      </c>
      <c r="I79" s="3"/>
      <c r="J79" s="11">
        <f>-52.98</f>
        <v>-52.98</v>
      </c>
      <c r="K79" s="3"/>
      <c r="L79" s="11">
        <f>-174.68</f>
        <v>-174.68</v>
      </c>
      <c r="M79" s="3"/>
      <c r="N79" s="11">
        <f>-30.97</f>
        <v>-30.97</v>
      </c>
      <c r="O79" s="3"/>
      <c r="P79" s="11"/>
      <c r="Q79" s="3"/>
      <c r="R79" s="11"/>
    </row>
    <row r="80" spans="2:18" s="16" customFormat="1" hidden="1" outlineLevel="1" x14ac:dyDescent="0.35">
      <c r="B80" s="35" t="str">
        <f>CONCATENATE("          ", "4192", " - ", "NON-TAXABLE SALES-GRAD MERCH")</f>
        <v xml:space="preserve">          4192 - NON-TAXABLE SALES-GRAD MERCH</v>
      </c>
      <c r="D80" s="11">
        <f>-1271.01*-1</f>
        <v>1271.01</v>
      </c>
      <c r="F80" s="11">
        <f>-413.78*-1</f>
        <v>413.78</v>
      </c>
      <c r="G80" s="3"/>
      <c r="H80" s="11">
        <f>0*-1</f>
        <v>0</v>
      </c>
      <c r="I80" s="3"/>
      <c r="J80" s="11">
        <f t="shared" ref="J80:J81" si="5">0</f>
        <v>0</v>
      </c>
      <c r="K80" s="3"/>
      <c r="L80" s="11">
        <f>--21.25</f>
        <v>21.25</v>
      </c>
      <c r="M80" s="3"/>
      <c r="N80" s="11">
        <f>--119.4</f>
        <v>119.4</v>
      </c>
      <c r="O80" s="3"/>
      <c r="P80" s="11"/>
      <c r="Q80" s="3"/>
      <c r="R80" s="11"/>
    </row>
    <row r="81" spans="2:18" s="16" customFormat="1" hidden="1" outlineLevel="1" x14ac:dyDescent="0.35">
      <c r="B81" s="35" t="str">
        <f>CONCATENATE("          ", "4195", " - ", "NON-TAXABLE SALES-CUSTOMER SER")</f>
        <v xml:space="preserve">          4195 - NON-TAXABLE SALES-CUSTOMER SER</v>
      </c>
      <c r="D81" s="11">
        <f>-10.94*-1</f>
        <v>10.94</v>
      </c>
      <c r="F81" s="11">
        <f>0*-1</f>
        <v>0</v>
      </c>
      <c r="G81" s="3"/>
      <c r="H81" s="11">
        <f>-1.98*-1</f>
        <v>1.98</v>
      </c>
      <c r="I81" s="3"/>
      <c r="J81" s="11">
        <f t="shared" si="5"/>
        <v>0</v>
      </c>
      <c r="K81" s="3"/>
      <c r="L81" s="11">
        <f>0</f>
        <v>0</v>
      </c>
      <c r="M81" s="3"/>
      <c r="N81" s="11">
        <f>0</f>
        <v>0</v>
      </c>
      <c r="O81" s="3"/>
      <c r="P81" s="11"/>
      <c r="Q81" s="3"/>
      <c r="R81" s="11"/>
    </row>
    <row r="82" spans="2:18" s="16" customFormat="1" hidden="1" outlineLevel="1" x14ac:dyDescent="0.35">
      <c r="B82" s="35" t="str">
        <f>CONCATENATE("          ", "4201", " - ", "SALES RETURN TAXABLE-NEW TEXT")</f>
        <v xml:space="preserve">          4201 - SALES RETURN TAXABLE-NEW TEXT</v>
      </c>
      <c r="D82" s="11">
        <f>365569.91*-1</f>
        <v>-365569.91</v>
      </c>
      <c r="F82" s="11">
        <f>331351.34*-1</f>
        <v>-331351.34000000003</v>
      </c>
      <c r="G82" s="3"/>
      <c r="H82" s="11">
        <f>338311.16*-1</f>
        <v>-338311.16</v>
      </c>
      <c r="I82" s="3"/>
      <c r="J82" s="11">
        <f>-274197.84</f>
        <v>-274197.84000000003</v>
      </c>
      <c r="K82" s="3"/>
      <c r="L82" s="11">
        <f>-180616.86</f>
        <v>-180616.86</v>
      </c>
      <c r="M82" s="3"/>
      <c r="N82" s="11">
        <f>-121451.61</f>
        <v>-121451.61</v>
      </c>
      <c r="O82" s="3"/>
      <c r="P82" s="11"/>
      <c r="Q82" s="3"/>
      <c r="R82" s="11"/>
    </row>
    <row r="83" spans="2:18" s="16" customFormat="1" hidden="1" outlineLevel="1" x14ac:dyDescent="0.35">
      <c r="B83" s="35" t="str">
        <f>CONCATENATE("          ", "4202", " - ", "SALES RETURN TAXABLE-USED TEXT")</f>
        <v xml:space="preserve">          4202 - SALES RETURN TAXABLE-USED TEXT</v>
      </c>
      <c r="D83" s="11">
        <f>119446.59*-1</f>
        <v>-119446.59</v>
      </c>
      <c r="F83" s="11">
        <f>111075.8*-1</f>
        <v>-111075.8</v>
      </c>
      <c r="G83" s="3"/>
      <c r="H83" s="11">
        <f>93513.58*-1</f>
        <v>-93513.58</v>
      </c>
      <c r="I83" s="3"/>
      <c r="J83" s="11">
        <f>-66220.07</f>
        <v>-66220.070000000007</v>
      </c>
      <c r="K83" s="3"/>
      <c r="L83" s="11">
        <f>-47688.8</f>
        <v>-47688.800000000003</v>
      </c>
      <c r="M83" s="3"/>
      <c r="N83" s="11">
        <f>-45799.46</f>
        <v>-45799.46</v>
      </c>
      <c r="O83" s="3"/>
      <c r="P83" s="11"/>
      <c r="Q83" s="3"/>
      <c r="R83" s="11"/>
    </row>
    <row r="84" spans="2:18" s="16" customFormat="1" hidden="1" outlineLevel="1" x14ac:dyDescent="0.35">
      <c r="B84" s="35" t="str">
        <f>CONCATENATE("          ", "4203", " - ", "SALES RETURN TAXABLE-RENTAL TE")</f>
        <v xml:space="preserve">          4203 - SALES RETURN TAXABLE-RENTAL TE</v>
      </c>
      <c r="D84" s="11">
        <f>0*-1</f>
        <v>0</v>
      </c>
      <c r="F84" s="11">
        <f>0*-1</f>
        <v>0</v>
      </c>
      <c r="G84" s="3"/>
      <c r="H84" s="11">
        <f>0*-1</f>
        <v>0</v>
      </c>
      <c r="I84" s="3"/>
      <c r="J84" s="11">
        <f>-457.7</f>
        <v>-457.7</v>
      </c>
      <c r="K84" s="3"/>
      <c r="L84" s="11">
        <f>-1699.5</f>
        <v>-1699.5</v>
      </c>
      <c r="M84" s="3"/>
      <c r="N84" s="11">
        <f>-144.99</f>
        <v>-144.99</v>
      </c>
      <c r="O84" s="3"/>
      <c r="P84" s="11"/>
      <c r="Q84" s="3"/>
      <c r="R84" s="11"/>
    </row>
    <row r="85" spans="2:18" s="16" customFormat="1" hidden="1" outlineLevel="1" x14ac:dyDescent="0.35">
      <c r="B85" s="35" t="str">
        <f>CONCATENATE("          ", "4204", " - ", "SALES RETURN TAXABLE-DIGITAL T")</f>
        <v xml:space="preserve">          4204 - SALES RETURN TAXABLE-DIGITAL T</v>
      </c>
      <c r="D85" s="11">
        <f>10124.95*-1</f>
        <v>-10124.950000000001</v>
      </c>
      <c r="F85" s="11">
        <f>20461.65*-1</f>
        <v>-20461.650000000001</v>
      </c>
      <c r="G85" s="3"/>
      <c r="H85" s="11">
        <f>30518.8*-1</f>
        <v>-30518.799999999999</v>
      </c>
      <c r="I85" s="3"/>
      <c r="J85" s="11">
        <f>-202.45</f>
        <v>-202.45</v>
      </c>
      <c r="K85" s="3"/>
      <c r="L85" s="11">
        <f>-27147</f>
        <v>-27147</v>
      </c>
      <c r="M85" s="3"/>
      <c r="N85" s="11">
        <f>-17255.33</f>
        <v>-17255.330000000002</v>
      </c>
      <c r="O85" s="3"/>
      <c r="P85" s="11"/>
      <c r="Q85" s="3"/>
      <c r="R85" s="11"/>
    </row>
    <row r="86" spans="2:18" s="16" customFormat="1" hidden="1" outlineLevel="1" x14ac:dyDescent="0.35">
      <c r="B86" s="35" t="str">
        <f>CONCATENATE("          ", "4211", " - ", "SALES RETURN TAXABLE-NO VALUE")</f>
        <v xml:space="preserve">          4211 - SALES RETURN TAXABLE-NO VALUE</v>
      </c>
      <c r="D86" s="11">
        <f t="shared" ref="D86:D87" si="6">0*-1</f>
        <v>0</v>
      </c>
      <c r="F86" s="11">
        <f>0*-1</f>
        <v>0</v>
      </c>
      <c r="G86" s="3"/>
      <c r="H86" s="11">
        <f>0*-1</f>
        <v>0</v>
      </c>
      <c r="I86" s="3"/>
      <c r="J86" s="11">
        <f>-90.83</f>
        <v>-90.83</v>
      </c>
      <c r="K86" s="3"/>
      <c r="L86" s="11">
        <f t="shared" ref="L86:L87" si="7">0</f>
        <v>0</v>
      </c>
      <c r="M86" s="3"/>
      <c r="N86" s="11">
        <f t="shared" ref="N86:N87" si="8">0</f>
        <v>0</v>
      </c>
      <c r="O86" s="3"/>
      <c r="P86" s="11"/>
      <c r="Q86" s="3"/>
      <c r="R86" s="11"/>
    </row>
    <row r="87" spans="2:18" s="16" customFormat="1" hidden="1" outlineLevel="1" x14ac:dyDescent="0.35">
      <c r="B87" s="35" t="str">
        <f>CONCATENATE("          ", "4212", " - ", "SALES RETURN TAXABLE-MAGAZINES")</f>
        <v xml:space="preserve">          4212 - SALES RETURN TAXABLE-MAGAZINES</v>
      </c>
      <c r="D87" s="11">
        <f t="shared" si="6"/>
        <v>0</v>
      </c>
      <c r="F87" s="11">
        <f>26.85*-1</f>
        <v>-26.85</v>
      </c>
      <c r="G87" s="3"/>
      <c r="H87" s="11">
        <f>17.9*-1</f>
        <v>-17.899999999999999</v>
      </c>
      <c r="I87" s="3"/>
      <c r="J87" s="11">
        <f>0</f>
        <v>0</v>
      </c>
      <c r="K87" s="3"/>
      <c r="L87" s="11">
        <f t="shared" si="7"/>
        <v>0</v>
      </c>
      <c r="M87" s="3"/>
      <c r="N87" s="11">
        <f t="shared" si="8"/>
        <v>0</v>
      </c>
      <c r="O87" s="3"/>
      <c r="P87" s="11"/>
      <c r="Q87" s="3"/>
      <c r="R87" s="11"/>
    </row>
    <row r="88" spans="2:18" s="16" customFormat="1" hidden="1" outlineLevel="1" x14ac:dyDescent="0.35">
      <c r="B88" s="35" t="str">
        <f>CONCATENATE("          ", "4213", " - ", "NON-TAXABLE SALES-TRADE BOOKS")</f>
        <v xml:space="preserve">          4213 - NON-TAXABLE SALES-TRADE BOOKS</v>
      </c>
      <c r="D88" s="11">
        <f>881.78*-1</f>
        <v>-881.78</v>
      </c>
      <c r="F88" s="11">
        <f>1135.32*-1</f>
        <v>-1135.32</v>
      </c>
      <c r="G88" s="3"/>
      <c r="H88" s="11">
        <f>1397.88*-1</f>
        <v>-1397.88</v>
      </c>
      <c r="I88" s="3"/>
      <c r="J88" s="11">
        <f>-283.02</f>
        <v>-283.02</v>
      </c>
      <c r="K88" s="3"/>
      <c r="L88" s="11">
        <f>-1554.3</f>
        <v>-1554.3</v>
      </c>
      <c r="M88" s="3"/>
      <c r="N88" s="11">
        <f>-2869.37</f>
        <v>-2869.37</v>
      </c>
      <c r="O88" s="3"/>
      <c r="P88" s="11"/>
      <c r="Q88" s="3"/>
      <c r="R88" s="11"/>
    </row>
    <row r="89" spans="2:18" s="16" customFormat="1" hidden="1" outlineLevel="1" x14ac:dyDescent="0.35">
      <c r="B89" s="35" t="str">
        <f>CONCATENATE("          ", "4214", " - ", "SALES RETURN TAXABLE-REMAINDER")</f>
        <v xml:space="preserve">          4214 - SALES RETURN TAXABLE-REMAINDER</v>
      </c>
      <c r="D89" s="11">
        <f>0*-1</f>
        <v>0</v>
      </c>
      <c r="F89" s="11">
        <f>9.73*-1</f>
        <v>-9.73</v>
      </c>
      <c r="G89" s="3"/>
      <c r="H89" s="11">
        <f t="shared" ref="H89:H91" si="9">0*-1</f>
        <v>0</v>
      </c>
      <c r="I89" s="3"/>
      <c r="J89" s="11">
        <f t="shared" ref="J89:J90" si="10">0</f>
        <v>0</v>
      </c>
      <c r="K89" s="3"/>
      <c r="L89" s="11">
        <f>-19.84</f>
        <v>-19.84</v>
      </c>
      <c r="M89" s="3"/>
      <c r="N89" s="11">
        <f>-11.94</f>
        <v>-11.94</v>
      </c>
      <c r="O89" s="3"/>
      <c r="P89" s="11"/>
      <c r="Q89" s="3"/>
      <c r="R89" s="11"/>
    </row>
    <row r="90" spans="2:18" s="16" customFormat="1" hidden="1" outlineLevel="1" x14ac:dyDescent="0.35">
      <c r="B90" s="35" t="str">
        <f>CONCATENATE("          ", "4215", " - ", "SALES RETURN TAXABLE-CALENDARS")</f>
        <v xml:space="preserve">          4215 - SALES RETURN TAXABLE-CALENDARS</v>
      </c>
      <c r="D90" s="11">
        <f>23.98*-1</f>
        <v>-23.98</v>
      </c>
      <c r="F90" s="11">
        <f>21.86*-1</f>
        <v>-21.86</v>
      </c>
      <c r="G90" s="3"/>
      <c r="H90" s="11">
        <f t="shared" si="9"/>
        <v>0</v>
      </c>
      <c r="I90" s="3"/>
      <c r="J90" s="11">
        <f t="shared" si="10"/>
        <v>0</v>
      </c>
      <c r="K90" s="3"/>
      <c r="L90" s="11">
        <f>0</f>
        <v>0</v>
      </c>
      <c r="M90" s="3"/>
      <c r="N90" s="11">
        <f>0</f>
        <v>0</v>
      </c>
      <c r="O90" s="3"/>
      <c r="P90" s="11"/>
      <c r="Q90" s="3"/>
      <c r="R90" s="11"/>
    </row>
    <row r="91" spans="2:18" s="16" customFormat="1" hidden="1" outlineLevel="1" x14ac:dyDescent="0.35">
      <c r="B91" s="35" t="str">
        <f>CONCATENATE("          ", "4217", " - ", "NON-TAXABLE SALES-DORM/HOUSEWA")</f>
        <v xml:space="preserve">          4217 - NON-TAXABLE SALES-DORM/HOUSEWA</v>
      </c>
      <c r="D91" s="11">
        <f>45.97*-1</f>
        <v>-45.97</v>
      </c>
      <c r="F91" s="11">
        <f>10.87*-1</f>
        <v>-10.87</v>
      </c>
      <c r="G91" s="3"/>
      <c r="H91" s="11">
        <f t="shared" si="9"/>
        <v>0</v>
      </c>
      <c r="I91" s="3"/>
      <c r="J91" s="11">
        <f>-5.96</f>
        <v>-5.96</v>
      </c>
      <c r="K91" s="3"/>
      <c r="L91" s="11">
        <f>-2.99</f>
        <v>-2.99</v>
      </c>
      <c r="M91" s="3"/>
      <c r="N91" s="11">
        <f>-2.98</f>
        <v>-2.98</v>
      </c>
      <c r="O91" s="3"/>
      <c r="P91" s="11"/>
      <c r="Q91" s="3"/>
      <c r="R91" s="11"/>
    </row>
    <row r="92" spans="2:18" s="16" customFormat="1" hidden="1" outlineLevel="1" x14ac:dyDescent="0.35">
      <c r="B92" s="35" t="str">
        <f>CONCATENATE("          ", "4218", " - ", "SALES RETURN TAXABLE-STUDY GUI")</f>
        <v xml:space="preserve">          4218 - SALES RETURN TAXABLE-STUDY GUI</v>
      </c>
      <c r="D92" s="11">
        <f>503.09*-1</f>
        <v>-503.09</v>
      </c>
      <c r="F92" s="11">
        <f>273.78*-1</f>
        <v>-273.77999999999997</v>
      </c>
      <c r="G92" s="3"/>
      <c r="H92" s="11">
        <f>349.67*-1</f>
        <v>-349.67</v>
      </c>
      <c r="I92" s="3"/>
      <c r="J92" s="11">
        <f>-234.52</f>
        <v>-234.52</v>
      </c>
      <c r="K92" s="3"/>
      <c r="L92" s="11">
        <f>-67.6</f>
        <v>-67.599999999999994</v>
      </c>
      <c r="M92" s="3"/>
      <c r="N92" s="11">
        <f>-39.25</f>
        <v>-39.25</v>
      </c>
      <c r="O92" s="3"/>
      <c r="P92" s="11"/>
      <c r="Q92" s="3"/>
      <c r="R92" s="11"/>
    </row>
    <row r="93" spans="2:18" s="16" customFormat="1" hidden="1" outlineLevel="1" x14ac:dyDescent="0.35">
      <c r="B93" s="35" t="str">
        <f>CONCATENATE("          ", "4219", " - ", "SALES RETURN TAXABLE-BOOK RELA")</f>
        <v xml:space="preserve">          4219 - SALES RETURN TAXABLE-BOOK RELA</v>
      </c>
      <c r="D93" s="11">
        <f>106.68*-1</f>
        <v>-106.68</v>
      </c>
      <c r="F93" s="11">
        <f>236.39*-1</f>
        <v>-236.39</v>
      </c>
      <c r="G93" s="3"/>
      <c r="H93" s="11">
        <f>126.81*-1</f>
        <v>-126.81</v>
      </c>
      <c r="I93" s="3"/>
      <c r="J93" s="11">
        <f>-42.59</f>
        <v>-42.59</v>
      </c>
      <c r="K93" s="3"/>
      <c r="L93" s="11">
        <f>0</f>
        <v>0</v>
      </c>
      <c r="M93" s="3"/>
      <c r="N93" s="11">
        <f>0</f>
        <v>0</v>
      </c>
      <c r="O93" s="3"/>
      <c r="P93" s="11"/>
      <c r="Q93" s="3"/>
      <c r="R93" s="11"/>
    </row>
    <row r="94" spans="2:18" s="16" customFormat="1" hidden="1" outlineLevel="1" x14ac:dyDescent="0.35">
      <c r="B94" s="35" t="str">
        <f>CONCATENATE("          ", "4225", " - ", "SALES RETURN TAXABLE-TEST FORM")</f>
        <v xml:space="preserve">          4225 - SALES RETURN TAXABLE-TEST FORM</v>
      </c>
      <c r="D94" s="11">
        <f>4449.52*-1</f>
        <v>-4449.5200000000004</v>
      </c>
      <c r="F94" s="11">
        <f>375.44*-1</f>
        <v>-375.44</v>
      </c>
      <c r="G94" s="3"/>
      <c r="H94" s="11">
        <f>249.91*-1</f>
        <v>-249.91</v>
      </c>
      <c r="I94" s="3"/>
      <c r="J94" s="11">
        <f>-667.94</f>
        <v>-667.94</v>
      </c>
      <c r="K94" s="3"/>
      <c r="L94" s="11">
        <f>-191.21</f>
        <v>-191.21</v>
      </c>
      <c r="M94" s="3"/>
      <c r="N94" s="11">
        <f>-205.91</f>
        <v>-205.91</v>
      </c>
      <c r="O94" s="3"/>
      <c r="P94" s="11"/>
      <c r="Q94" s="3"/>
      <c r="R94" s="11"/>
    </row>
    <row r="95" spans="2:18" s="16" customFormat="1" hidden="1" outlineLevel="1" x14ac:dyDescent="0.35">
      <c r="B95" s="35" t="str">
        <f>CONCATENATE("          ", "4226", " - ", "SALES RETURN TAXABLE-WRITING I")</f>
        <v xml:space="preserve">          4226 - SALES RETURN TAXABLE-WRITING I</v>
      </c>
      <c r="D95" s="11">
        <f>446.88*-1</f>
        <v>-446.88</v>
      </c>
      <c r="F95" s="11">
        <f>912.62*-1</f>
        <v>-912.62</v>
      </c>
      <c r="G95" s="3"/>
      <c r="H95" s="11">
        <f>1358.13*-1</f>
        <v>-1358.13</v>
      </c>
      <c r="I95" s="3"/>
      <c r="J95" s="11">
        <f>-540.77</f>
        <v>-540.77</v>
      </c>
      <c r="K95" s="3"/>
      <c r="L95" s="11">
        <f>-766.52</f>
        <v>-766.52</v>
      </c>
      <c r="M95" s="3"/>
      <c r="N95" s="11">
        <f>-924.44</f>
        <v>-924.44</v>
      </c>
      <c r="O95" s="3"/>
      <c r="P95" s="11"/>
      <c r="Q95" s="3"/>
      <c r="R95" s="11"/>
    </row>
    <row r="96" spans="2:18" s="16" customFormat="1" hidden="1" outlineLevel="1" x14ac:dyDescent="0.35">
      <c r="B96" s="35" t="str">
        <f>CONCATENATE("          ", "4227", " - ", "SALES RETURN TAXABLE-SCHOOL SU")</f>
        <v xml:space="preserve">          4227 - SALES RETURN TAXABLE-SCHOOL SU</v>
      </c>
      <c r="D96" s="11">
        <f>11137.35*-1</f>
        <v>-11137.35</v>
      </c>
      <c r="F96" s="11">
        <f>8179.42*-1</f>
        <v>-8179.42</v>
      </c>
      <c r="G96" s="3"/>
      <c r="H96" s="11">
        <f>11174.72*-1</f>
        <v>-11174.72</v>
      </c>
      <c r="I96" s="3"/>
      <c r="J96" s="11">
        <f>-5104.74</f>
        <v>-5104.74</v>
      </c>
      <c r="K96" s="3"/>
      <c r="L96" s="11">
        <f>-6986.53</f>
        <v>-6986.53</v>
      </c>
      <c r="M96" s="3"/>
      <c r="N96" s="11">
        <f>-8728.9</f>
        <v>-8728.9</v>
      </c>
      <c r="O96" s="3"/>
      <c r="P96" s="11"/>
      <c r="Q96" s="3"/>
      <c r="R96" s="11"/>
    </row>
    <row r="97" spans="2:18" s="16" customFormat="1" hidden="1" outlineLevel="1" x14ac:dyDescent="0.35">
      <c r="B97" s="35" t="str">
        <f>CONCATENATE("          ", "4228", " - ", "SALES RETURN TAXABLE-ART/TECH")</f>
        <v xml:space="preserve">          4228 - SALES RETURN TAXABLE-ART/TECH</v>
      </c>
      <c r="D97" s="11">
        <f>7205.97*-1</f>
        <v>-7205.97</v>
      </c>
      <c r="F97" s="11">
        <f>9466.39*-1</f>
        <v>-9466.39</v>
      </c>
      <c r="G97" s="3"/>
      <c r="H97" s="11">
        <f>9563.97*-1</f>
        <v>-9563.9699999999993</v>
      </c>
      <c r="I97" s="3"/>
      <c r="J97" s="11">
        <f>-7513.66</f>
        <v>-7513.66</v>
      </c>
      <c r="K97" s="3"/>
      <c r="L97" s="11">
        <f>-8342.73</f>
        <v>-8342.73</v>
      </c>
      <c r="M97" s="3"/>
      <c r="N97" s="11">
        <f>-4739.1</f>
        <v>-4739.1000000000004</v>
      </c>
      <c r="O97" s="3"/>
      <c r="P97" s="11"/>
      <c r="Q97" s="3"/>
      <c r="R97" s="11"/>
    </row>
    <row r="98" spans="2:18" s="16" customFormat="1" hidden="1" outlineLevel="1" x14ac:dyDescent="0.35">
      <c r="B98" s="35" t="str">
        <f>CONCATENATE("          ", "4233", " - ", "SALES RETURN TAXABLE-CANDY")</f>
        <v xml:space="preserve">          4233 - SALES RETURN TAXABLE-CANDY</v>
      </c>
      <c r="D98" s="11">
        <f>4.97*-1</f>
        <v>-4.97</v>
      </c>
      <c r="F98" s="11">
        <f>71.15*-1</f>
        <v>-71.150000000000006</v>
      </c>
      <c r="G98" s="3"/>
      <c r="H98" s="11">
        <f>56.39*-1</f>
        <v>-56.39</v>
      </c>
      <c r="I98" s="3"/>
      <c r="J98" s="11">
        <f>-2.91</f>
        <v>-2.91</v>
      </c>
      <c r="K98" s="3"/>
      <c r="L98" s="11">
        <f>-143.5</f>
        <v>-143.5</v>
      </c>
      <c r="M98" s="3"/>
      <c r="N98" s="11">
        <f>-8.25</f>
        <v>-8.25</v>
      </c>
      <c r="O98" s="3"/>
      <c r="P98" s="11"/>
      <c r="Q98" s="3"/>
      <c r="R98" s="11"/>
    </row>
    <row r="99" spans="2:18" s="16" customFormat="1" hidden="1" outlineLevel="1" x14ac:dyDescent="0.35">
      <c r="B99" s="35" t="str">
        <f>CONCATENATE("          ", "4234", " - ", "SALES RETURN TAXABLE-SODA")</f>
        <v xml:space="preserve">          4234 - SALES RETURN TAXABLE-SODA</v>
      </c>
      <c r="D99" s="11">
        <f>5.25*-1</f>
        <v>-5.25</v>
      </c>
      <c r="F99" s="11">
        <f>12.53*-1</f>
        <v>-12.53</v>
      </c>
      <c r="G99" s="3"/>
      <c r="H99" s="11">
        <f>21*-1</f>
        <v>-21</v>
      </c>
      <c r="I99" s="3"/>
      <c r="J99" s="11">
        <f>0</f>
        <v>0</v>
      </c>
      <c r="K99" s="3"/>
      <c r="L99" s="11">
        <f>-368.16</f>
        <v>-368.16</v>
      </c>
      <c r="M99" s="3"/>
      <c r="N99" s="11">
        <f>0</f>
        <v>0</v>
      </c>
      <c r="O99" s="3"/>
      <c r="P99" s="11"/>
      <c r="Q99" s="3"/>
      <c r="R99" s="11"/>
    </row>
    <row r="100" spans="2:18" s="16" customFormat="1" hidden="1" outlineLevel="1" x14ac:dyDescent="0.35">
      <c r="B100" s="35" t="str">
        <f>CONCATENATE("          ", "4240", " - ", "SALES RETURN TAXABLE-LOGO CLOT")</f>
        <v xml:space="preserve">          4240 - SALES RETURN TAXABLE-LOGO CLOT</v>
      </c>
      <c r="D100" s="11">
        <f>96968.18*-1</f>
        <v>-96968.18</v>
      </c>
      <c r="F100" s="11">
        <f>100700.23*-1</f>
        <v>-100700.23</v>
      </c>
      <c r="G100" s="3"/>
      <c r="H100" s="11">
        <f>107081.87*-1</f>
        <v>-107081.87</v>
      </c>
      <c r="I100" s="3"/>
      <c r="J100" s="11">
        <f>-107854.41</f>
        <v>-107854.41</v>
      </c>
      <c r="K100" s="3"/>
      <c r="L100" s="11">
        <f>-98015.21</f>
        <v>-98015.21</v>
      </c>
      <c r="M100" s="3"/>
      <c r="N100" s="11">
        <f>-80387.11</f>
        <v>-80387.11</v>
      </c>
      <c r="O100" s="3"/>
      <c r="P100" s="11"/>
      <c r="Q100" s="3"/>
      <c r="R100" s="11"/>
    </row>
    <row r="101" spans="2:18" s="16" customFormat="1" hidden="1" outlineLevel="1" x14ac:dyDescent="0.35">
      <c r="B101" s="35" t="str">
        <f>CONCATENATE("          ", "4241", " - ", "SALES RETURN TAXABLE-LOGO GIFT")</f>
        <v xml:space="preserve">          4241 - SALES RETURN TAXABLE-LOGO GIFT</v>
      </c>
      <c r="D101" s="11">
        <f>21345.17*-1</f>
        <v>-21345.17</v>
      </c>
      <c r="F101" s="11">
        <f>20857.19*-1</f>
        <v>-20857.189999999999</v>
      </c>
      <c r="G101" s="3"/>
      <c r="H101" s="11">
        <f>62952.05*-1</f>
        <v>-62952.05</v>
      </c>
      <c r="I101" s="3"/>
      <c r="J101" s="11">
        <f>-48717.69</f>
        <v>-48717.69</v>
      </c>
      <c r="K101" s="3"/>
      <c r="L101" s="11">
        <f>-16238.22</f>
        <v>-16238.22</v>
      </c>
      <c r="M101" s="3"/>
      <c r="N101" s="11">
        <f>-7990.78</f>
        <v>-7990.78</v>
      </c>
      <c r="O101" s="3"/>
      <c r="P101" s="11"/>
      <c r="Q101" s="3"/>
      <c r="R101" s="11"/>
    </row>
    <row r="102" spans="2:18" s="16" customFormat="1" hidden="1" outlineLevel="1" x14ac:dyDescent="0.35">
      <c r="B102" s="35" t="str">
        <f>CONCATENATE("          ", "4242", " - ", "SALES RETURN TAXABLE-EVERYDAY")</f>
        <v xml:space="preserve">          4242 - SALES RETURN TAXABLE-EVERYDAY</v>
      </c>
      <c r="D102" s="11">
        <f>4810.4*-1</f>
        <v>-4810.3999999999996</v>
      </c>
      <c r="F102" s="11">
        <f>1835.78*-1</f>
        <v>-1835.78</v>
      </c>
      <c r="G102" s="3"/>
      <c r="H102" s="11">
        <f>1799.31*-1</f>
        <v>-1799.31</v>
      </c>
      <c r="I102" s="3"/>
      <c r="J102" s="11">
        <f>-4419.39</f>
        <v>-4419.3900000000003</v>
      </c>
      <c r="K102" s="3"/>
      <c r="L102" s="11">
        <f>-5238.15</f>
        <v>-5238.1499999999996</v>
      </c>
      <c r="M102" s="3"/>
      <c r="N102" s="11">
        <f>-4232.85</f>
        <v>-4232.8500000000004</v>
      </c>
      <c r="O102" s="3"/>
      <c r="P102" s="11"/>
      <c r="Q102" s="3"/>
      <c r="R102" s="11"/>
    </row>
    <row r="103" spans="2:18" s="16" customFormat="1" hidden="1" outlineLevel="1" x14ac:dyDescent="0.35">
      <c r="B103" s="35" t="str">
        <f>CONCATENATE("          ", "4243", " - ", "SALES RETURN TAXABLE-CARDS")</f>
        <v xml:space="preserve">          4243 - SALES RETURN TAXABLE-CARDS</v>
      </c>
      <c r="D103" s="11">
        <f>234.28*-1</f>
        <v>-234.28</v>
      </c>
      <c r="F103" s="11">
        <f>355.88*-1</f>
        <v>-355.88</v>
      </c>
      <c r="G103" s="3"/>
      <c r="H103" s="11">
        <f>63.25*-1</f>
        <v>-63.25</v>
      </c>
      <c r="I103" s="3"/>
      <c r="J103" s="11">
        <f>-70.29</f>
        <v>-70.290000000000006</v>
      </c>
      <c r="K103" s="3"/>
      <c r="L103" s="11">
        <f>-25.94</f>
        <v>-25.94</v>
      </c>
      <c r="M103" s="3"/>
      <c r="N103" s="11">
        <f>-3026.3</f>
        <v>-3026.3</v>
      </c>
      <c r="O103" s="3"/>
      <c r="P103" s="11"/>
      <c r="Q103" s="3"/>
      <c r="R103" s="11"/>
    </row>
    <row r="104" spans="2:18" s="16" customFormat="1" hidden="1" outlineLevel="1" x14ac:dyDescent="0.35">
      <c r="B104" s="35" t="str">
        <f>CONCATENATE("          ", "4244", " - ", "SALES RETURN TAXABLE-ACCESSORI")</f>
        <v xml:space="preserve">          4244 - SALES RETURN TAXABLE-ACCESSORI</v>
      </c>
      <c r="D104" s="11">
        <f>2618.91*-1</f>
        <v>-2618.91</v>
      </c>
      <c r="F104" s="11">
        <f>3348.98*-1</f>
        <v>-3348.98</v>
      </c>
      <c r="G104" s="3"/>
      <c r="H104" s="11">
        <f>3937.3*-1</f>
        <v>-3937.3</v>
      </c>
      <c r="I104" s="3"/>
      <c r="J104" s="11">
        <f>-3142.99</f>
        <v>-3142.99</v>
      </c>
      <c r="K104" s="3"/>
      <c r="L104" s="11">
        <f>-3985.97</f>
        <v>-3985.97</v>
      </c>
      <c r="M104" s="3"/>
      <c r="N104" s="11">
        <f>-2726.41</f>
        <v>-2726.41</v>
      </c>
      <c r="O104" s="3"/>
      <c r="P104" s="11"/>
      <c r="Q104" s="3"/>
      <c r="R104" s="11"/>
    </row>
    <row r="105" spans="2:18" s="16" customFormat="1" hidden="1" outlineLevel="1" x14ac:dyDescent="0.35">
      <c r="B105" s="35" t="str">
        <f>CONCATENATE("          ", "4245", " - ", "SALES RETURN TAXABLE-SPECIAL O")</f>
        <v xml:space="preserve">          4245 - SALES RETURN TAXABLE-SPECIAL O</v>
      </c>
      <c r="D105" s="11">
        <f>9720.55*-1</f>
        <v>-9720.5499999999993</v>
      </c>
      <c r="F105" s="11">
        <f>2945.35*-1</f>
        <v>-2945.35</v>
      </c>
      <c r="G105" s="3"/>
      <c r="H105" s="11">
        <f>10919.43*-1</f>
        <v>-10919.43</v>
      </c>
      <c r="I105" s="3"/>
      <c r="J105" s="11">
        <f>-4473.01</f>
        <v>-4473.01</v>
      </c>
      <c r="K105" s="3"/>
      <c r="L105" s="11">
        <f>-2848.22</f>
        <v>-2848.22</v>
      </c>
      <c r="M105" s="3"/>
      <c r="N105" s="11">
        <f>-4097.53</f>
        <v>-4097.53</v>
      </c>
      <c r="O105" s="3"/>
      <c r="P105" s="11"/>
      <c r="Q105" s="3"/>
      <c r="R105" s="11"/>
    </row>
    <row r="106" spans="2:18" s="16" customFormat="1" hidden="1" outlineLevel="1" x14ac:dyDescent="0.35">
      <c r="B106" s="35" t="str">
        <f>CONCATENATE("          ", "4247", " - ", "SALES RETURN TAXABLE-MISC")</f>
        <v xml:space="preserve">          4247 - SALES RETURN TAXABLE-MISC</v>
      </c>
      <c r="D106" s="11">
        <f>41.94*-1</f>
        <v>-41.94</v>
      </c>
      <c r="F106" s="11">
        <f>25.97*-1</f>
        <v>-25.97</v>
      </c>
      <c r="G106" s="3"/>
      <c r="H106" s="11">
        <f>0*-1</f>
        <v>0</v>
      </c>
      <c r="I106" s="3"/>
      <c r="J106" s="11">
        <f>-50.01</f>
        <v>-50.01</v>
      </c>
      <c r="K106" s="3"/>
      <c r="L106" s="11">
        <f>0</f>
        <v>0</v>
      </c>
      <c r="M106" s="3"/>
      <c r="N106" s="11">
        <f>0</f>
        <v>0</v>
      </c>
      <c r="O106" s="3"/>
      <c r="P106" s="11"/>
      <c r="Q106" s="3"/>
      <c r="R106" s="11"/>
    </row>
    <row r="107" spans="2:18" s="16" customFormat="1" hidden="1" outlineLevel="1" x14ac:dyDescent="0.35">
      <c r="B107" s="35" t="str">
        <f>CONCATENATE("          ", "4281", " - ", "SALES RETURN TAXABLE-ELECTRONI")</f>
        <v xml:space="preserve">          4281 - SALES RETURN TAXABLE-ELECTRONI</v>
      </c>
      <c r="D107" s="11">
        <f>19.98*-1</f>
        <v>-19.98</v>
      </c>
      <c r="F107" s="11">
        <f>14.99*-1</f>
        <v>-14.99</v>
      </c>
      <c r="G107" s="3"/>
      <c r="H107" s="11">
        <f>19.99*-1</f>
        <v>-19.989999999999998</v>
      </c>
      <c r="I107" s="3"/>
      <c r="J107" s="11">
        <f>-97.96</f>
        <v>-97.96</v>
      </c>
      <c r="K107" s="3"/>
      <c r="L107" s="11">
        <f>-64.95</f>
        <v>-64.95</v>
      </c>
      <c r="M107" s="3"/>
      <c r="N107" s="11">
        <f>-54.97</f>
        <v>-54.97</v>
      </c>
      <c r="O107" s="3"/>
      <c r="P107" s="11"/>
      <c r="Q107" s="3"/>
      <c r="R107" s="11"/>
    </row>
    <row r="108" spans="2:18" s="16" customFormat="1" hidden="1" outlineLevel="1" x14ac:dyDescent="0.35">
      <c r="B108" s="35" t="str">
        <f>CONCATENATE("          ", "4283", " - ", "SALES RETURN TAXABLE-COMPUTER")</f>
        <v xml:space="preserve">          4283 - SALES RETURN TAXABLE-COMPUTER</v>
      </c>
      <c r="D108" s="11">
        <f>19.95*-1</f>
        <v>-19.95</v>
      </c>
      <c r="F108" s="11">
        <f>0*-1</f>
        <v>0</v>
      </c>
      <c r="G108" s="3"/>
      <c r="H108" s="11">
        <f>0*-1</f>
        <v>0</v>
      </c>
      <c r="I108" s="3"/>
      <c r="J108" s="11">
        <f t="shared" ref="J108:J109" si="11">0</f>
        <v>0</v>
      </c>
      <c r="K108" s="3"/>
      <c r="L108" s="11">
        <f t="shared" ref="L108:L109" si="12">0</f>
        <v>0</v>
      </c>
      <c r="M108" s="3"/>
      <c r="N108" s="11">
        <f t="shared" ref="N108:N109" si="13">0</f>
        <v>0</v>
      </c>
      <c r="O108" s="3"/>
      <c r="P108" s="11"/>
      <c r="Q108" s="3"/>
      <c r="R108" s="11"/>
    </row>
    <row r="109" spans="2:18" s="16" customFormat="1" hidden="1" outlineLevel="1" x14ac:dyDescent="0.35">
      <c r="B109" s="35" t="str">
        <f>CONCATENATE("          ", "4291", " - ", "SALES RETURN TAXABLE-GRAD ANNO")</f>
        <v xml:space="preserve">          4291 - SALES RETURN TAXABLE-GRAD ANNO</v>
      </c>
      <c r="D109" s="11">
        <f>976.49*-1</f>
        <v>-976.49</v>
      </c>
      <c r="F109" s="11">
        <f>678.04*-1</f>
        <v>-678.04</v>
      </c>
      <c r="G109" s="3"/>
      <c r="H109" s="11">
        <f>459.6*-1</f>
        <v>-459.6</v>
      </c>
      <c r="I109" s="3"/>
      <c r="J109" s="11">
        <f t="shared" si="11"/>
        <v>0</v>
      </c>
      <c r="K109" s="3"/>
      <c r="L109" s="11">
        <f t="shared" si="12"/>
        <v>0</v>
      </c>
      <c r="M109" s="3"/>
      <c r="N109" s="11">
        <f t="shared" si="13"/>
        <v>0</v>
      </c>
      <c r="O109" s="3"/>
      <c r="P109" s="11"/>
      <c r="Q109" s="3"/>
      <c r="R109" s="11"/>
    </row>
    <row r="110" spans="2:18" s="16" customFormat="1" hidden="1" outlineLevel="1" x14ac:dyDescent="0.35">
      <c r="B110" s="35" t="str">
        <f>CONCATENATE("          ", "4292", " - ", "SALES RETURN TAXABLE-GRAD MERC")</f>
        <v xml:space="preserve">          4292 - SALES RETURN TAXABLE-GRAD MERC</v>
      </c>
      <c r="D110" s="11">
        <f>21697.5*-1</f>
        <v>-21697.5</v>
      </c>
      <c r="F110" s="11">
        <f>14483.28*-1</f>
        <v>-14483.28</v>
      </c>
      <c r="G110" s="3"/>
      <c r="H110" s="11">
        <f>12378.21*-1</f>
        <v>-12378.21</v>
      </c>
      <c r="I110" s="3"/>
      <c r="J110" s="11">
        <f>-39897.48</f>
        <v>-39897.480000000003</v>
      </c>
      <c r="K110" s="3"/>
      <c r="L110" s="11">
        <f>-8552.26</f>
        <v>-8552.26</v>
      </c>
      <c r="M110" s="3"/>
      <c r="N110" s="11">
        <f>-793.52</f>
        <v>-793.52</v>
      </c>
      <c r="O110" s="3"/>
      <c r="P110" s="11"/>
      <c r="Q110" s="3"/>
      <c r="R110" s="11"/>
    </row>
    <row r="111" spans="2:18" s="16" customFormat="1" hidden="1" outlineLevel="1" x14ac:dyDescent="0.35">
      <c r="B111" s="35" t="str">
        <f>CONCATENATE("          ", "4295", " - ", "SALES RETURN TAXABLE-CUSTOMER")</f>
        <v xml:space="preserve">          4295 - SALES RETURN TAXABLE-CUSTOMER</v>
      </c>
      <c r="D111" s="11">
        <f>300.22*-1</f>
        <v>-300.22000000000003</v>
      </c>
      <c r="F111" s="11">
        <f>324.09*-1</f>
        <v>-324.08999999999997</v>
      </c>
      <c r="G111" s="3"/>
      <c r="H111" s="11">
        <f>9.9*-1</f>
        <v>-9.9</v>
      </c>
      <c r="I111" s="3"/>
      <c r="J111" s="11">
        <f>-2.03</f>
        <v>-2.0299999999999998</v>
      </c>
      <c r="K111" s="3"/>
      <c r="L111" s="11">
        <f>-126.72</f>
        <v>-126.72</v>
      </c>
      <c r="M111" s="3"/>
      <c r="N111" s="11">
        <f>--0.99</f>
        <v>0.99</v>
      </c>
      <c r="O111" s="3"/>
      <c r="P111" s="11"/>
      <c r="Q111" s="3"/>
      <c r="R111" s="11"/>
    </row>
    <row r="112" spans="2:18" s="16" customFormat="1" hidden="1" outlineLevel="1" x14ac:dyDescent="0.35">
      <c r="B112" s="35" t="str">
        <f>CONCATENATE("          ", "4301", " - ", "SALES RETURN NON TAXABLE-NEW T")</f>
        <v xml:space="preserve">          4301 - SALES RETURN NON TAXABLE-NEW T</v>
      </c>
      <c r="D112" s="11">
        <f>23238.51*-1</f>
        <v>-23238.51</v>
      </c>
      <c r="F112" s="11">
        <f>41726.46*-1</f>
        <v>-41726.46</v>
      </c>
      <c r="G112" s="3"/>
      <c r="H112" s="11">
        <f>37606.44*-1</f>
        <v>-37606.44</v>
      </c>
      <c r="I112" s="3"/>
      <c r="J112" s="11">
        <f>--6537.73</f>
        <v>6537.73</v>
      </c>
      <c r="K112" s="3"/>
      <c r="L112" s="11">
        <f>-51917.32</f>
        <v>-51917.32</v>
      </c>
      <c r="M112" s="3"/>
      <c r="N112" s="11">
        <f>-21543.36</f>
        <v>-21543.360000000001</v>
      </c>
      <c r="O112" s="3"/>
      <c r="P112" s="11"/>
      <c r="Q112" s="3"/>
      <c r="R112" s="11"/>
    </row>
    <row r="113" spans="2:18" s="16" customFormat="1" hidden="1" outlineLevel="1" x14ac:dyDescent="0.35">
      <c r="B113" s="35" t="str">
        <f>CONCATENATE("          ", "4302", " - ", "SALES RETURN NON TAXABLE-TEXT")</f>
        <v xml:space="preserve">          4302 - SALES RETURN NON TAXABLE-TEXT</v>
      </c>
      <c r="D113" s="11">
        <f>5954.54*-1</f>
        <v>-5954.54</v>
      </c>
      <c r="F113" s="11">
        <f>7432.62*-1</f>
        <v>-7432.62</v>
      </c>
      <c r="G113" s="3"/>
      <c r="H113" s="11">
        <f>6604.68*-1</f>
        <v>-6604.68</v>
      </c>
      <c r="I113" s="3"/>
      <c r="J113" s="11">
        <f>-5507.21</f>
        <v>-5507.21</v>
      </c>
      <c r="K113" s="3"/>
      <c r="L113" s="11">
        <f>-6780.29</f>
        <v>-6780.29</v>
      </c>
      <c r="M113" s="3"/>
      <c r="N113" s="11">
        <f>-1475.62</f>
        <v>-1475.62</v>
      </c>
      <c r="O113" s="3"/>
      <c r="P113" s="11"/>
      <c r="Q113" s="3"/>
      <c r="R113" s="11"/>
    </row>
    <row r="114" spans="2:18" s="16" customFormat="1" hidden="1" outlineLevel="1" x14ac:dyDescent="0.35">
      <c r="B114" s="35" t="str">
        <f>CONCATENATE("          ", "4303", " - ", "SALES RETURN NON-TAXABLE-RENTA")</f>
        <v xml:space="preserve">          4303 - SALES RETURN NON-TAXABLE-RENTA</v>
      </c>
      <c r="D114" s="11">
        <f>0*-1</f>
        <v>0</v>
      </c>
      <c r="F114" s="11">
        <f>0*-1</f>
        <v>0</v>
      </c>
      <c r="G114" s="3"/>
      <c r="H114" s="11">
        <f>0*-1</f>
        <v>0</v>
      </c>
      <c r="I114" s="3"/>
      <c r="J114" s="11">
        <f>0</f>
        <v>0</v>
      </c>
      <c r="K114" s="3"/>
      <c r="L114" s="11">
        <f>-509.85</f>
        <v>-509.85</v>
      </c>
      <c r="M114" s="3"/>
      <c r="N114" s="11">
        <f>-184.99</f>
        <v>-184.99</v>
      </c>
      <c r="O114" s="3"/>
      <c r="P114" s="11"/>
      <c r="Q114" s="3"/>
      <c r="R114" s="11"/>
    </row>
    <row r="115" spans="2:18" s="16" customFormat="1" hidden="1" outlineLevel="1" x14ac:dyDescent="0.35">
      <c r="B115" s="35" t="str">
        <f>CONCATENATE("          ", "4304", " - ", "SALES RETURN NON TAXABLE-DIGIT")</f>
        <v xml:space="preserve">          4304 - SALES RETURN NON TAXABLE-DIGIT</v>
      </c>
      <c r="D115" s="11">
        <f>469.45*-1</f>
        <v>-469.45</v>
      </c>
      <c r="F115" s="11">
        <f>1065.09*-1</f>
        <v>-1065.0899999999999</v>
      </c>
      <c r="G115" s="3"/>
      <c r="H115" s="11">
        <f>1950.45*-1</f>
        <v>-1950.45</v>
      </c>
      <c r="I115" s="3"/>
      <c r="J115" s="11">
        <f>-34135.02</f>
        <v>-34135.019999999997</v>
      </c>
      <c r="K115" s="3"/>
      <c r="L115" s="11">
        <f>-6171.97</f>
        <v>-6171.97</v>
      </c>
      <c r="M115" s="3"/>
      <c r="N115" s="11">
        <f>-19873.2</f>
        <v>-19873.2</v>
      </c>
      <c r="O115" s="3"/>
      <c r="P115" s="11"/>
      <c r="Q115" s="3"/>
      <c r="R115" s="11"/>
    </row>
    <row r="116" spans="2:18" s="16" customFormat="1" hidden="1" outlineLevel="1" x14ac:dyDescent="0.35">
      <c r="B116" s="35" t="str">
        <f>CONCATENATE("          ", "4311", " - ", "SALES RETURN NON TAXABLE-NO VA")</f>
        <v xml:space="preserve">          4311 - SALES RETURN NON TAXABLE-NO VA</v>
      </c>
      <c r="D116" s="11">
        <f>1157.4*-1</f>
        <v>-1157.4000000000001</v>
      </c>
      <c r="F116" s="11">
        <f>2960.66*-1</f>
        <v>-2960.66</v>
      </c>
      <c r="G116" s="3"/>
      <c r="H116" s="11">
        <f>2203.9*-1</f>
        <v>-2203.9</v>
      </c>
      <c r="I116" s="3"/>
      <c r="J116" s="11">
        <f>-1836.02</f>
        <v>-1836.02</v>
      </c>
      <c r="K116" s="3"/>
      <c r="L116" s="11">
        <f>-2399.84</f>
        <v>-2399.84</v>
      </c>
      <c r="M116" s="3"/>
      <c r="N116" s="11">
        <f>-1011.65</f>
        <v>-1011.65</v>
      </c>
      <c r="O116" s="3"/>
      <c r="P116" s="11"/>
      <c r="Q116" s="3"/>
      <c r="R116" s="11"/>
    </row>
    <row r="117" spans="2:18" s="16" customFormat="1" hidden="1" outlineLevel="1" x14ac:dyDescent="0.35">
      <c r="B117" s="35" t="str">
        <f>CONCATENATE("          ", "4313", " - ", "SALES RETURN NON TAXABLE-TRADE")</f>
        <v xml:space="preserve">          4313 - SALES RETURN NON TAXABLE-TRADE</v>
      </c>
      <c r="D117" s="11">
        <f>63.74*-1</f>
        <v>-63.74</v>
      </c>
      <c r="F117" s="11">
        <f>17.35*-1</f>
        <v>-17.350000000000001</v>
      </c>
      <c r="G117" s="3"/>
      <c r="H117" s="11">
        <f>0*-1</f>
        <v>0</v>
      </c>
      <c r="I117" s="3"/>
      <c r="J117" s="11">
        <f>0</f>
        <v>0</v>
      </c>
      <c r="K117" s="3"/>
      <c r="L117" s="11">
        <f>-800</f>
        <v>-800</v>
      </c>
      <c r="M117" s="3"/>
      <c r="N117" s="11">
        <f>-2481.44</f>
        <v>-2481.44</v>
      </c>
      <c r="O117" s="3"/>
      <c r="P117" s="11"/>
      <c r="Q117" s="3"/>
      <c r="R117" s="11"/>
    </row>
    <row r="118" spans="2:18" s="16" customFormat="1" hidden="1" outlineLevel="1" x14ac:dyDescent="0.35">
      <c r="B118" s="35" t="str">
        <f>CONCATENATE("          ", "4318", " - ", "SALES RETURN NON TAXABLE-STUDY")</f>
        <v xml:space="preserve">          4318 - SALES RETURN NON TAXABLE-STUDY</v>
      </c>
      <c r="D118" s="11">
        <f>0*-1</f>
        <v>0</v>
      </c>
      <c r="F118" s="11">
        <f t="shared" ref="F118:F119" si="14">0*-1</f>
        <v>0</v>
      </c>
      <c r="G118" s="3"/>
      <c r="H118" s="11">
        <f>5.95*-1</f>
        <v>-5.95</v>
      </c>
      <c r="I118" s="3"/>
      <c r="J118" s="11">
        <f>-2025</f>
        <v>-2025</v>
      </c>
      <c r="K118" s="3"/>
      <c r="L118" s="11">
        <f>-1258.54</f>
        <v>-1258.54</v>
      </c>
      <c r="M118" s="3"/>
      <c r="N118" s="11">
        <f t="shared" ref="N118:N120" si="15">0</f>
        <v>0</v>
      </c>
      <c r="O118" s="3"/>
      <c r="P118" s="11"/>
      <c r="Q118" s="3"/>
      <c r="R118" s="11"/>
    </row>
    <row r="119" spans="2:18" s="16" customFormat="1" hidden="1" outlineLevel="1" x14ac:dyDescent="0.35">
      <c r="B119" s="35" t="str">
        <f>CONCATENATE("          ", "4319", " - ", "SALES RETURN NON TAXABLE-BOOK")</f>
        <v xml:space="preserve">          4319 - SALES RETURN NON TAXABLE-BOOK</v>
      </c>
      <c r="D119" s="11">
        <f>5.19*-1</f>
        <v>-5.19</v>
      </c>
      <c r="F119" s="11">
        <f t="shared" si="14"/>
        <v>0</v>
      </c>
      <c r="G119" s="3"/>
      <c r="H119" s="11">
        <f t="shared" ref="H119:H120" si="16">0*-1</f>
        <v>0</v>
      </c>
      <c r="I119" s="3"/>
      <c r="J119" s="11">
        <f t="shared" ref="J119:J120" si="17">0</f>
        <v>0</v>
      </c>
      <c r="K119" s="3"/>
      <c r="L119" s="11">
        <f t="shared" ref="L119:L120" si="18">0</f>
        <v>0</v>
      </c>
      <c r="M119" s="3"/>
      <c r="N119" s="11">
        <f t="shared" si="15"/>
        <v>0</v>
      </c>
      <c r="O119" s="3"/>
      <c r="P119" s="11"/>
      <c r="Q119" s="3"/>
      <c r="R119" s="11"/>
    </row>
    <row r="120" spans="2:18" s="16" customFormat="1" hidden="1" outlineLevel="1" x14ac:dyDescent="0.35">
      <c r="B120" s="35" t="str">
        <f>CONCATENATE("          ", "4325", " - ", "SALES RETURN NON TAXABLE-TEST")</f>
        <v xml:space="preserve">          4325 - SALES RETURN NON TAXABLE-TEST</v>
      </c>
      <c r="D120" s="11">
        <f t="shared" ref="D120:D121" si="19">0*-1</f>
        <v>0</v>
      </c>
      <c r="F120" s="11">
        <f>3.33*-1</f>
        <v>-3.33</v>
      </c>
      <c r="G120" s="3"/>
      <c r="H120" s="11">
        <f t="shared" si="16"/>
        <v>0</v>
      </c>
      <c r="I120" s="3"/>
      <c r="J120" s="11">
        <f t="shared" si="17"/>
        <v>0</v>
      </c>
      <c r="K120" s="3"/>
      <c r="L120" s="11">
        <f t="shared" si="18"/>
        <v>0</v>
      </c>
      <c r="M120" s="3"/>
      <c r="N120" s="11">
        <f t="shared" si="15"/>
        <v>0</v>
      </c>
      <c r="O120" s="3"/>
      <c r="P120" s="11"/>
      <c r="Q120" s="3"/>
      <c r="R120" s="11"/>
    </row>
    <row r="121" spans="2:18" s="16" customFormat="1" hidden="1" outlineLevel="1" x14ac:dyDescent="0.35">
      <c r="B121" s="35" t="str">
        <f>CONCATENATE("          ", "4326", " - ", "SALES RETURN NON TAXABLE-WRITI")</f>
        <v xml:space="preserve">          4326 - SALES RETURN NON TAXABLE-WRITI</v>
      </c>
      <c r="D121" s="11">
        <f t="shared" si="19"/>
        <v>0</v>
      </c>
      <c r="F121" s="11">
        <f t="shared" ref="F121:F123" si="20">0*-1</f>
        <v>0</v>
      </c>
      <c r="G121" s="3"/>
      <c r="H121" s="11">
        <f>3.38*-1</f>
        <v>-3.38</v>
      </c>
      <c r="I121" s="3"/>
      <c r="J121" s="11">
        <f>-3.78</f>
        <v>-3.78</v>
      </c>
      <c r="K121" s="3"/>
      <c r="L121" s="11">
        <f>-28.23</f>
        <v>-28.23</v>
      </c>
      <c r="M121" s="3"/>
      <c r="N121" s="11">
        <f>-2.98</f>
        <v>-2.98</v>
      </c>
      <c r="O121" s="3"/>
      <c r="P121" s="11"/>
      <c r="Q121" s="3"/>
      <c r="R121" s="11"/>
    </row>
    <row r="122" spans="2:18" s="16" customFormat="1" hidden="1" outlineLevel="1" x14ac:dyDescent="0.35">
      <c r="B122" s="35" t="str">
        <f>CONCATENATE("          ", "4327", " - ", "SALES RETURN NON TAXABLE-SCHOO")</f>
        <v xml:space="preserve">          4327 - SALES RETURN NON TAXABLE-SCHOO</v>
      </c>
      <c r="D122" s="11">
        <f>30.57*-1</f>
        <v>-30.57</v>
      </c>
      <c r="F122" s="11">
        <f t="shared" si="20"/>
        <v>0</v>
      </c>
      <c r="G122" s="3"/>
      <c r="H122" s="11">
        <f>81.8*-1</f>
        <v>-81.8</v>
      </c>
      <c r="I122" s="3"/>
      <c r="J122" s="11">
        <f>-10.78</f>
        <v>-10.78</v>
      </c>
      <c r="K122" s="3"/>
      <c r="L122" s="11">
        <f>-4.99</f>
        <v>-4.99</v>
      </c>
      <c r="M122" s="3"/>
      <c r="N122" s="11">
        <f>-21.87</f>
        <v>-21.87</v>
      </c>
      <c r="O122" s="3"/>
      <c r="P122" s="11"/>
      <c r="Q122" s="3"/>
      <c r="R122" s="11"/>
    </row>
    <row r="123" spans="2:18" s="16" customFormat="1" hidden="1" outlineLevel="1" x14ac:dyDescent="0.35">
      <c r="B123" s="35" t="str">
        <f>CONCATENATE("          ", "4328", " - ", "SALES RETURN NON TAXABLE-ART/T")</f>
        <v xml:space="preserve">          4328 - SALES RETURN NON TAXABLE-ART/T</v>
      </c>
      <c r="D123" s="11">
        <f>11.29*-1</f>
        <v>-11.29</v>
      </c>
      <c r="F123" s="11">
        <f t="shared" si="20"/>
        <v>0</v>
      </c>
      <c r="G123" s="3"/>
      <c r="H123" s="11">
        <f t="shared" ref="H123:H124" si="21">0*-1</f>
        <v>0</v>
      </c>
      <c r="I123" s="3"/>
      <c r="J123" s="11">
        <f t="shared" ref="J123:J127" si="22">0</f>
        <v>0</v>
      </c>
      <c r="K123" s="3"/>
      <c r="L123" s="11">
        <f t="shared" ref="L123:L127" si="23">0</f>
        <v>0</v>
      </c>
      <c r="M123" s="3"/>
      <c r="N123" s="11">
        <f>0</f>
        <v>0</v>
      </c>
      <c r="O123" s="3"/>
      <c r="P123" s="11"/>
      <c r="Q123" s="3"/>
      <c r="R123" s="11"/>
    </row>
    <row r="124" spans="2:18" s="16" customFormat="1" hidden="1" outlineLevel="1" x14ac:dyDescent="0.35">
      <c r="B124" s="35" t="str">
        <f>CONCATENATE("          ", "4331", " - ", "SALES RETURN NON TAXABLE-FOOD")</f>
        <v xml:space="preserve">          4331 - SALES RETURN NON TAXABLE-FOOD</v>
      </c>
      <c r="D124" s="11">
        <f>40.61*-1</f>
        <v>-40.61</v>
      </c>
      <c r="F124" s="11">
        <f>57.11*-1</f>
        <v>-57.11</v>
      </c>
      <c r="G124" s="3"/>
      <c r="H124" s="11">
        <f t="shared" si="21"/>
        <v>0</v>
      </c>
      <c r="I124" s="3"/>
      <c r="J124" s="11">
        <f t="shared" si="22"/>
        <v>0</v>
      </c>
      <c r="K124" s="3"/>
      <c r="L124" s="11">
        <f t="shared" si="23"/>
        <v>0</v>
      </c>
      <c r="M124" s="3"/>
      <c r="N124" s="11">
        <f>-12.57</f>
        <v>-12.57</v>
      </c>
      <c r="O124" s="3"/>
      <c r="P124" s="11"/>
      <c r="Q124" s="3"/>
      <c r="R124" s="11"/>
    </row>
    <row r="125" spans="2:18" s="16" customFormat="1" hidden="1" outlineLevel="1" x14ac:dyDescent="0.35">
      <c r="B125" s="35" t="str">
        <f>CONCATENATE("          ", "4332", " - ", "SALES RETURN NON TAXABLE-JUICE")</f>
        <v xml:space="preserve">          4332 - SALES RETURN NON TAXABLE-JUICE</v>
      </c>
      <c r="D125" s="11">
        <f>4.29*-1</f>
        <v>-4.29</v>
      </c>
      <c r="F125" s="11">
        <f>47.49*-1</f>
        <v>-47.49</v>
      </c>
      <c r="G125" s="3"/>
      <c r="H125" s="11">
        <f>2.3*-1</f>
        <v>-2.2999999999999998</v>
      </c>
      <c r="I125" s="3"/>
      <c r="J125" s="11">
        <f t="shared" si="22"/>
        <v>0</v>
      </c>
      <c r="K125" s="3"/>
      <c r="L125" s="11">
        <f t="shared" si="23"/>
        <v>0</v>
      </c>
      <c r="M125" s="3"/>
      <c r="N125" s="11">
        <f>-2.79</f>
        <v>-2.79</v>
      </c>
      <c r="O125" s="3"/>
      <c r="P125" s="11"/>
      <c r="Q125" s="3"/>
      <c r="R125" s="11"/>
    </row>
    <row r="126" spans="2:18" s="16" customFormat="1" hidden="1" outlineLevel="1" x14ac:dyDescent="0.35">
      <c r="B126" s="35" t="str">
        <f>CONCATENATE("          ", "4333", " - ", "SALES RETURN NON TAXABLE-CANDY")</f>
        <v xml:space="preserve">          4333 - SALES RETURN NON TAXABLE-CANDY</v>
      </c>
      <c r="D126" s="11">
        <f>19.2*-1</f>
        <v>-19.2</v>
      </c>
      <c r="F126" s="11">
        <f>13.54*-1</f>
        <v>-13.54</v>
      </c>
      <c r="G126" s="3"/>
      <c r="H126" s="11">
        <f t="shared" ref="H126:H127" si="24">0*-1</f>
        <v>0</v>
      </c>
      <c r="I126" s="3"/>
      <c r="J126" s="11">
        <f t="shared" si="22"/>
        <v>0</v>
      </c>
      <c r="K126" s="3"/>
      <c r="L126" s="11">
        <f t="shared" si="23"/>
        <v>0</v>
      </c>
      <c r="M126" s="3"/>
      <c r="N126" s="11">
        <f t="shared" ref="N126:N127" si="25">0</f>
        <v>0</v>
      </c>
      <c r="O126" s="3"/>
      <c r="P126" s="11"/>
      <c r="Q126" s="3"/>
      <c r="R126" s="11"/>
    </row>
    <row r="127" spans="2:18" s="16" customFormat="1" hidden="1" outlineLevel="1" x14ac:dyDescent="0.35">
      <c r="B127" s="35" t="str">
        <f>CONCATENATE("          ", "4337", " - ", "SALES RETURN NON TAXABLE-WATER")</f>
        <v xml:space="preserve">          4337 - SALES RETURN NON TAXABLE-WATER</v>
      </c>
      <c r="D127" s="11">
        <f>21.78*-1</f>
        <v>-21.78</v>
      </c>
      <c r="F127" s="11">
        <f>0*-1</f>
        <v>0</v>
      </c>
      <c r="G127" s="3"/>
      <c r="H127" s="11">
        <f t="shared" si="24"/>
        <v>0</v>
      </c>
      <c r="I127" s="3"/>
      <c r="J127" s="11">
        <f t="shared" si="22"/>
        <v>0</v>
      </c>
      <c r="K127" s="3"/>
      <c r="L127" s="11">
        <f t="shared" si="23"/>
        <v>0</v>
      </c>
      <c r="M127" s="3"/>
      <c r="N127" s="11">
        <f t="shared" si="25"/>
        <v>0</v>
      </c>
      <c r="O127" s="3"/>
      <c r="P127" s="11"/>
      <c r="Q127" s="3"/>
      <c r="R127" s="11"/>
    </row>
    <row r="128" spans="2:18" s="16" customFormat="1" hidden="1" outlineLevel="1" x14ac:dyDescent="0.35">
      <c r="B128" s="35" t="str">
        <f>CONCATENATE("          ", "4340", " - ", "SALES RETURN NON TAXABLE-LOGO")</f>
        <v xml:space="preserve">          4340 - SALES RETURN NON TAXABLE-LOGO</v>
      </c>
      <c r="D128" s="11">
        <f>1278.54*-1</f>
        <v>-1278.54</v>
      </c>
      <c r="F128" s="11">
        <f>973.95*-1</f>
        <v>-973.95</v>
      </c>
      <c r="G128" s="3"/>
      <c r="H128" s="11">
        <f>937.35*-1</f>
        <v>-937.35</v>
      </c>
      <c r="I128" s="3"/>
      <c r="J128" s="11">
        <f>-602.86</f>
        <v>-602.86</v>
      </c>
      <c r="K128" s="3"/>
      <c r="L128" s="11">
        <f>-1132.72</f>
        <v>-1132.72</v>
      </c>
      <c r="M128" s="3"/>
      <c r="N128" s="11">
        <f>-2664.48</f>
        <v>-2664.48</v>
      </c>
      <c r="O128" s="3"/>
      <c r="P128" s="11"/>
      <c r="Q128" s="3"/>
      <c r="R128" s="11"/>
    </row>
    <row r="129" spans="1:18" s="16" customFormat="1" hidden="1" outlineLevel="1" x14ac:dyDescent="0.35">
      <c r="B129" s="35" t="str">
        <f>CONCATENATE("          ", "4341", " - ", "SALES RETURN NON TAXABLE-LOGO")</f>
        <v xml:space="preserve">          4341 - SALES RETURN NON TAXABLE-LOGO</v>
      </c>
      <c r="D129" s="11">
        <f>821.6*-1</f>
        <v>-821.6</v>
      </c>
      <c r="F129" s="11">
        <f>176*-1</f>
        <v>-176</v>
      </c>
      <c r="G129" s="3"/>
      <c r="H129" s="11">
        <f>238.55*-1</f>
        <v>-238.55</v>
      </c>
      <c r="I129" s="3"/>
      <c r="J129" s="11">
        <f>-91.9</f>
        <v>-91.9</v>
      </c>
      <c r="K129" s="3"/>
      <c r="L129" s="11">
        <f>-335.8</f>
        <v>-335.8</v>
      </c>
      <c r="M129" s="3"/>
      <c r="N129" s="11">
        <f>-295.35</f>
        <v>-295.35000000000002</v>
      </c>
      <c r="O129" s="3"/>
      <c r="P129" s="11"/>
      <c r="Q129" s="3"/>
      <c r="R129" s="11"/>
    </row>
    <row r="130" spans="1:18" s="16" customFormat="1" hidden="1" outlineLevel="1" x14ac:dyDescent="0.35">
      <c r="B130" s="35" t="str">
        <f>CONCATENATE("          ", "4342", " - ", "SALES RETURN NON TAXABLE-EVERY")</f>
        <v xml:space="preserve">          4342 - SALES RETURN NON TAXABLE-EVERY</v>
      </c>
      <c r="D130" s="11">
        <f>12.75*-1</f>
        <v>-12.75</v>
      </c>
      <c r="F130" s="11">
        <f>2*-1</f>
        <v>-2</v>
      </c>
      <c r="G130" s="3"/>
      <c r="H130" s="11">
        <f>1*-1</f>
        <v>-1</v>
      </c>
      <c r="I130" s="3"/>
      <c r="J130" s="11">
        <f>-46.8</f>
        <v>-46.8</v>
      </c>
      <c r="K130" s="3"/>
      <c r="L130" s="11">
        <f>-128.55</f>
        <v>-128.55000000000001</v>
      </c>
      <c r="M130" s="3"/>
      <c r="N130" s="11">
        <f>-186.02</f>
        <v>-186.02</v>
      </c>
      <c r="O130" s="3"/>
      <c r="P130" s="11"/>
      <c r="Q130" s="3"/>
      <c r="R130" s="11"/>
    </row>
    <row r="131" spans="1:18" s="16" customFormat="1" hidden="1" outlineLevel="1" x14ac:dyDescent="0.35">
      <c r="B131" s="35" t="str">
        <f>CONCATENATE("          ", "4346", " - ", "SALES RETURN NON TAXABLE-COIN-")</f>
        <v xml:space="preserve">          4346 - SALES RETURN NON TAXABLE-COIN-</v>
      </c>
      <c r="D131" s="11">
        <f t="shared" ref="D131:D133" si="26">0*-1</f>
        <v>0</v>
      </c>
      <c r="F131" s="11">
        <f>0*-1</f>
        <v>0</v>
      </c>
      <c r="G131" s="3"/>
      <c r="H131" s="11">
        <f t="shared" ref="H131:H132" si="27">0*-1</f>
        <v>0</v>
      </c>
      <c r="I131" s="3"/>
      <c r="J131" s="11">
        <f t="shared" ref="J131:J133" si="28">0</f>
        <v>0</v>
      </c>
      <c r="K131" s="3"/>
      <c r="L131" s="11">
        <f t="shared" ref="L131:L133" si="29">0</f>
        <v>0</v>
      </c>
      <c r="M131" s="3"/>
      <c r="N131" s="11">
        <f>-8.15</f>
        <v>-8.15</v>
      </c>
      <c r="O131" s="3"/>
      <c r="P131" s="11"/>
      <c r="Q131" s="3"/>
      <c r="R131" s="11"/>
    </row>
    <row r="132" spans="1:18" s="16" customFormat="1" hidden="1" outlineLevel="1" x14ac:dyDescent="0.35">
      <c r="B132" s="35" t="str">
        <f>CONCATENATE("          ", "4347", " - ", "SALES RETURN NON TAXABLE-MISC")</f>
        <v xml:space="preserve">          4347 - SALES RETURN NON TAXABLE-MISC</v>
      </c>
      <c r="D132" s="11">
        <f t="shared" si="26"/>
        <v>0</v>
      </c>
      <c r="F132" s="11">
        <f>7.5*-1</f>
        <v>-7.5</v>
      </c>
      <c r="G132" s="3"/>
      <c r="H132" s="11">
        <f t="shared" si="27"/>
        <v>0</v>
      </c>
      <c r="I132" s="3"/>
      <c r="J132" s="11">
        <f t="shared" si="28"/>
        <v>0</v>
      </c>
      <c r="K132" s="3"/>
      <c r="L132" s="11">
        <f t="shared" si="29"/>
        <v>0</v>
      </c>
      <c r="M132" s="3"/>
      <c r="N132" s="11">
        <f>-84</f>
        <v>-84</v>
      </c>
      <c r="O132" s="3"/>
      <c r="P132" s="11"/>
      <c r="Q132" s="3"/>
      <c r="R132" s="11"/>
    </row>
    <row r="133" spans="1:18" s="16" customFormat="1" hidden="1" outlineLevel="1" x14ac:dyDescent="0.35">
      <c r="B133" s="35" t="str">
        <f>CONCATENATE("          ", "4392", " - ", "SALES RETURN NON TAXABLE-GRAD")</f>
        <v xml:space="preserve">          4392 - SALES RETURN NON TAXABLE-GRAD</v>
      </c>
      <c r="D133" s="11">
        <f t="shared" si="26"/>
        <v>0</v>
      </c>
      <c r="F133" s="11">
        <f>0*-1</f>
        <v>0</v>
      </c>
      <c r="G133" s="3"/>
      <c r="H133" s="11">
        <f>36.95*-1</f>
        <v>-36.950000000000003</v>
      </c>
      <c r="I133" s="3"/>
      <c r="J133" s="11">
        <f t="shared" si="28"/>
        <v>0</v>
      </c>
      <c r="K133" s="3"/>
      <c r="L133" s="11">
        <f t="shared" si="29"/>
        <v>0</v>
      </c>
      <c r="M133" s="3"/>
      <c r="N133" s="11">
        <f>0</f>
        <v>0</v>
      </c>
      <c r="O133" s="3"/>
      <c r="P133" s="11"/>
      <c r="Q133" s="3"/>
      <c r="R133" s="11"/>
    </row>
    <row r="134" spans="1:18" s="12" customFormat="1" x14ac:dyDescent="0.35">
      <c r="B134" s="7"/>
      <c r="D134" s="6"/>
      <c r="F134" s="6"/>
      <c r="G134" s="5"/>
      <c r="H134" s="6"/>
      <c r="I134" s="5"/>
      <c r="J134" s="6"/>
      <c r="K134" s="5"/>
      <c r="L134" s="6"/>
      <c r="M134" s="5"/>
      <c r="N134" s="6"/>
      <c r="O134" s="5"/>
      <c r="P134" s="6"/>
      <c r="Q134" s="5"/>
      <c r="R134" s="6"/>
    </row>
    <row r="135" spans="1:18" s="12" customFormat="1" collapsed="1" x14ac:dyDescent="0.35">
      <c r="B135" s="7" t="s">
        <v>278</v>
      </c>
      <c r="D135" s="8">
        <f>SUM(OSRRefD14x_0)</f>
        <v>8595039.0399999991</v>
      </c>
      <c r="E135" s="8"/>
      <c r="F135" s="8">
        <f>SUM(OSRRefF14x_0)</f>
        <v>7950569.1300000008</v>
      </c>
      <c r="G135" s="8"/>
      <c r="H135" s="8">
        <f>SUM(OSRRefH14x_0)</f>
        <v>7554769.3800000018</v>
      </c>
      <c r="I135" s="8"/>
      <c r="J135" s="8">
        <f>SUM(OSRRefJ14x_0)</f>
        <v>7257766.9799999995</v>
      </c>
      <c r="K135" s="8"/>
      <c r="L135" s="8">
        <f>SUM(OSRRefL14x_0)</f>
        <v>6701569.4900000021</v>
      </c>
      <c r="M135" s="8"/>
      <c r="N135" s="8">
        <f>SUM(OSRRefN14x_0)</f>
        <v>5512791.4300000006</v>
      </c>
      <c r="O135" s="8"/>
      <c r="P135" s="8">
        <f>SUM(OSRRefP14x_0)</f>
        <v>5216279</v>
      </c>
      <c r="Q135" s="8"/>
      <c r="R135" s="8">
        <f>SUM(OSRRefR14x_0)</f>
        <v>5350664</v>
      </c>
    </row>
    <row r="136" spans="1:18" s="44" customFormat="1" hidden="1" outlineLevel="1" x14ac:dyDescent="0.35">
      <c r="A136" s="16"/>
      <c r="B136" s="35" t="str">
        <f>CONCATENATE("          ", "5000", " - ", "PURCHASES @ COST")</f>
        <v xml:space="preserve">          5000 - PURCHASES @ COST</v>
      </c>
      <c r="C136" s="16"/>
      <c r="D136" s="11"/>
      <c r="E136" s="16"/>
      <c r="F136" s="11"/>
      <c r="G136" s="3"/>
      <c r="H136" s="11"/>
      <c r="I136" s="3"/>
      <c r="J136" s="11">
        <v>172.8</v>
      </c>
      <c r="K136" s="3"/>
      <c r="L136" s="11">
        <v>20</v>
      </c>
      <c r="M136" s="3"/>
      <c r="N136" s="11">
        <v>0</v>
      </c>
      <c r="O136" s="3"/>
      <c r="P136" s="11">
        <v>5216279</v>
      </c>
      <c r="Q136" s="3"/>
      <c r="R136" s="11">
        <v>5350664</v>
      </c>
    </row>
    <row r="137" spans="1:18" s="44" customFormat="1" hidden="1" outlineLevel="1" x14ac:dyDescent="0.35">
      <c r="A137" s="16"/>
      <c r="B137" s="35" t="str">
        <f>CONCATENATE("          ", "5001", " - ", "PURCHASES @ COST-NEW TEXT")</f>
        <v xml:space="preserve">          5001 - PURCHASES @ COST-NEW TEXT</v>
      </c>
      <c r="C137" s="16"/>
      <c r="D137" s="11">
        <v>4879202.72</v>
      </c>
      <c r="E137" s="16"/>
      <c r="F137" s="11">
        <v>3900047.23</v>
      </c>
      <c r="G137" s="3"/>
      <c r="H137" s="11">
        <v>3863075.84</v>
      </c>
      <c r="I137" s="3"/>
      <c r="J137" s="11">
        <v>3273700.71</v>
      </c>
      <c r="K137" s="3"/>
      <c r="L137" s="11">
        <v>2431202.9900000002</v>
      </c>
      <c r="M137" s="3"/>
      <c r="N137" s="11">
        <v>1662669.27</v>
      </c>
      <c r="O137" s="3"/>
      <c r="P137" s="11"/>
      <c r="Q137" s="3"/>
      <c r="R137" s="11"/>
    </row>
    <row r="138" spans="1:18" s="44" customFormat="1" hidden="1" outlineLevel="1" x14ac:dyDescent="0.35">
      <c r="A138" s="16"/>
      <c r="B138" s="35" t="str">
        <f>CONCATENATE("          ", "5002", " - ", "PURCHASES @ COST-USED TEXT")</f>
        <v xml:space="preserve">          5002 - PURCHASES @ COST-USED TEXT</v>
      </c>
      <c r="C138" s="16"/>
      <c r="D138" s="11">
        <v>1724866.84</v>
      </c>
      <c r="E138" s="16"/>
      <c r="F138" s="11">
        <v>1525233.92</v>
      </c>
      <c r="G138" s="3"/>
      <c r="H138" s="11">
        <v>1225459.8899999999</v>
      </c>
      <c r="I138" s="3"/>
      <c r="J138" s="11">
        <v>1258537.1399999999</v>
      </c>
      <c r="K138" s="3"/>
      <c r="L138" s="11">
        <v>1006777.41</v>
      </c>
      <c r="M138" s="3"/>
      <c r="N138" s="11">
        <v>731343.19</v>
      </c>
      <c r="O138" s="3"/>
      <c r="P138" s="11"/>
      <c r="Q138" s="3"/>
      <c r="R138" s="11"/>
    </row>
    <row r="139" spans="1:18" s="44" customFormat="1" hidden="1" outlineLevel="1" x14ac:dyDescent="0.35">
      <c r="A139" s="16"/>
      <c r="B139" s="35" t="str">
        <f>CONCATENATE("          ", "5003", " - ", "PURCHASES @ COST-RENTAL TEXT")</f>
        <v xml:space="preserve">          5003 - PURCHASES @ COST-RENTAL TEXT</v>
      </c>
      <c r="C139" s="16"/>
      <c r="D139" s="11"/>
      <c r="E139" s="16"/>
      <c r="F139" s="11"/>
      <c r="G139" s="3"/>
      <c r="H139" s="11"/>
      <c r="I139" s="3"/>
      <c r="J139" s="11">
        <v>6149.3</v>
      </c>
      <c r="K139" s="3"/>
      <c r="L139" s="11">
        <v>15917.98</v>
      </c>
      <c r="M139" s="3"/>
      <c r="N139" s="11">
        <v>24578.2</v>
      </c>
      <c r="O139" s="3"/>
      <c r="P139" s="11"/>
      <c r="Q139" s="3"/>
      <c r="R139" s="11"/>
    </row>
    <row r="140" spans="1:18" s="44" customFormat="1" hidden="1" outlineLevel="1" x14ac:dyDescent="0.35">
      <c r="A140" s="16"/>
      <c r="B140" s="35" t="str">
        <f>CONCATENATE("          ", "5004", " - ", "PURCHASES @ COST-DIGITAL TEXT")</f>
        <v xml:space="preserve">          5004 - PURCHASES @ COST-DIGITAL TEXT</v>
      </c>
      <c r="C140" s="16"/>
      <c r="D140" s="11">
        <v>132546.79999999999</v>
      </c>
      <c r="E140" s="16"/>
      <c r="F140" s="11">
        <v>145666.69</v>
      </c>
      <c r="G140" s="3"/>
      <c r="H140" s="11">
        <v>240791.2</v>
      </c>
      <c r="I140" s="3"/>
      <c r="J140" s="11">
        <v>358061.45</v>
      </c>
      <c r="K140" s="3"/>
      <c r="L140" s="11">
        <v>507143.45</v>
      </c>
      <c r="M140" s="3"/>
      <c r="N140" s="11">
        <v>451308.6</v>
      </c>
      <c r="O140" s="3"/>
      <c r="P140" s="11"/>
      <c r="Q140" s="3"/>
      <c r="R140" s="11"/>
    </row>
    <row r="141" spans="1:18" s="44" customFormat="1" hidden="1" outlineLevel="1" x14ac:dyDescent="0.35">
      <c r="A141" s="16"/>
      <c r="B141" s="35" t="str">
        <f>CONCATENATE("          ", "5011", " - ", "PURCHASES @ COST-NO VALUE TEXT")</f>
        <v xml:space="preserve">          5011 - PURCHASES @ COST-NO VALUE TEXT</v>
      </c>
      <c r="C141" s="16"/>
      <c r="D141" s="11">
        <v>6675</v>
      </c>
      <c r="E141" s="16"/>
      <c r="F141" s="11">
        <v>7296</v>
      </c>
      <c r="G141" s="3"/>
      <c r="H141" s="11">
        <v>5721</v>
      </c>
      <c r="I141" s="3"/>
      <c r="J141" s="11">
        <v>6765</v>
      </c>
      <c r="K141" s="3"/>
      <c r="L141" s="11">
        <v>5295</v>
      </c>
      <c r="M141" s="3"/>
      <c r="N141" s="11">
        <v>6462</v>
      </c>
      <c r="O141" s="3"/>
      <c r="P141" s="11"/>
      <c r="Q141" s="3"/>
      <c r="R141" s="11"/>
    </row>
    <row r="142" spans="1:18" s="44" customFormat="1" hidden="1" outlineLevel="1" x14ac:dyDescent="0.35">
      <c r="A142" s="16"/>
      <c r="B142" s="35" t="str">
        <f>CONCATENATE("          ", "5012", " - ", "PURCHASES @ COST-MAGAZINES")</f>
        <v xml:space="preserve">          5012 - PURCHASES @ COST-MAGAZINES</v>
      </c>
      <c r="C142" s="16"/>
      <c r="D142" s="11"/>
      <c r="E142" s="16"/>
      <c r="F142" s="11">
        <v>48.61</v>
      </c>
      <c r="G142" s="3"/>
      <c r="H142" s="11"/>
      <c r="I142" s="3"/>
      <c r="J142" s="11"/>
      <c r="K142" s="3"/>
      <c r="L142" s="11"/>
      <c r="M142" s="3"/>
      <c r="N142" s="11"/>
      <c r="O142" s="3"/>
      <c r="P142" s="11"/>
      <c r="Q142" s="3"/>
      <c r="R142" s="11"/>
    </row>
    <row r="143" spans="1:18" s="44" customFormat="1" hidden="1" outlineLevel="1" x14ac:dyDescent="0.35">
      <c r="A143" s="16"/>
      <c r="B143" s="35" t="str">
        <f>CONCATENATE("          ", "5013", " - ", "PURCHASES @ COST-TRADE BOOKS")</f>
        <v xml:space="preserve">          5013 - PURCHASES @ COST-TRADE BOOKS</v>
      </c>
      <c r="C143" s="16"/>
      <c r="D143" s="11">
        <v>23643.49</v>
      </c>
      <c r="E143" s="16"/>
      <c r="F143" s="11">
        <v>15893.73</v>
      </c>
      <c r="G143" s="3"/>
      <c r="H143" s="11">
        <v>7649.14</v>
      </c>
      <c r="I143" s="3"/>
      <c r="J143" s="11">
        <v>7603.03</v>
      </c>
      <c r="K143" s="3"/>
      <c r="L143" s="11">
        <v>6715.59</v>
      </c>
      <c r="M143" s="3"/>
      <c r="N143" s="11">
        <v>2777.09</v>
      </c>
      <c r="O143" s="3"/>
      <c r="P143" s="11"/>
      <c r="Q143" s="3"/>
      <c r="R143" s="11"/>
    </row>
    <row r="144" spans="1:18" s="44" customFormat="1" hidden="1" outlineLevel="1" x14ac:dyDescent="0.35">
      <c r="A144" s="16"/>
      <c r="B144" s="35" t="str">
        <f>CONCATENATE("          ", "5014", " - ", "PURCHASES @ COST-REMAINDERS")</f>
        <v xml:space="preserve">          5014 - PURCHASES @ COST-REMAINDERS</v>
      </c>
      <c r="C144" s="16"/>
      <c r="D144" s="11"/>
      <c r="E144" s="16"/>
      <c r="F144" s="11">
        <v>1308.4100000000001</v>
      </c>
      <c r="G144" s="3"/>
      <c r="H144" s="11">
        <v>0</v>
      </c>
      <c r="I144" s="3"/>
      <c r="J144" s="11">
        <v>2568.8000000000002</v>
      </c>
      <c r="K144" s="3"/>
      <c r="L144" s="11">
        <v>1261.47</v>
      </c>
      <c r="M144" s="3"/>
      <c r="N144" s="11">
        <v>747.07</v>
      </c>
      <c r="O144" s="3"/>
      <c r="P144" s="11"/>
      <c r="Q144" s="3"/>
      <c r="R144" s="11"/>
    </row>
    <row r="145" spans="1:18" s="44" customFormat="1" hidden="1" outlineLevel="1" x14ac:dyDescent="0.35">
      <c r="A145" s="16"/>
      <c r="B145" s="35" t="str">
        <f>CONCATENATE("          ", "5015", " - ", "PURCHASES @ COST-CALENDARS")</f>
        <v xml:space="preserve">          5015 - PURCHASES @ COST-CALENDARS</v>
      </c>
      <c r="C145" s="16"/>
      <c r="D145" s="11">
        <v>2530.37</v>
      </c>
      <c r="E145" s="16"/>
      <c r="F145" s="11">
        <v>2659.06</v>
      </c>
      <c r="G145" s="3"/>
      <c r="H145" s="11"/>
      <c r="I145" s="3"/>
      <c r="J145" s="11"/>
      <c r="K145" s="3"/>
      <c r="L145" s="11"/>
      <c r="M145" s="3"/>
      <c r="N145" s="11"/>
      <c r="O145" s="3"/>
      <c r="P145" s="11"/>
      <c r="Q145" s="3"/>
      <c r="R145" s="11"/>
    </row>
    <row r="146" spans="1:18" s="44" customFormat="1" hidden="1" outlineLevel="1" x14ac:dyDescent="0.35">
      <c r="A146" s="16"/>
      <c r="B146" s="35" t="str">
        <f>CONCATENATE("          ", "5017", " - ", "PURCHASES @ COST-DORM/HOUSEWAR")</f>
        <v xml:space="preserve">          5017 - PURCHASES @ COST-DORM/HOUSEWAR</v>
      </c>
      <c r="C146" s="16"/>
      <c r="D146" s="11">
        <v>1414.67</v>
      </c>
      <c r="E146" s="16"/>
      <c r="F146" s="11"/>
      <c r="G146" s="3"/>
      <c r="H146" s="11"/>
      <c r="I146" s="3"/>
      <c r="J146" s="11">
        <v>3451.82</v>
      </c>
      <c r="K146" s="3"/>
      <c r="L146" s="11">
        <v>239.9</v>
      </c>
      <c r="M146" s="3"/>
      <c r="N146" s="11">
        <v>14.46</v>
      </c>
      <c r="O146" s="3"/>
      <c r="P146" s="11"/>
      <c r="Q146" s="3"/>
      <c r="R146" s="11"/>
    </row>
    <row r="147" spans="1:18" s="44" customFormat="1" hidden="1" outlineLevel="1" x14ac:dyDescent="0.35">
      <c r="A147" s="16"/>
      <c r="B147" s="35" t="str">
        <f>CONCATENATE("          ", "5018", " - ", "PURCHASES @ COST-STUDY GUIDES")</f>
        <v xml:space="preserve">          5018 - PURCHASES @ COST-STUDY GUIDES</v>
      </c>
      <c r="C147" s="16"/>
      <c r="D147" s="11">
        <v>5816.04</v>
      </c>
      <c r="E147" s="16"/>
      <c r="F147" s="11">
        <v>4459.92</v>
      </c>
      <c r="G147" s="3"/>
      <c r="H147" s="11">
        <v>4716.9799999999996</v>
      </c>
      <c r="I147" s="3"/>
      <c r="J147" s="11">
        <v>6227.2</v>
      </c>
      <c r="K147" s="3"/>
      <c r="L147" s="11">
        <v>3717</v>
      </c>
      <c r="M147" s="3"/>
      <c r="N147" s="11">
        <v>-454.52</v>
      </c>
      <c r="O147" s="3"/>
      <c r="P147" s="11"/>
      <c r="Q147" s="3"/>
      <c r="R147" s="11"/>
    </row>
    <row r="148" spans="1:18" s="44" customFormat="1" hidden="1" outlineLevel="1" x14ac:dyDescent="0.35">
      <c r="A148" s="16"/>
      <c r="B148" s="35" t="str">
        <f>CONCATENATE("          ", "5019", " - ", "PURCHASES @ COST-BOOK RELATED")</f>
        <v xml:space="preserve">          5019 - PURCHASES @ COST-BOOK RELATED</v>
      </c>
      <c r="C148" s="16"/>
      <c r="D148" s="11">
        <v>5234.41</v>
      </c>
      <c r="E148" s="16"/>
      <c r="F148" s="11">
        <v>6086.85</v>
      </c>
      <c r="G148" s="3"/>
      <c r="H148" s="11">
        <v>659.98</v>
      </c>
      <c r="I148" s="3"/>
      <c r="J148" s="11">
        <v>148.38</v>
      </c>
      <c r="K148" s="3"/>
      <c r="L148" s="11"/>
      <c r="M148" s="3"/>
      <c r="N148" s="11"/>
      <c r="O148" s="3"/>
      <c r="P148" s="11"/>
      <c r="Q148" s="3"/>
      <c r="R148" s="11"/>
    </row>
    <row r="149" spans="1:18" s="44" customFormat="1" hidden="1" outlineLevel="1" x14ac:dyDescent="0.35">
      <c r="A149" s="16"/>
      <c r="B149" s="35" t="str">
        <f>CONCATENATE("          ", "5025", " - ", "PURCHASES @ COST-TEST FORMS")</f>
        <v xml:space="preserve">          5025 - PURCHASES @ COST-TEST FORMS</v>
      </c>
      <c r="C149" s="16"/>
      <c r="D149" s="11">
        <v>21074.42</v>
      </c>
      <c r="E149" s="16"/>
      <c r="F149" s="11">
        <v>27919.040000000001</v>
      </c>
      <c r="G149" s="3"/>
      <c r="H149" s="11">
        <v>26579.64</v>
      </c>
      <c r="I149" s="3"/>
      <c r="J149" s="11">
        <v>27885.29</v>
      </c>
      <c r="K149" s="3"/>
      <c r="L149" s="11">
        <v>21295.599999999999</v>
      </c>
      <c r="M149" s="3"/>
      <c r="N149" s="11">
        <v>26400.39</v>
      </c>
      <c r="O149" s="3"/>
      <c r="P149" s="11"/>
      <c r="Q149" s="3"/>
      <c r="R149" s="11"/>
    </row>
    <row r="150" spans="1:18" s="44" customFormat="1" hidden="1" outlineLevel="1" x14ac:dyDescent="0.35">
      <c r="A150" s="16"/>
      <c r="B150" s="35" t="str">
        <f>CONCATENATE("          ", "5026", " - ", "PURCHASES @ COST-WRITING INSTR")</f>
        <v xml:space="preserve">          5026 - PURCHASES @ COST-WRITING INSTR</v>
      </c>
      <c r="C150" s="16"/>
      <c r="D150" s="11">
        <v>46008.37</v>
      </c>
      <c r="E150" s="16"/>
      <c r="F150" s="11">
        <v>51715.06</v>
      </c>
      <c r="G150" s="3"/>
      <c r="H150" s="11">
        <v>55045.67</v>
      </c>
      <c r="I150" s="3"/>
      <c r="J150" s="11">
        <v>44843.66</v>
      </c>
      <c r="K150" s="3"/>
      <c r="L150" s="11">
        <v>54938.31</v>
      </c>
      <c r="M150" s="3"/>
      <c r="N150" s="11">
        <v>44186.57</v>
      </c>
      <c r="O150" s="3"/>
      <c r="P150" s="11"/>
      <c r="Q150" s="3"/>
      <c r="R150" s="11"/>
    </row>
    <row r="151" spans="1:18" s="44" customFormat="1" hidden="1" outlineLevel="1" x14ac:dyDescent="0.35">
      <c r="A151" s="16"/>
      <c r="B151" s="35" t="str">
        <f>CONCATENATE("          ", "5027", " - ", "PURCHASES @ COST-SCHOOL SUPPLI")</f>
        <v xml:space="preserve">          5027 - PURCHASES @ COST-SCHOOL SUPPLI</v>
      </c>
      <c r="C151" s="16"/>
      <c r="D151" s="11">
        <v>164788.62</v>
      </c>
      <c r="E151" s="16"/>
      <c r="F151" s="11">
        <v>178356.07</v>
      </c>
      <c r="G151" s="3"/>
      <c r="H151" s="11">
        <v>155465.81</v>
      </c>
      <c r="I151" s="3"/>
      <c r="J151" s="11">
        <v>172464.31</v>
      </c>
      <c r="K151" s="3"/>
      <c r="L151" s="11">
        <v>168868.3</v>
      </c>
      <c r="M151" s="3"/>
      <c r="N151" s="11">
        <v>153162.12</v>
      </c>
      <c r="O151" s="3"/>
      <c r="P151" s="11"/>
      <c r="Q151" s="3"/>
      <c r="R151" s="11"/>
    </row>
    <row r="152" spans="1:18" s="44" customFormat="1" hidden="1" outlineLevel="1" x14ac:dyDescent="0.35">
      <c r="A152" s="16"/>
      <c r="B152" s="35" t="str">
        <f>CONCATENATE("          ", "5028", " - ", "PURCHASES @ COST-ART/TECH")</f>
        <v xml:space="preserve">          5028 - PURCHASES @ COST-ART/TECH</v>
      </c>
      <c r="C152" s="16"/>
      <c r="D152" s="11">
        <v>183333.92</v>
      </c>
      <c r="E152" s="16"/>
      <c r="F152" s="11">
        <v>197868.04</v>
      </c>
      <c r="G152" s="3"/>
      <c r="H152" s="11">
        <v>186438.47</v>
      </c>
      <c r="I152" s="3"/>
      <c r="J152" s="11">
        <v>196144.24</v>
      </c>
      <c r="K152" s="3"/>
      <c r="L152" s="11">
        <v>178081.3</v>
      </c>
      <c r="M152" s="3"/>
      <c r="N152" s="11">
        <v>158554.31</v>
      </c>
      <c r="O152" s="3"/>
      <c r="P152" s="11"/>
      <c r="Q152" s="3"/>
      <c r="R152" s="11"/>
    </row>
    <row r="153" spans="1:18" s="44" customFormat="1" hidden="1" outlineLevel="1" x14ac:dyDescent="0.35">
      <c r="A153" s="16"/>
      <c r="B153" s="35" t="str">
        <f>CONCATENATE("          ", "5031", " - ", "PURCHASES @ COST-FOOD")</f>
        <v xml:space="preserve">          5031 - PURCHASES @ COST-FOOD</v>
      </c>
      <c r="C153" s="16"/>
      <c r="D153" s="11">
        <v>27168.41</v>
      </c>
      <c r="E153" s="16"/>
      <c r="F153" s="11">
        <v>33416.9</v>
      </c>
      <c r="G153" s="3"/>
      <c r="H153" s="11">
        <v>45727.41</v>
      </c>
      <c r="I153" s="3"/>
      <c r="J153" s="11">
        <v>42979.55</v>
      </c>
      <c r="K153" s="3"/>
      <c r="L153" s="11">
        <v>39394.629999999997</v>
      </c>
      <c r="M153" s="3"/>
      <c r="N153" s="11">
        <v>33239.879999999997</v>
      </c>
      <c r="O153" s="3"/>
      <c r="P153" s="11"/>
      <c r="Q153" s="3"/>
      <c r="R153" s="11"/>
    </row>
    <row r="154" spans="1:18" s="44" customFormat="1" hidden="1" outlineLevel="1" x14ac:dyDescent="0.35">
      <c r="A154" s="16"/>
      <c r="B154" s="35" t="str">
        <f>CONCATENATE("          ", "5032", " - ", "PURCHASES @ COST-JUICE")</f>
        <v xml:space="preserve">          5032 - PURCHASES @ COST-JUICE</v>
      </c>
      <c r="C154" s="16"/>
      <c r="D154" s="11">
        <v>11186.97</v>
      </c>
      <c r="E154" s="16"/>
      <c r="F154" s="11">
        <v>12614.91</v>
      </c>
      <c r="G154" s="3"/>
      <c r="H154" s="11">
        <v>12192.02</v>
      </c>
      <c r="I154" s="3"/>
      <c r="J154" s="11">
        <v>10424.870000000001</v>
      </c>
      <c r="K154" s="3"/>
      <c r="L154" s="11">
        <v>10038.59</v>
      </c>
      <c r="M154" s="3"/>
      <c r="N154" s="11">
        <v>7802.45</v>
      </c>
      <c r="O154" s="3"/>
      <c r="P154" s="11"/>
      <c r="Q154" s="3"/>
      <c r="R154" s="11"/>
    </row>
    <row r="155" spans="1:18" s="44" customFormat="1" hidden="1" outlineLevel="1" x14ac:dyDescent="0.35">
      <c r="A155" s="16"/>
      <c r="B155" s="35" t="str">
        <f>CONCATENATE("          ", "5033", " - ", "PURCHASES @ COST-CANDY")</f>
        <v xml:space="preserve">          5033 - PURCHASES @ COST-CANDY</v>
      </c>
      <c r="C155" s="16"/>
      <c r="D155" s="11">
        <v>15944.82</v>
      </c>
      <c r="E155" s="16"/>
      <c r="F155" s="11">
        <v>18911.07</v>
      </c>
      <c r="G155" s="3"/>
      <c r="H155" s="11">
        <v>14003.16</v>
      </c>
      <c r="I155" s="3"/>
      <c r="J155" s="11">
        <v>9927</v>
      </c>
      <c r="K155" s="3"/>
      <c r="L155" s="11">
        <v>10043.27</v>
      </c>
      <c r="M155" s="3"/>
      <c r="N155" s="11">
        <v>9998.41</v>
      </c>
      <c r="O155" s="3"/>
      <c r="P155" s="11"/>
      <c r="Q155" s="3"/>
      <c r="R155" s="11"/>
    </row>
    <row r="156" spans="1:18" s="44" customFormat="1" hidden="1" outlineLevel="1" x14ac:dyDescent="0.35">
      <c r="A156" s="16"/>
      <c r="B156" s="35" t="str">
        <f>CONCATENATE("          ", "5034", " - ", "PURCHASES @ COST-SODA")</f>
        <v xml:space="preserve">          5034 - PURCHASES @ COST-SODA</v>
      </c>
      <c r="C156" s="16"/>
      <c r="D156" s="11">
        <v>3990.6</v>
      </c>
      <c r="E156" s="16"/>
      <c r="F156" s="11">
        <v>3908.57</v>
      </c>
      <c r="G156" s="3"/>
      <c r="H156" s="11">
        <v>4978.3900000000003</v>
      </c>
      <c r="I156" s="3"/>
      <c r="J156" s="11">
        <v>5525.26</v>
      </c>
      <c r="K156" s="3"/>
      <c r="L156" s="11">
        <v>3996.87</v>
      </c>
      <c r="M156" s="3"/>
      <c r="N156" s="11">
        <v>4033.88</v>
      </c>
      <c r="O156" s="3"/>
      <c r="P156" s="11"/>
      <c r="Q156" s="3"/>
      <c r="R156" s="11"/>
    </row>
    <row r="157" spans="1:18" s="44" customFormat="1" hidden="1" outlineLevel="1" x14ac:dyDescent="0.35">
      <c r="A157" s="16"/>
      <c r="B157" s="35" t="str">
        <f>CONCATENATE("          ", "5035", " - ", "PURCHASES @ COST-HEALTH &amp; BEAU")</f>
        <v xml:space="preserve">          5035 - PURCHASES @ COST-HEALTH &amp; BEAU</v>
      </c>
      <c r="C157" s="16"/>
      <c r="D157" s="11">
        <v>792.67</v>
      </c>
      <c r="E157" s="16"/>
      <c r="F157" s="11">
        <v>1167.97</v>
      </c>
      <c r="G157" s="3"/>
      <c r="H157" s="11">
        <v>1842.37</v>
      </c>
      <c r="I157" s="3"/>
      <c r="J157" s="11">
        <v>1744.79</v>
      </c>
      <c r="K157" s="3"/>
      <c r="L157" s="11">
        <v>1219.07</v>
      </c>
      <c r="M157" s="3"/>
      <c r="N157" s="11">
        <v>1117.6500000000001</v>
      </c>
      <c r="O157" s="3"/>
      <c r="P157" s="11"/>
      <c r="Q157" s="3"/>
      <c r="R157" s="11"/>
    </row>
    <row r="158" spans="1:18" s="44" customFormat="1" hidden="1" outlineLevel="1" x14ac:dyDescent="0.35">
      <c r="A158" s="16"/>
      <c r="B158" s="35" t="str">
        <f>CONCATENATE("          ", "5037", " - ", "PURCHASES @ COST-WATER")</f>
        <v xml:space="preserve">          5037 - PURCHASES @ COST-WATER</v>
      </c>
      <c r="C158" s="16"/>
      <c r="D158" s="11">
        <v>6123.42</v>
      </c>
      <c r="E158" s="16"/>
      <c r="F158" s="11">
        <v>6136.26</v>
      </c>
      <c r="G158" s="3"/>
      <c r="H158" s="11">
        <v>5251.91</v>
      </c>
      <c r="I158" s="3"/>
      <c r="J158" s="11">
        <v>5729.06</v>
      </c>
      <c r="K158" s="3"/>
      <c r="L158" s="11">
        <v>6290.29</v>
      </c>
      <c r="M158" s="3"/>
      <c r="N158" s="11">
        <v>5693.57</v>
      </c>
      <c r="O158" s="3"/>
      <c r="P158" s="11"/>
      <c r="Q158" s="3"/>
      <c r="R158" s="11"/>
    </row>
    <row r="159" spans="1:18" s="44" customFormat="1" hidden="1" outlineLevel="1" x14ac:dyDescent="0.35">
      <c r="A159" s="16"/>
      <c r="B159" s="35" t="str">
        <f>CONCATENATE("          ", "5040", " - ", "PURCHASES @ COST-LOGO CLOTHING")</f>
        <v xml:space="preserve">          5040 - PURCHASES @ COST-LOGO CLOTHING</v>
      </c>
      <c r="C159" s="16"/>
      <c r="D159" s="11">
        <v>847287.44</v>
      </c>
      <c r="E159" s="16"/>
      <c r="F159" s="11">
        <v>991136.65</v>
      </c>
      <c r="G159" s="3"/>
      <c r="H159" s="11">
        <v>1087573.07</v>
      </c>
      <c r="I159" s="3"/>
      <c r="J159" s="11">
        <v>1108851</v>
      </c>
      <c r="K159" s="3"/>
      <c r="L159" s="11">
        <v>1080553.1200000001</v>
      </c>
      <c r="M159" s="3"/>
      <c r="N159" s="11">
        <v>982941.51</v>
      </c>
      <c r="O159" s="3"/>
      <c r="P159" s="11"/>
      <c r="Q159" s="3"/>
      <c r="R159" s="11"/>
    </row>
    <row r="160" spans="1:18" s="44" customFormat="1" hidden="1" outlineLevel="1" x14ac:dyDescent="0.35">
      <c r="A160" s="16"/>
      <c r="B160" s="35" t="str">
        <f>CONCATENATE("          ", "5041", " - ", "PURCHASES @ COST-LOGO GIFTS")</f>
        <v xml:space="preserve">          5041 - PURCHASES @ COST-LOGO GIFTS</v>
      </c>
      <c r="C160" s="16"/>
      <c r="D160" s="11">
        <v>249651.27</v>
      </c>
      <c r="E160" s="16"/>
      <c r="F160" s="11">
        <v>266168.43</v>
      </c>
      <c r="G160" s="3"/>
      <c r="H160" s="11">
        <v>290516.88</v>
      </c>
      <c r="I160" s="3"/>
      <c r="J160" s="11">
        <v>293142.75</v>
      </c>
      <c r="K160" s="3"/>
      <c r="L160" s="11">
        <v>323814.98</v>
      </c>
      <c r="M160" s="3"/>
      <c r="N160" s="11">
        <v>162844.63</v>
      </c>
      <c r="O160" s="3"/>
      <c r="P160" s="11"/>
      <c r="Q160" s="3"/>
      <c r="R160" s="11"/>
    </row>
    <row r="161" spans="1:18" s="44" customFormat="1" hidden="1" outlineLevel="1" x14ac:dyDescent="0.35">
      <c r="A161" s="16"/>
      <c r="B161" s="35" t="str">
        <f>CONCATENATE("          ", "5042", " - ", "PURCHASES @ COST-EVERYDAY GIFT")</f>
        <v xml:space="preserve">          5042 - PURCHASES @ COST-EVERYDAY GIFT</v>
      </c>
      <c r="C161" s="16"/>
      <c r="D161" s="11">
        <v>46184.45</v>
      </c>
      <c r="E161" s="16"/>
      <c r="F161" s="11">
        <v>57437.81</v>
      </c>
      <c r="G161" s="3"/>
      <c r="H161" s="11">
        <v>63500.18</v>
      </c>
      <c r="I161" s="3"/>
      <c r="J161" s="11">
        <v>127577.98</v>
      </c>
      <c r="K161" s="3"/>
      <c r="L161" s="11">
        <v>143887.1</v>
      </c>
      <c r="M161" s="3"/>
      <c r="N161" s="11">
        <v>125778.55</v>
      </c>
      <c r="O161" s="3"/>
      <c r="P161" s="11"/>
      <c r="Q161" s="3"/>
      <c r="R161" s="11"/>
    </row>
    <row r="162" spans="1:18" s="44" customFormat="1" hidden="1" outlineLevel="1" x14ac:dyDescent="0.35">
      <c r="A162" s="16"/>
      <c r="B162" s="35" t="str">
        <f>CONCATENATE("          ", "5043", " - ", "PURCHASES @ COST-CARDS")</f>
        <v xml:space="preserve">          5043 - PURCHASES @ COST-CARDS</v>
      </c>
      <c r="C162" s="16"/>
      <c r="D162" s="11">
        <v>18266.72</v>
      </c>
      <c r="E162" s="16"/>
      <c r="F162" s="11">
        <v>16408.27</v>
      </c>
      <c r="G162" s="3"/>
      <c r="H162" s="11">
        <v>2227.88</v>
      </c>
      <c r="I162" s="3"/>
      <c r="J162" s="11">
        <v>4641.3599999999997</v>
      </c>
      <c r="K162" s="3"/>
      <c r="L162" s="11">
        <v>3631.23</v>
      </c>
      <c r="M162" s="3"/>
      <c r="N162" s="11">
        <v>30914.66</v>
      </c>
      <c r="O162" s="3"/>
      <c r="P162" s="11"/>
      <c r="Q162" s="3"/>
      <c r="R162" s="11"/>
    </row>
    <row r="163" spans="1:18" s="44" customFormat="1" hidden="1" outlineLevel="1" x14ac:dyDescent="0.35">
      <c r="A163" s="16"/>
      <c r="B163" s="35" t="str">
        <f>CONCATENATE("          ", "5044", " - ", "PURCHASES @ COST-ACCESSORIES")</f>
        <v xml:space="preserve">          5044 - PURCHASES @ COST-ACCESSORIES</v>
      </c>
      <c r="C163" s="16"/>
      <c r="D163" s="11">
        <v>37989.160000000003</v>
      </c>
      <c r="E163" s="16"/>
      <c r="F163" s="11">
        <v>43577.53</v>
      </c>
      <c r="G163" s="3"/>
      <c r="H163" s="11">
        <v>29753.37</v>
      </c>
      <c r="I163" s="3"/>
      <c r="J163" s="11">
        <v>39851.769999999997</v>
      </c>
      <c r="K163" s="3"/>
      <c r="L163" s="11">
        <v>37653.61</v>
      </c>
      <c r="M163" s="3"/>
      <c r="N163" s="11">
        <v>37869.03</v>
      </c>
      <c r="O163" s="3"/>
      <c r="P163" s="11"/>
      <c r="Q163" s="3"/>
      <c r="R163" s="11"/>
    </row>
    <row r="164" spans="1:18" s="44" customFormat="1" hidden="1" outlineLevel="1" x14ac:dyDescent="0.35">
      <c r="A164" s="16"/>
      <c r="B164" s="35" t="str">
        <f>CONCATENATE("          ", "5045", " - ", "PURCHASES @ COST-SPECIAL ORDER")</f>
        <v xml:space="preserve">          5045 - PURCHASES @ COST-SPECIAL ORDER</v>
      </c>
      <c r="C164" s="16"/>
      <c r="D164" s="11">
        <v>80402.06</v>
      </c>
      <c r="E164" s="16"/>
      <c r="F164" s="11">
        <v>75693.570000000007</v>
      </c>
      <c r="G164" s="3"/>
      <c r="H164" s="11">
        <v>138273.57999999999</v>
      </c>
      <c r="I164" s="3"/>
      <c r="J164" s="11">
        <v>125479.66</v>
      </c>
      <c r="K164" s="3"/>
      <c r="L164" s="11">
        <v>157881.60999999999</v>
      </c>
      <c r="M164" s="3"/>
      <c r="N164" s="11">
        <v>131614.81</v>
      </c>
      <c r="O164" s="3"/>
      <c r="P164" s="11"/>
      <c r="Q164" s="3"/>
      <c r="R164" s="11"/>
    </row>
    <row r="165" spans="1:18" s="44" customFormat="1" hidden="1" outlineLevel="1" x14ac:dyDescent="0.35">
      <c r="A165" s="16"/>
      <c r="B165" s="35" t="str">
        <f>CONCATENATE("          ", "5081", " - ", "PURCHASES @ COST-ELECTRONICS")</f>
        <v xml:space="preserve">          5081 - PURCHASES @ COST-ELECTRONICS</v>
      </c>
      <c r="C165" s="16"/>
      <c r="D165" s="11">
        <v>725.68</v>
      </c>
      <c r="E165" s="16"/>
      <c r="F165" s="11">
        <v>871.87</v>
      </c>
      <c r="G165" s="3"/>
      <c r="H165" s="11">
        <v>2695.65</v>
      </c>
      <c r="I165" s="3"/>
      <c r="J165" s="11">
        <v>2043.38</v>
      </c>
      <c r="K165" s="3"/>
      <c r="L165" s="11">
        <v>2676.75</v>
      </c>
      <c r="M165" s="3"/>
      <c r="N165" s="11">
        <v>2008.03</v>
      </c>
      <c r="O165" s="3"/>
      <c r="P165" s="11"/>
      <c r="Q165" s="3"/>
      <c r="R165" s="11"/>
    </row>
    <row r="166" spans="1:18" s="44" customFormat="1" hidden="1" outlineLevel="1" x14ac:dyDescent="0.35">
      <c r="A166" s="16"/>
      <c r="B166" s="35" t="str">
        <f>CONCATENATE("          ", "5082", " - ", "PURCHASES @ COST-COMPUTER HARD")</f>
        <v xml:space="preserve">          5082 - PURCHASES @ COST-COMPUTER HARD</v>
      </c>
      <c r="C166" s="16"/>
      <c r="D166" s="11"/>
      <c r="E166" s="16"/>
      <c r="F166" s="11"/>
      <c r="G166" s="3"/>
      <c r="H166" s="11">
        <v>962</v>
      </c>
      <c r="I166" s="3"/>
      <c r="J166" s="11">
        <v>1428.18</v>
      </c>
      <c r="K166" s="3"/>
      <c r="L166" s="11">
        <v>1118</v>
      </c>
      <c r="M166" s="3"/>
      <c r="N166" s="11">
        <v>349.6</v>
      </c>
      <c r="O166" s="3"/>
      <c r="P166" s="11"/>
      <c r="Q166" s="3"/>
      <c r="R166" s="11"/>
    </row>
    <row r="167" spans="1:18" s="44" customFormat="1" hidden="1" outlineLevel="1" x14ac:dyDescent="0.35">
      <c r="A167" s="16"/>
      <c r="B167" s="35" t="str">
        <f>CONCATENATE("          ", "5083", " - ", "PURCHASES @ COST-COMPUTER EQUI")</f>
        <v xml:space="preserve">          5083 - PURCHASES @ COST-COMPUTER EQUI</v>
      </c>
      <c r="C167" s="16"/>
      <c r="D167" s="11">
        <v>153.53</v>
      </c>
      <c r="E167" s="16"/>
      <c r="F167" s="11">
        <v>283.38</v>
      </c>
      <c r="G167" s="3"/>
      <c r="H167" s="11">
        <v>872.08</v>
      </c>
      <c r="I167" s="3"/>
      <c r="J167" s="11">
        <v>974.62</v>
      </c>
      <c r="K167" s="3"/>
      <c r="L167" s="11">
        <v>653.19000000000005</v>
      </c>
      <c r="M167" s="3"/>
      <c r="N167" s="11">
        <v>395.06</v>
      </c>
      <c r="O167" s="3"/>
      <c r="P167" s="11"/>
      <c r="Q167" s="3"/>
      <c r="R167" s="11"/>
    </row>
    <row r="168" spans="1:18" s="44" customFormat="1" hidden="1" outlineLevel="1" x14ac:dyDescent="0.35">
      <c r="A168" s="16"/>
      <c r="B168" s="35" t="str">
        <f>CONCATENATE("          ", "5086", " - ", "PURCHASES @ COST-COMPUTER SUPP")</f>
        <v xml:space="preserve">          5086 - PURCHASES @ COST-COMPUTER SUPP</v>
      </c>
      <c r="C168" s="16"/>
      <c r="D168" s="11">
        <v>118.65</v>
      </c>
      <c r="E168" s="16"/>
      <c r="F168" s="11">
        <v>371.27</v>
      </c>
      <c r="G168" s="3"/>
      <c r="H168" s="11">
        <v>847.13</v>
      </c>
      <c r="I168" s="3"/>
      <c r="J168" s="11">
        <v>583.21</v>
      </c>
      <c r="K168" s="3"/>
      <c r="L168" s="11">
        <v>971.76</v>
      </c>
      <c r="M168" s="3"/>
      <c r="N168" s="11">
        <v>426.22</v>
      </c>
      <c r="O168" s="3"/>
      <c r="P168" s="11"/>
      <c r="Q168" s="3"/>
      <c r="R168" s="11"/>
    </row>
    <row r="169" spans="1:18" s="44" customFormat="1" hidden="1" outlineLevel="1" x14ac:dyDescent="0.35">
      <c r="A169" s="16"/>
      <c r="B169" s="35" t="str">
        <f>CONCATENATE("          ", "5088", " - ", "PURCHASES @ COST-MUSIC")</f>
        <v xml:space="preserve">          5088 - PURCHASES @ COST-MUSIC</v>
      </c>
      <c r="C169" s="16"/>
      <c r="D169" s="11"/>
      <c r="E169" s="16"/>
      <c r="F169" s="11"/>
      <c r="G169" s="3"/>
      <c r="H169" s="11"/>
      <c r="I169" s="3"/>
      <c r="J169" s="11">
        <v>40</v>
      </c>
      <c r="K169" s="3"/>
      <c r="L169" s="11"/>
      <c r="M169" s="3"/>
      <c r="N169" s="11"/>
      <c r="O169" s="3"/>
      <c r="P169" s="11"/>
      <c r="Q169" s="3"/>
      <c r="R169" s="11"/>
    </row>
    <row r="170" spans="1:18" s="44" customFormat="1" hidden="1" outlineLevel="1" x14ac:dyDescent="0.35">
      <c r="A170" s="16"/>
      <c r="B170" s="35" t="str">
        <f>CONCATENATE("          ", "5091", " - ", "PURCHASES @ COST-GRAD ANNOUNCE")</f>
        <v xml:space="preserve">          5091 - PURCHASES @ COST-GRAD ANNOUNCE</v>
      </c>
      <c r="C170" s="16"/>
      <c r="D170" s="11">
        <v>478.5</v>
      </c>
      <c r="E170" s="16"/>
      <c r="F170" s="11">
        <v>715</v>
      </c>
      <c r="G170" s="3"/>
      <c r="H170" s="11"/>
      <c r="I170" s="3"/>
      <c r="J170" s="11">
        <v>0</v>
      </c>
      <c r="K170" s="3"/>
      <c r="L170" s="11"/>
      <c r="M170" s="3"/>
      <c r="N170" s="11"/>
      <c r="O170" s="3"/>
      <c r="P170" s="11"/>
      <c r="Q170" s="3"/>
      <c r="R170" s="11"/>
    </row>
    <row r="171" spans="1:18" s="44" customFormat="1" hidden="1" outlineLevel="1" x14ac:dyDescent="0.35">
      <c r="A171" s="16"/>
      <c r="B171" s="35" t="str">
        <f>CONCATENATE("          ", "5092", " - ", "PURCHASES @ COST-GRAD MERCH")</f>
        <v xml:space="preserve">          5092 - PURCHASES @ COST-GRAD MERCH</v>
      </c>
      <c r="C171" s="16"/>
      <c r="D171" s="11">
        <v>128753.82</v>
      </c>
      <c r="E171" s="16"/>
      <c r="F171" s="11">
        <v>155039.99</v>
      </c>
      <c r="G171" s="3"/>
      <c r="H171" s="11">
        <v>187802.28</v>
      </c>
      <c r="I171" s="3"/>
      <c r="J171" s="11">
        <v>207987.96</v>
      </c>
      <c r="K171" s="3"/>
      <c r="L171" s="11">
        <v>96915.8</v>
      </c>
      <c r="M171" s="3"/>
      <c r="N171" s="11">
        <v>13839.98</v>
      </c>
      <c r="O171" s="3"/>
      <c r="P171" s="11"/>
      <c r="Q171" s="3"/>
      <c r="R171" s="11"/>
    </row>
    <row r="172" spans="1:18" s="44" customFormat="1" hidden="1" outlineLevel="1" x14ac:dyDescent="0.35">
      <c r="A172" s="16"/>
      <c r="B172" s="35" t="str">
        <f>CONCATENATE("          ", "5095", " - ", "PURCHASES @ COST-CUSTOMER SERV")</f>
        <v xml:space="preserve">          5095 - PURCHASES @ COST-CUSTOMER SERV</v>
      </c>
      <c r="C172" s="16"/>
      <c r="D172" s="11">
        <v>0</v>
      </c>
      <c r="E172" s="16"/>
      <c r="F172" s="11">
        <v>-1.68</v>
      </c>
      <c r="G172" s="3"/>
      <c r="H172" s="11">
        <v>0</v>
      </c>
      <c r="I172" s="3"/>
      <c r="J172" s="11">
        <v>0</v>
      </c>
      <c r="K172" s="3"/>
      <c r="L172" s="11">
        <v>0</v>
      </c>
      <c r="M172" s="3"/>
      <c r="N172" s="11">
        <v>0</v>
      </c>
      <c r="O172" s="3"/>
      <c r="P172" s="11"/>
      <c r="Q172" s="3"/>
      <c r="R172" s="11"/>
    </row>
    <row r="173" spans="1:18" s="44" customFormat="1" hidden="1" outlineLevel="1" x14ac:dyDescent="0.35">
      <c r="A173" s="16"/>
      <c r="B173" s="35" t="str">
        <f>CONCATENATE("          ", "5200", " - ", "PURCHASES OFFSET")</f>
        <v xml:space="preserve">          5200 - PURCHASES OFFSET</v>
      </c>
      <c r="C173" s="16"/>
      <c r="D173" s="11">
        <v>-6855121</v>
      </c>
      <c r="E173" s="16"/>
      <c r="F173" s="11">
        <v>-6111946</v>
      </c>
      <c r="G173" s="3"/>
      <c r="H173" s="11">
        <v>-6349043</v>
      </c>
      <c r="I173" s="3"/>
      <c r="J173" s="11">
        <v>-5748217</v>
      </c>
      <c r="K173" s="3"/>
      <c r="L173" s="11">
        <v>-4932261</v>
      </c>
      <c r="M173" s="3"/>
      <c r="N173" s="11">
        <v>-3777245</v>
      </c>
      <c r="O173" s="3"/>
      <c r="P173" s="11"/>
      <c r="Q173" s="3"/>
      <c r="R173" s="11"/>
    </row>
    <row r="174" spans="1:18" s="44" customFormat="1" hidden="1" outlineLevel="1" x14ac:dyDescent="0.35">
      <c r="A174" s="16"/>
      <c r="B174" s="35" t="str">
        <f>CONCATENATE("          ", "5300", " - ", "COG$ OFFSET")</f>
        <v xml:space="preserve">          5300 - COG$ OFFSET</v>
      </c>
      <c r="C174" s="16"/>
      <c r="D174" s="11">
        <v>6597224</v>
      </c>
      <c r="E174" s="16"/>
      <c r="F174" s="11">
        <v>6152501</v>
      </c>
      <c r="G174" s="3"/>
      <c r="H174" s="11">
        <v>6105711</v>
      </c>
      <c r="I174" s="3"/>
      <c r="J174" s="11">
        <v>5512963</v>
      </c>
      <c r="K174" s="3"/>
      <c r="L174" s="11">
        <v>5167505</v>
      </c>
      <c r="M174" s="3"/>
      <c r="N174" s="11">
        <v>4336696</v>
      </c>
      <c r="O174" s="3"/>
      <c r="P174" s="11"/>
      <c r="Q174" s="3"/>
      <c r="R174" s="11"/>
    </row>
    <row r="175" spans="1:18" s="44" customFormat="1" hidden="1" outlineLevel="1" x14ac:dyDescent="0.35">
      <c r="A175" s="16"/>
      <c r="B175" s="35" t="str">
        <f>CONCATENATE("          ", "5500", " - ", "FREIGHT-IN")</f>
        <v xml:space="preserve">          5500 - FREIGHT-IN</v>
      </c>
      <c r="C175" s="16"/>
      <c r="D175" s="11"/>
      <c r="E175" s="16"/>
      <c r="F175" s="11"/>
      <c r="G175" s="3"/>
      <c r="H175" s="11"/>
      <c r="I175" s="3"/>
      <c r="J175" s="11">
        <v>253.26</v>
      </c>
      <c r="K175" s="3"/>
      <c r="L175" s="11">
        <v>188.91</v>
      </c>
      <c r="M175" s="3"/>
      <c r="N175" s="11">
        <v>239.61</v>
      </c>
      <c r="O175" s="3"/>
      <c r="P175" s="11"/>
      <c r="Q175" s="3"/>
      <c r="R175" s="11"/>
    </row>
    <row r="176" spans="1:18" s="44" customFormat="1" hidden="1" outlineLevel="1" x14ac:dyDescent="0.35">
      <c r="A176" s="16"/>
      <c r="B176" s="35" t="str">
        <f>CONCATENATE("          ", "5501", " - ", "FREIGHT-IN-NEW TEXT")</f>
        <v xml:space="preserve">          5501 - FREIGHT-IN-NEW TEXT</v>
      </c>
      <c r="C176" s="16"/>
      <c r="D176" s="11">
        <v>113122.15</v>
      </c>
      <c r="E176" s="16"/>
      <c r="F176" s="11">
        <v>81075.98</v>
      </c>
      <c r="G176" s="3"/>
      <c r="H176" s="11">
        <v>66269.36</v>
      </c>
      <c r="I176" s="3"/>
      <c r="J176" s="11">
        <v>72413.94</v>
      </c>
      <c r="K176" s="3"/>
      <c r="L176" s="11">
        <v>66019.19</v>
      </c>
      <c r="M176" s="3"/>
      <c r="N176" s="11">
        <v>72230.789999999994</v>
      </c>
      <c r="O176" s="3"/>
      <c r="P176" s="11"/>
      <c r="Q176" s="3"/>
      <c r="R176" s="11"/>
    </row>
    <row r="177" spans="1:18" s="44" customFormat="1" hidden="1" outlineLevel="1" x14ac:dyDescent="0.35">
      <c r="A177" s="16"/>
      <c r="B177" s="35" t="str">
        <f>CONCATENATE("          ", "5502", " - ", "FREIGHT-IN-USED TEXT")</f>
        <v xml:space="preserve">          5502 - FREIGHT-IN-USED TEXT</v>
      </c>
      <c r="C177" s="16"/>
      <c r="D177" s="11">
        <v>25064.61</v>
      </c>
      <c r="E177" s="16"/>
      <c r="F177" s="11">
        <v>23788.51</v>
      </c>
      <c r="G177" s="3"/>
      <c r="H177" s="11">
        <v>22503.66</v>
      </c>
      <c r="I177" s="3"/>
      <c r="J177" s="11">
        <v>20515.400000000001</v>
      </c>
      <c r="K177" s="3"/>
      <c r="L177" s="11">
        <v>14394.46</v>
      </c>
      <c r="M177" s="3"/>
      <c r="N177" s="11">
        <v>16200.12</v>
      </c>
      <c r="O177" s="3"/>
      <c r="P177" s="11"/>
      <c r="Q177" s="3"/>
      <c r="R177" s="11"/>
    </row>
    <row r="178" spans="1:18" s="44" customFormat="1" hidden="1" outlineLevel="1" x14ac:dyDescent="0.35">
      <c r="A178" s="16"/>
      <c r="B178" s="35" t="str">
        <f>CONCATENATE("          ", "5504", " - ", "FREIGHT-IN-DIGITAL TEXT")</f>
        <v xml:space="preserve">          5504 - FREIGHT-IN-DIGITAL TEXT</v>
      </c>
      <c r="C178" s="16"/>
      <c r="D178" s="11">
        <v>10</v>
      </c>
      <c r="E178" s="16"/>
      <c r="F178" s="11"/>
      <c r="G178" s="3"/>
      <c r="H178" s="11">
        <v>36.46</v>
      </c>
      <c r="I178" s="3"/>
      <c r="J178" s="11">
        <v>84.51</v>
      </c>
      <c r="K178" s="3"/>
      <c r="L178" s="11">
        <v>243.53</v>
      </c>
      <c r="M178" s="3"/>
      <c r="N178" s="11">
        <v>118.75</v>
      </c>
      <c r="O178" s="3"/>
      <c r="P178" s="11"/>
      <c r="Q178" s="3"/>
      <c r="R178" s="11"/>
    </row>
    <row r="179" spans="1:18" s="44" customFormat="1" hidden="1" outlineLevel="1" x14ac:dyDescent="0.35">
      <c r="A179" s="16"/>
      <c r="B179" s="35" t="str">
        <f>CONCATENATE("          ", "5505", " - ", "FREIGHT-IN-NCSU")</f>
        <v xml:space="preserve">          5505 - FREIGHT-IN-NCSU</v>
      </c>
      <c r="C179" s="16"/>
      <c r="D179" s="11"/>
      <c r="E179" s="16"/>
      <c r="F179" s="11"/>
      <c r="G179" s="3"/>
      <c r="H179" s="11"/>
      <c r="I179" s="3"/>
      <c r="J179" s="11"/>
      <c r="K179" s="3"/>
      <c r="L179" s="11">
        <v>0</v>
      </c>
      <c r="M179" s="3"/>
      <c r="N179" s="11"/>
      <c r="O179" s="3"/>
      <c r="P179" s="11"/>
      <c r="Q179" s="3"/>
      <c r="R179" s="11"/>
    </row>
    <row r="180" spans="1:18" s="44" customFormat="1" hidden="1" outlineLevel="1" x14ac:dyDescent="0.35">
      <c r="A180" s="16"/>
      <c r="B180" s="35" t="str">
        <f>CONCATENATE("          ", "5507", " - ", "FREIGHT-IN-NPUB")</f>
        <v xml:space="preserve">          5507 - FREIGHT-IN-NPUB</v>
      </c>
      <c r="C180" s="16"/>
      <c r="D180" s="11"/>
      <c r="E180" s="16"/>
      <c r="F180" s="11"/>
      <c r="G180" s="3"/>
      <c r="H180" s="11"/>
      <c r="I180" s="3"/>
      <c r="J180" s="11">
        <v>1.75</v>
      </c>
      <c r="K180" s="3"/>
      <c r="L180" s="11"/>
      <c r="M180" s="3"/>
      <c r="N180" s="11"/>
      <c r="O180" s="3"/>
      <c r="P180" s="11"/>
      <c r="Q180" s="3"/>
      <c r="R180" s="11"/>
    </row>
    <row r="181" spans="1:18" s="44" customFormat="1" hidden="1" outlineLevel="1" x14ac:dyDescent="0.35">
      <c r="A181" s="16"/>
      <c r="B181" s="35" t="str">
        <f>CONCATENATE("          ", "5513", " - ", "FREIGHT-IN-TRADE BOOKS")</f>
        <v xml:space="preserve">          5513 - FREIGHT-IN-TRADE BOOKS</v>
      </c>
      <c r="C181" s="16"/>
      <c r="D181" s="11">
        <v>689.7</v>
      </c>
      <c r="E181" s="16"/>
      <c r="F181" s="11">
        <v>584.27</v>
      </c>
      <c r="G181" s="3"/>
      <c r="H181" s="11">
        <v>202.25</v>
      </c>
      <c r="I181" s="3"/>
      <c r="J181" s="11">
        <v>129.78</v>
      </c>
      <c r="K181" s="3"/>
      <c r="L181" s="11">
        <v>54.9</v>
      </c>
      <c r="M181" s="3"/>
      <c r="N181" s="11">
        <v>30.24</v>
      </c>
      <c r="O181" s="3"/>
      <c r="P181" s="11"/>
      <c r="Q181" s="3"/>
      <c r="R181" s="11"/>
    </row>
    <row r="182" spans="1:18" s="44" customFormat="1" hidden="1" outlineLevel="1" x14ac:dyDescent="0.35">
      <c r="A182" s="16"/>
      <c r="B182" s="35" t="str">
        <f>CONCATENATE("          ", "5514", " - ", "FREIGHT-IN-REMAINDERS")</f>
        <v xml:space="preserve">          5514 - FREIGHT-IN-REMAINDERS</v>
      </c>
      <c r="C182" s="16"/>
      <c r="D182" s="11"/>
      <c r="E182" s="16"/>
      <c r="F182" s="11">
        <v>243.14</v>
      </c>
      <c r="G182" s="3"/>
      <c r="H182" s="11"/>
      <c r="I182" s="3"/>
      <c r="J182" s="11"/>
      <c r="K182" s="3"/>
      <c r="L182" s="11"/>
      <c r="M182" s="3"/>
      <c r="N182" s="11"/>
      <c r="O182" s="3"/>
      <c r="P182" s="11"/>
      <c r="Q182" s="3"/>
      <c r="R182" s="11"/>
    </row>
    <row r="183" spans="1:18" s="44" customFormat="1" hidden="1" outlineLevel="1" x14ac:dyDescent="0.35">
      <c r="A183" s="16"/>
      <c r="B183" s="35" t="str">
        <f>CONCATENATE("          ", "5515", " - ", "FREIGHT-IN-CALENDARS")</f>
        <v xml:space="preserve">          5515 - FREIGHT-IN-CALENDARS</v>
      </c>
      <c r="C183" s="16"/>
      <c r="D183" s="11">
        <v>9.69</v>
      </c>
      <c r="E183" s="16"/>
      <c r="F183" s="11"/>
      <c r="G183" s="3"/>
      <c r="H183" s="11"/>
      <c r="I183" s="3"/>
      <c r="J183" s="11"/>
      <c r="K183" s="3"/>
      <c r="L183" s="11"/>
      <c r="M183" s="3"/>
      <c r="N183" s="11"/>
      <c r="O183" s="3"/>
      <c r="P183" s="11"/>
      <c r="Q183" s="3"/>
      <c r="R183" s="11"/>
    </row>
    <row r="184" spans="1:18" s="44" customFormat="1" hidden="1" outlineLevel="1" x14ac:dyDescent="0.35">
      <c r="A184" s="16"/>
      <c r="B184" s="35" t="str">
        <f>CONCATENATE("          ", "5517", " - ", "FREIGHT-IN-DORM/HOUSEWARES")</f>
        <v xml:space="preserve">          5517 - FREIGHT-IN-DORM/HOUSEWARES</v>
      </c>
      <c r="C184" s="16"/>
      <c r="D184" s="11">
        <v>33</v>
      </c>
      <c r="E184" s="16"/>
      <c r="F184" s="11"/>
      <c r="G184" s="3"/>
      <c r="H184" s="11"/>
      <c r="I184" s="3"/>
      <c r="J184" s="11">
        <v>21.57</v>
      </c>
      <c r="K184" s="3"/>
      <c r="L184" s="11"/>
      <c r="M184" s="3"/>
      <c r="N184" s="11"/>
      <c r="O184" s="3"/>
      <c r="P184" s="11"/>
      <c r="Q184" s="3"/>
      <c r="R184" s="11"/>
    </row>
    <row r="185" spans="1:18" s="44" customFormat="1" hidden="1" outlineLevel="1" x14ac:dyDescent="0.35">
      <c r="A185" s="16"/>
      <c r="B185" s="35" t="str">
        <f>CONCATENATE("          ", "5518", " - ", "FREIGHT-IN-STUDY GUIDES")</f>
        <v xml:space="preserve">          5518 - FREIGHT-IN-STUDY GUIDES</v>
      </c>
      <c r="C185" s="16"/>
      <c r="D185" s="11">
        <v>37.56</v>
      </c>
      <c r="E185" s="16"/>
      <c r="F185" s="11">
        <v>11.63</v>
      </c>
      <c r="G185" s="3"/>
      <c r="H185" s="11">
        <v>16.38</v>
      </c>
      <c r="I185" s="3"/>
      <c r="J185" s="11"/>
      <c r="K185" s="3"/>
      <c r="L185" s="11"/>
      <c r="M185" s="3"/>
      <c r="N185" s="11">
        <v>21.13</v>
      </c>
      <c r="O185" s="3"/>
      <c r="P185" s="11"/>
      <c r="Q185" s="3"/>
      <c r="R185" s="11"/>
    </row>
    <row r="186" spans="1:18" s="44" customFormat="1" hidden="1" outlineLevel="1" x14ac:dyDescent="0.35">
      <c r="A186" s="16"/>
      <c r="B186" s="35" t="str">
        <f>CONCATENATE("          ", "5519", " - ", "FREIGHT-IN-BOOK RELATED")</f>
        <v xml:space="preserve">          5519 - FREIGHT-IN-BOOK RELATED</v>
      </c>
      <c r="C186" s="16"/>
      <c r="D186" s="11">
        <v>169.6</v>
      </c>
      <c r="E186" s="16"/>
      <c r="F186" s="11">
        <v>250.18</v>
      </c>
      <c r="G186" s="3"/>
      <c r="H186" s="11"/>
      <c r="I186" s="3"/>
      <c r="J186" s="11"/>
      <c r="K186" s="3"/>
      <c r="L186" s="11"/>
      <c r="M186" s="3"/>
      <c r="N186" s="11"/>
      <c r="O186" s="3"/>
      <c r="P186" s="11"/>
      <c r="Q186" s="3"/>
      <c r="R186" s="11"/>
    </row>
    <row r="187" spans="1:18" s="44" customFormat="1" hidden="1" outlineLevel="1" x14ac:dyDescent="0.35">
      <c r="A187" s="16"/>
      <c r="B187" s="35" t="str">
        <f>CONCATENATE("          ", "5525", " - ", "FREIGHT-IN-TEST FORMS")</f>
        <v xml:space="preserve">          5525 - FREIGHT-IN-TEST FORMS</v>
      </c>
      <c r="C187" s="16"/>
      <c r="D187" s="11">
        <v>477.7</v>
      </c>
      <c r="E187" s="16"/>
      <c r="F187" s="11">
        <v>527.13</v>
      </c>
      <c r="G187" s="3"/>
      <c r="H187" s="11">
        <v>715.82</v>
      </c>
      <c r="I187" s="3"/>
      <c r="J187" s="11">
        <v>786.81</v>
      </c>
      <c r="K187" s="3"/>
      <c r="L187" s="11">
        <v>390.96</v>
      </c>
      <c r="M187" s="3"/>
      <c r="N187" s="11">
        <v>1614.32</v>
      </c>
      <c r="O187" s="3"/>
      <c r="P187" s="11"/>
      <c r="Q187" s="3"/>
      <c r="R187" s="11"/>
    </row>
    <row r="188" spans="1:18" s="44" customFormat="1" hidden="1" outlineLevel="1" x14ac:dyDescent="0.35">
      <c r="A188" s="16"/>
      <c r="B188" s="35" t="str">
        <f>CONCATENATE("          ", "5526", " - ", "FREIGHT-IN-WRITING INSTRUMENTS")</f>
        <v xml:space="preserve">          5526 - FREIGHT-IN-WRITING INSTRUMENTS</v>
      </c>
      <c r="C188" s="16"/>
      <c r="D188" s="11">
        <v>252.21</v>
      </c>
      <c r="E188" s="16"/>
      <c r="F188" s="11">
        <v>325.39</v>
      </c>
      <c r="G188" s="3"/>
      <c r="H188" s="11">
        <v>944.45</v>
      </c>
      <c r="I188" s="3"/>
      <c r="J188" s="11">
        <v>119.51</v>
      </c>
      <c r="K188" s="3"/>
      <c r="L188" s="11">
        <v>262.62</v>
      </c>
      <c r="M188" s="3"/>
      <c r="N188" s="11">
        <v>274.5</v>
      </c>
      <c r="O188" s="3"/>
      <c r="P188" s="11"/>
      <c r="Q188" s="3"/>
      <c r="R188" s="11"/>
    </row>
    <row r="189" spans="1:18" s="44" customFormat="1" hidden="1" outlineLevel="1" x14ac:dyDescent="0.35">
      <c r="A189" s="16"/>
      <c r="B189" s="35" t="str">
        <f>CONCATENATE("          ", "5527", " - ", "FREIGHT-IN-SCHOOL SUPPLIES")</f>
        <v xml:space="preserve">          5527 - FREIGHT-IN-SCHOOL SUPPLIES</v>
      </c>
      <c r="C189" s="16"/>
      <c r="D189" s="11">
        <v>1884.99</v>
      </c>
      <c r="E189" s="16"/>
      <c r="F189" s="11">
        <v>2183.15</v>
      </c>
      <c r="G189" s="3"/>
      <c r="H189" s="11">
        <v>3088.99</v>
      </c>
      <c r="I189" s="3"/>
      <c r="J189" s="11">
        <v>1747.18</v>
      </c>
      <c r="K189" s="3"/>
      <c r="L189" s="11">
        <v>2106.8200000000002</v>
      </c>
      <c r="M189" s="3"/>
      <c r="N189" s="11">
        <v>1808</v>
      </c>
      <c r="O189" s="3"/>
      <c r="P189" s="11"/>
      <c r="Q189" s="3"/>
      <c r="R189" s="11"/>
    </row>
    <row r="190" spans="1:18" s="44" customFormat="1" hidden="1" outlineLevel="1" x14ac:dyDescent="0.35">
      <c r="A190" s="16"/>
      <c r="B190" s="35" t="str">
        <f>CONCATENATE("          ", "5528", " - ", "FREIGHT-IN-ART/TECH")</f>
        <v xml:space="preserve">          5528 - FREIGHT-IN-ART/TECH</v>
      </c>
      <c r="C190" s="16"/>
      <c r="D190" s="11">
        <v>1217.47</v>
      </c>
      <c r="E190" s="16"/>
      <c r="F190" s="11">
        <v>1778.86</v>
      </c>
      <c r="G190" s="3"/>
      <c r="H190" s="11">
        <v>1886.69</v>
      </c>
      <c r="I190" s="3"/>
      <c r="J190" s="11">
        <v>1892.15</v>
      </c>
      <c r="K190" s="3"/>
      <c r="L190" s="11">
        <v>7608.5</v>
      </c>
      <c r="M190" s="3"/>
      <c r="N190" s="11">
        <v>2837.7</v>
      </c>
      <c r="O190" s="3"/>
      <c r="P190" s="11"/>
      <c r="Q190" s="3"/>
      <c r="R190" s="11"/>
    </row>
    <row r="191" spans="1:18" s="44" customFormat="1" hidden="1" outlineLevel="1" x14ac:dyDescent="0.35">
      <c r="A191" s="16"/>
      <c r="B191" s="35" t="str">
        <f>CONCATENATE("          ", "5540", " - ", "FREIGHT-IN-LOGO CLOTHING")</f>
        <v xml:space="preserve">          5540 - FREIGHT-IN-LOGO CLOTHING</v>
      </c>
      <c r="C191" s="16"/>
      <c r="D191" s="11">
        <v>21210.19</v>
      </c>
      <c r="E191" s="16"/>
      <c r="F191" s="11">
        <v>34315.83</v>
      </c>
      <c r="G191" s="3"/>
      <c r="H191" s="11">
        <v>27831.279999999999</v>
      </c>
      <c r="I191" s="3"/>
      <c r="J191" s="11">
        <v>25956.86</v>
      </c>
      <c r="K191" s="3"/>
      <c r="L191" s="11">
        <v>35751.94</v>
      </c>
      <c r="M191" s="3"/>
      <c r="N191" s="11">
        <v>32548.98</v>
      </c>
      <c r="O191" s="3"/>
      <c r="P191" s="11"/>
      <c r="Q191" s="3"/>
      <c r="R191" s="11"/>
    </row>
    <row r="192" spans="1:18" s="44" customFormat="1" hidden="1" outlineLevel="1" x14ac:dyDescent="0.35">
      <c r="A192" s="16"/>
      <c r="B192" s="35" t="str">
        <f>CONCATENATE("          ", "5541", " - ", "FREIGHT-IN-LOGO GIFTS")</f>
        <v xml:space="preserve">          5541 - FREIGHT-IN-LOGO GIFTS</v>
      </c>
      <c r="C192" s="16"/>
      <c r="D192" s="11">
        <v>9598.33</v>
      </c>
      <c r="E192" s="16"/>
      <c r="F192" s="11">
        <v>7755.4</v>
      </c>
      <c r="G192" s="3"/>
      <c r="H192" s="11">
        <v>6647.69</v>
      </c>
      <c r="I192" s="3"/>
      <c r="J192" s="11">
        <v>6736.78</v>
      </c>
      <c r="K192" s="3"/>
      <c r="L192" s="11">
        <v>8438.06</v>
      </c>
      <c r="M192" s="3"/>
      <c r="N192" s="11">
        <v>5574.41</v>
      </c>
      <c r="O192" s="3"/>
      <c r="P192" s="11"/>
      <c r="Q192" s="3"/>
      <c r="R192" s="11"/>
    </row>
    <row r="193" spans="1:18" s="44" customFormat="1" hidden="1" outlineLevel="1" x14ac:dyDescent="0.35">
      <c r="A193" s="16"/>
      <c r="B193" s="35" t="str">
        <f>CONCATENATE("          ", "5542", " - ", "FREIGHT-IN-EVERYDAY GIFTS")</f>
        <v xml:space="preserve">          5542 - FREIGHT-IN-EVERYDAY GIFTS</v>
      </c>
      <c r="C193" s="16"/>
      <c r="D193" s="11">
        <v>1401.93</v>
      </c>
      <c r="E193" s="16"/>
      <c r="F193" s="11">
        <v>2793.76</v>
      </c>
      <c r="G193" s="3"/>
      <c r="H193" s="11">
        <v>2300.5500000000002</v>
      </c>
      <c r="I193" s="3"/>
      <c r="J193" s="11">
        <v>1602.66</v>
      </c>
      <c r="K193" s="3"/>
      <c r="L193" s="11">
        <v>2038.06</v>
      </c>
      <c r="M193" s="3"/>
      <c r="N193" s="11">
        <v>2223.5100000000002</v>
      </c>
      <c r="O193" s="3"/>
      <c r="P193" s="11"/>
      <c r="Q193" s="3"/>
      <c r="R193" s="11"/>
    </row>
    <row r="194" spans="1:18" s="44" customFormat="1" hidden="1" outlineLevel="1" x14ac:dyDescent="0.35">
      <c r="A194" s="16"/>
      <c r="B194" s="35" t="str">
        <f>CONCATENATE("          ", "5543", " - ", "FREIGHT-IN-CARDS")</f>
        <v xml:space="preserve">          5543 - FREIGHT-IN-CARDS</v>
      </c>
      <c r="C194" s="16"/>
      <c r="D194" s="11">
        <v>47.8</v>
      </c>
      <c r="E194" s="16"/>
      <c r="F194" s="11">
        <v>10.06</v>
      </c>
      <c r="G194" s="3"/>
      <c r="H194" s="11">
        <v>7.19</v>
      </c>
      <c r="I194" s="3"/>
      <c r="J194" s="11">
        <v>123.84</v>
      </c>
      <c r="K194" s="3"/>
      <c r="L194" s="11">
        <v>57.18</v>
      </c>
      <c r="M194" s="3"/>
      <c r="N194" s="11">
        <v>2926.76</v>
      </c>
      <c r="O194" s="3"/>
      <c r="P194" s="11"/>
      <c r="Q194" s="3"/>
      <c r="R194" s="11"/>
    </row>
    <row r="195" spans="1:18" s="44" customFormat="1" hidden="1" outlineLevel="1" x14ac:dyDescent="0.35">
      <c r="A195" s="16"/>
      <c r="B195" s="35" t="str">
        <f>CONCATENATE("          ", "5544", " - ", "FREIGHT-IN-ACCESSORIES")</f>
        <v xml:space="preserve">          5544 - FREIGHT-IN-ACCESSORIES</v>
      </c>
      <c r="C195" s="16"/>
      <c r="D195" s="11">
        <v>807.33</v>
      </c>
      <c r="E195" s="16"/>
      <c r="F195" s="11">
        <v>349.62</v>
      </c>
      <c r="G195" s="3"/>
      <c r="H195" s="11">
        <v>845.08</v>
      </c>
      <c r="I195" s="3"/>
      <c r="J195" s="11">
        <v>635.88</v>
      </c>
      <c r="K195" s="3"/>
      <c r="L195" s="11">
        <v>1360.08</v>
      </c>
      <c r="M195" s="3"/>
      <c r="N195" s="11">
        <v>483.44</v>
      </c>
      <c r="O195" s="3"/>
      <c r="P195" s="11"/>
      <c r="Q195" s="3"/>
      <c r="R195" s="11"/>
    </row>
    <row r="196" spans="1:18" s="44" customFormat="1" hidden="1" outlineLevel="1" x14ac:dyDescent="0.35">
      <c r="A196" s="16"/>
      <c r="B196" s="35" t="str">
        <f>CONCATENATE("          ", "5545", " - ", "FREIGHT-IN-SPECIAL ORDERS")</f>
        <v xml:space="preserve">          5545 - FREIGHT-IN-SPECIAL ORDERS</v>
      </c>
      <c r="C196" s="16"/>
      <c r="D196" s="11">
        <v>1532.2</v>
      </c>
      <c r="E196" s="16"/>
      <c r="F196" s="11">
        <v>1427.75</v>
      </c>
      <c r="G196" s="3"/>
      <c r="H196" s="11">
        <v>1892.22</v>
      </c>
      <c r="I196" s="3"/>
      <c r="J196" s="11">
        <v>2225.2600000000002</v>
      </c>
      <c r="K196" s="3"/>
      <c r="L196" s="11">
        <v>2744.68</v>
      </c>
      <c r="M196" s="3"/>
      <c r="N196" s="11">
        <v>1420.62</v>
      </c>
      <c r="O196" s="3"/>
      <c r="P196" s="11"/>
      <c r="Q196" s="3"/>
      <c r="R196" s="11"/>
    </row>
    <row r="197" spans="1:18" s="44" customFormat="1" hidden="1" outlineLevel="1" x14ac:dyDescent="0.35">
      <c r="A197" s="16"/>
      <c r="B197" s="35" t="str">
        <f>CONCATENATE("          ", "5592", " - ", "FREIGHT-IN-GRAD MERCH")</f>
        <v xml:space="preserve">          5592 - FREIGHT-IN-GRAD MERCH</v>
      </c>
      <c r="C197" s="16"/>
      <c r="D197" s="11">
        <v>3015.74</v>
      </c>
      <c r="E197" s="16"/>
      <c r="F197" s="11">
        <v>4177.07</v>
      </c>
      <c r="G197" s="3"/>
      <c r="H197" s="11">
        <v>2290.33</v>
      </c>
      <c r="I197" s="3"/>
      <c r="J197" s="11">
        <v>4118.3100000000004</v>
      </c>
      <c r="K197" s="3"/>
      <c r="L197" s="11">
        <v>2451.4299999999998</v>
      </c>
      <c r="M197" s="3"/>
      <c r="N197" s="11">
        <v>170.88</v>
      </c>
      <c r="O197" s="3"/>
      <c r="P197" s="11"/>
      <c r="Q197" s="3"/>
      <c r="R197" s="11"/>
    </row>
    <row r="198" spans="1:18" x14ac:dyDescent="0.35">
      <c r="A198" s="12"/>
      <c r="B198" s="7"/>
      <c r="C198" s="7"/>
      <c r="D198" s="6"/>
      <c r="F198" s="6"/>
      <c r="H198" s="6"/>
      <c r="J198" s="6"/>
      <c r="L198" s="6"/>
      <c r="N198" s="6"/>
      <c r="P198" s="6"/>
      <c r="R198" s="6"/>
    </row>
    <row r="199" spans="1:18" s="15" customFormat="1" x14ac:dyDescent="0.35">
      <c r="A199" s="7"/>
      <c r="B199" s="22" t="s">
        <v>107</v>
      </c>
      <c r="C199" s="22"/>
      <c r="D199" s="10">
        <f>+D10-D135</f>
        <v>5127663.250000013</v>
      </c>
      <c r="E199" s="12"/>
      <c r="F199" s="10">
        <f>+F10-F135</f>
        <v>5431338.4199999981</v>
      </c>
      <c r="G199" s="5"/>
      <c r="H199" s="10">
        <f>+H10-H135</f>
        <v>5295593.9899999918</v>
      </c>
      <c r="I199" s="5"/>
      <c r="J199" s="10">
        <f>+J10-J135</f>
        <v>5287851.8100000052</v>
      </c>
      <c r="K199" s="5"/>
      <c r="L199" s="10">
        <f>+L10-L135</f>
        <v>4788827.2299999893</v>
      </c>
      <c r="M199" s="5"/>
      <c r="N199" s="10">
        <f>+N10-N135</f>
        <v>3725065.9300000006</v>
      </c>
      <c r="O199" s="5"/>
      <c r="P199" s="10">
        <f>+P10-P135</f>
        <v>3925932</v>
      </c>
      <c r="Q199" s="5"/>
      <c r="R199" s="10">
        <f>+R10-R135</f>
        <v>3523753</v>
      </c>
    </row>
    <row r="200" spans="1:18" s="27" customFormat="1" x14ac:dyDescent="0.35">
      <c r="A200" s="18"/>
      <c r="B200" s="31"/>
      <c r="C200" s="18"/>
      <c r="D200" s="9">
        <f>IFERROR(D199/D10, 0)</f>
        <v>0.37366279189315621</v>
      </c>
      <c r="E200" s="13"/>
      <c r="F200" s="9">
        <f>IFERROR(F199/F10, 0)</f>
        <v>0.40587176377556117</v>
      </c>
      <c r="G200" s="26"/>
      <c r="H200" s="9">
        <f>IFERROR(H199/H10, 0)</f>
        <v>0.4120968285117057</v>
      </c>
      <c r="I200" s="26"/>
      <c r="J200" s="9">
        <f>IFERROR(J199/J10, 0)</f>
        <v>0.42148991600278035</v>
      </c>
      <c r="K200" s="26"/>
      <c r="L200" s="9">
        <f>IFERROR(L199/L10, 0)</f>
        <v>0.41676778850156121</v>
      </c>
      <c r="M200" s="26"/>
      <c r="N200" s="9">
        <f>IFERROR(N199/N10, 0)</f>
        <v>0.40323916952101546</v>
      </c>
      <c r="O200" s="26"/>
      <c r="P200" s="9">
        <f>IFERROR(P199/P10, 0)</f>
        <v>0.42942916106399209</v>
      </c>
      <c r="Q200" s="26"/>
      <c r="R200" s="9">
        <f>IFERROR(R199/R10, 0)</f>
        <v>0.39706867504648474</v>
      </c>
    </row>
    <row r="201" spans="1:18" s="27" customFormat="1" x14ac:dyDescent="0.35">
      <c r="A201" s="18"/>
      <c r="B201" s="31"/>
      <c r="C201" s="18"/>
      <c r="D201" s="13"/>
      <c r="E201" s="13"/>
      <c r="F201" s="13"/>
      <c r="G201" s="26"/>
      <c r="H201" s="13"/>
      <c r="I201" s="26"/>
      <c r="J201" s="13"/>
      <c r="K201" s="26"/>
      <c r="L201" s="13"/>
      <c r="M201" s="26"/>
      <c r="N201" s="13"/>
      <c r="O201" s="26"/>
      <c r="P201" s="13"/>
      <c r="Q201" s="26"/>
      <c r="R201" s="13"/>
    </row>
    <row r="202" spans="1:18" s="15" customFormat="1" x14ac:dyDescent="0.35">
      <c r="A202" s="7"/>
      <c r="B202" s="34" t="s">
        <v>314</v>
      </c>
      <c r="C202" s="7"/>
      <c r="D202" s="8">
        <f>SUM(OSRRefD21x_0)</f>
        <v>4175154.7800000007</v>
      </c>
      <c r="E202" s="19"/>
      <c r="F202" s="8">
        <f>SUM(OSRRefF21x_0)</f>
        <v>4354811.01</v>
      </c>
      <c r="G202" s="4"/>
      <c r="H202" s="8">
        <f>SUM(OSRRefH21x_0)</f>
        <v>4538819.4000000013</v>
      </c>
      <c r="I202" s="4"/>
      <c r="J202" s="8">
        <f>SUM(OSRRefJ21x_0)</f>
        <v>4466040.0200000014</v>
      </c>
      <c r="K202" s="4"/>
      <c r="L202" s="8">
        <f>SUM(OSRRefL21x_0)</f>
        <v>4552559.1499999994</v>
      </c>
      <c r="M202" s="4"/>
      <c r="N202" s="8">
        <f>SUM(OSRRefN21x_0)</f>
        <v>4195263.3999999985</v>
      </c>
      <c r="O202" s="4"/>
      <c r="P202" s="8">
        <f>SUM(OSRRefP21x_0)</f>
        <v>4423232.5267378855</v>
      </c>
      <c r="Q202" s="4"/>
      <c r="R202" s="8">
        <f>SUM(OSRRefR21x_0)</f>
        <v>3950666.9203883084</v>
      </c>
    </row>
    <row r="203" spans="1:18" s="15" customFormat="1" outlineLevel="1" collapsed="1" x14ac:dyDescent="0.35">
      <c r="A203" s="7"/>
      <c r="B203" s="20" t="str">
        <f>CONCATENATE("     ","*Benefits                                         ")</f>
        <v xml:space="preserve">     *Benefits                                         </v>
      </c>
      <c r="C203" s="7"/>
      <c r="D203" s="1">
        <f>SUM(OSRRefD21_0x_0)</f>
        <v>506861.39999999997</v>
      </c>
      <c r="E203" s="19"/>
      <c r="F203" s="1">
        <f>SUM(OSRRefF21_0x_0)</f>
        <v>561836.85</v>
      </c>
      <c r="G203" s="4"/>
      <c r="H203" s="1">
        <f>SUM(OSRRefH21_0x_0)</f>
        <v>516717.45000000007</v>
      </c>
      <c r="I203" s="4"/>
      <c r="J203" s="1">
        <f>SUM(OSRRefJ21_0x_0)</f>
        <v>565051.51000000013</v>
      </c>
      <c r="K203" s="4"/>
      <c r="L203" s="1">
        <f>SUM(OSRRefL21_0x_0)</f>
        <v>593890.02000000014</v>
      </c>
      <c r="M203" s="4"/>
      <c r="N203" s="1">
        <f>SUM(OSRRefN21_0x_0)</f>
        <v>516439.71</v>
      </c>
      <c r="O203" s="4"/>
      <c r="P203" s="1">
        <f>SUM(OSRRefP21_0x_0)</f>
        <v>540834.45951988501</v>
      </c>
      <c r="Q203" s="4"/>
      <c r="R203" s="1">
        <f>SUM(OSRRefR21_0x_0)</f>
        <v>569620.23243654741</v>
      </c>
    </row>
    <row r="204" spans="1:18" s="16" customFormat="1" hidden="1" outlineLevel="2" x14ac:dyDescent="0.35">
      <c r="B204" s="11" t="str">
        <f>CONCATENATE("          ", "6111", " - ", "F.I.C.A.")</f>
        <v xml:space="preserve">          6111 - F.I.C.A.</v>
      </c>
      <c r="D204" s="2">
        <v>91425.74</v>
      </c>
      <c r="F204" s="2">
        <v>96205.86</v>
      </c>
      <c r="G204" s="3"/>
      <c r="H204" s="2">
        <v>98053.21</v>
      </c>
      <c r="I204" s="3"/>
      <c r="J204" s="2">
        <v>113538.03</v>
      </c>
      <c r="K204" s="3"/>
      <c r="L204" s="2">
        <v>114211.82</v>
      </c>
      <c r="M204" s="3"/>
      <c r="N204" s="2">
        <v>107469.41</v>
      </c>
      <c r="O204" s="3"/>
      <c r="P204" s="2">
        <v>98889.751120560002</v>
      </c>
      <c r="Q204" s="3"/>
      <c r="R204" s="2">
        <v>119554.459673429</v>
      </c>
    </row>
    <row r="205" spans="1:18" s="16" customFormat="1" hidden="1" outlineLevel="2" x14ac:dyDescent="0.35">
      <c r="B205" s="11" t="str">
        <f>CONCATENATE("          ", "6112", " - ", "COMPENSATION INSURANCE")</f>
        <v xml:space="preserve">          6112 - COMPENSATION INSURANCE</v>
      </c>
      <c r="D205" s="2">
        <v>21881.9</v>
      </c>
      <c r="F205" s="2">
        <v>38338.080000000002</v>
      </c>
      <c r="G205" s="3"/>
      <c r="H205" s="2">
        <v>24699.3</v>
      </c>
      <c r="I205" s="3"/>
      <c r="J205" s="2">
        <v>14849.44</v>
      </c>
      <c r="K205" s="3"/>
      <c r="L205" s="2">
        <v>18949.12</v>
      </c>
      <c r="M205" s="3"/>
      <c r="N205" s="2">
        <v>28022.37</v>
      </c>
      <c r="O205" s="3"/>
      <c r="P205" s="2">
        <v>38206.261988874998</v>
      </c>
      <c r="Q205" s="3"/>
      <c r="R205" s="2">
        <v>33189.209166239998</v>
      </c>
    </row>
    <row r="206" spans="1:18" s="16" customFormat="1" hidden="1" outlineLevel="2" x14ac:dyDescent="0.35">
      <c r="B206" s="11" t="str">
        <f>CONCATENATE("          ", "6113", " - ", "GROUP INSURANCE")</f>
        <v xml:space="preserve">          6113 - GROUP INSURANCE</v>
      </c>
      <c r="D206" s="2">
        <v>174310.46</v>
      </c>
      <c r="F206" s="2">
        <v>194990.69</v>
      </c>
      <c r="G206" s="3"/>
      <c r="H206" s="2">
        <v>196991.87</v>
      </c>
      <c r="I206" s="3"/>
      <c r="J206" s="2">
        <v>222877.48</v>
      </c>
      <c r="K206" s="3"/>
      <c r="L206" s="2">
        <v>235721.5</v>
      </c>
      <c r="M206" s="3"/>
      <c r="N206" s="2">
        <v>203442.34</v>
      </c>
      <c r="O206" s="3"/>
      <c r="P206" s="2">
        <v>210570</v>
      </c>
      <c r="Q206" s="3"/>
      <c r="R206" s="2">
        <v>197806.5</v>
      </c>
    </row>
    <row r="207" spans="1:18" s="16" customFormat="1" hidden="1" outlineLevel="2" x14ac:dyDescent="0.35">
      <c r="B207" s="11" t="str">
        <f>CONCATENATE("          ", "6114", " - ", "STATE UNEMPLOYMENT INSURANCE")</f>
        <v xml:space="preserve">          6114 - STATE UNEMPLOYMENT INSURANCE</v>
      </c>
      <c r="D207" s="2">
        <v>9088.68</v>
      </c>
      <c r="F207" s="2">
        <v>11988.21</v>
      </c>
      <c r="G207" s="3"/>
      <c r="H207" s="2">
        <v>5878.53</v>
      </c>
      <c r="I207" s="3"/>
      <c r="J207" s="2">
        <v>6384.4</v>
      </c>
      <c r="K207" s="3"/>
      <c r="L207" s="2">
        <v>5883.4</v>
      </c>
      <c r="M207" s="3"/>
      <c r="N207" s="2">
        <v>0</v>
      </c>
      <c r="O207" s="3"/>
      <c r="P207" s="2">
        <v>5414.7828559500003</v>
      </c>
      <c r="Q207" s="3"/>
      <c r="R207" s="2">
        <v>4467.7781569938397</v>
      </c>
    </row>
    <row r="208" spans="1:18" s="16" customFormat="1" hidden="1" outlineLevel="2" x14ac:dyDescent="0.35">
      <c r="B208" s="11" t="str">
        <f>CONCATENATE("          ", "6115", " - ", "P.E.R.S.")</f>
        <v xml:space="preserve">          6115 - P.E.R.S.</v>
      </c>
      <c r="D208" s="2">
        <v>85011.16</v>
      </c>
      <c r="F208" s="2">
        <v>67468.899999999994</v>
      </c>
      <c r="G208" s="3"/>
      <c r="H208" s="2">
        <v>67498.759999999995</v>
      </c>
      <c r="I208" s="3"/>
      <c r="J208" s="2">
        <v>69639.55</v>
      </c>
      <c r="K208" s="3"/>
      <c r="L208" s="2">
        <v>71467.14</v>
      </c>
      <c r="M208" s="3"/>
      <c r="N208" s="2">
        <v>79124.67</v>
      </c>
      <c r="O208" s="3"/>
      <c r="P208" s="2">
        <v>61311.425042000003</v>
      </c>
      <c r="Q208" s="3"/>
      <c r="R208" s="2">
        <v>56620.370622938397</v>
      </c>
    </row>
    <row r="209" spans="1:18" s="16" customFormat="1" hidden="1" outlineLevel="2" x14ac:dyDescent="0.35">
      <c r="B209" s="11" t="str">
        <f>CONCATENATE("          ", "6116", " - ", "EDUCATIONAL BENEFITS")</f>
        <v xml:space="preserve">          6116 - EDUCATIONAL BENEFITS</v>
      </c>
      <c r="D209" s="2"/>
      <c r="F209" s="2"/>
      <c r="G209" s="3"/>
      <c r="H209" s="2"/>
      <c r="I209" s="3"/>
      <c r="J209" s="2"/>
      <c r="K209" s="3"/>
      <c r="L209" s="2"/>
      <c r="M209" s="3"/>
      <c r="N209" s="2"/>
      <c r="O209" s="3"/>
      <c r="P209" s="2">
        <v>0</v>
      </c>
      <c r="Q209" s="3"/>
      <c r="R209" s="2">
        <v>0</v>
      </c>
    </row>
    <row r="210" spans="1:18" s="16" customFormat="1" hidden="1" outlineLevel="2" x14ac:dyDescent="0.35">
      <c r="B210" s="11" t="str">
        <f>CONCATENATE("          ", "6117", " - ", "RETIREMENT STAFF HOURLY")</f>
        <v xml:space="preserve">          6117 - RETIREMENT STAFF HOURLY</v>
      </c>
      <c r="D210" s="2">
        <v>5336.81</v>
      </c>
      <c r="F210" s="2">
        <v>2920.37</v>
      </c>
      <c r="G210" s="3"/>
      <c r="H210" s="2">
        <v>2954.32</v>
      </c>
      <c r="I210" s="3"/>
      <c r="J210" s="2">
        <v>3580.43</v>
      </c>
      <c r="K210" s="3"/>
      <c r="L210" s="2">
        <v>3458.37</v>
      </c>
      <c r="M210" s="3"/>
      <c r="N210" s="2">
        <v>2056.84</v>
      </c>
      <c r="O210" s="3"/>
      <c r="P210" s="2"/>
      <c r="Q210" s="3"/>
      <c r="R210" s="2"/>
    </row>
    <row r="211" spans="1:18" s="16" customFormat="1" hidden="1" outlineLevel="2" x14ac:dyDescent="0.35">
      <c r="B211" s="11" t="str">
        <f>CONCATENATE("          ", "6118", " - ", "VACATION")</f>
        <v xml:space="preserve">          6118 - VACATION</v>
      </c>
      <c r="D211" s="2">
        <v>55041.05</v>
      </c>
      <c r="F211" s="2">
        <v>69299.320000000007</v>
      </c>
      <c r="G211" s="3"/>
      <c r="H211" s="2">
        <v>55868.46</v>
      </c>
      <c r="I211" s="3"/>
      <c r="J211" s="2">
        <v>61981.15</v>
      </c>
      <c r="K211" s="3"/>
      <c r="L211" s="2">
        <v>72089.59</v>
      </c>
      <c r="M211" s="3"/>
      <c r="N211" s="2">
        <v>67749.899999999994</v>
      </c>
      <c r="O211" s="3"/>
      <c r="P211" s="2">
        <v>51509.779309999998</v>
      </c>
      <c r="Q211" s="3"/>
      <c r="R211" s="2">
        <v>51424.869813930804</v>
      </c>
    </row>
    <row r="212" spans="1:18" s="16" customFormat="1" hidden="1" outlineLevel="2" x14ac:dyDescent="0.35">
      <c r="B212" s="11" t="str">
        <f>CONCATENATE("          ", "6119", " - ", "SICK LEAVE")</f>
        <v xml:space="preserve">          6119 - SICK LEAVE</v>
      </c>
      <c r="D212" s="2">
        <v>38527.910000000003</v>
      </c>
      <c r="F212" s="2">
        <v>54127.59</v>
      </c>
      <c r="G212" s="3"/>
      <c r="H212" s="2">
        <v>39878.480000000003</v>
      </c>
      <c r="I212" s="3"/>
      <c r="J212" s="2">
        <v>46871.74</v>
      </c>
      <c r="K212" s="3"/>
      <c r="L212" s="2">
        <v>47798.94</v>
      </c>
      <c r="M212" s="3"/>
      <c r="N212" s="2">
        <v>8900.5499999999993</v>
      </c>
      <c r="O212" s="3"/>
      <c r="P212" s="2">
        <v>55432.459202500002</v>
      </c>
      <c r="Q212" s="3"/>
      <c r="R212" s="2">
        <v>78382.045003015402</v>
      </c>
    </row>
    <row r="213" spans="1:18" s="16" customFormat="1" hidden="1" outlineLevel="2" x14ac:dyDescent="0.35">
      <c r="B213" s="11" t="str">
        <f>CONCATENATE("          ", "6156", " - ", "EMPLOYEE MEALS")</f>
        <v xml:space="preserve">          6156 - EMPLOYEE MEALS</v>
      </c>
      <c r="D213" s="2">
        <v>26237.69</v>
      </c>
      <c r="F213" s="2">
        <v>26497.83</v>
      </c>
      <c r="G213" s="3"/>
      <c r="H213" s="2">
        <v>24894.52</v>
      </c>
      <c r="I213" s="3"/>
      <c r="J213" s="2">
        <v>25329.29</v>
      </c>
      <c r="K213" s="3"/>
      <c r="L213" s="2">
        <v>24310.14</v>
      </c>
      <c r="M213" s="3"/>
      <c r="N213" s="2">
        <v>19673.63</v>
      </c>
      <c r="O213" s="3"/>
      <c r="P213" s="2">
        <v>19500</v>
      </c>
      <c r="Q213" s="3"/>
      <c r="R213" s="2">
        <v>28175</v>
      </c>
    </row>
    <row r="214" spans="1:18" s="15" customFormat="1" outlineLevel="1" collapsed="1" x14ac:dyDescent="0.35">
      <c r="A214" s="7"/>
      <c r="B214" s="20" t="str">
        <f>CONCATENATE("     ","*Payroll                                          ")</f>
        <v xml:space="preserve">     *Payroll                                          </v>
      </c>
      <c r="C214" s="7"/>
      <c r="D214" s="1">
        <f>SUM(OSRRefD21_1x_0)</f>
        <v>1774415.7799999998</v>
      </c>
      <c r="E214" s="19"/>
      <c r="F214" s="1">
        <f>SUM(OSRRefF21_1x_0)</f>
        <v>1847662.72</v>
      </c>
      <c r="G214" s="4"/>
      <c r="H214" s="1">
        <f>SUM(OSRRefH21_1x_0)</f>
        <v>1957535.58</v>
      </c>
      <c r="I214" s="4"/>
      <c r="J214" s="1">
        <f>SUM(OSRRefJ21_1x_0)</f>
        <v>2010152.87</v>
      </c>
      <c r="K214" s="4"/>
      <c r="L214" s="1">
        <f>SUM(OSRRefL21_1x_0)</f>
        <v>2030508.3800000001</v>
      </c>
      <c r="M214" s="4"/>
      <c r="N214" s="1">
        <f>SUM(OSRRefN21_1x_0)</f>
        <v>1893252.79</v>
      </c>
      <c r="O214" s="4"/>
      <c r="P214" s="1">
        <f>SUM(OSRRefP21_1x_0)</f>
        <v>1933137.0672180001</v>
      </c>
      <c r="Q214" s="4"/>
      <c r="R214" s="1">
        <f>SUM(OSRRefR21_1x_0)</f>
        <v>2037672.6879517608</v>
      </c>
    </row>
    <row r="215" spans="1:18" s="16" customFormat="1" hidden="1" outlineLevel="2" x14ac:dyDescent="0.35">
      <c r="B215" s="11" t="str">
        <f>CONCATENATE("          ", "6001", " - ", "ADMINISTRATIVE SALARIES")</f>
        <v xml:space="preserve">          6001 - ADMINISTRATIVE SALARIES</v>
      </c>
      <c r="D215" s="2">
        <v>7692.32</v>
      </c>
      <c r="F215" s="2">
        <v>123006.26</v>
      </c>
      <c r="G215" s="3"/>
      <c r="H215" s="2">
        <v>116582.59</v>
      </c>
      <c r="I215" s="3"/>
      <c r="J215" s="2">
        <v>122233.39</v>
      </c>
      <c r="K215" s="3"/>
      <c r="L215" s="2">
        <v>125900.5</v>
      </c>
      <c r="M215" s="3"/>
      <c r="N215" s="2">
        <v>93238.31</v>
      </c>
      <c r="O215" s="3"/>
      <c r="P215" s="2">
        <v>100876</v>
      </c>
      <c r="Q215" s="3"/>
      <c r="R215" s="2">
        <v>53817.5</v>
      </c>
    </row>
    <row r="216" spans="1:18" s="16" customFormat="1" hidden="1" outlineLevel="2" x14ac:dyDescent="0.35">
      <c r="B216" s="11" t="str">
        <f>CONCATENATE("          ", "6002", " - ", "STAFF SALARIES")</f>
        <v xml:space="preserve">          6002 - STAFF SALARIES</v>
      </c>
      <c r="D216" s="2">
        <v>651415.11</v>
      </c>
      <c r="F216" s="2">
        <v>656227.49</v>
      </c>
      <c r="G216" s="3"/>
      <c r="H216" s="2">
        <v>617362.39</v>
      </c>
      <c r="I216" s="3"/>
      <c r="J216" s="2">
        <v>639742.77</v>
      </c>
      <c r="K216" s="3"/>
      <c r="L216" s="2">
        <v>659916.53</v>
      </c>
      <c r="M216" s="3"/>
      <c r="N216" s="2">
        <v>658058.64</v>
      </c>
      <c r="O216" s="3"/>
      <c r="P216" s="2">
        <v>538892.72742799995</v>
      </c>
      <c r="Q216" s="3"/>
      <c r="R216" s="2">
        <v>538840.84664276103</v>
      </c>
    </row>
    <row r="217" spans="1:18" s="16" customFormat="1" hidden="1" outlineLevel="2" x14ac:dyDescent="0.35">
      <c r="B217" s="11" t="str">
        <f>CONCATENATE("          ", "6003", " - ", "STAFF HOURLY-9 MONTH")</f>
        <v xml:space="preserve">          6003 - STAFF HOURLY-9 MONTH</v>
      </c>
      <c r="D217" s="2"/>
      <c r="F217" s="2"/>
      <c r="G217" s="3"/>
      <c r="H217" s="2"/>
      <c r="I217" s="3"/>
      <c r="J217" s="2"/>
      <c r="K217" s="3"/>
      <c r="L217" s="2"/>
      <c r="M217" s="3"/>
      <c r="N217" s="2"/>
      <c r="O217" s="3"/>
      <c r="P217" s="2">
        <v>0</v>
      </c>
      <c r="Q217" s="3"/>
      <c r="R217" s="2">
        <v>0</v>
      </c>
    </row>
    <row r="218" spans="1:18" s="16" customFormat="1" hidden="1" outlineLevel="2" x14ac:dyDescent="0.35">
      <c r="B218" s="11" t="str">
        <f>CONCATENATE("          ", "6004", " - ", "STAFF HOURLY")</f>
        <v xml:space="preserve">          6004 - STAFF HOURLY</v>
      </c>
      <c r="D218" s="2">
        <v>132961.95000000001</v>
      </c>
      <c r="F218" s="2">
        <v>68642.95</v>
      </c>
      <c r="G218" s="3"/>
      <c r="H218" s="2">
        <v>70975.56</v>
      </c>
      <c r="I218" s="3"/>
      <c r="J218" s="2">
        <v>74178.69</v>
      </c>
      <c r="K218" s="3"/>
      <c r="L218" s="2">
        <v>72178.3</v>
      </c>
      <c r="M218" s="3"/>
      <c r="N218" s="2">
        <v>81101.31</v>
      </c>
      <c r="O218" s="3"/>
      <c r="P218" s="2">
        <v>332022.26604000002</v>
      </c>
      <c r="Q218" s="3"/>
      <c r="R218" s="2">
        <v>453391.25418400002</v>
      </c>
    </row>
    <row r="219" spans="1:18" s="16" customFormat="1" hidden="1" outlineLevel="2" x14ac:dyDescent="0.35">
      <c r="B219" s="11" t="str">
        <f>CONCATENATE("          ", "6005", " - ", "TEMPORARY WAGES-HOURLY")</f>
        <v xml:space="preserve">          6005 - TEMPORARY WAGES-HOURLY</v>
      </c>
      <c r="D219" s="2">
        <v>92494.62</v>
      </c>
      <c r="F219" s="2">
        <v>104211.17</v>
      </c>
      <c r="G219" s="3"/>
      <c r="H219" s="2">
        <v>154067.12</v>
      </c>
      <c r="I219" s="3"/>
      <c r="J219" s="2">
        <v>185237.53</v>
      </c>
      <c r="K219" s="3"/>
      <c r="L219" s="2">
        <v>233534.58</v>
      </c>
      <c r="M219" s="3"/>
      <c r="N219" s="2">
        <v>201695.7</v>
      </c>
      <c r="O219" s="3"/>
      <c r="P219" s="2">
        <v>55119.76</v>
      </c>
      <c r="Q219" s="3"/>
      <c r="R219" s="2">
        <v>36028.160000000003</v>
      </c>
    </row>
    <row r="220" spans="1:18" s="16" customFormat="1" hidden="1" outlineLevel="2" x14ac:dyDescent="0.35">
      <c r="B220" s="11" t="str">
        <f>CONCATENATE("          ", "6006", " - ", "TEMPORARY PART TIME")</f>
        <v xml:space="preserve">          6006 - TEMPORARY PART TIME</v>
      </c>
      <c r="D220" s="2">
        <v>71619.61</v>
      </c>
      <c r="F220" s="2">
        <v>52797.72</v>
      </c>
      <c r="G220" s="3"/>
      <c r="H220" s="2">
        <v>92429.32</v>
      </c>
      <c r="I220" s="3"/>
      <c r="J220" s="2">
        <v>111628.97</v>
      </c>
      <c r="K220" s="3"/>
      <c r="L220" s="2">
        <v>65600.53</v>
      </c>
      <c r="M220" s="3"/>
      <c r="N220" s="2">
        <v>37331.99</v>
      </c>
      <c r="O220" s="3"/>
      <c r="P220" s="2">
        <v>0</v>
      </c>
      <c r="Q220" s="3"/>
      <c r="R220" s="2">
        <v>0</v>
      </c>
    </row>
    <row r="221" spans="1:18" s="16" customFormat="1" hidden="1" outlineLevel="2" x14ac:dyDescent="0.35">
      <c r="B221" s="11" t="str">
        <f>CONCATENATE("          ", "6007", " - ", "STUDENT HOURLY")</f>
        <v xml:space="preserve">          6007 - STUDENT HOURLY</v>
      </c>
      <c r="D221" s="2">
        <v>803231.78</v>
      </c>
      <c r="F221" s="2">
        <v>835808.88</v>
      </c>
      <c r="G221" s="3"/>
      <c r="H221" s="2">
        <v>889996.05</v>
      </c>
      <c r="I221" s="3"/>
      <c r="J221" s="2">
        <v>850489.96</v>
      </c>
      <c r="K221" s="3"/>
      <c r="L221" s="2">
        <v>845891.99</v>
      </c>
      <c r="M221" s="3"/>
      <c r="N221" s="2">
        <v>806346.92</v>
      </c>
      <c r="O221" s="3"/>
      <c r="P221" s="2">
        <v>202317.83</v>
      </c>
      <c r="Q221" s="3"/>
      <c r="R221" s="2">
        <v>423139.97334999999</v>
      </c>
    </row>
    <row r="222" spans="1:18" s="16" customFormat="1" hidden="1" outlineLevel="2" x14ac:dyDescent="0.35">
      <c r="B222" s="11" t="str">
        <f>CONCATENATE("          ", "6008", " - ", "STUDENT HOURLY-FICA EXEMPT")</f>
        <v xml:space="preserve">          6008 - STUDENT HOURLY-FICA EXEMPT</v>
      </c>
      <c r="D222" s="2">
        <v>11272.76</v>
      </c>
      <c r="F222" s="2">
        <v>5006.25</v>
      </c>
      <c r="G222" s="3"/>
      <c r="H222" s="2">
        <v>16122.55</v>
      </c>
      <c r="I222" s="3"/>
      <c r="J222" s="2">
        <v>26641.56</v>
      </c>
      <c r="K222" s="3"/>
      <c r="L222" s="2">
        <v>27485.95</v>
      </c>
      <c r="M222" s="3"/>
      <c r="N222" s="2">
        <v>15479.92</v>
      </c>
      <c r="O222" s="3"/>
      <c r="P222" s="2">
        <v>703908.48375000001</v>
      </c>
      <c r="Q222" s="3"/>
      <c r="R222" s="2">
        <v>532454.95377499994</v>
      </c>
    </row>
    <row r="223" spans="1:18" s="16" customFormat="1" hidden="1" outlineLevel="2" x14ac:dyDescent="0.35">
      <c r="B223" s="11" t="str">
        <f>CONCATENATE("          ", "6009", " - ", "TEMPORARY-SEASONAL")</f>
        <v xml:space="preserve">          6009 - TEMPORARY-SEASONAL</v>
      </c>
      <c r="D223" s="2">
        <v>3727.63</v>
      </c>
      <c r="F223" s="2">
        <v>1962</v>
      </c>
      <c r="G223" s="3"/>
      <c r="H223" s="2"/>
      <c r="I223" s="3"/>
      <c r="J223" s="2"/>
      <c r="K223" s="3"/>
      <c r="L223" s="2"/>
      <c r="M223" s="3"/>
      <c r="N223" s="2"/>
      <c r="O223" s="3"/>
      <c r="P223" s="2">
        <v>0</v>
      </c>
      <c r="Q223" s="3"/>
      <c r="R223" s="2">
        <v>0</v>
      </c>
    </row>
    <row r="224" spans="1:18" s="16" customFormat="1" hidden="1" outlineLevel="2" x14ac:dyDescent="0.35">
      <c r="B224" s="11" t="str">
        <f>CONCATENATE("          ", "6010", " - ", "GRATUITY")</f>
        <v xml:space="preserve">          6010 - GRATUITY</v>
      </c>
      <c r="D224" s="2"/>
      <c r="F224" s="2"/>
      <c r="G224" s="3"/>
      <c r="H224" s="2"/>
      <c r="I224" s="3"/>
      <c r="J224" s="2"/>
      <c r="K224" s="3"/>
      <c r="L224" s="2"/>
      <c r="M224" s="3"/>
      <c r="N224" s="2"/>
      <c r="O224" s="3"/>
      <c r="P224" s="2">
        <v>0</v>
      </c>
      <c r="Q224" s="3"/>
      <c r="R224" s="2">
        <v>0</v>
      </c>
    </row>
    <row r="225" spans="1:18" s="15" customFormat="1" outlineLevel="1" collapsed="1" x14ac:dyDescent="0.35">
      <c r="A225" s="7"/>
      <c r="B225" s="20" t="str">
        <f>CONCATENATE("     ","Advertising/Promo                                 ")</f>
        <v xml:space="preserve">     Advertising/Promo                                 </v>
      </c>
      <c r="C225" s="7"/>
      <c r="D225" s="1">
        <f>SUM(OSRRefD21_2x_0)</f>
        <v>109177.26</v>
      </c>
      <c r="E225" s="19"/>
      <c r="F225" s="1">
        <f>SUM(OSRRefF21_2x_0)</f>
        <v>66395.850000000006</v>
      </c>
      <c r="G225" s="4"/>
      <c r="H225" s="1">
        <f>SUM(OSRRefH21_2x_0)</f>
        <v>79754.87</v>
      </c>
      <c r="I225" s="4"/>
      <c r="J225" s="1">
        <f>SUM(OSRRefJ21_2x_0)</f>
        <v>116389.13</v>
      </c>
      <c r="K225" s="4"/>
      <c r="L225" s="1">
        <f>SUM(OSRRefL21_2x_0)</f>
        <v>74195.039999999994</v>
      </c>
      <c r="M225" s="4"/>
      <c r="N225" s="1">
        <f>SUM(OSRRefN21_2x_0)</f>
        <v>43056.3</v>
      </c>
      <c r="O225" s="4"/>
      <c r="P225" s="1">
        <f>SUM(OSRRefP21_2x_0)</f>
        <v>15260</v>
      </c>
      <c r="Q225" s="4"/>
      <c r="R225" s="1">
        <f>SUM(OSRRefR21_2x_0)</f>
        <v>7100</v>
      </c>
    </row>
    <row r="226" spans="1:18" s="16" customFormat="1" hidden="1" outlineLevel="2" x14ac:dyDescent="0.35">
      <c r="B226" s="11" t="str">
        <f>CONCATENATE("          ", "6362", " - ", "ADVERTISING EXPENSE")</f>
        <v xml:space="preserve">          6362 - ADVERTISING EXPENSE</v>
      </c>
      <c r="D226" s="2">
        <v>109177.26</v>
      </c>
      <c r="F226" s="2">
        <v>66395.850000000006</v>
      </c>
      <c r="G226" s="3"/>
      <c r="H226" s="2">
        <v>79754.87</v>
      </c>
      <c r="I226" s="3"/>
      <c r="J226" s="2">
        <v>116389.13</v>
      </c>
      <c r="K226" s="3"/>
      <c r="L226" s="2">
        <v>74195.039999999994</v>
      </c>
      <c r="M226" s="3"/>
      <c r="N226" s="2">
        <v>43056.3</v>
      </c>
      <c r="O226" s="3"/>
      <c r="P226" s="2">
        <v>15260</v>
      </c>
      <c r="Q226" s="3"/>
      <c r="R226" s="2">
        <v>7100</v>
      </c>
    </row>
    <row r="227" spans="1:18" s="15" customFormat="1" outlineLevel="1" collapsed="1" x14ac:dyDescent="0.35">
      <c r="A227" s="7"/>
      <c r="B227" s="20" t="str">
        <f>CONCATENATE("     ","Bad Debts/Over/Short                              ")</f>
        <v xml:space="preserve">     Bad Debts/Over/Short                              </v>
      </c>
      <c r="C227" s="7"/>
      <c r="D227" s="1">
        <f>SUM(OSRRefD21_3x_0)</f>
        <v>-37925.560000000005</v>
      </c>
      <c r="E227" s="19"/>
      <c r="F227" s="1">
        <f>SUM(OSRRefF21_3x_0)</f>
        <v>39705.839999999997</v>
      </c>
      <c r="G227" s="4"/>
      <c r="H227" s="1">
        <f>SUM(OSRRefH21_3x_0)</f>
        <v>39350.14</v>
      </c>
      <c r="I227" s="4"/>
      <c r="J227" s="1">
        <f>SUM(OSRRefJ21_3x_0)</f>
        <v>667.79</v>
      </c>
      <c r="K227" s="4"/>
      <c r="L227" s="1">
        <f>SUM(OSRRefL21_3x_0)</f>
        <v>325.27999999999997</v>
      </c>
      <c r="M227" s="4"/>
      <c r="N227" s="1">
        <f>SUM(OSRRefN21_3x_0)</f>
        <v>-33.400000000000006</v>
      </c>
      <c r="O227" s="4"/>
      <c r="P227" s="1">
        <f>SUM(OSRRefP21_3x_0)</f>
        <v>1320</v>
      </c>
      <c r="Q227" s="4"/>
      <c r="R227" s="1">
        <f>SUM(OSRRefR21_3x_0)</f>
        <v>2820</v>
      </c>
    </row>
    <row r="228" spans="1:18" s="16" customFormat="1" hidden="1" outlineLevel="2" x14ac:dyDescent="0.35">
      <c r="B228" s="11" t="str">
        <f>CONCATENATE("          ", "6272", " - ", "CASH (OVER/SHORT)")</f>
        <v xml:space="preserve">          6272 - CASH (OVER/SHORT)</v>
      </c>
      <c r="D228" s="2">
        <v>1997.99</v>
      </c>
      <c r="F228" s="2">
        <v>520.6</v>
      </c>
      <c r="G228" s="3"/>
      <c r="H228" s="2">
        <v>1650.69</v>
      </c>
      <c r="I228" s="3"/>
      <c r="J228" s="2">
        <v>250.59</v>
      </c>
      <c r="K228" s="3"/>
      <c r="L228" s="2">
        <v>325.27999999999997</v>
      </c>
      <c r="M228" s="3"/>
      <c r="N228" s="2">
        <v>-78.2</v>
      </c>
      <c r="O228" s="3"/>
      <c r="P228" s="2">
        <v>720</v>
      </c>
      <c r="Q228" s="3"/>
      <c r="R228" s="2">
        <v>2820</v>
      </c>
    </row>
    <row r="229" spans="1:18" s="16" customFormat="1" hidden="1" outlineLevel="2" x14ac:dyDescent="0.35">
      <c r="B229" s="11" t="str">
        <f>CONCATENATE("          ", "6342", " - ", "BAD DEBT")</f>
        <v xml:space="preserve">          6342 - BAD DEBT</v>
      </c>
      <c r="D229" s="2">
        <v>-39923.550000000003</v>
      </c>
      <c r="F229" s="2">
        <v>33276.9</v>
      </c>
      <c r="G229" s="3"/>
      <c r="H229" s="2">
        <v>37699.449999999997</v>
      </c>
      <c r="I229" s="3"/>
      <c r="J229" s="2">
        <v>417.2</v>
      </c>
      <c r="K229" s="3"/>
      <c r="L229" s="2"/>
      <c r="M229" s="3"/>
      <c r="N229" s="2">
        <v>44.8</v>
      </c>
      <c r="O229" s="3"/>
      <c r="P229" s="2">
        <v>600</v>
      </c>
      <c r="Q229" s="3"/>
      <c r="R229" s="2"/>
    </row>
    <row r="230" spans="1:18" s="16" customFormat="1" hidden="1" outlineLevel="2" x14ac:dyDescent="0.35">
      <c r="B230" s="11" t="str">
        <f>CONCATENATE("          ", "6344", " - ", "BAD DEBT-NSF")</f>
        <v xml:space="preserve">          6344 - BAD DEBT-NSF</v>
      </c>
      <c r="D230" s="2"/>
      <c r="F230" s="2">
        <v>5908.34</v>
      </c>
      <c r="G230" s="3"/>
      <c r="H230" s="2"/>
      <c r="I230" s="3"/>
      <c r="J230" s="2"/>
      <c r="K230" s="3"/>
      <c r="L230" s="2"/>
      <c r="M230" s="3"/>
      <c r="N230" s="2"/>
      <c r="O230" s="3"/>
      <c r="P230" s="2"/>
      <c r="Q230" s="3"/>
      <c r="R230" s="2"/>
    </row>
    <row r="231" spans="1:18" s="15" customFormat="1" outlineLevel="1" collapsed="1" x14ac:dyDescent="0.35">
      <c r="A231" s="7"/>
      <c r="B231" s="20" t="str">
        <f>CONCATENATE("     ","Bank/card Fees                                    ")</f>
        <v xml:space="preserve">     Bank/card Fees                                    </v>
      </c>
      <c r="C231" s="7"/>
      <c r="D231" s="1">
        <f>SUM(OSRRefD21_4x_0)</f>
        <v>169568.85</v>
      </c>
      <c r="E231" s="19"/>
      <c r="F231" s="1">
        <f>SUM(OSRRefF21_4x_0)</f>
        <v>179153.92000000001</v>
      </c>
      <c r="G231" s="4"/>
      <c r="H231" s="1">
        <f>SUM(OSRRefH21_4x_0)</f>
        <v>190945.6</v>
      </c>
      <c r="I231" s="4"/>
      <c r="J231" s="1">
        <f>SUM(OSRRefJ21_4x_0)</f>
        <v>188826.22</v>
      </c>
      <c r="K231" s="4"/>
      <c r="L231" s="1">
        <f>SUM(OSRRefL21_4x_0)</f>
        <v>175343.88</v>
      </c>
      <c r="M231" s="4"/>
      <c r="N231" s="1">
        <f>SUM(OSRRefN21_4x_0)</f>
        <v>148948.63</v>
      </c>
      <c r="O231" s="4"/>
      <c r="P231" s="1">
        <f>SUM(OSRRefP21_4x_0)</f>
        <v>198503</v>
      </c>
      <c r="Q231" s="4"/>
      <c r="R231" s="1">
        <f>SUM(OSRRefR21_4x_0)</f>
        <v>184132</v>
      </c>
    </row>
    <row r="232" spans="1:18" s="16" customFormat="1" hidden="1" outlineLevel="2" x14ac:dyDescent="0.35">
      <c r="B232" s="11" t="str">
        <f>CONCATENATE("          ", "6381", " - ", "BANK/CREDIT CARD FEES")</f>
        <v xml:space="preserve">          6381 - BANK/CREDIT CARD FEES</v>
      </c>
      <c r="D232" s="2">
        <v>169568.85</v>
      </c>
      <c r="F232" s="2">
        <v>179153.92000000001</v>
      </c>
      <c r="G232" s="3"/>
      <c r="H232" s="2">
        <v>190945.6</v>
      </c>
      <c r="I232" s="3"/>
      <c r="J232" s="2">
        <v>188826.22</v>
      </c>
      <c r="K232" s="3"/>
      <c r="L232" s="2">
        <v>175343.88</v>
      </c>
      <c r="M232" s="3"/>
      <c r="N232" s="2">
        <v>148948.63</v>
      </c>
      <c r="O232" s="3"/>
      <c r="P232" s="2">
        <v>198503</v>
      </c>
      <c r="Q232" s="3"/>
      <c r="R232" s="2">
        <v>184132</v>
      </c>
    </row>
    <row r="233" spans="1:18" s="15" customFormat="1" outlineLevel="1" collapsed="1" x14ac:dyDescent="0.35">
      <c r="A233" s="7"/>
      <c r="B233" s="20" t="str">
        <f>CONCATENATE("     ","Depreciation                                      ")</f>
        <v xml:space="preserve">     Depreciation                                      </v>
      </c>
      <c r="C233" s="7"/>
      <c r="D233" s="1">
        <f>SUM(OSRRefD21_5x_0)</f>
        <v>238755.13</v>
      </c>
      <c r="E233" s="19"/>
      <c r="F233" s="1">
        <f>SUM(OSRRefF21_5x_0)</f>
        <v>234767.51</v>
      </c>
      <c r="G233" s="4"/>
      <c r="H233" s="1">
        <f>SUM(OSRRefH21_5x_0)</f>
        <v>262239.52</v>
      </c>
      <c r="I233" s="4"/>
      <c r="J233" s="1">
        <f>SUM(OSRRefJ21_5x_0)</f>
        <v>355037.81</v>
      </c>
      <c r="K233" s="4"/>
      <c r="L233" s="1">
        <f>SUM(OSRRefL21_5x_0)</f>
        <v>353174.27</v>
      </c>
      <c r="M233" s="4"/>
      <c r="N233" s="1">
        <f>SUM(OSRRefN21_5x_0)</f>
        <v>359381.63</v>
      </c>
      <c r="O233" s="4"/>
      <c r="P233" s="1">
        <f>SUM(OSRRefP21_5x_0)</f>
        <v>364119</v>
      </c>
      <c r="Q233" s="4"/>
      <c r="R233" s="1">
        <f>SUM(OSRRefR21_5x_0)</f>
        <v>315125</v>
      </c>
    </row>
    <row r="234" spans="1:18" s="16" customFormat="1" hidden="1" outlineLevel="2" x14ac:dyDescent="0.35">
      <c r="B234" s="11" t="str">
        <f>CONCATENATE("          ", "6321", " - ", "BUILDING DEPRECIATION")</f>
        <v xml:space="preserve">          6321 - BUILDING DEPRECIATION</v>
      </c>
      <c r="D234" s="2">
        <v>205572.02</v>
      </c>
      <c r="F234" s="2">
        <v>200807.62</v>
      </c>
      <c r="G234" s="3"/>
      <c r="H234" s="2">
        <v>199482.87</v>
      </c>
      <c r="I234" s="3"/>
      <c r="J234" s="2">
        <v>197440.25</v>
      </c>
      <c r="K234" s="3"/>
      <c r="L234" s="2">
        <v>197440.31</v>
      </c>
      <c r="M234" s="3"/>
      <c r="N234" s="2">
        <v>196757.97</v>
      </c>
      <c r="O234" s="3"/>
      <c r="P234" s="2"/>
      <c r="Q234" s="3"/>
      <c r="R234" s="2"/>
    </row>
    <row r="235" spans="1:18" s="16" customFormat="1" hidden="1" outlineLevel="2" x14ac:dyDescent="0.35">
      <c r="B235" s="11" t="str">
        <f>CONCATENATE("          ", "6322", " - ", "EQUIPMENT DEPRECIATION EXPENSE")</f>
        <v xml:space="preserve">          6322 - EQUIPMENT DEPRECIATION EXPENSE</v>
      </c>
      <c r="D235" s="2">
        <v>27379.11</v>
      </c>
      <c r="F235" s="2">
        <v>30150.5</v>
      </c>
      <c r="G235" s="3"/>
      <c r="H235" s="2">
        <v>59082.25</v>
      </c>
      <c r="I235" s="3"/>
      <c r="J235" s="2">
        <v>154194.65</v>
      </c>
      <c r="K235" s="3"/>
      <c r="L235" s="2">
        <v>155733.96</v>
      </c>
      <c r="M235" s="3"/>
      <c r="N235" s="2">
        <v>162623.66</v>
      </c>
      <c r="O235" s="3"/>
      <c r="P235" s="2">
        <v>364119</v>
      </c>
      <c r="Q235" s="3"/>
      <c r="R235" s="2">
        <v>315125</v>
      </c>
    </row>
    <row r="236" spans="1:18" s="16" customFormat="1" hidden="1" outlineLevel="2" x14ac:dyDescent="0.35">
      <c r="B236" s="11" t="str">
        <f>CONCATENATE("          ", "6324", " - ", "FURNITURE + FIXT DEPRECIATION")</f>
        <v xml:space="preserve">          6324 - FURNITURE + FIXT DEPRECIATION</v>
      </c>
      <c r="D236" s="2">
        <v>3809.39</v>
      </c>
      <c r="F236" s="2">
        <v>3809.39</v>
      </c>
      <c r="G236" s="3"/>
      <c r="H236" s="2">
        <v>3674.4</v>
      </c>
      <c r="I236" s="3"/>
      <c r="J236" s="2">
        <v>3402.91</v>
      </c>
      <c r="K236" s="3"/>
      <c r="L236" s="2">
        <v>0</v>
      </c>
      <c r="M236" s="3"/>
      <c r="N236" s="2">
        <v>0</v>
      </c>
      <c r="O236" s="3"/>
      <c r="P236" s="2"/>
      <c r="Q236" s="3"/>
      <c r="R236" s="2"/>
    </row>
    <row r="237" spans="1:18" s="16" customFormat="1" hidden="1" outlineLevel="2" x14ac:dyDescent="0.35">
      <c r="B237" s="11" t="str">
        <f>CONCATENATE("          ", "6326", " - ", "VEHICLES DEPRECIATION EXPENSE")</f>
        <v xml:space="preserve">          6326 - VEHICLES DEPRECIATION EXPENSE</v>
      </c>
      <c r="D237" s="2">
        <v>1994.61</v>
      </c>
      <c r="F237" s="2"/>
      <c r="G237" s="3"/>
      <c r="H237" s="2"/>
      <c r="I237" s="3"/>
      <c r="J237" s="2"/>
      <c r="K237" s="3"/>
      <c r="L237" s="2"/>
      <c r="M237" s="3"/>
      <c r="N237" s="2"/>
      <c r="O237" s="3"/>
      <c r="P237" s="2"/>
      <c r="Q237" s="3"/>
      <c r="R237" s="2"/>
    </row>
    <row r="238" spans="1:18" s="15" customFormat="1" outlineLevel="1" collapsed="1" x14ac:dyDescent="0.35">
      <c r="A238" s="7"/>
      <c r="B238" s="20" t="str">
        <f>CONCATENATE("     ","Discounts and Markdowns                           ")</f>
        <v xml:space="preserve">     Discounts and Markdowns                           </v>
      </c>
      <c r="C238" s="7"/>
      <c r="D238" s="1">
        <f>SUM(OSRRefD21_6x_0)</f>
        <v>359486.28</v>
      </c>
      <c r="E238" s="19"/>
      <c r="F238" s="1">
        <f>SUM(OSRRefF21_6x_0)</f>
        <v>342362.87</v>
      </c>
      <c r="G238" s="4"/>
      <c r="H238" s="1">
        <f>SUM(OSRRefH21_6x_0)</f>
        <v>390637.88999999996</v>
      </c>
      <c r="I238" s="4"/>
      <c r="J238" s="1">
        <f>SUM(OSRRefJ21_6x_0)</f>
        <v>286755.73</v>
      </c>
      <c r="K238" s="4"/>
      <c r="L238" s="1">
        <f>SUM(OSRRefL21_6x_0)</f>
        <v>352190.7</v>
      </c>
      <c r="M238" s="4"/>
      <c r="N238" s="1">
        <f>SUM(OSRRefN21_6x_0)</f>
        <v>387319.51</v>
      </c>
      <c r="O238" s="4"/>
      <c r="P238" s="1">
        <f>SUM(OSRRefP21_6x_0)</f>
        <v>346785</v>
      </c>
      <c r="Q238" s="4"/>
      <c r="R238" s="1">
        <f>SUM(OSRRefR21_6x_0)</f>
        <v>0</v>
      </c>
    </row>
    <row r="239" spans="1:18" s="16" customFormat="1" hidden="1" outlineLevel="2" x14ac:dyDescent="0.35">
      <c r="B239" s="11" t="str">
        <f>CONCATENATE("          ", "6382", " - ", "DISCOUNTS/MARK DOWNS")</f>
        <v xml:space="preserve">          6382 - DISCOUNTS/MARK DOWNS</v>
      </c>
      <c r="D239" s="2">
        <v>370667.53</v>
      </c>
      <c r="F239" s="2">
        <v>351551.71</v>
      </c>
      <c r="G239" s="3"/>
      <c r="H239" s="2">
        <v>397886.22</v>
      </c>
      <c r="I239" s="3"/>
      <c r="J239" s="2">
        <v>293313.55</v>
      </c>
      <c r="K239" s="3"/>
      <c r="L239" s="2">
        <v>356813.8</v>
      </c>
      <c r="M239" s="3"/>
      <c r="N239" s="2">
        <v>390553.99</v>
      </c>
      <c r="O239" s="3"/>
      <c r="P239" s="2">
        <v>346785</v>
      </c>
      <c r="Q239" s="3"/>
      <c r="R239" s="2">
        <v>0</v>
      </c>
    </row>
    <row r="240" spans="1:18" s="16" customFormat="1" hidden="1" outlineLevel="2" x14ac:dyDescent="0.35">
      <c r="B240" s="11" t="str">
        <f>CONCATENATE("          ", "9175", " - ", "EARNED DISCOUNTS")</f>
        <v xml:space="preserve">          9175 - EARNED DISCOUNTS</v>
      </c>
      <c r="D240" s="2">
        <v>-11181.25</v>
      </c>
      <c r="F240" s="2">
        <v>-9188.84</v>
      </c>
      <c r="G240" s="3"/>
      <c r="H240" s="2">
        <v>-7248.33</v>
      </c>
      <c r="I240" s="3"/>
      <c r="J240" s="2">
        <v>-6557.82</v>
      </c>
      <c r="K240" s="3"/>
      <c r="L240" s="2">
        <v>-4623.1000000000004</v>
      </c>
      <c r="M240" s="3"/>
      <c r="N240" s="2">
        <v>-3234.48</v>
      </c>
      <c r="O240" s="3"/>
      <c r="P240" s="2"/>
      <c r="Q240" s="3"/>
      <c r="R240" s="2"/>
    </row>
    <row r="241" spans="1:18" s="15" customFormat="1" outlineLevel="1" collapsed="1" x14ac:dyDescent="0.35">
      <c r="A241" s="7"/>
      <c r="B241" s="20" t="str">
        <f>CONCATENATE("     ","Donations                                         ")</f>
        <v xml:space="preserve">     Donations                                         </v>
      </c>
      <c r="C241" s="7"/>
      <c r="D241" s="1">
        <f>SUM(OSRRefD21_7x_0)</f>
        <v>3941.65</v>
      </c>
      <c r="E241" s="19"/>
      <c r="F241" s="1">
        <f>SUM(OSRRefF21_7x_0)</f>
        <v>7807.94</v>
      </c>
      <c r="G241" s="4"/>
      <c r="H241" s="1">
        <f>SUM(OSRRefH21_7x_0)</f>
        <v>15019.87</v>
      </c>
      <c r="I241" s="4"/>
      <c r="J241" s="1">
        <f>SUM(OSRRefJ21_7x_0)</f>
        <v>4901.6400000000003</v>
      </c>
      <c r="K241" s="4"/>
      <c r="L241" s="1">
        <f>SUM(OSRRefL21_7x_0)</f>
        <v>9858.49</v>
      </c>
      <c r="M241" s="4"/>
      <c r="N241" s="1">
        <f>SUM(OSRRefN21_7x_0)</f>
        <v>10985.64</v>
      </c>
      <c r="O241" s="4"/>
      <c r="P241" s="1">
        <f>SUM(OSRRefP21_7x_0)</f>
        <v>12000</v>
      </c>
      <c r="Q241" s="4"/>
      <c r="R241" s="1">
        <f>SUM(OSRRefR21_7x_0)</f>
        <v>15000</v>
      </c>
    </row>
    <row r="242" spans="1:18" s="16" customFormat="1" hidden="1" outlineLevel="2" x14ac:dyDescent="0.35">
      <c r="B242" s="11" t="str">
        <f>CONCATENATE("          ", "6395", " - ", "DONATION-OFF CAMPUS")</f>
        <v xml:space="preserve">          6395 - DONATION-OFF CAMPUS</v>
      </c>
      <c r="D242" s="2"/>
      <c r="F242" s="2"/>
      <c r="G242" s="3"/>
      <c r="H242" s="2">
        <v>207.19</v>
      </c>
      <c r="I242" s="3"/>
      <c r="J242" s="2"/>
      <c r="K242" s="3"/>
      <c r="L242" s="2"/>
      <c r="M242" s="3"/>
      <c r="N242" s="2"/>
      <c r="O242" s="3"/>
      <c r="P242" s="2">
        <v>0</v>
      </c>
      <c r="Q242" s="3"/>
      <c r="R242" s="2"/>
    </row>
    <row r="243" spans="1:18" s="16" customFormat="1" hidden="1" outlineLevel="2" x14ac:dyDescent="0.35">
      <c r="B243" s="11" t="str">
        <f>CONCATENATE("          ", "6399", " - ", "DONATION-ON CAMPUS")</f>
        <v xml:space="preserve">          6399 - DONATION-ON CAMPUS</v>
      </c>
      <c r="D243" s="2">
        <v>3941.65</v>
      </c>
      <c r="F243" s="2">
        <v>7807.94</v>
      </c>
      <c r="G243" s="3"/>
      <c r="H243" s="2">
        <v>14812.68</v>
      </c>
      <c r="I243" s="3"/>
      <c r="J243" s="2">
        <v>4901.6400000000003</v>
      </c>
      <c r="K243" s="3"/>
      <c r="L243" s="2">
        <v>9858.49</v>
      </c>
      <c r="M243" s="3"/>
      <c r="N243" s="2">
        <v>10985.64</v>
      </c>
      <c r="O243" s="3"/>
      <c r="P243" s="2">
        <v>12000</v>
      </c>
      <c r="Q243" s="3"/>
      <c r="R243" s="2">
        <v>15000</v>
      </c>
    </row>
    <row r="244" spans="1:18" s="15" customFormat="1" outlineLevel="1" collapsed="1" x14ac:dyDescent="0.35">
      <c r="A244" s="7"/>
      <c r="B244" s="20" t="str">
        <f>CONCATENATE("     ","Employees' Appreciation                           ")</f>
        <v xml:space="preserve">     Employees' Appreciation                           </v>
      </c>
      <c r="C244" s="7"/>
      <c r="D244" s="1">
        <f>SUM(OSRRefD21_8x_0)</f>
        <v>3458.6</v>
      </c>
      <c r="E244" s="19"/>
      <c r="F244" s="1">
        <f>SUM(OSRRefF21_8x_0)</f>
        <v>4978.79</v>
      </c>
      <c r="G244" s="4"/>
      <c r="H244" s="1">
        <f>SUM(OSRRefH21_8x_0)</f>
        <v>3405.63</v>
      </c>
      <c r="I244" s="4"/>
      <c r="J244" s="1">
        <f>SUM(OSRRefJ21_8x_0)</f>
        <v>2845.98</v>
      </c>
      <c r="K244" s="4"/>
      <c r="L244" s="1">
        <f>SUM(OSRRefL21_8x_0)</f>
        <v>4114.25</v>
      </c>
      <c r="M244" s="4"/>
      <c r="N244" s="1">
        <f>SUM(OSRRefN21_8x_0)</f>
        <v>1611.27</v>
      </c>
      <c r="O244" s="4"/>
      <c r="P244" s="1">
        <f>SUM(OSRRefP21_8x_0)</f>
        <v>4900</v>
      </c>
      <c r="Q244" s="4"/>
      <c r="R244" s="1">
        <f>SUM(OSRRefR21_8x_0)</f>
        <v>2700</v>
      </c>
    </row>
    <row r="245" spans="1:18" s="16" customFormat="1" hidden="1" outlineLevel="2" x14ac:dyDescent="0.35">
      <c r="B245" s="11" t="str">
        <f>CONCATENATE("          ", "6277", " - ", "EMPLOYEE APPRECIATION")</f>
        <v xml:space="preserve">          6277 - EMPLOYEE APPRECIATION</v>
      </c>
      <c r="D245" s="2">
        <v>3458.6</v>
      </c>
      <c r="F245" s="2">
        <v>4978.79</v>
      </c>
      <c r="G245" s="3"/>
      <c r="H245" s="2">
        <v>3405.63</v>
      </c>
      <c r="I245" s="3"/>
      <c r="J245" s="2">
        <v>2845.98</v>
      </c>
      <c r="K245" s="3"/>
      <c r="L245" s="2">
        <v>4114.25</v>
      </c>
      <c r="M245" s="3"/>
      <c r="N245" s="2">
        <v>1611.27</v>
      </c>
      <c r="O245" s="3"/>
      <c r="P245" s="2">
        <v>4900</v>
      </c>
      <c r="Q245" s="3"/>
      <c r="R245" s="2">
        <v>2700</v>
      </c>
    </row>
    <row r="246" spans="1:18" s="15" customFormat="1" outlineLevel="1" collapsed="1" x14ac:dyDescent="0.35">
      <c r="A246" s="7"/>
      <c r="B246" s="20" t="str">
        <f>CONCATENATE("     ","Equipment Rental                                  ")</f>
        <v xml:space="preserve">     Equipment Rental                                  </v>
      </c>
      <c r="C246" s="7"/>
      <c r="D246" s="1">
        <f>SUM(OSRRefD21_9x_0)</f>
        <v>42289.74</v>
      </c>
      <c r="E246" s="19"/>
      <c r="F246" s="1">
        <f>SUM(OSRRefF21_9x_0)</f>
        <v>42188.78</v>
      </c>
      <c r="G246" s="4"/>
      <c r="H246" s="1">
        <f>SUM(OSRRefH21_9x_0)</f>
        <v>41411.03</v>
      </c>
      <c r="I246" s="4"/>
      <c r="J246" s="1">
        <f>SUM(OSRRefJ21_9x_0)</f>
        <v>40855.75</v>
      </c>
      <c r="K246" s="4"/>
      <c r="L246" s="1">
        <f>SUM(OSRRefL21_9x_0)</f>
        <v>40979.39</v>
      </c>
      <c r="M246" s="4"/>
      <c r="N246" s="1">
        <f>SUM(OSRRefN21_9x_0)</f>
        <v>19839.79</v>
      </c>
      <c r="O246" s="4"/>
      <c r="P246" s="1">
        <f>SUM(OSRRefP21_9x_0)</f>
        <v>36072</v>
      </c>
      <c r="Q246" s="4"/>
      <c r="R246" s="1">
        <f>SUM(OSRRefR21_9x_0)</f>
        <v>20200</v>
      </c>
    </row>
    <row r="247" spans="1:18" s="16" customFormat="1" hidden="1" outlineLevel="2" x14ac:dyDescent="0.35">
      <c r="B247" s="11" t="str">
        <f>CONCATENATE("          ", "6351", " - ", "EQUIPMENT RENTAL")</f>
        <v xml:space="preserve">          6351 - EQUIPMENT RENTAL</v>
      </c>
      <c r="D247" s="2">
        <v>42289.74</v>
      </c>
      <c r="F247" s="2">
        <v>42188.78</v>
      </c>
      <c r="G247" s="3"/>
      <c r="H247" s="2">
        <v>41411.03</v>
      </c>
      <c r="I247" s="3"/>
      <c r="J247" s="2">
        <v>40855.75</v>
      </c>
      <c r="K247" s="3"/>
      <c r="L247" s="2">
        <v>40979.39</v>
      </c>
      <c r="M247" s="3"/>
      <c r="N247" s="2">
        <v>19839.79</v>
      </c>
      <c r="O247" s="3"/>
      <c r="P247" s="2">
        <v>36072</v>
      </c>
      <c r="Q247" s="3"/>
      <c r="R247" s="2">
        <v>20200</v>
      </c>
    </row>
    <row r="248" spans="1:18" s="15" customFormat="1" outlineLevel="1" collapsed="1" x14ac:dyDescent="0.35">
      <c r="A248" s="7"/>
      <c r="B248" s="20" t="str">
        <f>CONCATENATE("     ","Freight out/Postage                               ")</f>
        <v xml:space="preserve">     Freight out/Postage                               </v>
      </c>
      <c r="C248" s="7"/>
      <c r="D248" s="1">
        <f>SUM(OSRRefD21_10x_0)</f>
        <v>-22221.89</v>
      </c>
      <c r="E248" s="19"/>
      <c r="F248" s="1">
        <f>SUM(OSRRefF21_10x_0)</f>
        <v>-16261.220000000001</v>
      </c>
      <c r="G248" s="4"/>
      <c r="H248" s="1">
        <f>SUM(OSRRefH21_10x_0)</f>
        <v>-14496.050000000003</v>
      </c>
      <c r="I248" s="4"/>
      <c r="J248" s="1">
        <f>SUM(OSRRefJ21_10x_0)</f>
        <v>-2904.1000000000058</v>
      </c>
      <c r="K248" s="4"/>
      <c r="L248" s="1">
        <f>SUM(OSRRefL21_10x_0)</f>
        <v>-793.7100000000064</v>
      </c>
      <c r="M248" s="4"/>
      <c r="N248" s="1">
        <f>SUM(OSRRefN21_10x_0)</f>
        <v>41650.92</v>
      </c>
      <c r="O248" s="4"/>
      <c r="P248" s="1">
        <f>SUM(OSRRefP21_10x_0)</f>
        <v>35383</v>
      </c>
      <c r="Q248" s="4"/>
      <c r="R248" s="1">
        <f>SUM(OSRRefR21_10x_0)</f>
        <v>-16400</v>
      </c>
    </row>
    <row r="249" spans="1:18" s="16" customFormat="1" hidden="1" outlineLevel="2" x14ac:dyDescent="0.35">
      <c r="B249" s="11" t="str">
        <f>CONCATENATE("          ", "6305", " - ", "FREIGHT OUT")</f>
        <v xml:space="preserve">          6305 - FREIGHT OUT</v>
      </c>
      <c r="D249" s="2">
        <v>49624.59</v>
      </c>
      <c r="F249" s="2">
        <v>72878.05</v>
      </c>
      <c r="G249" s="3"/>
      <c r="H249" s="2">
        <v>79486.98</v>
      </c>
      <c r="I249" s="3"/>
      <c r="J249" s="2">
        <v>75076.22</v>
      </c>
      <c r="K249" s="3"/>
      <c r="L249" s="2">
        <v>80459.679999999993</v>
      </c>
      <c r="M249" s="3"/>
      <c r="N249" s="2">
        <v>102668.17</v>
      </c>
      <c r="O249" s="3"/>
      <c r="P249" s="2">
        <v>66685</v>
      </c>
      <c r="Q249" s="3"/>
      <c r="R249" s="2">
        <v>156900</v>
      </c>
    </row>
    <row r="250" spans="1:18" s="16" customFormat="1" hidden="1" outlineLevel="2" x14ac:dyDescent="0.35">
      <c r="B250" s="11" t="str">
        <f>CONCATENATE("          ", "6307", " - ", "POSTAGE")</f>
        <v xml:space="preserve">          6307 - POSTAGE</v>
      </c>
      <c r="D250" s="2">
        <v>-71846.48</v>
      </c>
      <c r="F250" s="2">
        <v>-89139.27</v>
      </c>
      <c r="G250" s="3"/>
      <c r="H250" s="2">
        <v>-93983.03</v>
      </c>
      <c r="I250" s="3"/>
      <c r="J250" s="2">
        <v>-77980.320000000007</v>
      </c>
      <c r="K250" s="3"/>
      <c r="L250" s="2">
        <v>-81253.39</v>
      </c>
      <c r="M250" s="3"/>
      <c r="N250" s="2">
        <v>-61017.25</v>
      </c>
      <c r="O250" s="3"/>
      <c r="P250" s="2">
        <v>-31302</v>
      </c>
      <c r="Q250" s="3"/>
      <c r="R250" s="2">
        <v>-173300</v>
      </c>
    </row>
    <row r="251" spans="1:18" s="15" customFormat="1" outlineLevel="1" collapsed="1" x14ac:dyDescent="0.35">
      <c r="A251" s="7"/>
      <c r="B251" s="20" t="str">
        <f>CONCATENATE("     ","General                                           ")</f>
        <v xml:space="preserve">     General                                           </v>
      </c>
      <c r="C251" s="7"/>
      <c r="D251" s="1">
        <f>SUM(OSRRefD21_11x_0)</f>
        <v>4474.99</v>
      </c>
      <c r="E251" s="19"/>
      <c r="F251" s="1">
        <f>SUM(OSRRefF21_11x_0)</f>
        <v>22836.06</v>
      </c>
      <c r="G251" s="4"/>
      <c r="H251" s="1">
        <f>SUM(OSRRefH21_11x_0)</f>
        <v>23259.52</v>
      </c>
      <c r="I251" s="4"/>
      <c r="J251" s="1">
        <f>SUM(OSRRefJ21_11x_0)</f>
        <v>29986.1</v>
      </c>
      <c r="K251" s="4"/>
      <c r="L251" s="1">
        <f>SUM(OSRRefL21_11x_0)</f>
        <v>24831.41</v>
      </c>
      <c r="M251" s="4"/>
      <c r="N251" s="1">
        <f>SUM(OSRRefN21_11x_0)</f>
        <v>-3183.87</v>
      </c>
      <c r="O251" s="4"/>
      <c r="P251" s="1">
        <f>SUM(OSRRefP21_11x_0)</f>
        <v>13250</v>
      </c>
      <c r="Q251" s="4"/>
      <c r="R251" s="1">
        <f>SUM(OSRRefR21_11x_0)</f>
        <v>7400</v>
      </c>
    </row>
    <row r="252" spans="1:18" s="16" customFormat="1" hidden="1" outlineLevel="2" x14ac:dyDescent="0.35">
      <c r="B252" s="11" t="str">
        <f>CONCATENATE("          ", "6269", " - ", "ENTERTAINMENT")</f>
        <v xml:space="preserve">          6269 - ENTERTAINMENT</v>
      </c>
      <c r="D252" s="2"/>
      <c r="F252" s="2"/>
      <c r="G252" s="3"/>
      <c r="H252" s="2"/>
      <c r="I252" s="3"/>
      <c r="J252" s="2"/>
      <c r="K252" s="3"/>
      <c r="L252" s="2"/>
      <c r="M252" s="3"/>
      <c r="N252" s="2"/>
      <c r="O252" s="3"/>
      <c r="P252" s="2">
        <v>2750</v>
      </c>
      <c r="Q252" s="3"/>
      <c r="R252" s="2"/>
    </row>
    <row r="253" spans="1:18" s="16" customFormat="1" hidden="1" outlineLevel="2" x14ac:dyDescent="0.35">
      <c r="B253" s="11" t="str">
        <f>CONCATENATE("          ", "6276", " - ", "PROPERTY TAX")</f>
        <v xml:space="preserve">          6276 - PROPERTY TAX</v>
      </c>
      <c r="D253" s="2"/>
      <c r="F253" s="2"/>
      <c r="G253" s="3"/>
      <c r="H253" s="2"/>
      <c r="I253" s="3"/>
      <c r="J253" s="2"/>
      <c r="K253" s="3"/>
      <c r="L253" s="2"/>
      <c r="M253" s="3"/>
      <c r="N253" s="2"/>
      <c r="O253" s="3"/>
      <c r="P253" s="2">
        <v>150</v>
      </c>
      <c r="Q253" s="3"/>
      <c r="R253" s="2">
        <v>1250</v>
      </c>
    </row>
    <row r="254" spans="1:18" s="16" customFormat="1" hidden="1" outlineLevel="2" x14ac:dyDescent="0.35">
      <c r="B254" s="11" t="str">
        <f>CONCATENATE("          ", "6279", " - ", "GENERAL EXPENSE")</f>
        <v xml:space="preserve">          6279 - GENERAL EXPENSE</v>
      </c>
      <c r="D254" s="2">
        <v>4474.99</v>
      </c>
      <c r="F254" s="2">
        <v>22836.06</v>
      </c>
      <c r="G254" s="3"/>
      <c r="H254" s="2">
        <v>23259.52</v>
      </c>
      <c r="I254" s="3"/>
      <c r="J254" s="2">
        <v>29986.1</v>
      </c>
      <c r="K254" s="3"/>
      <c r="L254" s="2">
        <v>24831.41</v>
      </c>
      <c r="M254" s="3"/>
      <c r="N254" s="2">
        <v>-3183.87</v>
      </c>
      <c r="O254" s="3"/>
      <c r="P254" s="2">
        <v>10350</v>
      </c>
      <c r="Q254" s="3"/>
      <c r="R254" s="2">
        <v>6150</v>
      </c>
    </row>
    <row r="255" spans="1:18" s="15" customFormat="1" outlineLevel="1" collapsed="1" x14ac:dyDescent="0.35">
      <c r="A255" s="7"/>
      <c r="B255" s="20" t="str">
        <f>CONCATENATE("     ","Insurance                                         ")</f>
        <v xml:space="preserve">     Insurance                                         </v>
      </c>
      <c r="C255" s="7"/>
      <c r="D255" s="1">
        <f>SUM(OSRRefD21_12x_0)</f>
        <v>32667.97</v>
      </c>
      <c r="E255" s="19"/>
      <c r="F255" s="1">
        <f>SUM(OSRRefF21_12x_0)</f>
        <v>39521.519999999997</v>
      </c>
      <c r="G255" s="4"/>
      <c r="H255" s="1">
        <f>SUM(OSRRefH21_12x_0)</f>
        <v>35877.75</v>
      </c>
      <c r="I255" s="4"/>
      <c r="J255" s="1">
        <f>SUM(OSRRefJ21_12x_0)</f>
        <v>40077.360000000001</v>
      </c>
      <c r="K255" s="4"/>
      <c r="L255" s="1">
        <f>SUM(OSRRefL21_12x_0)</f>
        <v>38930.870000000003</v>
      </c>
      <c r="M255" s="4"/>
      <c r="N255" s="1">
        <f>SUM(OSRRefN21_12x_0)</f>
        <v>48536.88</v>
      </c>
      <c r="O255" s="4"/>
      <c r="P255" s="1">
        <f>SUM(OSRRefP21_12x_0)</f>
        <v>53352</v>
      </c>
      <c r="Q255" s="4"/>
      <c r="R255" s="1">
        <f>SUM(OSRRefR21_12x_0)</f>
        <v>64500</v>
      </c>
    </row>
    <row r="256" spans="1:18" s="16" customFormat="1" hidden="1" outlineLevel="2" x14ac:dyDescent="0.35">
      <c r="B256" s="11" t="str">
        <f>CONCATENATE("          ", "6314", " - ", "LIABILITY INSURANCE")</f>
        <v xml:space="preserve">          6314 - LIABILITY INSURANCE</v>
      </c>
      <c r="D256" s="2">
        <v>32667.97</v>
      </c>
      <c r="F256" s="2">
        <v>39521.519999999997</v>
      </c>
      <c r="G256" s="3"/>
      <c r="H256" s="2">
        <v>35877.75</v>
      </c>
      <c r="I256" s="3"/>
      <c r="J256" s="2">
        <v>40077.360000000001</v>
      </c>
      <c r="K256" s="3"/>
      <c r="L256" s="2">
        <v>38930.870000000003</v>
      </c>
      <c r="M256" s="3"/>
      <c r="N256" s="2">
        <v>48536.88</v>
      </c>
      <c r="O256" s="3"/>
      <c r="P256" s="2">
        <v>53352</v>
      </c>
      <c r="Q256" s="3"/>
      <c r="R256" s="2">
        <v>64500</v>
      </c>
    </row>
    <row r="257" spans="1:18" s="15" customFormat="1" outlineLevel="1" collapsed="1" x14ac:dyDescent="0.35">
      <c r="A257" s="7"/>
      <c r="B257" s="20" t="str">
        <f>CONCATENATE("     ","Inventory Adjustment                              ")</f>
        <v xml:space="preserve">     Inventory Adjustment                              </v>
      </c>
      <c r="C257" s="7"/>
      <c r="D257" s="1">
        <f>SUM(OSRRefD21_13x_0)</f>
        <v>-12258</v>
      </c>
      <c r="E257" s="19"/>
      <c r="F257" s="1">
        <f>SUM(OSRRefF21_13x_0)</f>
        <v>-2574</v>
      </c>
      <c r="G257" s="4"/>
      <c r="H257" s="1">
        <f>SUM(OSRRefH21_13x_0)</f>
        <v>-22978</v>
      </c>
      <c r="I257" s="4"/>
      <c r="J257" s="1">
        <f>SUM(OSRRefJ21_13x_0)</f>
        <v>780</v>
      </c>
      <c r="K257" s="4"/>
      <c r="L257" s="1">
        <f>SUM(OSRRefL21_13x_0)</f>
        <v>16099</v>
      </c>
      <c r="M257" s="4"/>
      <c r="N257" s="1">
        <f>SUM(OSRRefN21_13x_0)</f>
        <v>43236</v>
      </c>
      <c r="O257" s="4"/>
      <c r="P257" s="1">
        <f>SUM(OSRRefP21_13x_0)</f>
        <v>85200</v>
      </c>
      <c r="Q257" s="4"/>
      <c r="R257" s="1">
        <f>SUM(OSRRefR21_13x_0)</f>
        <v>79200</v>
      </c>
    </row>
    <row r="258" spans="1:18" s="16" customFormat="1" hidden="1" outlineLevel="2" x14ac:dyDescent="0.35">
      <c r="B258" s="11" t="str">
        <f>CONCATENATE("          ", "6408", " - ", "INVENTORY ADJUSTMENT")</f>
        <v xml:space="preserve">          6408 - INVENTORY ADJUSTMENT</v>
      </c>
      <c r="D258" s="2">
        <v>0</v>
      </c>
      <c r="F258" s="2">
        <v>0</v>
      </c>
      <c r="G258" s="3"/>
      <c r="H258" s="2">
        <v>0</v>
      </c>
      <c r="I258" s="3"/>
      <c r="J258" s="2">
        <v>0</v>
      </c>
      <c r="K258" s="3"/>
      <c r="L258" s="2">
        <v>0</v>
      </c>
      <c r="M258" s="3"/>
      <c r="N258" s="2">
        <v>0</v>
      </c>
      <c r="O258" s="3"/>
      <c r="P258" s="2">
        <v>85200</v>
      </c>
      <c r="Q258" s="3"/>
      <c r="R258" s="2">
        <v>79200</v>
      </c>
    </row>
    <row r="259" spans="1:18" s="16" customFormat="1" hidden="1" outlineLevel="2" x14ac:dyDescent="0.35">
      <c r="B259" s="11" t="str">
        <f>CONCATENATE("          ", "7700", " - ", "INV. SHRINKAGE @ RETAIL-CONTRA")</f>
        <v xml:space="preserve">          7700 - INV. SHRINKAGE @ RETAIL-CONTRA</v>
      </c>
      <c r="D259" s="2">
        <v>-100505</v>
      </c>
      <c r="F259" s="2">
        <v>51810</v>
      </c>
      <c r="G259" s="3"/>
      <c r="H259" s="2">
        <v>-36650</v>
      </c>
      <c r="I259" s="3"/>
      <c r="J259" s="2">
        <v>110351</v>
      </c>
      <c r="K259" s="3"/>
      <c r="L259" s="2">
        <v>166740</v>
      </c>
      <c r="M259" s="3"/>
      <c r="N259" s="2">
        <v>-99781</v>
      </c>
      <c r="O259" s="3"/>
      <c r="P259" s="2"/>
      <c r="Q259" s="3"/>
      <c r="R259" s="2"/>
    </row>
    <row r="260" spans="1:18" s="16" customFormat="1" hidden="1" outlineLevel="2" x14ac:dyDescent="0.35">
      <c r="B260" s="11" t="str">
        <f>CONCATENATE("          ", "7701", " - ", "INV. SHRINKAGE-NEW TEXT")</f>
        <v xml:space="preserve">          7701 - INV. SHRINKAGE-NEW TEXT</v>
      </c>
      <c r="D260" s="2">
        <v>27329</v>
      </c>
      <c r="F260" s="2">
        <v>-45934</v>
      </c>
      <c r="G260" s="3"/>
      <c r="H260" s="2">
        <v>425827</v>
      </c>
      <c r="I260" s="3"/>
      <c r="J260" s="2">
        <v>36055</v>
      </c>
      <c r="K260" s="3"/>
      <c r="L260" s="2">
        <v>-79917</v>
      </c>
      <c r="M260" s="3"/>
      <c r="N260" s="2">
        <v>-4346</v>
      </c>
      <c r="O260" s="3"/>
      <c r="P260" s="2"/>
      <c r="Q260" s="3"/>
      <c r="R260" s="2"/>
    </row>
    <row r="261" spans="1:18" s="16" customFormat="1" hidden="1" outlineLevel="2" x14ac:dyDescent="0.35">
      <c r="B261" s="11" t="str">
        <f>CONCATENATE("          ", "7702", " - ", "INV. SHRINKAGE-USED TEXT")</f>
        <v xml:space="preserve">          7702 - INV. SHRINKAGE-USED TEXT</v>
      </c>
      <c r="D261" s="2">
        <v>58945</v>
      </c>
      <c r="F261" s="2">
        <v>-5994</v>
      </c>
      <c r="G261" s="3"/>
      <c r="H261" s="2">
        <v>-306482</v>
      </c>
      <c r="I261" s="3"/>
      <c r="J261" s="2">
        <v>-43858</v>
      </c>
      <c r="K261" s="3"/>
      <c r="L261" s="2">
        <v>-5215</v>
      </c>
      <c r="M261" s="3"/>
      <c r="N261" s="2">
        <v>-29494</v>
      </c>
      <c r="O261" s="3"/>
      <c r="P261" s="2"/>
      <c r="Q261" s="3"/>
      <c r="R261" s="2"/>
    </row>
    <row r="262" spans="1:18" s="16" customFormat="1" hidden="1" outlineLevel="2" x14ac:dyDescent="0.35">
      <c r="B262" s="11" t="str">
        <f>CONCATENATE("          ", "7703", " - ", "INV. SHRINKAGE-RENTAL TEXT")</f>
        <v xml:space="preserve">          7703 - INV. SHRINKAGE-RENTAL TEXT</v>
      </c>
      <c r="D262" s="2"/>
      <c r="F262" s="2"/>
      <c r="G262" s="3"/>
      <c r="H262" s="2"/>
      <c r="I262" s="3"/>
      <c r="J262" s="2">
        <v>-19135</v>
      </c>
      <c r="K262" s="3"/>
      <c r="L262" s="2">
        <v>30858</v>
      </c>
      <c r="M262" s="3"/>
      <c r="N262" s="2">
        <v>526</v>
      </c>
      <c r="O262" s="3"/>
      <c r="P262" s="2"/>
      <c r="Q262" s="3"/>
      <c r="R262" s="2"/>
    </row>
    <row r="263" spans="1:18" s="16" customFormat="1" hidden="1" outlineLevel="2" x14ac:dyDescent="0.35">
      <c r="B263" s="11" t="str">
        <f>CONCATENATE("          ", "7704", " - ", "INV. SHRINKAGE-DIGITAL TEXT")</f>
        <v xml:space="preserve">          7704 - INV. SHRINKAGE-DIGITAL TEXT</v>
      </c>
      <c r="D263" s="2">
        <v>-9157</v>
      </c>
      <c r="F263" s="2">
        <v>-13898</v>
      </c>
      <c r="G263" s="3"/>
      <c r="H263" s="2">
        <v>-106620</v>
      </c>
      <c r="I263" s="3"/>
      <c r="J263" s="2">
        <v>-101331</v>
      </c>
      <c r="K263" s="3"/>
      <c r="L263" s="2">
        <v>-37301</v>
      </c>
      <c r="M263" s="3"/>
      <c r="N263" s="2">
        <v>816</v>
      </c>
      <c r="O263" s="3"/>
      <c r="P263" s="2"/>
      <c r="Q263" s="3"/>
      <c r="R263" s="2"/>
    </row>
    <row r="264" spans="1:18" s="16" customFormat="1" hidden="1" outlineLevel="2" x14ac:dyDescent="0.35">
      <c r="B264" s="11" t="str">
        <f>CONCATENATE("          ", "7711", " - ", "INV. SHRINKAGE-NO VALUE TEXT")</f>
        <v xml:space="preserve">          7711 - INV. SHRINKAGE-NO VALUE TEXT</v>
      </c>
      <c r="D264" s="2"/>
      <c r="F264" s="2">
        <v>-191</v>
      </c>
      <c r="G264" s="3"/>
      <c r="H264" s="2">
        <v>6</v>
      </c>
      <c r="I264" s="3"/>
      <c r="J264" s="2">
        <v>-8956</v>
      </c>
      <c r="K264" s="3"/>
      <c r="L264" s="2">
        <v>-2516</v>
      </c>
      <c r="M264" s="3"/>
      <c r="N264" s="2">
        <v>-1126</v>
      </c>
      <c r="O264" s="3"/>
      <c r="P264" s="2"/>
      <c r="Q264" s="3"/>
      <c r="R264" s="2"/>
    </row>
    <row r="265" spans="1:18" s="16" customFormat="1" hidden="1" outlineLevel="2" x14ac:dyDescent="0.35">
      <c r="B265" s="11" t="str">
        <f>CONCATENATE("          ", "7712", " - ", "INV. SHRINKAGE-MAGAZINES")</f>
        <v xml:space="preserve">          7712 - INV. SHRINKAGE-MAGAZINES</v>
      </c>
      <c r="D265" s="2">
        <v>-54</v>
      </c>
      <c r="F265" s="2">
        <v>-15</v>
      </c>
      <c r="G265" s="3"/>
      <c r="H265" s="2">
        <v>-27</v>
      </c>
      <c r="I265" s="3"/>
      <c r="J265" s="2"/>
      <c r="K265" s="3"/>
      <c r="L265" s="2"/>
      <c r="M265" s="3"/>
      <c r="N265" s="2"/>
      <c r="O265" s="3"/>
      <c r="P265" s="2"/>
      <c r="Q265" s="3"/>
      <c r="R265" s="2"/>
    </row>
    <row r="266" spans="1:18" s="16" customFormat="1" hidden="1" outlineLevel="2" x14ac:dyDescent="0.35">
      <c r="B266" s="11" t="str">
        <f>CONCATENATE("          ", "7713", " - ", "INV. SHRINKAGE-TRADE BOOKS")</f>
        <v xml:space="preserve">          7713 - INV. SHRINKAGE-TRADE BOOKS</v>
      </c>
      <c r="D266" s="2">
        <v>10516</v>
      </c>
      <c r="F266" s="2">
        <v>-970</v>
      </c>
      <c r="G266" s="3"/>
      <c r="H266" s="2">
        <v>-273</v>
      </c>
      <c r="I266" s="3"/>
      <c r="J266" s="2">
        <v>-548</v>
      </c>
      <c r="K266" s="3"/>
      <c r="L266" s="2">
        <v>749</v>
      </c>
      <c r="M266" s="3"/>
      <c r="N266" s="2">
        <v>-385</v>
      </c>
      <c r="O266" s="3"/>
      <c r="P266" s="2"/>
      <c r="Q266" s="3"/>
      <c r="R266" s="2"/>
    </row>
    <row r="267" spans="1:18" s="16" customFormat="1" hidden="1" outlineLevel="2" x14ac:dyDescent="0.35">
      <c r="B267" s="11" t="str">
        <f>CONCATENATE("          ", "7714", " - ", "INV. SHRINKAGE-REMAINDERS")</f>
        <v xml:space="preserve">          7714 - INV. SHRINKAGE-REMAINDERS</v>
      </c>
      <c r="D267" s="2">
        <v>-182</v>
      </c>
      <c r="F267" s="2">
        <v>-97</v>
      </c>
      <c r="G267" s="3"/>
      <c r="H267" s="2">
        <v>-107</v>
      </c>
      <c r="I267" s="3"/>
      <c r="J267" s="2">
        <v>-1904</v>
      </c>
      <c r="K267" s="3"/>
      <c r="L267" s="2">
        <v>-23</v>
      </c>
      <c r="M267" s="3"/>
      <c r="N267" s="2">
        <v>204</v>
      </c>
      <c r="O267" s="3"/>
      <c r="P267" s="2"/>
      <c r="Q267" s="3"/>
      <c r="R267" s="2"/>
    </row>
    <row r="268" spans="1:18" s="16" customFormat="1" hidden="1" outlineLevel="2" x14ac:dyDescent="0.35">
      <c r="B268" s="11" t="str">
        <f>CONCATENATE("          ", "7715", " - ", "INV. SHRINKAGE-CALENDARS")</f>
        <v xml:space="preserve">          7715 - INV. SHRINKAGE-CALENDARS</v>
      </c>
      <c r="D268" s="2">
        <v>-12</v>
      </c>
      <c r="F268" s="2">
        <v>-383</v>
      </c>
      <c r="G268" s="3"/>
      <c r="H268" s="2">
        <v>-154</v>
      </c>
      <c r="I268" s="3"/>
      <c r="J268" s="2"/>
      <c r="K268" s="3"/>
      <c r="L268" s="2"/>
      <c r="M268" s="3"/>
      <c r="N268" s="2"/>
      <c r="O268" s="3"/>
      <c r="P268" s="2"/>
      <c r="Q268" s="3"/>
      <c r="R268" s="2"/>
    </row>
    <row r="269" spans="1:18" s="16" customFormat="1" hidden="1" outlineLevel="2" x14ac:dyDescent="0.35">
      <c r="B269" s="11" t="str">
        <f>CONCATENATE("          ", "7717", " - ", "INV. SHRINKAGE-DORM/HOUSEWARES")</f>
        <v xml:space="preserve">          7717 - INV. SHRINKAGE-DORM/HOUSEWARES</v>
      </c>
      <c r="D269" s="2">
        <v>62</v>
      </c>
      <c r="F269" s="2">
        <v>-148</v>
      </c>
      <c r="G269" s="3"/>
      <c r="H269" s="2">
        <v>-513</v>
      </c>
      <c r="I269" s="3"/>
      <c r="J269" s="2">
        <v>3654</v>
      </c>
      <c r="K269" s="3"/>
      <c r="L269" s="2">
        <v>-22</v>
      </c>
      <c r="M269" s="3"/>
      <c r="N269" s="2">
        <v>-254</v>
      </c>
      <c r="O269" s="3"/>
      <c r="P269" s="2"/>
      <c r="Q269" s="3"/>
      <c r="R269" s="2"/>
    </row>
    <row r="270" spans="1:18" s="16" customFormat="1" hidden="1" outlineLevel="2" x14ac:dyDescent="0.35">
      <c r="B270" s="11" t="str">
        <f>CONCATENATE("          ", "7718", " - ", "INV. SHRINKAGE-STUDY GUIDES")</f>
        <v xml:space="preserve">          7718 - INV. SHRINKAGE-STUDY GUIDES</v>
      </c>
      <c r="D270" s="2">
        <v>599</v>
      </c>
      <c r="F270" s="2">
        <v>368</v>
      </c>
      <c r="G270" s="3"/>
      <c r="H270" s="2">
        <v>-28</v>
      </c>
      <c r="I270" s="3"/>
      <c r="J270" s="2">
        <v>-24</v>
      </c>
      <c r="K270" s="3"/>
      <c r="L270" s="2">
        <v>-1534</v>
      </c>
      <c r="M270" s="3"/>
      <c r="N270" s="2">
        <v>458</v>
      </c>
      <c r="O270" s="3"/>
      <c r="P270" s="2"/>
      <c r="Q270" s="3"/>
      <c r="R270" s="2"/>
    </row>
    <row r="271" spans="1:18" s="16" customFormat="1" hidden="1" outlineLevel="2" x14ac:dyDescent="0.35">
      <c r="B271" s="11" t="str">
        <f>CONCATENATE("          ", "7719", " - ", "INV. SHRINKAGE-BOOK RELATED")</f>
        <v xml:space="preserve">          7719 - INV. SHRINKAGE-BOOK RELATED</v>
      </c>
      <c r="D271" s="2">
        <v>283</v>
      </c>
      <c r="F271" s="2">
        <v>-98</v>
      </c>
      <c r="G271" s="3"/>
      <c r="H271" s="2">
        <v>80</v>
      </c>
      <c r="I271" s="3"/>
      <c r="J271" s="2">
        <v>22</v>
      </c>
      <c r="K271" s="3"/>
      <c r="L271" s="2">
        <v>-43</v>
      </c>
      <c r="M271" s="3"/>
      <c r="N271" s="2">
        <v>-43</v>
      </c>
      <c r="O271" s="3"/>
      <c r="P271" s="2"/>
      <c r="Q271" s="3"/>
      <c r="R271" s="2"/>
    </row>
    <row r="272" spans="1:18" s="16" customFormat="1" hidden="1" outlineLevel="2" x14ac:dyDescent="0.35">
      <c r="B272" s="11" t="str">
        <f>CONCATENATE("          ", "7725", " - ", "INV. SHRINKAGE-TEST FORMS")</f>
        <v xml:space="preserve">          7725 - INV. SHRINKAGE-TEST FORMS</v>
      </c>
      <c r="D272" s="2">
        <v>609</v>
      </c>
      <c r="F272" s="2">
        <v>2982</v>
      </c>
      <c r="G272" s="3"/>
      <c r="H272" s="2">
        <v>-2680</v>
      </c>
      <c r="I272" s="3"/>
      <c r="J272" s="2">
        <v>-12037</v>
      </c>
      <c r="K272" s="3"/>
      <c r="L272" s="2">
        <v>95</v>
      </c>
      <c r="M272" s="3"/>
      <c r="N272" s="2">
        <v>3987</v>
      </c>
      <c r="O272" s="3"/>
      <c r="P272" s="2"/>
      <c r="Q272" s="3"/>
      <c r="R272" s="2"/>
    </row>
    <row r="273" spans="2:18" s="16" customFormat="1" hidden="1" outlineLevel="2" x14ac:dyDescent="0.35">
      <c r="B273" s="11" t="str">
        <f>CONCATENATE("          ", "7726", " - ", "INV. SHRINKAGE-WRITING INSTRUM")</f>
        <v xml:space="preserve">          7726 - INV. SHRINKAGE-WRITING INSTRUM</v>
      </c>
      <c r="D273" s="2">
        <v>2161</v>
      </c>
      <c r="F273" s="2">
        <v>1730</v>
      </c>
      <c r="G273" s="3"/>
      <c r="H273" s="2">
        <v>1370</v>
      </c>
      <c r="I273" s="3"/>
      <c r="J273" s="2">
        <v>2389</v>
      </c>
      <c r="K273" s="3"/>
      <c r="L273" s="2">
        <v>1467</v>
      </c>
      <c r="M273" s="3"/>
      <c r="N273" s="2">
        <v>9153</v>
      </c>
      <c r="O273" s="3"/>
      <c r="P273" s="2"/>
      <c r="Q273" s="3"/>
      <c r="R273" s="2"/>
    </row>
    <row r="274" spans="2:18" s="16" customFormat="1" hidden="1" outlineLevel="2" x14ac:dyDescent="0.35">
      <c r="B274" s="11" t="str">
        <f>CONCATENATE("          ", "7727", " - ", "INV. SHRINKAGE-SCHOOL SUPPLIES")</f>
        <v xml:space="preserve">          7727 - INV. SHRINKAGE-SCHOOL SUPPLIES</v>
      </c>
      <c r="D274" s="2">
        <v>1488</v>
      </c>
      <c r="F274" s="2">
        <v>1734</v>
      </c>
      <c r="G274" s="3"/>
      <c r="H274" s="2">
        <v>-5055</v>
      </c>
      <c r="I274" s="3"/>
      <c r="J274" s="2">
        <v>8110</v>
      </c>
      <c r="K274" s="3"/>
      <c r="L274" s="2">
        <v>1404</v>
      </c>
      <c r="M274" s="3"/>
      <c r="N274" s="2">
        <v>9822</v>
      </c>
      <c r="O274" s="3"/>
      <c r="P274" s="2"/>
      <c r="Q274" s="3"/>
      <c r="R274" s="2"/>
    </row>
    <row r="275" spans="2:18" s="16" customFormat="1" hidden="1" outlineLevel="2" x14ac:dyDescent="0.35">
      <c r="B275" s="11" t="str">
        <f>CONCATENATE("          ", "7728", " - ", "INV. SHRINKAGE-ART/TECH")</f>
        <v xml:space="preserve">          7728 - INV. SHRINKAGE-ART/TECH</v>
      </c>
      <c r="D275" s="2">
        <v>2277</v>
      </c>
      <c r="F275" s="2">
        <v>10</v>
      </c>
      <c r="G275" s="3"/>
      <c r="H275" s="2">
        <v>-6930</v>
      </c>
      <c r="I275" s="3"/>
      <c r="J275" s="2">
        <v>3127</v>
      </c>
      <c r="K275" s="3"/>
      <c r="L275" s="2">
        <v>4009</v>
      </c>
      <c r="M275" s="3"/>
      <c r="N275" s="2">
        <v>8990</v>
      </c>
      <c r="O275" s="3"/>
      <c r="P275" s="2"/>
      <c r="Q275" s="3"/>
      <c r="R275" s="2"/>
    </row>
    <row r="276" spans="2:18" s="16" customFormat="1" hidden="1" outlineLevel="2" x14ac:dyDescent="0.35">
      <c r="B276" s="11" t="str">
        <f>CONCATENATE("          ", "7731", " - ", "INV. SHRINKAGE-FOOD")</f>
        <v xml:space="preserve">          7731 - INV. SHRINKAGE-FOOD</v>
      </c>
      <c r="D276" s="2">
        <v>397</v>
      </c>
      <c r="F276" s="2">
        <v>-1970</v>
      </c>
      <c r="G276" s="3"/>
      <c r="H276" s="2">
        <v>1740</v>
      </c>
      <c r="I276" s="3"/>
      <c r="J276" s="2">
        <v>3556</v>
      </c>
      <c r="K276" s="3"/>
      <c r="L276" s="2">
        <v>-237</v>
      </c>
      <c r="M276" s="3"/>
      <c r="N276" s="2">
        <v>6964</v>
      </c>
      <c r="O276" s="3"/>
      <c r="P276" s="2"/>
      <c r="Q276" s="3"/>
      <c r="R276" s="2"/>
    </row>
    <row r="277" spans="2:18" s="16" customFormat="1" hidden="1" outlineLevel="2" x14ac:dyDescent="0.35">
      <c r="B277" s="11" t="str">
        <f>CONCATENATE("          ", "7732", " - ", "INV. SHRINKAGE-JUICE")</f>
        <v xml:space="preserve">          7732 - INV. SHRINKAGE-JUICE</v>
      </c>
      <c r="D277" s="2">
        <v>-1072</v>
      </c>
      <c r="F277" s="2">
        <v>-592</v>
      </c>
      <c r="G277" s="3"/>
      <c r="H277" s="2">
        <v>-221</v>
      </c>
      <c r="I277" s="3"/>
      <c r="J277" s="2">
        <v>-740</v>
      </c>
      <c r="K277" s="3"/>
      <c r="L277" s="2">
        <v>-181</v>
      </c>
      <c r="M277" s="3"/>
      <c r="N277" s="2">
        <v>-1942</v>
      </c>
      <c r="O277" s="3"/>
      <c r="P277" s="2"/>
      <c r="Q277" s="3"/>
      <c r="R277" s="2"/>
    </row>
    <row r="278" spans="2:18" s="16" customFormat="1" hidden="1" outlineLevel="2" x14ac:dyDescent="0.35">
      <c r="B278" s="11" t="str">
        <f>CONCATENATE("          ", "7733", " - ", "INV. SHRINKAGE-CANDY")</f>
        <v xml:space="preserve">          7733 - INV. SHRINKAGE-CANDY</v>
      </c>
      <c r="D278" s="2">
        <v>971</v>
      </c>
      <c r="F278" s="2">
        <v>1694</v>
      </c>
      <c r="G278" s="3"/>
      <c r="H278" s="2">
        <v>72</v>
      </c>
      <c r="I278" s="3"/>
      <c r="J278" s="2">
        <v>-1683</v>
      </c>
      <c r="K278" s="3"/>
      <c r="L278" s="2">
        <v>-289</v>
      </c>
      <c r="M278" s="3"/>
      <c r="N278" s="2">
        <v>2710</v>
      </c>
      <c r="O278" s="3"/>
      <c r="P278" s="2"/>
      <c r="Q278" s="3"/>
      <c r="R278" s="2"/>
    </row>
    <row r="279" spans="2:18" s="16" customFormat="1" hidden="1" outlineLevel="2" x14ac:dyDescent="0.35">
      <c r="B279" s="11" t="str">
        <f>CONCATENATE("          ", "7734", " - ", "INV. SHRINKAGE-SODA")</f>
        <v xml:space="preserve">          7734 - INV. SHRINKAGE-SODA</v>
      </c>
      <c r="D279" s="2">
        <v>13</v>
      </c>
      <c r="F279" s="2">
        <v>-258</v>
      </c>
      <c r="G279" s="3"/>
      <c r="H279" s="2">
        <v>-392</v>
      </c>
      <c r="I279" s="3"/>
      <c r="J279" s="2">
        <v>-302</v>
      </c>
      <c r="K279" s="3"/>
      <c r="L279" s="2">
        <v>478</v>
      </c>
      <c r="M279" s="3"/>
      <c r="N279" s="2">
        <v>1253</v>
      </c>
      <c r="O279" s="3"/>
      <c r="P279" s="2"/>
      <c r="Q279" s="3"/>
      <c r="R279" s="2"/>
    </row>
    <row r="280" spans="2:18" s="16" customFormat="1" hidden="1" outlineLevel="2" x14ac:dyDescent="0.35">
      <c r="B280" s="11" t="str">
        <f>CONCATENATE("          ", "7735", " - ", "INV. SHRINKAGE-HEALTH/BEAUTY")</f>
        <v xml:space="preserve">          7735 - INV. SHRINKAGE-HEALTH/BEAUTY</v>
      </c>
      <c r="D280" s="2">
        <v>-87</v>
      </c>
      <c r="F280" s="2">
        <v>-265</v>
      </c>
      <c r="G280" s="3"/>
      <c r="H280" s="2">
        <v>91</v>
      </c>
      <c r="I280" s="3"/>
      <c r="J280" s="2">
        <v>222</v>
      </c>
      <c r="K280" s="3"/>
      <c r="L280" s="2">
        <v>-288</v>
      </c>
      <c r="M280" s="3"/>
      <c r="N280" s="2">
        <v>369</v>
      </c>
      <c r="O280" s="3"/>
      <c r="P280" s="2"/>
      <c r="Q280" s="3"/>
      <c r="R280" s="2"/>
    </row>
    <row r="281" spans="2:18" s="16" customFormat="1" hidden="1" outlineLevel="2" x14ac:dyDescent="0.35">
      <c r="B281" s="11" t="str">
        <f>CONCATENATE("          ", "7737", " - ", "INV. SHRINKAGE-WATER")</f>
        <v xml:space="preserve">          7737 - INV. SHRINKAGE-WATER</v>
      </c>
      <c r="D281" s="2">
        <v>-148</v>
      </c>
      <c r="F281" s="2">
        <v>-161</v>
      </c>
      <c r="G281" s="3"/>
      <c r="H281" s="2">
        <v>-2570</v>
      </c>
      <c r="I281" s="3"/>
      <c r="J281" s="2">
        <v>-72</v>
      </c>
      <c r="K281" s="3"/>
      <c r="L281" s="2">
        <v>-128</v>
      </c>
      <c r="M281" s="3"/>
      <c r="N281" s="2">
        <v>763</v>
      </c>
      <c r="O281" s="3"/>
      <c r="P281" s="2"/>
      <c r="Q281" s="3"/>
      <c r="R281" s="2"/>
    </row>
    <row r="282" spans="2:18" s="16" customFormat="1" hidden="1" outlineLevel="2" x14ac:dyDescent="0.35">
      <c r="B282" s="11" t="str">
        <f>CONCATENATE("          ", "7740", " - ", "INV. SHRINKAGE-LOGO CLOTHING")</f>
        <v xml:space="preserve">          7740 - INV. SHRINKAGE-LOGO CLOTHING</v>
      </c>
      <c r="D282" s="2">
        <v>1773</v>
      </c>
      <c r="F282" s="2">
        <v>14987</v>
      </c>
      <c r="G282" s="3"/>
      <c r="H282" s="2">
        <v>36874</v>
      </c>
      <c r="I282" s="3"/>
      <c r="J282" s="2">
        <v>39012</v>
      </c>
      <c r="K282" s="3"/>
      <c r="L282" s="2">
        <v>-33861</v>
      </c>
      <c r="M282" s="3"/>
      <c r="N282" s="2">
        <v>62007</v>
      </c>
      <c r="O282" s="3"/>
      <c r="P282" s="2"/>
      <c r="Q282" s="3"/>
      <c r="R282" s="2"/>
    </row>
    <row r="283" spans="2:18" s="16" customFormat="1" hidden="1" outlineLevel="2" x14ac:dyDescent="0.35">
      <c r="B283" s="11" t="str">
        <f>CONCATENATE("          ", "7741", " - ", "INV. SHRINKAGE-LOGO GIFTS")</f>
        <v xml:space="preserve">          7741 - INV. SHRINKAGE-LOGO GIFTS</v>
      </c>
      <c r="D283" s="2">
        <v>-1016</v>
      </c>
      <c r="F283" s="2">
        <v>2224</v>
      </c>
      <c r="G283" s="3"/>
      <c r="H283" s="2">
        <v>-7055</v>
      </c>
      <c r="I283" s="3"/>
      <c r="J283" s="2">
        <v>16045</v>
      </c>
      <c r="K283" s="3"/>
      <c r="L283" s="2">
        <v>-30911</v>
      </c>
      <c r="M283" s="3"/>
      <c r="N283" s="2">
        <v>30707</v>
      </c>
      <c r="O283" s="3"/>
      <c r="P283" s="2"/>
      <c r="Q283" s="3"/>
      <c r="R283" s="2"/>
    </row>
    <row r="284" spans="2:18" s="16" customFormat="1" hidden="1" outlineLevel="2" x14ac:dyDescent="0.35">
      <c r="B284" s="11" t="str">
        <f>CONCATENATE("          ", "7742", " - ", "INV. SHRINKAGE-EVERYDAY GIFTS")</f>
        <v xml:space="preserve">          7742 - INV. SHRINKAGE-EVERYDAY GIFTS</v>
      </c>
      <c r="D284" s="2">
        <v>3772</v>
      </c>
      <c r="F284" s="2">
        <v>-6641</v>
      </c>
      <c r="G284" s="3"/>
      <c r="H284" s="2">
        <v>-3911</v>
      </c>
      <c r="I284" s="3"/>
      <c r="J284" s="2">
        <v>-1081</v>
      </c>
      <c r="K284" s="3"/>
      <c r="L284" s="2">
        <v>10301</v>
      </c>
      <c r="M284" s="3"/>
      <c r="N284" s="2">
        <v>26197</v>
      </c>
      <c r="O284" s="3"/>
      <c r="P284" s="2"/>
      <c r="Q284" s="3"/>
      <c r="R284" s="2"/>
    </row>
    <row r="285" spans="2:18" s="16" customFormat="1" hidden="1" outlineLevel="2" x14ac:dyDescent="0.35">
      <c r="B285" s="11" t="str">
        <f>CONCATENATE("          ", "7743", " - ", "INV. SHRINKAGE-CARDS")</f>
        <v xml:space="preserve">          7743 - INV. SHRINKAGE-CARDS</v>
      </c>
      <c r="D285" s="2">
        <v>1910</v>
      </c>
      <c r="F285" s="2">
        <v>1426</v>
      </c>
      <c r="G285" s="3"/>
      <c r="H285" s="2">
        <v>-13</v>
      </c>
      <c r="I285" s="3"/>
      <c r="J285" s="2">
        <v>384</v>
      </c>
      <c r="K285" s="3"/>
      <c r="L285" s="2">
        <v>-1135</v>
      </c>
      <c r="M285" s="3"/>
      <c r="N285" s="2">
        <v>-12818</v>
      </c>
      <c r="O285" s="3"/>
      <c r="P285" s="2"/>
      <c r="Q285" s="3"/>
      <c r="R285" s="2"/>
    </row>
    <row r="286" spans="2:18" s="16" customFormat="1" hidden="1" outlineLevel="2" x14ac:dyDescent="0.35">
      <c r="B286" s="11" t="str">
        <f>CONCATENATE("          ", "7744", " - ", "INV. SHRINKAGE-ACCESSORIES")</f>
        <v xml:space="preserve">          7744 - INV. SHRINKAGE-ACCESSORIES</v>
      </c>
      <c r="D286" s="2">
        <v>-1141</v>
      </c>
      <c r="F286" s="2">
        <v>-6020</v>
      </c>
      <c r="G286" s="3"/>
      <c r="H286" s="2">
        <v>-1004</v>
      </c>
      <c r="I286" s="3"/>
      <c r="J286" s="2">
        <v>-1443</v>
      </c>
      <c r="K286" s="3"/>
      <c r="L286" s="2">
        <v>-141</v>
      </c>
      <c r="M286" s="3"/>
      <c r="N286" s="2">
        <v>-16780</v>
      </c>
      <c r="O286" s="3"/>
      <c r="P286" s="2"/>
      <c r="Q286" s="3"/>
      <c r="R286" s="2"/>
    </row>
    <row r="287" spans="2:18" s="16" customFormat="1" hidden="1" outlineLevel="2" x14ac:dyDescent="0.35">
      <c r="B287" s="11" t="str">
        <f>CONCATENATE("          ", "7745", " - ", "INV. SHRINKAGE-SPECIAL ORDERS")</f>
        <v xml:space="preserve">          7745 - INV. SHRINKAGE-SPECIAL ORDERS</v>
      </c>
      <c r="D287" s="2">
        <v>-4262</v>
      </c>
      <c r="F287" s="2">
        <v>3639</v>
      </c>
      <c r="G287" s="3"/>
      <c r="H287" s="2">
        <v>4600</v>
      </c>
      <c r="I287" s="3"/>
      <c r="J287" s="2">
        <v>-14224</v>
      </c>
      <c r="K287" s="3"/>
      <c r="L287" s="2">
        <v>-740</v>
      </c>
      <c r="M287" s="3"/>
      <c r="N287" s="2">
        <v>44531</v>
      </c>
      <c r="O287" s="3"/>
      <c r="P287" s="2"/>
      <c r="Q287" s="3"/>
      <c r="R287" s="2"/>
    </row>
    <row r="288" spans="2:18" s="16" customFormat="1" hidden="1" outlineLevel="2" x14ac:dyDescent="0.35">
      <c r="B288" s="11" t="str">
        <f>CONCATENATE("          ", "7781", " - ", "INV. SHRINKAGE-ELECTRONICS")</f>
        <v xml:space="preserve">          7781 - INV. SHRINKAGE-ELECTRONICS</v>
      </c>
      <c r="D288" s="2"/>
      <c r="F288" s="2">
        <v>58</v>
      </c>
      <c r="G288" s="3"/>
      <c r="H288" s="2">
        <v>713</v>
      </c>
      <c r="I288" s="3"/>
      <c r="J288" s="2">
        <v>-1405</v>
      </c>
      <c r="K288" s="3"/>
      <c r="L288" s="2">
        <v>98</v>
      </c>
      <c r="M288" s="3"/>
      <c r="N288" s="2">
        <v>-28</v>
      </c>
      <c r="O288" s="3"/>
      <c r="P288" s="2"/>
      <c r="Q288" s="3"/>
      <c r="R288" s="2"/>
    </row>
    <row r="289" spans="1:18" s="16" customFormat="1" hidden="1" outlineLevel="2" x14ac:dyDescent="0.35">
      <c r="B289" s="11" t="str">
        <f>CONCATENATE("          ", "7782", " - ", "INV. SHRINKAGE-COMPUTER HARDWA")</f>
        <v xml:space="preserve">          7782 - INV. SHRINKAGE-COMPUTER HARDWA</v>
      </c>
      <c r="D289" s="2"/>
      <c r="F289" s="2"/>
      <c r="G289" s="3"/>
      <c r="H289" s="2">
        <v>128</v>
      </c>
      <c r="I289" s="3"/>
      <c r="J289" s="2">
        <v>-520</v>
      </c>
      <c r="K289" s="3"/>
      <c r="L289" s="2">
        <v>-1237</v>
      </c>
      <c r="M289" s="3"/>
      <c r="N289" s="2">
        <v>69</v>
      </c>
      <c r="O289" s="3"/>
      <c r="P289" s="2"/>
      <c r="Q289" s="3"/>
      <c r="R289" s="2"/>
    </row>
    <row r="290" spans="1:18" s="16" customFormat="1" hidden="1" outlineLevel="2" x14ac:dyDescent="0.35">
      <c r="B290" s="11" t="str">
        <f>CONCATENATE("          ", "7783", " - ", "INV. SHRINKAGE-COMPUTER EQUIPM")</f>
        <v xml:space="preserve">          7783 - INV. SHRINKAGE-COMPUTER EQUIPM</v>
      </c>
      <c r="D290" s="2">
        <v>-239</v>
      </c>
      <c r="F290" s="2">
        <v>-331</v>
      </c>
      <c r="G290" s="3"/>
      <c r="H290" s="2">
        <v>89</v>
      </c>
      <c r="I290" s="3"/>
      <c r="J290" s="2">
        <v>-128</v>
      </c>
      <c r="K290" s="3"/>
      <c r="L290" s="2">
        <v>-74</v>
      </c>
      <c r="M290" s="3"/>
      <c r="N290" s="2">
        <v>266</v>
      </c>
      <c r="O290" s="3"/>
      <c r="P290" s="2"/>
      <c r="Q290" s="3"/>
      <c r="R290" s="2"/>
    </row>
    <row r="291" spans="1:18" s="16" customFormat="1" hidden="1" outlineLevel="2" x14ac:dyDescent="0.35">
      <c r="B291" s="11" t="str">
        <f>CONCATENATE("          ", "7786", " - ", "INV. SHRINKAGE-COMPUTER SUPPLI")</f>
        <v xml:space="preserve">          7786 - INV. SHRINKAGE-COMPUTER SUPPLI</v>
      </c>
      <c r="D291" s="2">
        <v>6</v>
      </c>
      <c r="F291" s="2">
        <v>-154</v>
      </c>
      <c r="G291" s="3"/>
      <c r="H291" s="2">
        <v>195</v>
      </c>
      <c r="I291" s="3"/>
      <c r="J291" s="2">
        <v>-1470</v>
      </c>
      <c r="K291" s="3"/>
      <c r="L291" s="2">
        <v>-236</v>
      </c>
      <c r="M291" s="3"/>
      <c r="N291" s="2">
        <v>38</v>
      </c>
      <c r="O291" s="3"/>
      <c r="P291" s="2"/>
      <c r="Q291" s="3"/>
      <c r="R291" s="2"/>
    </row>
    <row r="292" spans="1:18" s="16" customFormat="1" hidden="1" outlineLevel="2" x14ac:dyDescent="0.35">
      <c r="B292" s="11" t="str">
        <f>CONCATENATE("          ", "7791", " - ", "INV. SHRINKAGE-GRAD ANNOUNCEME")</f>
        <v xml:space="preserve">          7791 - INV. SHRINKAGE-GRAD ANNOUNCEME</v>
      </c>
      <c r="D292" s="2">
        <v>665</v>
      </c>
      <c r="F292" s="2">
        <v>-54</v>
      </c>
      <c r="G292" s="3"/>
      <c r="H292" s="2">
        <v>-468</v>
      </c>
      <c r="I292" s="3"/>
      <c r="J292" s="2">
        <v>-1014</v>
      </c>
      <c r="K292" s="3"/>
      <c r="L292" s="2"/>
      <c r="M292" s="3"/>
      <c r="N292" s="2"/>
      <c r="O292" s="3"/>
      <c r="P292" s="2"/>
      <c r="Q292" s="3"/>
      <c r="R292" s="2"/>
    </row>
    <row r="293" spans="1:18" s="16" customFormat="1" hidden="1" outlineLevel="2" x14ac:dyDescent="0.35">
      <c r="B293" s="11" t="str">
        <f>CONCATENATE("          ", "7792", " - ", "INV. SHRINKAGE-GRAD MERCH")</f>
        <v xml:space="preserve">          7792 - INV. SHRINKAGE-GRAD MERCH</v>
      </c>
      <c r="D293" s="2">
        <v>-8344</v>
      </c>
      <c r="F293" s="2">
        <v>668</v>
      </c>
      <c r="G293" s="3"/>
      <c r="H293" s="2">
        <v>-8318</v>
      </c>
      <c r="I293" s="3"/>
      <c r="J293" s="2">
        <v>-10227</v>
      </c>
      <c r="K293" s="3"/>
      <c r="L293" s="2">
        <v>-3925</v>
      </c>
      <c r="M293" s="3"/>
      <c r="N293" s="2">
        <v>535</v>
      </c>
      <c r="O293" s="3"/>
      <c r="P293" s="2"/>
      <c r="Q293" s="3"/>
      <c r="R293" s="2"/>
    </row>
    <row r="294" spans="1:18" s="16" customFormat="1" hidden="1" outlineLevel="2" x14ac:dyDescent="0.35">
      <c r="B294" s="11" t="str">
        <f>CONCATENATE("          ", "7795", " - ", "INV. SHRINKAGE-CUSTOMER SERVIC")</f>
        <v xml:space="preserve">          7795 - INV. SHRINKAGE-CUSTOMER SERVIC</v>
      </c>
      <c r="D294" s="2">
        <v>185</v>
      </c>
      <c r="F294" s="2">
        <v>-1730</v>
      </c>
      <c r="G294" s="3"/>
      <c r="H294" s="2">
        <v>-5292</v>
      </c>
      <c r="I294" s="3"/>
      <c r="J294" s="2">
        <v>-45</v>
      </c>
      <c r="K294" s="3"/>
      <c r="L294" s="2">
        <v>-146</v>
      </c>
      <c r="M294" s="3"/>
      <c r="N294" s="2">
        <v>-132</v>
      </c>
      <c r="O294" s="3"/>
      <c r="P294" s="2"/>
      <c r="Q294" s="3"/>
      <c r="R294" s="2"/>
    </row>
    <row r="295" spans="1:18" s="15" customFormat="1" outlineLevel="1" collapsed="1" x14ac:dyDescent="0.35">
      <c r="A295" s="7"/>
      <c r="B295" s="20" t="str">
        <f>CONCATENATE("     ","Professional Services                             ")</f>
        <v xml:space="preserve">     Professional Services                             </v>
      </c>
      <c r="C295" s="7"/>
      <c r="D295" s="1">
        <f>SUM(OSRRefD21_14x_0)</f>
        <v>40662.9</v>
      </c>
      <c r="E295" s="19"/>
      <c r="F295" s="1">
        <f>SUM(OSRRefF21_14x_0)</f>
        <v>24022.54</v>
      </c>
      <c r="G295" s="4"/>
      <c r="H295" s="1">
        <f>SUM(OSRRefH21_14x_0)</f>
        <v>14457.130000000001</v>
      </c>
      <c r="I295" s="4"/>
      <c r="J295" s="1">
        <f>SUM(OSRRefJ21_14x_0)</f>
        <v>10086.200000000001</v>
      </c>
      <c r="K295" s="4"/>
      <c r="L295" s="1">
        <f>SUM(OSRRefL21_14x_0)</f>
        <v>8276.43</v>
      </c>
      <c r="M295" s="4"/>
      <c r="N295" s="1">
        <f>SUM(OSRRefN21_14x_0)</f>
        <v>17571.52</v>
      </c>
      <c r="O295" s="4"/>
      <c r="P295" s="1">
        <f>SUM(OSRRefP21_14x_0)</f>
        <v>7300</v>
      </c>
      <c r="Q295" s="4"/>
      <c r="R295" s="1">
        <f>SUM(OSRRefR21_14x_0)</f>
        <v>1750</v>
      </c>
    </row>
    <row r="296" spans="1:18" s="16" customFormat="1" hidden="1" outlineLevel="2" x14ac:dyDescent="0.35">
      <c r="B296" s="11" t="str">
        <f>CONCATENATE("          ", "6332", " - ", "CONSULTANT FEES")</f>
        <v xml:space="preserve">          6332 - CONSULTANT FEES</v>
      </c>
      <c r="D296" s="2">
        <v>27177.82</v>
      </c>
      <c r="F296" s="2">
        <v>24022.54</v>
      </c>
      <c r="G296" s="3"/>
      <c r="H296" s="2">
        <v>4355.7700000000004</v>
      </c>
      <c r="I296" s="3"/>
      <c r="J296" s="2">
        <v>2204.5</v>
      </c>
      <c r="K296" s="3"/>
      <c r="L296" s="2"/>
      <c r="M296" s="3"/>
      <c r="N296" s="2"/>
      <c r="O296" s="3"/>
      <c r="P296" s="2"/>
      <c r="Q296" s="3"/>
      <c r="R296" s="2"/>
    </row>
    <row r="297" spans="1:18" s="16" customFormat="1" hidden="1" outlineLevel="2" x14ac:dyDescent="0.35">
      <c r="B297" s="11" t="str">
        <f>CONCATENATE("          ", "6336", " - ", "PROFESSIONAL SERVICES")</f>
        <v xml:space="preserve">          6336 - PROFESSIONAL SERVICES</v>
      </c>
      <c r="D297" s="2">
        <v>13485.08</v>
      </c>
      <c r="F297" s="2"/>
      <c r="G297" s="3"/>
      <c r="H297" s="2">
        <v>10101.36</v>
      </c>
      <c r="I297" s="3"/>
      <c r="J297" s="2">
        <v>7881.7</v>
      </c>
      <c r="K297" s="3"/>
      <c r="L297" s="2">
        <v>8276.43</v>
      </c>
      <c r="M297" s="3"/>
      <c r="N297" s="2">
        <v>17571.52</v>
      </c>
      <c r="O297" s="3"/>
      <c r="P297" s="2">
        <v>7300</v>
      </c>
      <c r="Q297" s="3"/>
      <c r="R297" s="2">
        <v>1750</v>
      </c>
    </row>
    <row r="298" spans="1:18" s="15" customFormat="1" outlineLevel="1" collapsed="1" x14ac:dyDescent="0.35">
      <c r="A298" s="7"/>
      <c r="B298" s="20" t="str">
        <f>CONCATENATE("     ","Rent                                              ")</f>
        <v xml:space="preserve">     Rent                                              </v>
      </c>
      <c r="C298" s="7"/>
      <c r="D298" s="1">
        <f>SUM(OSRRefD21_15x_0)</f>
        <v>85900</v>
      </c>
      <c r="E298" s="19"/>
      <c r="F298" s="1">
        <f>SUM(OSRRefF21_15x_0)</f>
        <v>86400</v>
      </c>
      <c r="G298" s="4"/>
      <c r="H298" s="1">
        <f>SUM(OSRRefH21_15x_0)</f>
        <v>89284</v>
      </c>
      <c r="I298" s="4"/>
      <c r="J298" s="1">
        <f>SUM(OSRRefJ21_15x_0)</f>
        <v>87362.38</v>
      </c>
      <c r="K298" s="4"/>
      <c r="L298" s="1">
        <f>SUM(OSRRefL21_15x_0)</f>
        <v>74101.08</v>
      </c>
      <c r="M298" s="4"/>
      <c r="N298" s="1">
        <f>SUM(OSRRefN21_15x_0)</f>
        <v>74800</v>
      </c>
      <c r="O298" s="4"/>
      <c r="P298" s="1">
        <f>SUM(OSRRefP21_15x_0)</f>
        <v>73201</v>
      </c>
      <c r="Q298" s="4"/>
      <c r="R298" s="1">
        <f>SUM(OSRRefR21_15x_0)</f>
        <v>73200</v>
      </c>
    </row>
    <row r="299" spans="1:18" s="16" customFormat="1" hidden="1" outlineLevel="2" x14ac:dyDescent="0.35">
      <c r="B299" s="11" t="str">
        <f>CONCATENATE("          ", "6273", " - ", "RENT")</f>
        <v xml:space="preserve">          6273 - RENT</v>
      </c>
      <c r="D299" s="2">
        <v>85900</v>
      </c>
      <c r="F299" s="2">
        <v>86400</v>
      </c>
      <c r="G299" s="3"/>
      <c r="H299" s="2">
        <v>89284</v>
      </c>
      <c r="I299" s="3"/>
      <c r="J299" s="2">
        <v>87362.38</v>
      </c>
      <c r="K299" s="3"/>
      <c r="L299" s="2">
        <v>74101.08</v>
      </c>
      <c r="M299" s="3"/>
      <c r="N299" s="2">
        <v>74800</v>
      </c>
      <c r="O299" s="3"/>
      <c r="P299" s="2">
        <v>73201</v>
      </c>
      <c r="Q299" s="3"/>
      <c r="R299" s="2">
        <v>73200</v>
      </c>
    </row>
    <row r="300" spans="1:18" s="15" customFormat="1" outlineLevel="1" collapsed="1" x14ac:dyDescent="0.35">
      <c r="A300" s="7"/>
      <c r="B300" s="20" t="str">
        <f>CONCATENATE("     ","Repair and Maintenance                            ")</f>
        <v xml:space="preserve">     Repair and Maintenance                            </v>
      </c>
      <c r="C300" s="7"/>
      <c r="D300" s="1">
        <f>SUM(OSRRefD21_16x_0)</f>
        <v>218882.01</v>
      </c>
      <c r="E300" s="19"/>
      <c r="F300" s="1">
        <f>SUM(OSRRefF21_16x_0)</f>
        <v>230019.66</v>
      </c>
      <c r="G300" s="4"/>
      <c r="H300" s="1">
        <f>SUM(OSRRefH21_16x_0)</f>
        <v>300028.13</v>
      </c>
      <c r="I300" s="4"/>
      <c r="J300" s="1">
        <f>SUM(OSRRefJ21_16x_0)</f>
        <v>170901.6</v>
      </c>
      <c r="K300" s="4"/>
      <c r="L300" s="1">
        <f>SUM(OSRRefL21_16x_0)</f>
        <v>226330.47999999998</v>
      </c>
      <c r="M300" s="4"/>
      <c r="N300" s="1">
        <f>SUM(OSRRefN21_16x_0)</f>
        <v>159933.66</v>
      </c>
      <c r="O300" s="4"/>
      <c r="P300" s="1">
        <f>SUM(OSRRefP21_16x_0)</f>
        <v>235580</v>
      </c>
      <c r="Q300" s="4"/>
      <c r="R300" s="1">
        <f>SUM(OSRRefR21_16x_0)</f>
        <v>179660</v>
      </c>
    </row>
    <row r="301" spans="1:18" s="16" customFormat="1" hidden="1" outlineLevel="2" x14ac:dyDescent="0.35">
      <c r="B301" s="11" t="str">
        <f>CONCATENATE("          ", "6371", " - ", "COMPUTER SOFTWARE MAINTENANCE")</f>
        <v xml:space="preserve">          6371 - COMPUTER SOFTWARE MAINTENANCE</v>
      </c>
      <c r="D301" s="2">
        <v>55703</v>
      </c>
      <c r="F301" s="2">
        <v>56371</v>
      </c>
      <c r="G301" s="3"/>
      <c r="H301" s="2">
        <v>103416.17</v>
      </c>
      <c r="I301" s="3"/>
      <c r="J301" s="2">
        <v>22203.75</v>
      </c>
      <c r="K301" s="3"/>
      <c r="L301" s="2">
        <v>101136.83</v>
      </c>
      <c r="M301" s="3"/>
      <c r="N301" s="2">
        <v>28598.55</v>
      </c>
      <c r="O301" s="3"/>
      <c r="P301" s="2">
        <v>57000</v>
      </c>
      <c r="Q301" s="3"/>
      <c r="R301" s="2">
        <v>51100</v>
      </c>
    </row>
    <row r="302" spans="1:18" s="16" customFormat="1" hidden="1" outlineLevel="2" x14ac:dyDescent="0.35">
      <c r="B302" s="11" t="str">
        <f>CONCATENATE("          ", "6372", " - ", "COMPUTER HARDWARE MAINTENANCE")</f>
        <v xml:space="preserve">          6372 - COMPUTER HARDWARE MAINTENANCE</v>
      </c>
      <c r="D302" s="2">
        <v>174.3</v>
      </c>
      <c r="F302" s="2">
        <v>12.74</v>
      </c>
      <c r="G302" s="3"/>
      <c r="H302" s="2">
        <v>-0.4</v>
      </c>
      <c r="I302" s="3"/>
      <c r="J302" s="2">
        <v>29.05</v>
      </c>
      <c r="K302" s="3"/>
      <c r="L302" s="2">
        <v>51.79</v>
      </c>
      <c r="M302" s="3"/>
      <c r="N302" s="2">
        <v>50.32</v>
      </c>
      <c r="O302" s="3"/>
      <c r="P302" s="2"/>
      <c r="Q302" s="3"/>
      <c r="R302" s="2">
        <v>41620</v>
      </c>
    </row>
    <row r="303" spans="1:18" s="16" customFormat="1" hidden="1" outlineLevel="2" x14ac:dyDescent="0.35">
      <c r="B303" s="11" t="str">
        <f>CONCATENATE("          ", "6373", " - ", "MAINTENANCE CONTRACTS")</f>
        <v xml:space="preserve">          6373 - MAINTENANCE CONTRACTS</v>
      </c>
      <c r="D303" s="2">
        <v>135936.71</v>
      </c>
      <c r="F303" s="2">
        <v>129093.77</v>
      </c>
      <c r="G303" s="3"/>
      <c r="H303" s="2">
        <v>106652.63</v>
      </c>
      <c r="I303" s="3"/>
      <c r="J303" s="2">
        <v>105827.05</v>
      </c>
      <c r="K303" s="3"/>
      <c r="L303" s="2">
        <v>92704.29</v>
      </c>
      <c r="M303" s="3"/>
      <c r="N303" s="2">
        <v>91135.78</v>
      </c>
      <c r="O303" s="3"/>
      <c r="P303" s="2">
        <v>77480</v>
      </c>
      <c r="Q303" s="3"/>
      <c r="R303" s="2">
        <v>85960</v>
      </c>
    </row>
    <row r="304" spans="1:18" s="16" customFormat="1" hidden="1" outlineLevel="2" x14ac:dyDescent="0.35">
      <c r="B304" s="11" t="str">
        <f>CONCATENATE("          ", "6375", " - ", "OUTSIDE REPAIRS &amp; MAINTENANCE")</f>
        <v xml:space="preserve">          6375 - OUTSIDE REPAIRS &amp; MAINTENANCE</v>
      </c>
      <c r="D304" s="2">
        <v>27068</v>
      </c>
      <c r="F304" s="2">
        <v>44542.15</v>
      </c>
      <c r="G304" s="3"/>
      <c r="H304" s="2">
        <v>89959.73</v>
      </c>
      <c r="I304" s="3"/>
      <c r="J304" s="2">
        <v>42841.75</v>
      </c>
      <c r="K304" s="3"/>
      <c r="L304" s="2">
        <v>32437.57</v>
      </c>
      <c r="M304" s="3"/>
      <c r="N304" s="2">
        <v>40149.01</v>
      </c>
      <c r="O304" s="3"/>
      <c r="P304" s="2">
        <v>101100</v>
      </c>
      <c r="Q304" s="3"/>
      <c r="R304" s="2">
        <v>980</v>
      </c>
    </row>
    <row r="305" spans="1:18" s="15" customFormat="1" outlineLevel="1" collapsed="1" x14ac:dyDescent="0.35">
      <c r="A305" s="7"/>
      <c r="B305" s="20" t="str">
        <f>CONCATENATE("     ","Royalty &amp; Commissions                             ")</f>
        <v xml:space="preserve">     Royalty &amp; Commissions                             </v>
      </c>
      <c r="C305" s="7"/>
      <c r="D305" s="1">
        <f>SUM(OSRRefD21_17x_0)</f>
        <v>177806.8</v>
      </c>
      <c r="E305" s="19"/>
      <c r="F305" s="1">
        <f>SUM(OSRRefF21_17x_0)</f>
        <v>216044.5</v>
      </c>
      <c r="G305" s="4"/>
      <c r="H305" s="1">
        <f>SUM(OSRRefH21_17x_0)</f>
        <v>197102.06</v>
      </c>
      <c r="I305" s="4"/>
      <c r="J305" s="1">
        <f>SUM(OSRRefJ21_17x_0)</f>
        <v>174917.03</v>
      </c>
      <c r="K305" s="4"/>
      <c r="L305" s="1">
        <f>SUM(OSRRefL21_17x_0)</f>
        <v>172647.16</v>
      </c>
      <c r="M305" s="4"/>
      <c r="N305" s="1">
        <f>SUM(OSRRefN21_17x_0)</f>
        <v>123449.40000000001</v>
      </c>
      <c r="O305" s="4"/>
      <c r="P305" s="1">
        <f>SUM(OSRRefP21_17x_0)</f>
        <v>111402</v>
      </c>
      <c r="Q305" s="4"/>
      <c r="R305" s="1">
        <f>SUM(OSRRefR21_17x_0)</f>
        <v>109010</v>
      </c>
    </row>
    <row r="306" spans="1:18" s="16" customFormat="1" hidden="1" outlineLevel="2" x14ac:dyDescent="0.35">
      <c r="B306" s="11" t="str">
        <f>CONCATENATE("          ", "6252", " - ", "ROYALTY DUE CSTV")</f>
        <v xml:space="preserve">          6252 - ROYALTY DUE CSTV</v>
      </c>
      <c r="D306" s="2">
        <v>13851.28</v>
      </c>
      <c r="F306" s="2">
        <v>13563.83</v>
      </c>
      <c r="G306" s="3"/>
      <c r="H306" s="2">
        <v>9575.91</v>
      </c>
      <c r="I306" s="3"/>
      <c r="J306" s="2">
        <v>8647.8700000000008</v>
      </c>
      <c r="K306" s="3"/>
      <c r="L306" s="2"/>
      <c r="M306" s="3"/>
      <c r="N306" s="2"/>
      <c r="O306" s="3"/>
      <c r="P306" s="2">
        <v>13020</v>
      </c>
      <c r="Q306" s="3"/>
      <c r="R306" s="2">
        <v>19008</v>
      </c>
    </row>
    <row r="307" spans="1:18" s="16" customFormat="1" hidden="1" outlineLevel="2" x14ac:dyDescent="0.35">
      <c r="B307" s="11" t="str">
        <f>CONCATENATE("          ", "6253", " - ", "ROYALTY DUE ATHLETICS-LRG")</f>
        <v xml:space="preserve">          6253 - ROYALTY DUE ATHLETICS-LRG</v>
      </c>
      <c r="D307" s="2">
        <v>22772.2</v>
      </c>
      <c r="F307" s="2">
        <v>30884.55</v>
      </c>
      <c r="G307" s="3"/>
      <c r="H307" s="2">
        <v>27720.32</v>
      </c>
      <c r="I307" s="3"/>
      <c r="J307" s="2">
        <v>24884.23</v>
      </c>
      <c r="K307" s="3"/>
      <c r="L307" s="2">
        <v>41365.99</v>
      </c>
      <c r="M307" s="3"/>
      <c r="N307" s="2">
        <v>32870.44</v>
      </c>
      <c r="O307" s="3"/>
      <c r="P307" s="2">
        <v>48444</v>
      </c>
      <c r="Q307" s="3"/>
      <c r="R307" s="2">
        <v>38502</v>
      </c>
    </row>
    <row r="308" spans="1:18" s="16" customFormat="1" hidden="1" outlineLevel="2" x14ac:dyDescent="0.35">
      <c r="B308" s="11" t="str">
        <f>CONCATENATE("          ", "6254", " - ", "ROYALTY &amp; COMMISSIONS")</f>
        <v xml:space="preserve">          6254 - ROYALTY &amp; COMMISSIONS</v>
      </c>
      <c r="D308" s="2">
        <v>12609.88</v>
      </c>
      <c r="F308" s="2">
        <v>15383.13</v>
      </c>
      <c r="G308" s="3"/>
      <c r="H308" s="2">
        <v>24014.29</v>
      </c>
      <c r="I308" s="3"/>
      <c r="J308" s="2">
        <v>17858.599999999999</v>
      </c>
      <c r="K308" s="3"/>
      <c r="L308" s="2">
        <v>16509.43</v>
      </c>
      <c r="M308" s="3"/>
      <c r="N308" s="2">
        <v>7971.22</v>
      </c>
      <c r="O308" s="3"/>
      <c r="P308" s="2">
        <v>13788</v>
      </c>
      <c r="Q308" s="3"/>
      <c r="R308" s="2">
        <v>4500</v>
      </c>
    </row>
    <row r="309" spans="1:18" s="16" customFormat="1" hidden="1" outlineLevel="2" x14ac:dyDescent="0.35">
      <c r="B309" s="11" t="str">
        <f>CONCATENATE("          ", "6255", " - ", "COMMISSIONS-PENNY/COPY/UNIPRIN")</f>
        <v xml:space="preserve">          6255 - COMMISSIONS-PENNY/COPY/UNIPRIN</v>
      </c>
      <c r="D309" s="2">
        <v>77184.759999999995</v>
      </c>
      <c r="F309" s="2"/>
      <c r="G309" s="3"/>
      <c r="H309" s="2"/>
      <c r="I309" s="3"/>
      <c r="J309" s="2"/>
      <c r="K309" s="3"/>
      <c r="L309" s="2"/>
      <c r="M309" s="3"/>
      <c r="N309" s="2"/>
      <c r="O309" s="3"/>
      <c r="P309" s="2"/>
      <c r="Q309" s="3"/>
      <c r="R309" s="2"/>
    </row>
    <row r="310" spans="1:18" s="16" customFormat="1" hidden="1" outlineLevel="2" x14ac:dyDescent="0.35">
      <c r="B310" s="11" t="str">
        <f>CONCATENATE("          ", "6259", " - ", "ROYALTY &amp; COMMISSIONS")</f>
        <v xml:space="preserve">          6259 - ROYALTY &amp; COMMISSIONS</v>
      </c>
      <c r="D310" s="2">
        <v>51388.68</v>
      </c>
      <c r="F310" s="2">
        <v>156212.99</v>
      </c>
      <c r="G310" s="3"/>
      <c r="H310" s="2">
        <v>135791.54</v>
      </c>
      <c r="I310" s="3"/>
      <c r="J310" s="2">
        <v>123526.33</v>
      </c>
      <c r="K310" s="3"/>
      <c r="L310" s="2">
        <v>114771.74</v>
      </c>
      <c r="M310" s="3"/>
      <c r="N310" s="2">
        <v>82607.740000000005</v>
      </c>
      <c r="O310" s="3"/>
      <c r="P310" s="2">
        <v>36150</v>
      </c>
      <c r="Q310" s="3"/>
      <c r="R310" s="2">
        <v>47000</v>
      </c>
    </row>
    <row r="311" spans="1:18" s="15" customFormat="1" outlineLevel="1" collapsed="1" x14ac:dyDescent="0.35">
      <c r="A311" s="7"/>
      <c r="B311" s="20" t="str">
        <f>CONCATENATE("     ","Services                                          ")</f>
        <v xml:space="preserve">     Services                                          </v>
      </c>
      <c r="C311" s="7"/>
      <c r="D311" s="1">
        <f>SUM(OSRRefD21_18x_0)</f>
        <v>52105.599999999999</v>
      </c>
      <c r="E311" s="19"/>
      <c r="F311" s="1">
        <f>SUM(OSRRefF21_18x_0)</f>
        <v>53635.49</v>
      </c>
      <c r="G311" s="4"/>
      <c r="H311" s="1">
        <f>SUM(OSRRefH21_18x_0)</f>
        <v>55908.009999999995</v>
      </c>
      <c r="I311" s="4"/>
      <c r="J311" s="1">
        <f>SUM(OSRRefJ21_18x_0)</f>
        <v>46737.84</v>
      </c>
      <c r="K311" s="4"/>
      <c r="L311" s="1">
        <f>SUM(OSRRefL21_18x_0)</f>
        <v>53809.22</v>
      </c>
      <c r="M311" s="4"/>
      <c r="N311" s="1">
        <f>SUM(OSRRefN21_18x_0)</f>
        <v>59006.079999999994</v>
      </c>
      <c r="O311" s="4"/>
      <c r="P311" s="1">
        <f>SUM(OSRRefP21_18x_0)</f>
        <v>57119</v>
      </c>
      <c r="Q311" s="4"/>
      <c r="R311" s="1">
        <f>SUM(OSRRefR21_18x_0)</f>
        <v>52560</v>
      </c>
    </row>
    <row r="312" spans="1:18" s="16" customFormat="1" hidden="1" outlineLevel="2" x14ac:dyDescent="0.35">
      <c r="B312" s="11" t="str">
        <f>CONCATENATE("          ", "6281", " - ", "STORAGE FEE")</f>
        <v xml:space="preserve">          6281 - STORAGE FEE</v>
      </c>
      <c r="D312" s="2"/>
      <c r="F312" s="2"/>
      <c r="G312" s="3"/>
      <c r="H312" s="2">
        <v>40</v>
      </c>
      <c r="I312" s="3"/>
      <c r="J312" s="2"/>
      <c r="K312" s="3"/>
      <c r="L312" s="2"/>
      <c r="M312" s="3"/>
      <c r="N312" s="2"/>
      <c r="O312" s="3"/>
      <c r="P312" s="2"/>
      <c r="Q312" s="3"/>
      <c r="R312" s="2"/>
    </row>
    <row r="313" spans="1:18" s="16" customFormat="1" hidden="1" outlineLevel="2" x14ac:dyDescent="0.35">
      <c r="B313" s="11" t="str">
        <f>CONCATENATE("          ", "6282", " - ", "JANITORIAL/EXTERMINATOR EXPENS")</f>
        <v xml:space="preserve">          6282 - JANITORIAL/EXTERMINATOR EXPENS</v>
      </c>
      <c r="D313" s="2">
        <v>2736.5</v>
      </c>
      <c r="F313" s="2">
        <v>2414.5</v>
      </c>
      <c r="G313" s="3"/>
      <c r="H313" s="2">
        <v>2815.86</v>
      </c>
      <c r="I313" s="3"/>
      <c r="J313" s="2">
        <v>2888.16</v>
      </c>
      <c r="K313" s="3"/>
      <c r="L313" s="2">
        <v>2869.29</v>
      </c>
      <c r="M313" s="3"/>
      <c r="N313" s="2">
        <v>3502.88</v>
      </c>
      <c r="O313" s="3"/>
      <c r="P313" s="2">
        <v>48000</v>
      </c>
      <c r="Q313" s="3"/>
      <c r="R313" s="2">
        <v>51600</v>
      </c>
    </row>
    <row r="314" spans="1:18" s="16" customFormat="1" hidden="1" outlineLevel="2" x14ac:dyDescent="0.35">
      <c r="B314" s="11" t="str">
        <f>CONCATENATE("          ", "6283", " - ", "PLANT SERVICE")</f>
        <v xml:space="preserve">          6283 - PLANT SERVICE</v>
      </c>
      <c r="D314" s="2">
        <v>2990.32</v>
      </c>
      <c r="F314" s="2">
        <v>2076</v>
      </c>
      <c r="G314" s="3"/>
      <c r="H314" s="2">
        <v>2223.3000000000002</v>
      </c>
      <c r="I314" s="3"/>
      <c r="J314" s="2">
        <v>2527.63</v>
      </c>
      <c r="K314" s="3"/>
      <c r="L314" s="2">
        <v>2206.16</v>
      </c>
      <c r="M314" s="3"/>
      <c r="N314" s="2">
        <v>541.98</v>
      </c>
      <c r="O314" s="3"/>
      <c r="P314" s="2">
        <v>0</v>
      </c>
      <c r="Q314" s="3"/>
      <c r="R314" s="2"/>
    </row>
    <row r="315" spans="1:18" s="16" customFormat="1" hidden="1" outlineLevel="2" x14ac:dyDescent="0.35">
      <c r="B315" s="11" t="str">
        <f>CONCATENATE("          ", "6284", " - ", "TRASH REMOVAL EXPENSE")</f>
        <v xml:space="preserve">          6284 - TRASH REMOVAL EXPENSE</v>
      </c>
      <c r="D315" s="2">
        <v>595.89</v>
      </c>
      <c r="F315" s="2">
        <v>621</v>
      </c>
      <c r="G315" s="3"/>
      <c r="H315" s="2">
        <v>662.79</v>
      </c>
      <c r="I315" s="3"/>
      <c r="J315" s="2">
        <v>1075.8399999999999</v>
      </c>
      <c r="K315" s="3"/>
      <c r="L315" s="2">
        <v>1457.52</v>
      </c>
      <c r="M315" s="3"/>
      <c r="N315" s="2">
        <v>1617.84</v>
      </c>
      <c r="O315" s="3"/>
      <c r="P315" s="2">
        <v>880</v>
      </c>
      <c r="Q315" s="3"/>
      <c r="R315" s="2">
        <v>960</v>
      </c>
    </row>
    <row r="316" spans="1:18" s="16" customFormat="1" hidden="1" outlineLevel="2" x14ac:dyDescent="0.35">
      <c r="B316" s="11" t="str">
        <f>CONCATENATE("          ", "6285", " - ", "JANITORIAL SERVICES")</f>
        <v xml:space="preserve">          6285 - JANITORIAL SERVICES</v>
      </c>
      <c r="D316" s="2">
        <v>45782.89</v>
      </c>
      <c r="F316" s="2">
        <v>48523.99</v>
      </c>
      <c r="G316" s="3"/>
      <c r="H316" s="2">
        <v>50166.06</v>
      </c>
      <c r="I316" s="3"/>
      <c r="J316" s="2">
        <v>40246.21</v>
      </c>
      <c r="K316" s="3"/>
      <c r="L316" s="2">
        <v>47276.25</v>
      </c>
      <c r="M316" s="3"/>
      <c r="N316" s="2">
        <v>53343.38</v>
      </c>
      <c r="O316" s="3"/>
      <c r="P316" s="2">
        <v>8239</v>
      </c>
      <c r="Q316" s="3"/>
      <c r="R316" s="2"/>
    </row>
    <row r="317" spans="1:18" s="15" customFormat="1" outlineLevel="1" collapsed="1" x14ac:dyDescent="0.35">
      <c r="A317" s="7"/>
      <c r="B317" s="20" t="str">
        <f>CONCATENATE("     ","Subscriptions &amp; Dues                              ")</f>
        <v xml:space="preserve">     Subscriptions &amp; Dues                              </v>
      </c>
      <c r="C317" s="7"/>
      <c r="D317" s="1">
        <f>SUM(OSRRefD21_19x_0)</f>
        <v>79446.37</v>
      </c>
      <c r="E317" s="19"/>
      <c r="F317" s="1">
        <f>SUM(OSRRefF21_19x_0)</f>
        <v>58153.16</v>
      </c>
      <c r="G317" s="4"/>
      <c r="H317" s="1">
        <f>SUM(OSRRefH21_19x_0)</f>
        <v>38979.370000000003</v>
      </c>
      <c r="I317" s="4"/>
      <c r="J317" s="1">
        <f>SUM(OSRRefJ21_19x_0)</f>
        <v>43874.46</v>
      </c>
      <c r="K317" s="4"/>
      <c r="L317" s="1">
        <f>SUM(OSRRefL21_19x_0)</f>
        <v>23545.86</v>
      </c>
      <c r="M317" s="4"/>
      <c r="N317" s="1">
        <f>SUM(OSRRefN21_19x_0)</f>
        <v>8460.1</v>
      </c>
      <c r="O317" s="4"/>
      <c r="P317" s="1">
        <f>SUM(OSRRefP21_19x_0)</f>
        <v>16595</v>
      </c>
      <c r="Q317" s="4"/>
      <c r="R317" s="1">
        <f>SUM(OSRRefR21_19x_0)</f>
        <v>13547</v>
      </c>
    </row>
    <row r="318" spans="1:18" s="16" customFormat="1" hidden="1" outlineLevel="2" x14ac:dyDescent="0.35">
      <c r="B318" s="11" t="str">
        <f>CONCATENATE("          ", "6258", " - ", "MEMBERSHIP DUES")</f>
        <v xml:space="preserve">          6258 - MEMBERSHIP DUES</v>
      </c>
      <c r="D318" s="2">
        <v>76293.58</v>
      </c>
      <c r="F318" s="2">
        <v>55209.58</v>
      </c>
      <c r="G318" s="3"/>
      <c r="H318" s="2">
        <v>33345.5</v>
      </c>
      <c r="I318" s="3"/>
      <c r="J318" s="2">
        <v>38158.06</v>
      </c>
      <c r="K318" s="3"/>
      <c r="L318" s="2">
        <v>13963.68</v>
      </c>
      <c r="M318" s="3"/>
      <c r="N318" s="2">
        <v>5667.66</v>
      </c>
      <c r="O318" s="3"/>
      <c r="P318" s="2">
        <v>14795</v>
      </c>
      <c r="Q318" s="3"/>
      <c r="R318" s="2">
        <v>10195</v>
      </c>
    </row>
    <row r="319" spans="1:18" s="16" customFormat="1" hidden="1" outlineLevel="2" x14ac:dyDescent="0.35">
      <c r="B319" s="11" t="str">
        <f>CONCATENATE("          ", "6275", " - ", "SUBSCRIPTIONS")</f>
        <v xml:space="preserve">          6275 - SUBSCRIPTIONS</v>
      </c>
      <c r="D319" s="2">
        <v>3152.79</v>
      </c>
      <c r="F319" s="2">
        <v>2943.58</v>
      </c>
      <c r="G319" s="3"/>
      <c r="H319" s="2">
        <v>5633.87</v>
      </c>
      <c r="I319" s="3"/>
      <c r="J319" s="2">
        <v>5716.4</v>
      </c>
      <c r="K319" s="3"/>
      <c r="L319" s="2">
        <v>9582.18</v>
      </c>
      <c r="M319" s="3"/>
      <c r="N319" s="2">
        <v>2792.44</v>
      </c>
      <c r="O319" s="3"/>
      <c r="P319" s="2">
        <v>1800</v>
      </c>
      <c r="Q319" s="3"/>
      <c r="R319" s="2">
        <v>3352</v>
      </c>
    </row>
    <row r="320" spans="1:18" s="15" customFormat="1" outlineLevel="1" collapsed="1" x14ac:dyDescent="0.35">
      <c r="A320" s="7"/>
      <c r="B320" s="20" t="str">
        <f>CONCATENATE("     ","Supplies                                          ")</f>
        <v xml:space="preserve">     Supplies                                          </v>
      </c>
      <c r="C320" s="7"/>
      <c r="D320" s="1">
        <f>SUM(OSRRefD21_20x_0)</f>
        <v>214410.46</v>
      </c>
      <c r="E320" s="19"/>
      <c r="F320" s="1">
        <f>SUM(OSRRefF21_20x_0)</f>
        <v>179152.68</v>
      </c>
      <c r="G320" s="4"/>
      <c r="H320" s="1">
        <f>SUM(OSRRefH21_20x_0)</f>
        <v>205296.26</v>
      </c>
      <c r="I320" s="4"/>
      <c r="J320" s="1">
        <f>SUM(OSRRefJ21_20x_0)</f>
        <v>151872.9</v>
      </c>
      <c r="K320" s="4"/>
      <c r="L320" s="1">
        <f>SUM(OSRRefL21_20x_0)</f>
        <v>163713.96</v>
      </c>
      <c r="M320" s="4"/>
      <c r="N320" s="1">
        <f>SUM(OSRRefN21_20x_0)</f>
        <v>109079.15000000001</v>
      </c>
      <c r="O320" s="4"/>
      <c r="P320" s="1">
        <f>SUM(OSRRefP21_20x_0)</f>
        <v>163070</v>
      </c>
      <c r="Q320" s="4"/>
      <c r="R320" s="1">
        <f>SUM(OSRRefR21_20x_0)</f>
        <v>129980</v>
      </c>
    </row>
    <row r="321" spans="1:18" s="16" customFormat="1" hidden="1" outlineLevel="2" x14ac:dyDescent="0.35">
      <c r="B321" s="11" t="str">
        <f>CONCATENATE("          ", "6234", " - ", "EXPENDABLE SUPPLIES &amp; EQUIPMEN")</f>
        <v xml:space="preserve">          6234 - EXPENDABLE SUPPLIES &amp; EQUIPMEN</v>
      </c>
      <c r="D321" s="2">
        <v>24498.639999999999</v>
      </c>
      <c r="F321" s="2">
        <v>13569.8</v>
      </c>
      <c r="G321" s="3"/>
      <c r="H321" s="2">
        <v>17105.75</v>
      </c>
      <c r="I321" s="3"/>
      <c r="J321" s="2">
        <v>7787.76</v>
      </c>
      <c r="K321" s="3"/>
      <c r="L321" s="2">
        <v>3875.11</v>
      </c>
      <c r="M321" s="3"/>
      <c r="N321" s="2">
        <v>8498.66</v>
      </c>
      <c r="O321" s="3"/>
      <c r="P321" s="2">
        <v>1800</v>
      </c>
      <c r="Q321" s="3"/>
      <c r="R321" s="2">
        <v>3000</v>
      </c>
    </row>
    <row r="322" spans="1:18" s="16" customFormat="1" hidden="1" outlineLevel="2" x14ac:dyDescent="0.35">
      <c r="B322" s="11" t="str">
        <f>CONCATENATE("          ", "6235", " - ", "COVID-19 EXPENSES")</f>
        <v xml:space="preserve">          6235 - COVID-19 EXPENSES</v>
      </c>
      <c r="D322" s="2"/>
      <c r="F322" s="2"/>
      <c r="G322" s="3"/>
      <c r="H322" s="2"/>
      <c r="I322" s="3"/>
      <c r="J322" s="2"/>
      <c r="K322" s="3"/>
      <c r="L322" s="2"/>
      <c r="M322" s="3"/>
      <c r="N322" s="2">
        <v>5061.67</v>
      </c>
      <c r="O322" s="3"/>
      <c r="P322" s="2">
        <v>65600</v>
      </c>
      <c r="Q322" s="3"/>
      <c r="R322" s="2">
        <v>1500</v>
      </c>
    </row>
    <row r="323" spans="1:18" s="16" customFormat="1" hidden="1" outlineLevel="2" x14ac:dyDescent="0.35">
      <c r="B323" s="11" t="str">
        <f>CONCATENATE("          ", "6237", " - ", "JANITORIAL SUPPLIES")</f>
        <v xml:space="preserve">          6237 - JANITORIAL SUPPLIES</v>
      </c>
      <c r="D323" s="2">
        <v>6870.81</v>
      </c>
      <c r="F323" s="2">
        <v>3708.75</v>
      </c>
      <c r="G323" s="3"/>
      <c r="H323" s="2">
        <v>5077.21</v>
      </c>
      <c r="I323" s="3"/>
      <c r="J323" s="2">
        <v>6372.74</v>
      </c>
      <c r="K323" s="3"/>
      <c r="L323" s="2">
        <v>7745.99</v>
      </c>
      <c r="M323" s="3"/>
      <c r="N323" s="2">
        <v>7068.06</v>
      </c>
      <c r="O323" s="3"/>
      <c r="P323" s="2">
        <v>3220</v>
      </c>
      <c r="Q323" s="3"/>
      <c r="R323" s="2">
        <v>240</v>
      </c>
    </row>
    <row r="324" spans="1:18" s="16" customFormat="1" hidden="1" outlineLevel="2" x14ac:dyDescent="0.35">
      <c r="B324" s="11" t="str">
        <f>CONCATENATE("          ", "6241", " - ", "OFFICE EXPENSE")</f>
        <v xml:space="preserve">          6241 - OFFICE EXPENSE</v>
      </c>
      <c r="D324" s="2">
        <v>44403.28</v>
      </c>
      <c r="F324" s="2">
        <v>32411.87</v>
      </c>
      <c r="G324" s="3"/>
      <c r="H324" s="2">
        <v>36104.33</v>
      </c>
      <c r="I324" s="3"/>
      <c r="J324" s="2">
        <v>19424.57</v>
      </c>
      <c r="K324" s="3"/>
      <c r="L324" s="2">
        <v>36020.639999999999</v>
      </c>
      <c r="M324" s="3"/>
      <c r="N324" s="2">
        <v>25032.89</v>
      </c>
      <c r="O324" s="3"/>
      <c r="P324" s="2">
        <v>6200</v>
      </c>
      <c r="Q324" s="3"/>
      <c r="R324" s="2">
        <v>6840</v>
      </c>
    </row>
    <row r="325" spans="1:18" s="16" customFormat="1" hidden="1" outlineLevel="2" x14ac:dyDescent="0.35">
      <c r="B325" s="11" t="str">
        <f>CONCATENATE("          ", "6243", " - ", "PAPER SUPPLIES")</f>
        <v xml:space="preserve">          6243 - PAPER SUPPLIES</v>
      </c>
      <c r="D325" s="2">
        <v>2454.0700000000002</v>
      </c>
      <c r="F325" s="2">
        <v>62923.6</v>
      </c>
      <c r="G325" s="3"/>
      <c r="H325" s="2">
        <v>39889.68</v>
      </c>
      <c r="I325" s="3"/>
      <c r="J325" s="2">
        <v>36853.03</v>
      </c>
      <c r="K325" s="3"/>
      <c r="L325" s="2">
        <v>35477.599999999999</v>
      </c>
      <c r="M325" s="3"/>
      <c r="N325" s="2">
        <v>18447.68</v>
      </c>
      <c r="O325" s="3"/>
      <c r="P325" s="2">
        <v>28300</v>
      </c>
      <c r="Q325" s="3"/>
      <c r="R325" s="2">
        <v>38600</v>
      </c>
    </row>
    <row r="326" spans="1:18" s="16" customFormat="1" hidden="1" outlineLevel="2" x14ac:dyDescent="0.35">
      <c r="B326" s="11" t="str">
        <f>CONCATENATE("          ", "6244", " - ", "SAFETY SUPPLY EXPENSE")</f>
        <v xml:space="preserve">          6244 - SAFETY SUPPLY EXPENSE</v>
      </c>
      <c r="D326" s="2"/>
      <c r="F326" s="2"/>
      <c r="G326" s="3"/>
      <c r="H326" s="2"/>
      <c r="I326" s="3"/>
      <c r="J326" s="2"/>
      <c r="K326" s="3"/>
      <c r="L326" s="2"/>
      <c r="M326" s="3"/>
      <c r="N326" s="2"/>
      <c r="O326" s="3"/>
      <c r="P326" s="2">
        <v>100</v>
      </c>
      <c r="Q326" s="3"/>
      <c r="R326" s="2"/>
    </row>
    <row r="327" spans="1:18" s="16" customFormat="1" hidden="1" outlineLevel="2" x14ac:dyDescent="0.35">
      <c r="B327" s="11" t="str">
        <f>CONCATENATE("          ", "6245", " - ", "PRINTING")</f>
        <v xml:space="preserve">          6245 - PRINTING</v>
      </c>
      <c r="D327" s="2">
        <v>7984.78</v>
      </c>
      <c r="F327" s="2">
        <v>11318.59</v>
      </c>
      <c r="G327" s="3"/>
      <c r="H327" s="2">
        <v>25489.53</v>
      </c>
      <c r="I327" s="3"/>
      <c r="J327" s="2">
        <v>19126.7</v>
      </c>
      <c r="K327" s="3"/>
      <c r="L327" s="2">
        <v>14940.31</v>
      </c>
      <c r="M327" s="3"/>
      <c r="N327" s="2">
        <v>10786.36</v>
      </c>
      <c r="O327" s="3"/>
      <c r="P327" s="2">
        <v>5700</v>
      </c>
      <c r="Q327" s="3"/>
      <c r="R327" s="2">
        <v>10395</v>
      </c>
    </row>
    <row r="328" spans="1:18" s="16" customFormat="1" hidden="1" outlineLevel="2" x14ac:dyDescent="0.35">
      <c r="B328" s="11" t="str">
        <f>CONCATENATE("          ", "6247", " - ", "STORE SUPPLIES")</f>
        <v xml:space="preserve">          6247 - STORE SUPPLIES</v>
      </c>
      <c r="D328" s="2">
        <v>124312.22</v>
      </c>
      <c r="F328" s="2">
        <v>53570.47</v>
      </c>
      <c r="G328" s="3"/>
      <c r="H328" s="2">
        <v>77314.89</v>
      </c>
      <c r="I328" s="3"/>
      <c r="J328" s="2">
        <v>59728.88</v>
      </c>
      <c r="K328" s="3"/>
      <c r="L328" s="2">
        <v>63677.53</v>
      </c>
      <c r="M328" s="3"/>
      <c r="N328" s="2">
        <v>34139.919999999998</v>
      </c>
      <c r="O328" s="3"/>
      <c r="P328" s="2">
        <v>33950</v>
      </c>
      <c r="Q328" s="3"/>
      <c r="R328" s="2">
        <v>69405</v>
      </c>
    </row>
    <row r="329" spans="1:18" s="16" customFormat="1" hidden="1" outlineLevel="2" x14ac:dyDescent="0.35">
      <c r="B329" s="11" t="str">
        <f>CONCATENATE("          ", "6248", " - ", "UNIFORMS")</f>
        <v xml:space="preserve">          6248 - UNIFORMS</v>
      </c>
      <c r="D329" s="2">
        <v>3886.66</v>
      </c>
      <c r="F329" s="2">
        <v>1649.6</v>
      </c>
      <c r="G329" s="3"/>
      <c r="H329" s="2">
        <v>4314.87</v>
      </c>
      <c r="I329" s="3"/>
      <c r="J329" s="2">
        <v>2579.2199999999998</v>
      </c>
      <c r="K329" s="3"/>
      <c r="L329" s="2">
        <v>1976.78</v>
      </c>
      <c r="M329" s="3"/>
      <c r="N329" s="2">
        <v>43.91</v>
      </c>
      <c r="O329" s="3"/>
      <c r="P329" s="2">
        <v>18200</v>
      </c>
      <c r="Q329" s="3"/>
      <c r="R329" s="2"/>
    </row>
    <row r="330" spans="1:18" s="15" customFormat="1" outlineLevel="1" collapsed="1" x14ac:dyDescent="0.35">
      <c r="A330" s="7"/>
      <c r="B330" s="20" t="str">
        <f>CONCATENATE("     ","Telephone/Data Lines                              ")</f>
        <v xml:space="preserve">     Telephone/Data Lines                              </v>
      </c>
      <c r="C330" s="7"/>
      <c r="D330" s="1">
        <f>SUM(OSRRefD21_21x_0)</f>
        <v>32634.43</v>
      </c>
      <c r="E330" s="19"/>
      <c r="F330" s="1">
        <f>SUM(OSRRefF21_21x_0)</f>
        <v>29337.99</v>
      </c>
      <c r="G330" s="4"/>
      <c r="H330" s="1">
        <f>SUM(OSRRefH21_21x_0)</f>
        <v>29133.41</v>
      </c>
      <c r="I330" s="4"/>
      <c r="J330" s="1">
        <f>SUM(OSRRefJ21_21x_0)</f>
        <v>34164.54</v>
      </c>
      <c r="K330" s="4"/>
      <c r="L330" s="1">
        <f>SUM(OSRRefL21_21x_0)</f>
        <v>33448.080000000002</v>
      </c>
      <c r="M330" s="4"/>
      <c r="N330" s="1">
        <f>SUM(OSRRefN21_21x_0)</f>
        <v>28535.31</v>
      </c>
      <c r="O330" s="4"/>
      <c r="P330" s="1">
        <f>SUM(OSRRefP21_21x_0)</f>
        <v>29840</v>
      </c>
      <c r="Q330" s="4"/>
      <c r="R330" s="1">
        <f>SUM(OSRRefR21_21x_0)</f>
        <v>21420</v>
      </c>
    </row>
    <row r="331" spans="1:18" s="16" customFormat="1" hidden="1" outlineLevel="2" x14ac:dyDescent="0.35">
      <c r="B331" s="11" t="str">
        <f>CONCATENATE("          ", "6303", " - ", "DATA PHONE LINES")</f>
        <v xml:space="preserve">          6303 - DATA PHONE LINES</v>
      </c>
      <c r="D331" s="2">
        <v>3490</v>
      </c>
      <c r="F331" s="2">
        <v>4312.5600000000004</v>
      </c>
      <c r="G331" s="3"/>
      <c r="H331" s="2">
        <v>3553.95</v>
      </c>
      <c r="I331" s="3"/>
      <c r="J331" s="2">
        <v>3540</v>
      </c>
      <c r="K331" s="3"/>
      <c r="L331" s="2">
        <v>3540</v>
      </c>
      <c r="M331" s="3"/>
      <c r="N331" s="2">
        <v>2950</v>
      </c>
      <c r="O331" s="3"/>
      <c r="P331" s="2">
        <v>7560</v>
      </c>
      <c r="Q331" s="3"/>
      <c r="R331" s="2">
        <v>0</v>
      </c>
    </row>
    <row r="332" spans="1:18" s="16" customFormat="1" hidden="1" outlineLevel="2" x14ac:dyDescent="0.35">
      <c r="B332" s="11" t="str">
        <f>CONCATENATE("          ", "6309", " - ", "TELEPHONE")</f>
        <v xml:space="preserve">          6309 - TELEPHONE</v>
      </c>
      <c r="D332" s="2">
        <v>29144.43</v>
      </c>
      <c r="F332" s="2">
        <v>25025.43</v>
      </c>
      <c r="G332" s="3"/>
      <c r="H332" s="2">
        <v>25579.46</v>
      </c>
      <c r="I332" s="3"/>
      <c r="J332" s="2">
        <v>30624.54</v>
      </c>
      <c r="K332" s="3"/>
      <c r="L332" s="2">
        <v>29908.080000000002</v>
      </c>
      <c r="M332" s="3"/>
      <c r="N332" s="2">
        <v>25585.31</v>
      </c>
      <c r="O332" s="3"/>
      <c r="P332" s="2">
        <v>22280</v>
      </c>
      <c r="Q332" s="3"/>
      <c r="R332" s="2">
        <v>21420</v>
      </c>
    </row>
    <row r="333" spans="1:18" s="15" customFormat="1" outlineLevel="1" collapsed="1" x14ac:dyDescent="0.35">
      <c r="A333" s="7"/>
      <c r="B333" s="20" t="str">
        <f>CONCATENATE("     ","Training                                          ")</f>
        <v xml:space="preserve">     Training                                          </v>
      </c>
      <c r="C333" s="7"/>
      <c r="D333" s="1">
        <f>SUM(OSRRefD21_22x_0)</f>
        <v>20451.97</v>
      </c>
      <c r="E333" s="19"/>
      <c r="F333" s="1">
        <f>SUM(OSRRefF21_22x_0)</f>
        <v>25942.26</v>
      </c>
      <c r="G333" s="4"/>
      <c r="H333" s="1">
        <f>SUM(OSRRefH21_22x_0)</f>
        <v>29766.04</v>
      </c>
      <c r="I333" s="4"/>
      <c r="J333" s="1">
        <f>SUM(OSRRefJ21_22x_0)</f>
        <v>21108.25</v>
      </c>
      <c r="K333" s="4"/>
      <c r="L333" s="1">
        <f>SUM(OSRRefL21_22x_0)</f>
        <v>21147.69</v>
      </c>
      <c r="M333" s="4"/>
      <c r="N333" s="1">
        <f>SUM(OSRRefN21_22x_0)</f>
        <v>23857.01</v>
      </c>
      <c r="O333" s="4"/>
      <c r="P333" s="1">
        <f>SUM(OSRRefP21_22x_0)</f>
        <v>11970</v>
      </c>
      <c r="Q333" s="4"/>
      <c r="R333" s="1">
        <f>SUM(OSRRefR21_22x_0)</f>
        <v>2000</v>
      </c>
    </row>
    <row r="334" spans="1:18" s="16" customFormat="1" hidden="1" outlineLevel="2" x14ac:dyDescent="0.35">
      <c r="B334" s="11" t="str">
        <f>CONCATENATE("          ", "6376", " - ", "TRAINING")</f>
        <v xml:space="preserve">          6376 - TRAINING</v>
      </c>
      <c r="D334" s="2">
        <v>20451.97</v>
      </c>
      <c r="F334" s="2">
        <v>25942.26</v>
      </c>
      <c r="G334" s="3"/>
      <c r="H334" s="2">
        <v>29766.04</v>
      </c>
      <c r="I334" s="3"/>
      <c r="J334" s="2">
        <v>21108.25</v>
      </c>
      <c r="K334" s="3"/>
      <c r="L334" s="2">
        <v>21147.69</v>
      </c>
      <c r="M334" s="3"/>
      <c r="N334" s="2">
        <v>23857.01</v>
      </c>
      <c r="O334" s="3"/>
      <c r="P334" s="2">
        <v>11970</v>
      </c>
      <c r="Q334" s="3"/>
      <c r="R334" s="2">
        <v>2000</v>
      </c>
    </row>
    <row r="335" spans="1:18" s="15" customFormat="1" outlineLevel="1" collapsed="1" x14ac:dyDescent="0.35">
      <c r="A335" s="7"/>
      <c r="B335" s="20" t="str">
        <f>CONCATENATE("     ","Travel                                            ")</f>
        <v xml:space="preserve">     Travel                                            </v>
      </c>
      <c r="C335" s="7"/>
      <c r="D335" s="1">
        <f>SUM(OSRRefD21_23x_0)</f>
        <v>5757.61</v>
      </c>
      <c r="E335" s="19"/>
      <c r="F335" s="1">
        <f>SUM(OSRRefF21_23x_0)</f>
        <v>6480.2599999999993</v>
      </c>
      <c r="G335" s="4"/>
      <c r="H335" s="1">
        <f>SUM(OSRRefH21_23x_0)</f>
        <v>3844.5</v>
      </c>
      <c r="I335" s="4"/>
      <c r="J335" s="1">
        <f>SUM(OSRRefJ21_23x_0)</f>
        <v>4604.6499999999996</v>
      </c>
      <c r="K335" s="4"/>
      <c r="L335" s="1">
        <f>SUM(OSRRefL21_23x_0)</f>
        <v>4176.3599999999997</v>
      </c>
      <c r="M335" s="4"/>
      <c r="N335" s="1">
        <f>SUM(OSRRefN21_23x_0)</f>
        <v>1317.79</v>
      </c>
      <c r="O335" s="4"/>
      <c r="P335" s="1">
        <f>SUM(OSRRefP21_23x_0)</f>
        <v>800</v>
      </c>
      <c r="Q335" s="4"/>
      <c r="R335" s="1">
        <f>SUM(OSRRefR21_23x_0)</f>
        <v>2350</v>
      </c>
    </row>
    <row r="336" spans="1:18" s="16" customFormat="1" hidden="1" outlineLevel="2" x14ac:dyDescent="0.35">
      <c r="B336" s="11" t="str">
        <f>CONCATENATE("          ", "6292", " - ", "TRAVEL/CONFERENCE")</f>
        <v xml:space="preserve">          6292 - TRAVEL/CONFERENCE</v>
      </c>
      <c r="D336" s="2">
        <v>3183.24</v>
      </c>
      <c r="F336" s="2">
        <v>5456.57</v>
      </c>
      <c r="G336" s="3"/>
      <c r="H336" s="2">
        <v>2742.92</v>
      </c>
      <c r="I336" s="3"/>
      <c r="J336" s="2">
        <v>3282.24</v>
      </c>
      <c r="K336" s="3"/>
      <c r="L336" s="2">
        <v>2787.64</v>
      </c>
      <c r="M336" s="3"/>
      <c r="N336" s="2">
        <v>504.66</v>
      </c>
      <c r="O336" s="3"/>
      <c r="P336" s="2">
        <v>0</v>
      </c>
      <c r="Q336" s="3"/>
      <c r="R336" s="2">
        <v>1500</v>
      </c>
    </row>
    <row r="337" spans="1:18" s="16" customFormat="1" hidden="1" outlineLevel="2" x14ac:dyDescent="0.35">
      <c r="B337" s="11" t="str">
        <f>CONCATENATE("          ", "6294", " - ", "TRAVEL OPERATIONAL")</f>
        <v xml:space="preserve">          6294 - TRAVEL OPERATIONAL</v>
      </c>
      <c r="D337" s="2">
        <v>1176.17</v>
      </c>
      <c r="F337" s="2">
        <v>588.36</v>
      </c>
      <c r="G337" s="3"/>
      <c r="H337" s="2">
        <v>747.43</v>
      </c>
      <c r="I337" s="3"/>
      <c r="J337" s="2">
        <v>626.29</v>
      </c>
      <c r="K337" s="3"/>
      <c r="L337" s="2">
        <v>721.13</v>
      </c>
      <c r="M337" s="3"/>
      <c r="N337" s="2">
        <v>361.61</v>
      </c>
      <c r="O337" s="3"/>
      <c r="P337" s="2">
        <v>300</v>
      </c>
      <c r="Q337" s="3"/>
      <c r="R337" s="2">
        <v>300</v>
      </c>
    </row>
    <row r="338" spans="1:18" s="16" customFormat="1" hidden="1" outlineLevel="2" x14ac:dyDescent="0.35">
      <c r="B338" s="11" t="str">
        <f>CONCATENATE("          ", "6298", " - ", "VEHICLE MILEAGE")</f>
        <v xml:space="preserve">          6298 - VEHICLE MILEAGE</v>
      </c>
      <c r="D338" s="2">
        <v>1398.2</v>
      </c>
      <c r="F338" s="2">
        <v>435.33</v>
      </c>
      <c r="G338" s="3"/>
      <c r="H338" s="2">
        <v>354.15</v>
      </c>
      <c r="I338" s="3"/>
      <c r="J338" s="2">
        <v>696.12</v>
      </c>
      <c r="K338" s="3"/>
      <c r="L338" s="2">
        <v>667.59</v>
      </c>
      <c r="M338" s="3"/>
      <c r="N338" s="2">
        <v>451.52</v>
      </c>
      <c r="O338" s="3"/>
      <c r="P338" s="2">
        <v>500</v>
      </c>
      <c r="Q338" s="3"/>
      <c r="R338" s="2">
        <v>550</v>
      </c>
    </row>
    <row r="339" spans="1:18" s="15" customFormat="1" outlineLevel="1" collapsed="1" x14ac:dyDescent="0.35">
      <c r="A339" s="7"/>
      <c r="B339" s="20" t="str">
        <f>CONCATENATE("     ","Utilities                                         ")</f>
        <v xml:space="preserve">     Utilities                                         </v>
      </c>
      <c r="C339" s="7"/>
      <c r="D339" s="1">
        <f>SUM(OSRRefD21_24x_0)</f>
        <v>74404.429999999993</v>
      </c>
      <c r="E339" s="19"/>
      <c r="F339" s="1">
        <f>SUM(OSRRefF21_24x_0)</f>
        <v>75239.039999999994</v>
      </c>
      <c r="G339" s="4"/>
      <c r="H339" s="1">
        <f>SUM(OSRRefH21_24x_0)</f>
        <v>56339.69</v>
      </c>
      <c r="I339" s="4"/>
      <c r="J339" s="1">
        <f>SUM(OSRRefJ21_24x_0)</f>
        <v>80986.38</v>
      </c>
      <c r="K339" s="4"/>
      <c r="L339" s="1">
        <f>SUM(OSRRefL21_24x_0)</f>
        <v>57715.56</v>
      </c>
      <c r="M339" s="4"/>
      <c r="N339" s="1">
        <f>SUM(OSRRefN21_24x_0)</f>
        <v>78211.58</v>
      </c>
      <c r="O339" s="4"/>
      <c r="P339" s="1">
        <f>SUM(OSRRefP21_24x_0)</f>
        <v>76240</v>
      </c>
      <c r="Q339" s="4"/>
      <c r="R339" s="1">
        <f>SUM(OSRRefR21_24x_0)</f>
        <v>76120</v>
      </c>
    </row>
    <row r="340" spans="1:18" s="16" customFormat="1" hidden="1" outlineLevel="2" x14ac:dyDescent="0.35">
      <c r="B340" s="11" t="str">
        <f>CONCATENATE("          ", "6274", " - ", "UTILITIES")</f>
        <v xml:space="preserve">          6274 - UTILITIES</v>
      </c>
      <c r="D340" s="2">
        <v>74404.429999999993</v>
      </c>
      <c r="F340" s="2">
        <v>75239.039999999994</v>
      </c>
      <c r="G340" s="3"/>
      <c r="H340" s="2">
        <v>56339.69</v>
      </c>
      <c r="I340" s="3"/>
      <c r="J340" s="2">
        <v>80986.38</v>
      </c>
      <c r="K340" s="3"/>
      <c r="L340" s="2">
        <v>57715.56</v>
      </c>
      <c r="M340" s="3"/>
      <c r="N340" s="2">
        <v>78211.58</v>
      </c>
      <c r="O340" s="3"/>
      <c r="P340" s="2">
        <v>76240</v>
      </c>
      <c r="Q340" s="3"/>
      <c r="R340" s="2">
        <v>76120</v>
      </c>
    </row>
    <row r="341" spans="1:18" x14ac:dyDescent="0.35">
      <c r="A341" s="12"/>
      <c r="B341" s="12"/>
      <c r="C341" s="12"/>
      <c r="D341" s="1"/>
      <c r="F341" s="1"/>
      <c r="H341" s="1"/>
      <c r="J341" s="1"/>
      <c r="L341" s="1"/>
      <c r="N341" s="1"/>
      <c r="P341" s="1"/>
      <c r="R341" s="1"/>
    </row>
    <row r="342" spans="1:18" s="7" customFormat="1" collapsed="1" x14ac:dyDescent="0.35">
      <c r="A342" s="36"/>
      <c r="B342" s="34" t="s">
        <v>295</v>
      </c>
      <c r="D342" s="6">
        <f>SUM(OSRRefD24x_0)</f>
        <v>660029.34000000008</v>
      </c>
      <c r="E342" s="12"/>
      <c r="F342" s="6">
        <f>SUM(OSRRefF24x_0)</f>
        <v>610035.04</v>
      </c>
      <c r="G342" s="5"/>
      <c r="H342" s="6">
        <f>SUM(OSRRefH24x_0)</f>
        <v>963763.49</v>
      </c>
      <c r="I342" s="5"/>
      <c r="J342" s="6">
        <f>SUM(OSRRefJ24x_0)</f>
        <v>1029946.47</v>
      </c>
      <c r="K342" s="5"/>
      <c r="L342" s="6">
        <f>SUM(OSRRefL24x_0)</f>
        <v>1346921.7200000002</v>
      </c>
      <c r="M342" s="5"/>
      <c r="N342" s="6">
        <f>SUM(OSRRefN24x_0)</f>
        <v>1207334.8899999999</v>
      </c>
      <c r="O342" s="5"/>
      <c r="P342" s="6">
        <f>SUM(OSRRefP24x_0)</f>
        <v>1160740</v>
      </c>
      <c r="Q342" s="5"/>
      <c r="R342" s="6">
        <f>SUM(OSRRefR24x_0)</f>
        <v>1259728.23</v>
      </c>
    </row>
    <row r="343" spans="1:18" s="7" customFormat="1" hidden="1" outlineLevel="1" x14ac:dyDescent="0.35">
      <c r="A343" s="36"/>
      <c r="B343" s="11" t="str">
        <f>CONCATENATE("          ", "4096", " - ", "TAXABLE SALES-CUSTOMER SERVICE")</f>
        <v xml:space="preserve">          4096 - TAXABLE SALES-CUSTOMER SERVICE</v>
      </c>
      <c r="D343" s="11">
        <f>--810</f>
        <v>810</v>
      </c>
      <c r="E343" s="16"/>
      <c r="F343" s="11">
        <f>--4.95</f>
        <v>4.95</v>
      </c>
      <c r="G343" s="3"/>
      <c r="H343" s="11">
        <f>0</f>
        <v>0</v>
      </c>
      <c r="I343" s="3"/>
      <c r="J343" s="11">
        <f>0</f>
        <v>0</v>
      </c>
      <c r="K343" s="3"/>
      <c r="L343" s="11">
        <f>0</f>
        <v>0</v>
      </c>
      <c r="M343" s="3"/>
      <c r="N343" s="11">
        <f>0</f>
        <v>0</v>
      </c>
      <c r="O343" s="3"/>
      <c r="P343" s="11"/>
      <c r="Q343" s="3"/>
      <c r="R343" s="11"/>
    </row>
    <row r="344" spans="1:18" s="7" customFormat="1" hidden="1" outlineLevel="1" x14ac:dyDescent="0.35">
      <c r="A344" s="36"/>
      <c r="B344" s="11" t="str">
        <f>CONCATENATE("          ", "4098", " - ", "TAXABLE SALES-GRAD RENTALS")</f>
        <v xml:space="preserve">          4098 - TAXABLE SALES-GRAD RENTALS</v>
      </c>
      <c r="D344" s="11">
        <f>--244356.74</f>
        <v>244356.74</v>
      </c>
      <c r="E344" s="16"/>
      <c r="F344" s="11">
        <f>--178590.88</f>
        <v>178590.88</v>
      </c>
      <c r="G344" s="3"/>
      <c r="H344" s="11">
        <f>--122982.11</f>
        <v>122982.11</v>
      </c>
      <c r="I344" s="3"/>
      <c r="J344" s="11">
        <f>--103080.07</f>
        <v>103080.07</v>
      </c>
      <c r="K344" s="3"/>
      <c r="L344" s="11">
        <f>--86267.28</f>
        <v>86267.28</v>
      </c>
      <c r="M344" s="3"/>
      <c r="N344" s="11">
        <f>--1946.85</f>
        <v>1946.85</v>
      </c>
      <c r="O344" s="3"/>
      <c r="P344" s="11"/>
      <c r="Q344" s="3"/>
      <c r="R344" s="11"/>
    </row>
    <row r="345" spans="1:18" s="7" customFormat="1" hidden="1" outlineLevel="1" x14ac:dyDescent="0.35">
      <c r="A345" s="36"/>
      <c r="B345" s="11" t="str">
        <f>CONCATENATE("          ", "4196", " - ", "NON-TAXABLE SALES-CUSTOMER SER")</f>
        <v xml:space="preserve">          4196 - NON-TAXABLE SALES-CUSTOMER SER</v>
      </c>
      <c r="D345" s="11">
        <f>--125</f>
        <v>125</v>
      </c>
      <c r="E345" s="16"/>
      <c r="F345" s="11">
        <f>0</f>
        <v>0</v>
      </c>
      <c r="G345" s="3"/>
      <c r="H345" s="11">
        <f t="shared" ref="H345:H346" si="30">0</f>
        <v>0</v>
      </c>
      <c r="I345" s="3"/>
      <c r="J345" s="11">
        <f>0</f>
        <v>0</v>
      </c>
      <c r="K345" s="3"/>
      <c r="L345" s="11">
        <f>0</f>
        <v>0</v>
      </c>
      <c r="M345" s="3"/>
      <c r="N345" s="11">
        <f>0</f>
        <v>0</v>
      </c>
      <c r="O345" s="3"/>
      <c r="P345" s="11"/>
      <c r="Q345" s="3"/>
      <c r="R345" s="11"/>
    </row>
    <row r="346" spans="1:18" s="7" customFormat="1" hidden="1" outlineLevel="1" x14ac:dyDescent="0.35">
      <c r="A346" s="36"/>
      <c r="B346" s="11" t="str">
        <f>CONCATENATE("          ", "4197", " - ", "NON-TAXABLE SALES-RETURNED CHE")</f>
        <v xml:space="preserve">          4197 - NON-TAXABLE SALES-RETURNED CHE</v>
      </c>
      <c r="D346" s="11">
        <f>--20</f>
        <v>20</v>
      </c>
      <c r="E346" s="16"/>
      <c r="F346" s="11">
        <f>--70</f>
        <v>70</v>
      </c>
      <c r="G346" s="3"/>
      <c r="H346" s="11">
        <f t="shared" si="30"/>
        <v>0</v>
      </c>
      <c r="I346" s="3"/>
      <c r="J346" s="11">
        <f>--227.5</f>
        <v>227.5</v>
      </c>
      <c r="K346" s="3"/>
      <c r="L346" s="11">
        <f>--335</f>
        <v>335</v>
      </c>
      <c r="M346" s="3"/>
      <c r="N346" s="11">
        <f>--30</f>
        <v>30</v>
      </c>
      <c r="O346" s="3"/>
      <c r="P346" s="11"/>
      <c r="Q346" s="3"/>
      <c r="R346" s="11"/>
    </row>
    <row r="347" spans="1:18" s="7" customFormat="1" hidden="1" outlineLevel="1" x14ac:dyDescent="0.35">
      <c r="A347" s="36"/>
      <c r="B347" s="11" t="str">
        <f>CONCATENATE("          ", "4198", " - ", "NON-TAXABLE SALES-GRAD RENTALS")</f>
        <v xml:space="preserve">          4198 - NON-TAXABLE SALES-GRAD RENTALS</v>
      </c>
      <c r="D347" s="11">
        <f>--740</f>
        <v>740</v>
      </c>
      <c r="E347" s="16"/>
      <c r="F347" s="11">
        <f>--79118.7</f>
        <v>79118.7</v>
      </c>
      <c r="G347" s="3"/>
      <c r="H347" s="11">
        <f>--182844.41</f>
        <v>182844.41</v>
      </c>
      <c r="I347" s="3"/>
      <c r="J347" s="11">
        <f>--192651.25</f>
        <v>192651.25</v>
      </c>
      <c r="K347" s="3"/>
      <c r="L347" s="11">
        <f>--449104.41</f>
        <v>449104.41</v>
      </c>
      <c r="M347" s="3"/>
      <c r="N347" s="11">
        <f>--163.76</f>
        <v>163.76</v>
      </c>
      <c r="O347" s="3"/>
      <c r="P347" s="11"/>
      <c r="Q347" s="3"/>
      <c r="R347" s="11"/>
    </row>
    <row r="348" spans="1:18" s="7" customFormat="1" hidden="1" outlineLevel="1" x14ac:dyDescent="0.35">
      <c r="A348" s="36"/>
      <c r="B348" s="11" t="str">
        <f>CONCATENATE("          ", "4296", " - ", "SALES RETURN TAXABLE-CUSTOMER")</f>
        <v xml:space="preserve">          4296 - SALES RETURN TAXABLE-CUSTOMER</v>
      </c>
      <c r="D348" s="11">
        <f>-810</f>
        <v>-810</v>
      </c>
      <c r="E348" s="16"/>
      <c r="F348" s="11">
        <f>0</f>
        <v>0</v>
      </c>
      <c r="G348" s="3"/>
      <c r="H348" s="11">
        <f>0</f>
        <v>0</v>
      </c>
      <c r="I348" s="3"/>
      <c r="J348" s="11">
        <f>0</f>
        <v>0</v>
      </c>
      <c r="K348" s="3"/>
      <c r="L348" s="11">
        <f t="shared" ref="L348:L352" si="31">0</f>
        <v>0</v>
      </c>
      <c r="M348" s="3"/>
      <c r="N348" s="11">
        <f t="shared" ref="N348:N352" si="32">0</f>
        <v>0</v>
      </c>
      <c r="O348" s="3"/>
      <c r="P348" s="11"/>
      <c r="Q348" s="3"/>
      <c r="R348" s="11"/>
    </row>
    <row r="349" spans="1:18" s="7" customFormat="1" hidden="1" outlineLevel="1" x14ac:dyDescent="0.35">
      <c r="A349" s="36"/>
      <c r="B349" s="11" t="str">
        <f>CONCATENATE("          ", "4298", " - ", "SALES RETURN TAXABLE-GRAD RENT")</f>
        <v xml:space="preserve">          4298 - SALES RETURN TAXABLE-GRAD RENT</v>
      </c>
      <c r="D349" s="11">
        <f>-3554</f>
        <v>-3554</v>
      </c>
      <c r="E349" s="16"/>
      <c r="F349" s="11">
        <f>-646.95</f>
        <v>-646.95000000000005</v>
      </c>
      <c r="G349" s="3"/>
      <c r="H349" s="11">
        <f>-1223.7</f>
        <v>-1223.7</v>
      </c>
      <c r="I349" s="3"/>
      <c r="J349" s="11">
        <f>-196</f>
        <v>-196</v>
      </c>
      <c r="K349" s="3"/>
      <c r="L349" s="11">
        <f t="shared" si="31"/>
        <v>0</v>
      </c>
      <c r="M349" s="3"/>
      <c r="N349" s="11">
        <f t="shared" si="32"/>
        <v>0</v>
      </c>
      <c r="O349" s="3"/>
      <c r="P349" s="11"/>
      <c r="Q349" s="3"/>
      <c r="R349" s="11"/>
    </row>
    <row r="350" spans="1:18" s="7" customFormat="1" hidden="1" outlineLevel="1" x14ac:dyDescent="0.35">
      <c r="A350" s="36"/>
      <c r="B350" s="11" t="str">
        <f>CONCATENATE("          ", "4396", " - ", "SALES RETURN NON TAXABLE-CUSTO")</f>
        <v xml:space="preserve">          4396 - SALES RETURN NON TAXABLE-CUSTO</v>
      </c>
      <c r="D350" s="11">
        <f>-100</f>
        <v>-100</v>
      </c>
      <c r="E350" s="16"/>
      <c r="F350" s="11">
        <f t="shared" ref="F350:F351" si="33">0</f>
        <v>0</v>
      </c>
      <c r="G350" s="3"/>
      <c r="H350" s="11">
        <f t="shared" ref="H350:H351" si="34">0</f>
        <v>0</v>
      </c>
      <c r="I350" s="3"/>
      <c r="J350" s="11">
        <f t="shared" ref="J350:J352" si="35">0</f>
        <v>0</v>
      </c>
      <c r="K350" s="3"/>
      <c r="L350" s="11">
        <f t="shared" si="31"/>
        <v>0</v>
      </c>
      <c r="M350" s="3"/>
      <c r="N350" s="11">
        <f t="shared" si="32"/>
        <v>0</v>
      </c>
      <c r="O350" s="3"/>
      <c r="P350" s="11"/>
      <c r="Q350" s="3"/>
      <c r="R350" s="11"/>
    </row>
    <row r="351" spans="1:18" s="7" customFormat="1" hidden="1" outlineLevel="1" x14ac:dyDescent="0.35">
      <c r="A351" s="36"/>
      <c r="B351" s="11" t="str">
        <f>CONCATENATE("          ", "4398", " - ", "SALES RETURN NON TAXABLE-GRAD")</f>
        <v xml:space="preserve">          4398 - SALES RETURN NON TAXABLE-GRAD</v>
      </c>
      <c r="D351" s="11">
        <f>-374</f>
        <v>-374</v>
      </c>
      <c r="E351" s="16"/>
      <c r="F351" s="11">
        <f t="shared" si="33"/>
        <v>0</v>
      </c>
      <c r="G351" s="3"/>
      <c r="H351" s="11">
        <f t="shared" si="34"/>
        <v>0</v>
      </c>
      <c r="I351" s="3"/>
      <c r="J351" s="11">
        <f t="shared" si="35"/>
        <v>0</v>
      </c>
      <c r="K351" s="3"/>
      <c r="L351" s="11">
        <f t="shared" si="31"/>
        <v>0</v>
      </c>
      <c r="M351" s="3"/>
      <c r="N351" s="11">
        <f t="shared" si="32"/>
        <v>0</v>
      </c>
      <c r="O351" s="3"/>
      <c r="P351" s="11"/>
      <c r="Q351" s="3"/>
      <c r="R351" s="11"/>
    </row>
    <row r="352" spans="1:18" s="7" customFormat="1" hidden="1" outlineLevel="1" x14ac:dyDescent="0.35">
      <c r="A352" s="36"/>
      <c r="B352" s="11" t="str">
        <f>CONCATENATE("          ", "5096", " - ", "PURCHASES @ COST-CUSTOMER SERV")</f>
        <v xml:space="preserve">          5096 - PURCHASES @ COST-CUSTOMER SERV</v>
      </c>
      <c r="D352" s="11">
        <f>-2437.5</f>
        <v>-2437.5</v>
      </c>
      <c r="E352" s="16"/>
      <c r="F352" s="11">
        <f>-4043.75</f>
        <v>-4043.75</v>
      </c>
      <c r="G352" s="3"/>
      <c r="H352" s="11">
        <f>-2337.5</f>
        <v>-2337.5</v>
      </c>
      <c r="I352" s="3"/>
      <c r="J352" s="11">
        <f t="shared" si="35"/>
        <v>0</v>
      </c>
      <c r="K352" s="3"/>
      <c r="L352" s="11">
        <f t="shared" si="31"/>
        <v>0</v>
      </c>
      <c r="M352" s="3"/>
      <c r="N352" s="11">
        <f t="shared" si="32"/>
        <v>0</v>
      </c>
      <c r="O352" s="3"/>
      <c r="P352" s="11"/>
      <c r="Q352" s="3"/>
      <c r="R352" s="11"/>
    </row>
    <row r="353" spans="1:18" s="7" customFormat="1" hidden="1" outlineLevel="1" x14ac:dyDescent="0.35">
      <c r="A353" s="36"/>
      <c r="B353" s="11" t="str">
        <f>CONCATENATE("          ", "9150", " - ", "MISC. INCOME")</f>
        <v xml:space="preserve">          9150 - MISC. INCOME</v>
      </c>
      <c r="D353" s="11">
        <f>--277992.73</f>
        <v>277992.73</v>
      </c>
      <c r="E353" s="16"/>
      <c r="F353" s="11">
        <f>--216181.76</f>
        <v>216181.76000000001</v>
      </c>
      <c r="G353" s="3"/>
      <c r="H353" s="11">
        <f>--519733.92</f>
        <v>519733.92</v>
      </c>
      <c r="I353" s="3"/>
      <c r="J353" s="11">
        <f>--620319.38</f>
        <v>620319.38</v>
      </c>
      <c r="K353" s="3"/>
      <c r="L353" s="11">
        <f>--688375.68</f>
        <v>688375.68</v>
      </c>
      <c r="M353" s="3"/>
      <c r="N353" s="11">
        <f>--532203.21</f>
        <v>532203.21</v>
      </c>
      <c r="O353" s="3"/>
      <c r="P353" s="11">
        <v>243700</v>
      </c>
      <c r="Q353" s="3"/>
      <c r="R353" s="11">
        <v>179749</v>
      </c>
    </row>
    <row r="354" spans="1:18" s="7" customFormat="1" hidden="1" outlineLevel="1" x14ac:dyDescent="0.35">
      <c r="A354" s="36"/>
      <c r="B354" s="11" t="str">
        <f>CONCATENATE("          ", "9151", " - ", "MISC. INCOME")</f>
        <v xml:space="preserve">          9151 - MISC. INCOME</v>
      </c>
      <c r="D354" s="11">
        <f>0</f>
        <v>0</v>
      </c>
      <c r="E354" s="16"/>
      <c r="F354" s="11">
        <f>0</f>
        <v>0</v>
      </c>
      <c r="G354" s="3"/>
      <c r="H354" s="11">
        <f>-1631.14</f>
        <v>-1631.14</v>
      </c>
      <c r="I354" s="3"/>
      <c r="J354" s="11">
        <f>--896.01</f>
        <v>896.01</v>
      </c>
      <c r="K354" s="3"/>
      <c r="L354" s="11">
        <f>--498.26</f>
        <v>498.26</v>
      </c>
      <c r="M354" s="3"/>
      <c r="N354" s="11">
        <f>--150694.63</f>
        <v>150694.63</v>
      </c>
      <c r="O354" s="3"/>
      <c r="P354" s="11">
        <v>917040</v>
      </c>
      <c r="Q354" s="3"/>
      <c r="R354" s="11">
        <v>904979.23</v>
      </c>
    </row>
    <row r="355" spans="1:18" s="7" customFormat="1" hidden="1" outlineLevel="1" x14ac:dyDescent="0.35">
      <c r="A355" s="36"/>
      <c r="B355" s="11" t="str">
        <f>CONCATENATE("          ", "9152", " - ", "MISC. INCOME")</f>
        <v xml:space="preserve">          9152 - MISC. INCOME</v>
      </c>
      <c r="D355" s="11">
        <f>--22409.17</f>
        <v>22409.17</v>
      </c>
      <c r="E355" s="16"/>
      <c r="F355" s="11">
        <f>--19372.95</f>
        <v>19372.95</v>
      </c>
      <c r="G355" s="3"/>
      <c r="H355" s="11">
        <f>--12544.55</f>
        <v>12544.55</v>
      </c>
      <c r="I355" s="3"/>
      <c r="J355" s="11">
        <f>--10296.66</f>
        <v>10296.66</v>
      </c>
      <c r="K355" s="3"/>
      <c r="L355" s="11">
        <f>--13830.34</f>
        <v>13830.34</v>
      </c>
      <c r="M355" s="3"/>
      <c r="N355" s="11">
        <f>--10637.6</f>
        <v>10637.6</v>
      </c>
      <c r="O355" s="3"/>
      <c r="P355" s="11"/>
      <c r="Q355" s="3"/>
      <c r="R355" s="11"/>
    </row>
    <row r="356" spans="1:18" s="7" customFormat="1" hidden="1" outlineLevel="1" x14ac:dyDescent="0.35">
      <c r="A356" s="36"/>
      <c r="B356" s="11" t="str">
        <f>CONCATENATE("          ", "9153", " - ", "MISC. INCOME")</f>
        <v xml:space="preserve">          9153 - MISC. INCOME</v>
      </c>
      <c r="D356" s="11">
        <f>0</f>
        <v>0</v>
      </c>
      <c r="E356" s="16"/>
      <c r="F356" s="11">
        <f>0</f>
        <v>0</v>
      </c>
      <c r="G356" s="3"/>
      <c r="H356" s="11">
        <f>0</f>
        <v>0</v>
      </c>
      <c r="I356" s="3"/>
      <c r="J356" s="11">
        <f>0</f>
        <v>0</v>
      </c>
      <c r="K356" s="3"/>
      <c r="L356" s="11">
        <f>--180</f>
        <v>180</v>
      </c>
      <c r="M356" s="3"/>
      <c r="N356" s="11">
        <f>--450</f>
        <v>450</v>
      </c>
      <c r="O356" s="3"/>
      <c r="P356" s="11"/>
      <c r="Q356" s="3"/>
      <c r="R356" s="11"/>
    </row>
    <row r="357" spans="1:18" s="7" customFormat="1" hidden="1" outlineLevel="1" x14ac:dyDescent="0.35">
      <c r="A357" s="36"/>
      <c r="B357" s="11" t="str">
        <f>CONCATENATE("          ", "9160", " - ", "MISC. INCOME")</f>
        <v xml:space="preserve">          9160 - MISC. INCOME</v>
      </c>
      <c r="D357" s="11">
        <f>--35678.3</f>
        <v>35678.300000000003</v>
      </c>
      <c r="E357" s="16"/>
      <c r="F357" s="11">
        <f>--36250</f>
        <v>36250</v>
      </c>
      <c r="G357" s="3"/>
      <c r="H357" s="11">
        <f>--47850</f>
        <v>47850</v>
      </c>
      <c r="I357" s="3"/>
      <c r="J357" s="11">
        <f>--34795</f>
        <v>34795</v>
      </c>
      <c r="K357" s="3"/>
      <c r="L357" s="11">
        <f>--40000</f>
        <v>40000</v>
      </c>
      <c r="M357" s="3"/>
      <c r="N357" s="11">
        <f>--22475</f>
        <v>22475</v>
      </c>
      <c r="O357" s="3"/>
      <c r="P357" s="11"/>
      <c r="Q357" s="3"/>
      <c r="R357" s="11">
        <v>175000</v>
      </c>
    </row>
    <row r="358" spans="1:18" s="7" customFormat="1" hidden="1" outlineLevel="1" x14ac:dyDescent="0.35">
      <c r="A358" s="36"/>
      <c r="B358" s="11" t="str">
        <f>CONCATENATE("          ", "9163", " - ", "MISC. INCOME")</f>
        <v xml:space="preserve">          9163 - MISC. INCOME</v>
      </c>
      <c r="D358" s="11">
        <f>--85172.9</f>
        <v>85172.9</v>
      </c>
      <c r="E358" s="16"/>
      <c r="F358" s="11">
        <f>--85136.5</f>
        <v>85136.5</v>
      </c>
      <c r="G358" s="3"/>
      <c r="H358" s="11">
        <f>--83000.84</f>
        <v>83000.84</v>
      </c>
      <c r="I358" s="3"/>
      <c r="J358" s="11">
        <f>--67876.6</f>
        <v>67876.600000000006</v>
      </c>
      <c r="K358" s="3"/>
      <c r="L358" s="11">
        <f>--68330.75</f>
        <v>68330.75</v>
      </c>
      <c r="M358" s="3"/>
      <c r="N358" s="11">
        <f>--488733.84</f>
        <v>488733.84</v>
      </c>
      <c r="O358" s="3"/>
      <c r="P358" s="11"/>
      <c r="Q358" s="3"/>
      <c r="R358" s="11"/>
    </row>
    <row r="359" spans="1:18" x14ac:dyDescent="0.35">
      <c r="A359" s="12"/>
      <c r="B359" s="7"/>
      <c r="C359" s="7"/>
      <c r="D359" s="6"/>
      <c r="F359" s="6"/>
      <c r="H359" s="6"/>
      <c r="J359" s="6"/>
      <c r="L359" s="6"/>
      <c r="N359" s="6"/>
      <c r="P359" s="6"/>
      <c r="R359" s="6"/>
    </row>
    <row r="360" spans="1:18" s="15" customFormat="1" x14ac:dyDescent="0.35">
      <c r="A360" s="7"/>
      <c r="B360" s="22" t="s">
        <v>279</v>
      </c>
      <c r="C360" s="22"/>
      <c r="D360" s="10">
        <f>+D199-D202+D342</f>
        <v>1612537.8100000124</v>
      </c>
      <c r="E360" s="12"/>
      <c r="F360" s="10">
        <f>+F199-F202+F342</f>
        <v>1686562.4499999983</v>
      </c>
      <c r="G360" s="5"/>
      <c r="H360" s="10">
        <f>+H199-H202+H342</f>
        <v>1720538.0799999905</v>
      </c>
      <c r="I360" s="5"/>
      <c r="J360" s="10">
        <f>+J199-J202+J342</f>
        <v>1851758.2600000037</v>
      </c>
      <c r="K360" s="5"/>
      <c r="L360" s="10">
        <f>+L199-L202+L342</f>
        <v>1583189.79999999</v>
      </c>
      <c r="M360" s="5"/>
      <c r="N360" s="10">
        <f>+N199-N202+N342</f>
        <v>737137.42000000202</v>
      </c>
      <c r="O360" s="5"/>
      <c r="P360" s="10">
        <f>+P199-P202+P342</f>
        <v>663439.47326211445</v>
      </c>
      <c r="Q360" s="5"/>
      <c r="R360" s="10">
        <f>+R199-R202+R342</f>
        <v>832814.30961169163</v>
      </c>
    </row>
    <row r="361" spans="1:18" s="27" customFormat="1" x14ac:dyDescent="0.35">
      <c r="A361" s="18"/>
      <c r="B361" s="31"/>
      <c r="C361" s="18"/>
      <c r="D361" s="9">
        <f>IFERROR(D360/D10, 0)</f>
        <v>0.11750876583361418</v>
      </c>
      <c r="E361" s="18"/>
      <c r="F361" s="9">
        <f>IFERROR(F360/F10, 0)</f>
        <v>0.12603303704635133</v>
      </c>
      <c r="G361" s="14"/>
      <c r="H361" s="9">
        <f>IFERROR(H360/H10, 0)</f>
        <v>0.13389022788388211</v>
      </c>
      <c r="I361" s="14"/>
      <c r="J361" s="9">
        <f>IFERROR(J360/J10, 0)</f>
        <v>0.14760198687656786</v>
      </c>
      <c r="K361" s="14"/>
      <c r="L361" s="9">
        <f>IFERROR(L360/L10, 0)</f>
        <v>0.13778373702661775</v>
      </c>
      <c r="M361" s="14"/>
      <c r="N361" s="9">
        <f>IFERROR(N360/N10, 0)</f>
        <v>7.9795280580084851E-2</v>
      </c>
      <c r="O361" s="14"/>
      <c r="P361" s="9">
        <f>IFERROR(P360/P10, 0)</f>
        <v>7.2568820962687741E-2</v>
      </c>
      <c r="Q361" s="14"/>
      <c r="R361" s="9">
        <f>IFERROR(R360/R10, 0)</f>
        <v>9.3844396720561093E-2</v>
      </c>
    </row>
    <row r="362" spans="1:18" s="27" customFormat="1" x14ac:dyDescent="0.35">
      <c r="A362" s="18"/>
      <c r="B362" s="31"/>
      <c r="C362" s="18"/>
      <c r="D362" s="13"/>
      <c r="E362" s="18"/>
      <c r="F362" s="13"/>
      <c r="G362" s="14"/>
      <c r="H362" s="13"/>
      <c r="I362" s="14"/>
      <c r="J362" s="13"/>
      <c r="K362" s="14"/>
      <c r="L362" s="13"/>
      <c r="M362" s="14"/>
      <c r="N362" s="13"/>
      <c r="O362" s="14"/>
      <c r="P362" s="13"/>
      <c r="Q362" s="14"/>
      <c r="R362" s="13"/>
    </row>
    <row r="363" spans="1:18" s="15" customFormat="1" x14ac:dyDescent="0.35">
      <c r="A363" s="37"/>
      <c r="B363" s="7" t="s">
        <v>127</v>
      </c>
      <c r="C363" s="7"/>
      <c r="D363" s="6">
        <v>2982047.07</v>
      </c>
      <c r="E363" s="12"/>
      <c r="F363" s="6">
        <v>1905007.28</v>
      </c>
      <c r="G363" s="5"/>
      <c r="H363" s="6">
        <v>1718167.5</v>
      </c>
      <c r="I363" s="5"/>
      <c r="J363" s="6">
        <v>1683791.07</v>
      </c>
      <c r="K363" s="5"/>
      <c r="L363" s="6">
        <v>819002.05</v>
      </c>
      <c r="M363" s="5"/>
      <c r="N363" s="6">
        <v>1398820.59</v>
      </c>
      <c r="O363" s="5"/>
      <c r="P363" s="6">
        <v>1544833</v>
      </c>
      <c r="Q363" s="5"/>
      <c r="R363" s="6">
        <v>1006310</v>
      </c>
    </row>
    <row r="364" spans="1:18" x14ac:dyDescent="0.35">
      <c r="A364" s="12"/>
      <c r="B364" s="7"/>
      <c r="C364" s="7"/>
      <c r="D364" s="6"/>
      <c r="F364" s="6"/>
      <c r="H364" s="6"/>
      <c r="J364" s="6"/>
      <c r="L364" s="6"/>
      <c r="N364" s="6"/>
      <c r="P364" s="6"/>
      <c r="R364" s="6"/>
    </row>
    <row r="365" spans="1:18" s="15" customFormat="1" x14ac:dyDescent="0.35">
      <c r="A365" s="7"/>
      <c r="B365" s="22" t="s">
        <v>126</v>
      </c>
      <c r="C365" s="22"/>
      <c r="D365" s="10">
        <f>+D360-D363</f>
        <v>-1369509.2599999874</v>
      </c>
      <c r="E365" s="12"/>
      <c r="F365" s="10">
        <f>+F360-F363</f>
        <v>-218444.8300000017</v>
      </c>
      <c r="G365" s="5"/>
      <c r="H365" s="10">
        <f>+H360-H363</f>
        <v>2370.5799999905284</v>
      </c>
      <c r="I365" s="5"/>
      <c r="J365" s="10">
        <f>+J360-J363</f>
        <v>167967.19000000367</v>
      </c>
      <c r="K365" s="5"/>
      <c r="L365" s="10">
        <f>+L360-L363</f>
        <v>764187.74999998999</v>
      </c>
      <c r="M365" s="5"/>
      <c r="N365" s="10">
        <f>+N360-N363</f>
        <v>-661683.16999999806</v>
      </c>
      <c r="O365" s="5"/>
      <c r="P365" s="10">
        <f>+P360-P363</f>
        <v>-881393.52673788555</v>
      </c>
      <c r="Q365" s="5"/>
      <c r="R365" s="10">
        <f>+R360-R363</f>
        <v>-173495.69038830837</v>
      </c>
    </row>
    <row r="366" spans="1:18" s="27" customFormat="1" x14ac:dyDescent="0.35">
      <c r="A366" s="18"/>
      <c r="B366" s="18"/>
      <c r="C366" s="18"/>
      <c r="D366" s="9">
        <f>IFERROR(D365/D10, 0)</f>
        <v>-9.9798802820197763E-2</v>
      </c>
      <c r="E366" s="18"/>
      <c r="F366" s="9">
        <f>IFERROR(F365/F10, 0)</f>
        <v>-1.6323893225521628E-2</v>
      </c>
      <c r="G366" s="14"/>
      <c r="H366" s="9">
        <f>IFERROR(H365/H10, 0)</f>
        <v>1.8447571728008884E-4</v>
      </c>
      <c r="I366" s="14"/>
      <c r="J366" s="9">
        <f>IFERROR(J365/J10, 0)</f>
        <v>1.3388513776131055E-2</v>
      </c>
      <c r="K366" s="14"/>
      <c r="L366" s="9">
        <f>IFERROR(L365/L10, 0)</f>
        <v>6.6506646256160817E-2</v>
      </c>
      <c r="M366" s="14"/>
      <c r="N366" s="9">
        <f>IFERROR(N365/N10, 0)</f>
        <v>-7.1627342165412902E-2</v>
      </c>
      <c r="O366" s="14"/>
      <c r="P366" s="9">
        <f>IFERROR(P365/P10, 0)</f>
        <v>-9.6409230408036478E-2</v>
      </c>
      <c r="Q366" s="14"/>
      <c r="R366" s="9">
        <f>IFERROR(R365/R10, 0)</f>
        <v>-1.9550094433054967E-2</v>
      </c>
    </row>
    <row r="367" spans="1:18" s="27" customFormat="1" x14ac:dyDescent="0.35">
      <c r="A367" s="18"/>
      <c r="B367" s="18"/>
      <c r="C367" s="18"/>
      <c r="D367" s="13"/>
      <c r="E367" s="18"/>
      <c r="F367" s="13"/>
      <c r="G367" s="14"/>
      <c r="H367" s="13"/>
      <c r="I367" s="14"/>
      <c r="J367" s="13"/>
      <c r="K367" s="14"/>
      <c r="L367" s="13"/>
      <c r="M367" s="14"/>
      <c r="N367" s="13"/>
      <c r="O367" s="14"/>
      <c r="P367" s="13"/>
      <c r="Q367" s="14"/>
      <c r="R367" s="13"/>
    </row>
    <row r="368" spans="1:18" x14ac:dyDescent="0.35">
      <c r="A368" s="12"/>
      <c r="B368" s="12"/>
      <c r="C368" s="12"/>
      <c r="D368" s="6"/>
      <c r="F368" s="6"/>
      <c r="H368" s="6"/>
      <c r="J368" s="6"/>
      <c r="L368" s="6"/>
      <c r="N368" s="6"/>
      <c r="P368" s="6"/>
      <c r="R368" s="6"/>
    </row>
    <row r="369" spans="1:18" s="15" customFormat="1" x14ac:dyDescent="0.35">
      <c r="A369" s="7"/>
      <c r="B369" s="22" t="s">
        <v>296</v>
      </c>
      <c r="C369" s="22"/>
      <c r="D369" s="10">
        <f>SUM(D365:D368)</f>
        <v>-1369509.3597987902</v>
      </c>
      <c r="E369" s="12"/>
      <c r="F369" s="10">
        <f>SUM(F365:F368)</f>
        <v>-218444.84632389492</v>
      </c>
      <c r="G369" s="5"/>
      <c r="H369" s="10">
        <f>SUM(H365:H368)</f>
        <v>2370.5801844662456</v>
      </c>
      <c r="I369" s="5"/>
      <c r="J369" s="10">
        <f>SUM(J365:J368)</f>
        <v>167967.20338851743</v>
      </c>
      <c r="K369" s="5"/>
      <c r="L369" s="10">
        <f>SUM(L365:L368)</f>
        <v>764187.81650663621</v>
      </c>
      <c r="M369" s="5"/>
      <c r="N369" s="10">
        <f>SUM(N365:N368)</f>
        <v>-661683.24162734021</v>
      </c>
      <c r="O369" s="5"/>
      <c r="P369" s="10">
        <f>SUM(P365:P368)</f>
        <v>-881393.62314711593</v>
      </c>
      <c r="Q369" s="5"/>
      <c r="R369" s="10">
        <f>SUM(R365:R368)</f>
        <v>-173495.70993840281</v>
      </c>
    </row>
    <row r="370" spans="1:18" s="27" customFormat="1" x14ac:dyDescent="0.35">
      <c r="A370" s="18"/>
      <c r="B370" s="41"/>
      <c r="C370" s="18"/>
      <c r="D370" s="9">
        <f>IFERROR(D369/D10, 0)</f>
        <v>-9.9798810092730575E-2</v>
      </c>
      <c r="E370" s="18"/>
      <c r="F370" s="9">
        <f>IFERROR(F369/F10, 0)</f>
        <v>-1.6323894445369632E-2</v>
      </c>
      <c r="G370" s="14"/>
      <c r="H370" s="9">
        <f>IFERROR(H369/H10, 0)</f>
        <v>1.8447573163576982E-4</v>
      </c>
      <c r="I370" s="14"/>
      <c r="J370" s="9">
        <f>IFERROR(J369/J10, 0)</f>
        <v>1.3388514843317455E-2</v>
      </c>
      <c r="K370" s="14"/>
      <c r="L370" s="9">
        <f>IFERROR(L369/L10, 0)</f>
        <v>6.6506652044180839E-2</v>
      </c>
      <c r="M370" s="14"/>
      <c r="N370" s="9">
        <f>IFERROR(N369/N10, 0)</f>
        <v>-7.1627349919087743E-2</v>
      </c>
      <c r="O370" s="14"/>
      <c r="P370" s="9">
        <f>IFERROR(P369/P10, 0)</f>
        <v>-9.6409240953541323E-2</v>
      </c>
      <c r="Q370" s="14"/>
      <c r="R370" s="9">
        <f>IFERROR(R369/R10, 0)</f>
        <v>-1.9550096636027223E-2</v>
      </c>
    </row>
    <row r="371" spans="1:18" x14ac:dyDescent="0.35">
      <c r="A371" s="12"/>
      <c r="B371" s="40">
        <v>44319.883509722225</v>
      </c>
      <c r="D371" s="24"/>
      <c r="F371" s="24"/>
      <c r="H371" s="24"/>
      <c r="J371" s="24"/>
      <c r="L371" s="24"/>
      <c r="N371" s="24"/>
      <c r="P371" s="24"/>
      <c r="R371" s="24"/>
    </row>
    <row r="372" spans="1:18" x14ac:dyDescent="0.35">
      <c r="A372" s="12"/>
      <c r="B372" s="39" t="s">
        <v>23</v>
      </c>
      <c r="D372" s="24"/>
      <c r="F372" s="24"/>
      <c r="H372" s="24"/>
      <c r="J372" s="24"/>
      <c r="L372" s="24"/>
      <c r="N372" s="24"/>
      <c r="P372" s="24"/>
      <c r="R372" s="24"/>
    </row>
    <row r="373" spans="1:18" x14ac:dyDescent="0.35">
      <c r="A373" s="12"/>
      <c r="D373" s="24"/>
      <c r="F373" s="24"/>
      <c r="H373" s="24"/>
      <c r="J373" s="24"/>
      <c r="L373" s="24"/>
      <c r="N373" s="24"/>
      <c r="P373" s="24"/>
      <c r="R373" s="24"/>
    </row>
    <row r="374" spans="1:18" x14ac:dyDescent="0.35">
      <c r="D374" s="24"/>
      <c r="F374" s="24"/>
      <c r="H374" s="24"/>
      <c r="J374" s="24"/>
      <c r="L374" s="24"/>
      <c r="N374" s="24"/>
      <c r="P374" s="24"/>
      <c r="R374" s="24"/>
    </row>
  </sheetData>
  <pageMargins left="0.5" right="0.5" top="0.5" bottom="0.5" header="0.3" footer="0.3"/>
  <pageSetup scale="5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258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4.5" x14ac:dyDescent="0.35"/>
  <cols>
    <col min="1" max="220" width="20.7265625" customWidth="1"/>
    <col min="221" max="221" width="20.7265625" style="46" customWidth="1"/>
    <col min="222" max="223" width="20.7265625" customWidth="1"/>
  </cols>
  <sheetData>
    <row r="1" spans="1:272" x14ac:dyDescent="0.35">
      <c r="D1">
        <v>4</v>
      </c>
    </row>
    <row r="2" spans="1:272" x14ac:dyDescent="0.35">
      <c r="JK2">
        <v>271</v>
      </c>
      <c r="JL2">
        <v>4</v>
      </c>
    </row>
    <row r="3" spans="1:272" ht="29" x14ac:dyDescent="0.35">
      <c r="A3" s="29" t="s">
        <v>241</v>
      </c>
      <c r="B3" s="29" t="s">
        <v>297</v>
      </c>
      <c r="C3" s="29" t="s">
        <v>0</v>
      </c>
      <c r="D3" s="29" t="s">
        <v>56</v>
      </c>
      <c r="E3" s="29" t="s">
        <v>81</v>
      </c>
      <c r="F3" s="29" t="s">
        <v>24</v>
      </c>
      <c r="G3" s="29" t="s">
        <v>128</v>
      </c>
      <c r="H3" s="29" t="s">
        <v>163</v>
      </c>
      <c r="I3" s="29" t="s">
        <v>108</v>
      </c>
      <c r="J3" s="29" t="s">
        <v>242</v>
      </c>
      <c r="K3" s="29" t="s">
        <v>129</v>
      </c>
      <c r="L3" s="29" t="s">
        <v>25</v>
      </c>
      <c r="M3" s="29" t="s">
        <v>57</v>
      </c>
      <c r="N3" s="29" t="s">
        <v>41</v>
      </c>
      <c r="O3" s="29" t="s">
        <v>58</v>
      </c>
      <c r="P3" s="29" t="s">
        <v>164</v>
      </c>
      <c r="Q3" s="29" t="s">
        <v>26</v>
      </c>
      <c r="R3" s="29" t="s">
        <v>188</v>
      </c>
      <c r="S3" s="29" t="s">
        <v>189</v>
      </c>
      <c r="T3" s="29" t="s">
        <v>204</v>
      </c>
      <c r="U3" s="29" t="s">
        <v>27</v>
      </c>
      <c r="V3" s="29" t="s">
        <v>243</v>
      </c>
      <c r="W3" s="29" t="s">
        <v>259</v>
      </c>
      <c r="X3" s="29" t="s">
        <v>205</v>
      </c>
      <c r="Y3" s="29" t="s">
        <v>190</v>
      </c>
      <c r="Z3" s="29" t="s">
        <v>1</v>
      </c>
      <c r="AA3" s="29" t="s">
        <v>281</v>
      </c>
      <c r="AB3" s="29" t="s">
        <v>130</v>
      </c>
      <c r="AC3" s="29" t="s">
        <v>110</v>
      </c>
      <c r="AD3" s="29" t="s">
        <v>42</v>
      </c>
      <c r="AE3" s="29" t="s">
        <v>82</v>
      </c>
      <c r="AF3" s="29" t="s">
        <v>43</v>
      </c>
      <c r="AG3" s="29" t="s">
        <v>223</v>
      </c>
      <c r="AH3" s="29" t="s">
        <v>165</v>
      </c>
      <c r="AI3" s="29" t="s">
        <v>206</v>
      </c>
      <c r="AJ3" s="29" t="s">
        <v>60</v>
      </c>
      <c r="AK3" s="29" t="s">
        <v>131</v>
      </c>
      <c r="AL3" s="29" t="s">
        <v>298</v>
      </c>
      <c r="AM3" s="29" t="s">
        <v>207</v>
      </c>
      <c r="AN3" s="29" t="s">
        <v>61</v>
      </c>
      <c r="AO3" s="29" t="s">
        <v>28</v>
      </c>
      <c r="AP3" s="29" t="s">
        <v>208</v>
      </c>
      <c r="AQ3" s="29" t="s">
        <v>62</v>
      </c>
      <c r="AR3" s="29" t="s">
        <v>260</v>
      </c>
      <c r="AS3" s="29" t="s">
        <v>224</v>
      </c>
      <c r="AT3" s="29" t="s">
        <v>3</v>
      </c>
      <c r="AU3" s="29" t="s">
        <v>282</v>
      </c>
      <c r="AV3" s="29" t="s">
        <v>139</v>
      </c>
      <c r="AW3" s="29" t="s">
        <v>4</v>
      </c>
      <c r="AX3" s="29" t="s">
        <v>83</v>
      </c>
      <c r="AY3" s="29" t="s">
        <v>299</v>
      </c>
      <c r="AZ3" s="29" t="s">
        <v>63</v>
      </c>
      <c r="BA3" s="29" t="s">
        <v>225</v>
      </c>
      <c r="BB3" s="29" t="s">
        <v>64</v>
      </c>
      <c r="BC3" s="29" t="s">
        <v>244</v>
      </c>
      <c r="BD3" s="29" t="s">
        <v>283</v>
      </c>
      <c r="BE3" s="29" t="s">
        <v>140</v>
      </c>
      <c r="BF3" s="29" t="s">
        <v>300</v>
      </c>
      <c r="BG3" s="29" t="s">
        <v>111</v>
      </c>
      <c r="BH3" s="29" t="s">
        <v>112</v>
      </c>
      <c r="BI3" s="29" t="s">
        <v>245</v>
      </c>
      <c r="BJ3" s="29" t="s">
        <v>226</v>
      </c>
      <c r="BK3" s="29" t="s">
        <v>65</v>
      </c>
      <c r="BL3" s="29" t="s">
        <v>166</v>
      </c>
      <c r="BM3" s="29" t="s">
        <v>284</v>
      </c>
      <c r="BN3" s="29" t="s">
        <v>227</v>
      </c>
      <c r="BO3" s="29" t="s">
        <v>301</v>
      </c>
      <c r="BP3" s="29" t="s">
        <v>141</v>
      </c>
      <c r="BQ3" s="29" t="s">
        <v>228</v>
      </c>
      <c r="BR3" s="29" t="s">
        <v>132</v>
      </c>
      <c r="BS3" s="29" t="s">
        <v>209</v>
      </c>
      <c r="BT3" s="29" t="s">
        <v>66</v>
      </c>
      <c r="BU3" s="29" t="s">
        <v>229</v>
      </c>
      <c r="BV3" s="29" t="s">
        <v>261</v>
      </c>
      <c r="BW3" s="29" t="s">
        <v>302</v>
      </c>
      <c r="BX3" s="29" t="s">
        <v>167</v>
      </c>
      <c r="BY3" s="29" t="s">
        <v>285</v>
      </c>
      <c r="BZ3" s="29" t="s">
        <v>142</v>
      </c>
      <c r="CA3" s="29" t="s">
        <v>5</v>
      </c>
      <c r="CB3" s="29" t="s">
        <v>113</v>
      </c>
      <c r="CC3" s="29" t="s">
        <v>210</v>
      </c>
      <c r="CD3" s="29" t="s">
        <v>44</v>
      </c>
      <c r="CE3" s="29" t="s">
        <v>230</v>
      </c>
      <c r="CF3" s="29" t="s">
        <v>45</v>
      </c>
      <c r="CG3" s="29" t="s">
        <v>286</v>
      </c>
      <c r="CH3" s="29" t="s">
        <v>191</v>
      </c>
      <c r="CI3" s="29" t="s">
        <v>133</v>
      </c>
      <c r="CJ3" s="29" t="s">
        <v>303</v>
      </c>
      <c r="CK3" s="29" t="s">
        <v>114</v>
      </c>
      <c r="CL3" s="29" t="s">
        <v>143</v>
      </c>
      <c r="CM3" s="29" t="s">
        <v>144</v>
      </c>
      <c r="CN3" s="29" t="s">
        <v>211</v>
      </c>
      <c r="CO3" s="29" t="s">
        <v>84</v>
      </c>
      <c r="CP3" s="29" t="s">
        <v>168</v>
      </c>
      <c r="CQ3" s="29" t="s">
        <v>304</v>
      </c>
      <c r="CR3" s="29" t="s">
        <v>134</v>
      </c>
      <c r="CS3" s="29" t="s">
        <v>287</v>
      </c>
      <c r="CT3" s="29" t="s">
        <v>169</v>
      </c>
      <c r="CU3" s="29" t="s">
        <v>231</v>
      </c>
      <c r="CV3" s="29" t="s">
        <v>170</v>
      </c>
      <c r="CW3" s="29" t="s">
        <v>115</v>
      </c>
      <c r="CX3" s="29" t="s">
        <v>46</v>
      </c>
      <c r="CY3" s="29" t="s">
        <v>246</v>
      </c>
      <c r="CZ3" s="29" t="s">
        <v>262</v>
      </c>
      <c r="DA3" s="29" t="s">
        <v>6</v>
      </c>
      <c r="DB3" s="29" t="s">
        <v>85</v>
      </c>
      <c r="DC3" s="29" t="s">
        <v>145</v>
      </c>
      <c r="DD3" s="29" t="s">
        <v>7</v>
      </c>
      <c r="DE3" s="29" t="s">
        <v>8</v>
      </c>
      <c r="DF3" s="29" t="s">
        <v>192</v>
      </c>
      <c r="DG3" s="29" t="s">
        <v>47</v>
      </c>
      <c r="DH3" s="29" t="s">
        <v>232</v>
      </c>
      <c r="DI3" s="29" t="s">
        <v>86</v>
      </c>
      <c r="DJ3" s="29" t="s">
        <v>67</v>
      </c>
      <c r="DK3" s="29" t="s">
        <v>29</v>
      </c>
      <c r="DL3" s="29" t="s">
        <v>30</v>
      </c>
      <c r="DM3" s="29" t="s">
        <v>305</v>
      </c>
      <c r="DN3" s="29" t="s">
        <v>171</v>
      </c>
      <c r="DO3" s="29" t="s">
        <v>135</v>
      </c>
      <c r="DP3" s="29" t="s">
        <v>212</v>
      </c>
      <c r="DQ3" s="29" t="s">
        <v>9</v>
      </c>
      <c r="DR3" s="29" t="s">
        <v>68</v>
      </c>
      <c r="DS3" s="29" t="s">
        <v>247</v>
      </c>
      <c r="DT3" s="29" t="s">
        <v>172</v>
      </c>
      <c r="DU3" s="29" t="s">
        <v>69</v>
      </c>
      <c r="DV3" s="29" t="s">
        <v>306</v>
      </c>
      <c r="DW3" s="29" t="s">
        <v>173</v>
      </c>
      <c r="DX3" s="29" t="s">
        <v>146</v>
      </c>
      <c r="DY3" s="29" t="s">
        <v>31</v>
      </c>
      <c r="DZ3" s="29" t="s">
        <v>32</v>
      </c>
      <c r="EA3" s="29" t="s">
        <v>48</v>
      </c>
      <c r="EB3" s="29" t="s">
        <v>248</v>
      </c>
      <c r="EC3" s="29" t="s">
        <v>233</v>
      </c>
      <c r="ED3" s="29" t="s">
        <v>87</v>
      </c>
      <c r="EE3" s="29" t="s">
        <v>193</v>
      </c>
      <c r="EF3" s="29" t="s">
        <v>33</v>
      </c>
      <c r="EG3" s="29" t="s">
        <v>10</v>
      </c>
      <c r="EH3" s="29" t="s">
        <v>307</v>
      </c>
      <c r="EI3" s="29" t="s">
        <v>147</v>
      </c>
      <c r="EJ3" s="29" t="s">
        <v>49</v>
      </c>
      <c r="EK3" s="29" t="s">
        <v>11</v>
      </c>
      <c r="EL3" s="29" t="s">
        <v>88</v>
      </c>
      <c r="EM3" s="29" t="s">
        <v>70</v>
      </c>
      <c r="EN3" s="29" t="s">
        <v>213</v>
      </c>
      <c r="EO3" s="29" t="s">
        <v>234</v>
      </c>
      <c r="EP3" s="29" t="s">
        <v>288</v>
      </c>
      <c r="EQ3" s="29" t="s">
        <v>174</v>
      </c>
      <c r="ER3" s="29" t="s">
        <v>148</v>
      </c>
      <c r="ES3" s="29" t="s">
        <v>249</v>
      </c>
      <c r="ET3" s="29" t="s">
        <v>71</v>
      </c>
      <c r="EU3" s="29" t="s">
        <v>263</v>
      </c>
      <c r="EV3" s="29" t="s">
        <v>264</v>
      </c>
      <c r="EW3" s="29" t="s">
        <v>235</v>
      </c>
      <c r="EX3" s="29" t="s">
        <v>308</v>
      </c>
      <c r="EY3" s="29" t="s">
        <v>250</v>
      </c>
      <c r="EZ3" s="29" t="s">
        <v>251</v>
      </c>
      <c r="FA3" s="29" t="s">
        <v>34</v>
      </c>
      <c r="FB3" s="29" t="s">
        <v>309</v>
      </c>
      <c r="FC3" s="29" t="s">
        <v>50</v>
      </c>
      <c r="FD3" s="29" t="s">
        <v>89</v>
      </c>
      <c r="FE3" s="29" t="s">
        <v>236</v>
      </c>
      <c r="FF3" s="29" t="s">
        <v>116</v>
      </c>
      <c r="FG3" s="29" t="s">
        <v>90</v>
      </c>
      <c r="FH3" s="29" t="s">
        <v>91</v>
      </c>
      <c r="FI3" s="29" t="s">
        <v>265</v>
      </c>
      <c r="FJ3" s="29" t="s">
        <v>194</v>
      </c>
      <c r="FK3" s="29" t="s">
        <v>195</v>
      </c>
      <c r="FL3" s="29" t="s">
        <v>175</v>
      </c>
      <c r="FM3" s="29" t="s">
        <v>149</v>
      </c>
      <c r="FN3" s="29" t="s">
        <v>117</v>
      </c>
      <c r="FO3" s="29" t="s">
        <v>176</v>
      </c>
      <c r="FP3" s="29" t="s">
        <v>266</v>
      </c>
      <c r="FQ3" s="29" t="s">
        <v>252</v>
      </c>
      <c r="FR3" s="29" t="s">
        <v>214</v>
      </c>
      <c r="FS3" s="29" t="s">
        <v>289</v>
      </c>
      <c r="FT3" s="29" t="s">
        <v>150</v>
      </c>
      <c r="FU3" s="29" t="s">
        <v>12</v>
      </c>
      <c r="FV3" s="29" t="s">
        <v>196</v>
      </c>
      <c r="FW3" s="29" t="s">
        <v>92</v>
      </c>
      <c r="FX3" s="29" t="s">
        <v>151</v>
      </c>
      <c r="FY3" s="29" t="s">
        <v>177</v>
      </c>
      <c r="FZ3" s="29" t="s">
        <v>93</v>
      </c>
      <c r="GA3" s="29" t="s">
        <v>267</v>
      </c>
      <c r="GB3" s="29" t="s">
        <v>35</v>
      </c>
      <c r="GC3" s="29" t="s">
        <v>36</v>
      </c>
      <c r="GD3" s="29" t="s">
        <v>290</v>
      </c>
      <c r="GE3" s="29" t="s">
        <v>118</v>
      </c>
      <c r="GF3" s="29" t="s">
        <v>237</v>
      </c>
      <c r="GG3" s="29" t="s">
        <v>197</v>
      </c>
      <c r="GH3" s="29" t="s">
        <v>198</v>
      </c>
      <c r="GI3" s="29" t="s">
        <v>268</v>
      </c>
      <c r="GJ3" s="29" t="s">
        <v>136</v>
      </c>
      <c r="GK3" s="29" t="s">
        <v>37</v>
      </c>
      <c r="GL3" s="29" t="s">
        <v>72</v>
      </c>
      <c r="GM3" s="29" t="s">
        <v>119</v>
      </c>
      <c r="GN3" s="29" t="s">
        <v>13</v>
      </c>
      <c r="GO3" s="29" t="s">
        <v>310</v>
      </c>
      <c r="GP3" s="29" t="s">
        <v>215</v>
      </c>
      <c r="GQ3" s="29" t="s">
        <v>73</v>
      </c>
      <c r="GR3" s="29" t="s">
        <v>178</v>
      </c>
      <c r="GS3" s="29" t="s">
        <v>152</v>
      </c>
      <c r="GT3" s="29" t="s">
        <v>120</v>
      </c>
      <c r="GU3" s="29" t="s">
        <v>253</v>
      </c>
      <c r="GV3" s="29" t="s">
        <v>51</v>
      </c>
      <c r="GW3" s="29" t="s">
        <v>14</v>
      </c>
      <c r="GX3" s="29" t="s">
        <v>311</v>
      </c>
      <c r="GY3" s="29" t="s">
        <v>94</v>
      </c>
      <c r="GZ3" s="29" t="s">
        <v>269</v>
      </c>
      <c r="HA3" s="29" t="s">
        <v>179</v>
      </c>
      <c r="HB3" s="29" t="s">
        <v>216</v>
      </c>
      <c r="HC3" s="29" t="s">
        <v>254</v>
      </c>
      <c r="HD3" s="29" t="s">
        <v>153</v>
      </c>
      <c r="HE3" s="29" t="s">
        <v>15</v>
      </c>
      <c r="HF3" s="29" t="s">
        <v>95</v>
      </c>
      <c r="HG3" s="29" t="s">
        <v>96</v>
      </c>
      <c r="HH3" s="29" t="s">
        <v>52</v>
      </c>
      <c r="HI3" s="29" t="s">
        <v>121</v>
      </c>
      <c r="HJ3" s="29" t="s">
        <v>270</v>
      </c>
      <c r="HK3" s="29"/>
      <c r="HL3" s="29" t="s">
        <v>2</v>
      </c>
      <c r="HM3" s="47"/>
      <c r="HN3" s="29" t="s">
        <v>280</v>
      </c>
      <c r="HO3" s="29" t="s">
        <v>109</v>
      </c>
      <c r="HP3" t="s">
        <v>59</v>
      </c>
      <c r="JK3" s="29" t="s">
        <v>16</v>
      </c>
      <c r="JL3" s="29" t="s">
        <v>154</v>
      </c>
    </row>
    <row r="10001" spans="271:272" x14ac:dyDescent="0.35">
      <c r="JK10001">
        <v>271</v>
      </c>
      <c r="JL10001">
        <v>10003</v>
      </c>
    </row>
    <row r="10002" spans="271:272" ht="43.5" x14ac:dyDescent="0.35">
      <c r="JK10002" s="29" t="s">
        <v>74</v>
      </c>
      <c r="JL10002" s="29" t="s">
        <v>155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258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40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315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16143824.800000016</v>
      </c>
      <c r="F10" s="8">
        <f>SUM(OSRRefF11x_0)</f>
        <v>15991629.720000004</v>
      </c>
      <c r="G10" s="8"/>
      <c r="H10" s="8">
        <f>SUM(OSRRefH11x_0)</f>
        <v>15652763.279999996</v>
      </c>
      <c r="I10" s="8"/>
      <c r="J10" s="8">
        <f>SUM(OSRRefJ11x_0)</f>
        <v>14727972.360000003</v>
      </c>
      <c r="K10" s="8"/>
      <c r="L10" s="8">
        <f>SUM(OSRRefL11x_0)</f>
        <v>14431862.139999991</v>
      </c>
      <c r="M10" s="8"/>
      <c r="N10" s="8">
        <f>SUM(OSRRefN11x_0)</f>
        <v>12122947.720000001</v>
      </c>
      <c r="O10" s="8"/>
      <c r="P10" s="8">
        <f>SUM(OSRRefP11x_0)</f>
        <v>11657182</v>
      </c>
      <c r="Q10" s="8"/>
      <c r="R10" s="8">
        <f>SUM(OSRRefR11x_0)</f>
        <v>11160576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--1532.75</f>
        <v>1532.75</v>
      </c>
      <c r="M11" s="3"/>
      <c r="N11" s="11">
        <f>0</f>
        <v>0</v>
      </c>
      <c r="O11" s="3"/>
      <c r="P11" s="11">
        <v>11148544</v>
      </c>
      <c r="Q11" s="3"/>
      <c r="R11" s="11">
        <v>10639259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-5629087.99*-1</f>
        <v>5629087.9900000002</v>
      </c>
      <c r="F12" s="11">
        <f>-4830911.55*-1</f>
        <v>4830911.55</v>
      </c>
      <c r="G12" s="3"/>
      <c r="H12" s="11">
        <f>-4243327.57*-1</f>
        <v>4243327.57</v>
      </c>
      <c r="I12" s="3"/>
      <c r="J12" s="11">
        <f>--3955085.18</f>
        <v>3955085.18</v>
      </c>
      <c r="K12" s="3"/>
      <c r="L12" s="11">
        <f>--3126487.75</f>
        <v>3126487.75</v>
      </c>
      <c r="M12" s="3"/>
      <c r="N12" s="11">
        <f>--2451163.71</f>
        <v>2451163.71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-1780006.45*-1</f>
        <v>1780006.45</v>
      </c>
      <c r="F13" s="11">
        <f>-1930957.06*-1</f>
        <v>1930957.06</v>
      </c>
      <c r="G13" s="3"/>
      <c r="H13" s="11">
        <f>-1615125.52*-1</f>
        <v>1615125.52</v>
      </c>
      <c r="I13" s="3"/>
      <c r="J13" s="11">
        <f>--1442432.66</f>
        <v>1442432.66</v>
      </c>
      <c r="K13" s="3"/>
      <c r="L13" s="11">
        <f>--1404207.63</f>
        <v>1404207.63</v>
      </c>
      <c r="M13" s="3"/>
      <c r="N13" s="11">
        <f>--1271803.19</f>
        <v>1271803.19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--5496.9</f>
        <v>5496.9</v>
      </c>
      <c r="K14" s="3"/>
      <c r="L14" s="11">
        <f>--15422.64</f>
        <v>15422.64</v>
      </c>
      <c r="M14" s="3"/>
      <c r="N14" s="11">
        <f>--34659.88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--46</f>
        <v>46</v>
      </c>
      <c r="K15" s="3"/>
      <c r="L15" s="11">
        <f>--70418.64</f>
        <v>70418.64</v>
      </c>
      <c r="M15" s="3"/>
      <c r="N15" s="11">
        <f>--42195.3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>-43.1*-1</f>
        <v>43.1</v>
      </c>
      <c r="F16" s="11">
        <f>-2508.97*-1</f>
        <v>2508.9699999999998</v>
      </c>
      <c r="G16" s="3"/>
      <c r="H16" s="11">
        <f>-0.01*-1</f>
        <v>0.01</v>
      </c>
      <c r="I16" s="3"/>
      <c r="J16" s="11">
        <f>--48.23</f>
        <v>48.23</v>
      </c>
      <c r="K16" s="3"/>
      <c r="L16" s="11">
        <f>--9.71</f>
        <v>9.7100000000000009</v>
      </c>
      <c r="M16" s="3"/>
      <c r="N16" s="11">
        <f>--1052.48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"4012", " - ", "TAXABLE SALES-MAGAZINES")</f>
        <v xml:space="preserve">          4012 - TAXABLE SALES-MAGAZINES</v>
      </c>
      <c r="D17" s="11">
        <f>-53.7*-1</f>
        <v>53.7</v>
      </c>
      <c r="F17" s="11">
        <f>-156.05*-1</f>
        <v>156.05000000000001</v>
      </c>
      <c r="G17" s="3"/>
      <c r="H17" s="11">
        <f>-44.75*-1</f>
        <v>44.75</v>
      </c>
      <c r="I17" s="3"/>
      <c r="J17" s="11">
        <f>0</f>
        <v>0</v>
      </c>
      <c r="K17" s="3"/>
      <c r="L17" s="11">
        <f>0</f>
        <v>0</v>
      </c>
      <c r="M17" s="3"/>
      <c r="N17" s="11">
        <f>0</f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"4013", " - ", "TAXABLE SALES-TRADE BOOKS")</f>
        <v xml:space="preserve">          4013 - TAXABLE SALES-TRADE BOOKS</v>
      </c>
      <c r="D18" s="11">
        <f>-38609.93*-1</f>
        <v>38609.93</v>
      </c>
      <c r="F18" s="11">
        <f>-33144.5*-1</f>
        <v>33144.5</v>
      </c>
      <c r="G18" s="3"/>
      <c r="H18" s="11">
        <f>-15930.49*-1</f>
        <v>15930.49</v>
      </c>
      <c r="I18" s="3"/>
      <c r="J18" s="11">
        <f>--8409.57</f>
        <v>8409.57</v>
      </c>
      <c r="K18" s="3"/>
      <c r="L18" s="11">
        <f>--7572.79</f>
        <v>7572.79</v>
      </c>
      <c r="M18" s="3"/>
      <c r="N18" s="11">
        <f>--2778.35</f>
        <v>2778.35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"4014", " - ", "TAXABLE SALES-REMAINDERS")</f>
        <v xml:space="preserve">          4014 - TAXABLE SALES-REMAINDERS</v>
      </c>
      <c r="D19" s="11">
        <f>-2636.61*-1</f>
        <v>2636.61</v>
      </c>
      <c r="F19" s="11">
        <f>-2218.41*-1</f>
        <v>2218.41</v>
      </c>
      <c r="G19" s="3"/>
      <c r="H19" s="11">
        <f>-736.04*-1</f>
        <v>736.04</v>
      </c>
      <c r="I19" s="3"/>
      <c r="J19" s="11">
        <f>--3759.76</f>
        <v>3759.76</v>
      </c>
      <c r="K19" s="3"/>
      <c r="L19" s="11">
        <f>--2221.33</f>
        <v>2221.33</v>
      </c>
      <c r="M19" s="3"/>
      <c r="N19" s="11">
        <f>--1233.88</f>
        <v>1233.8800000000001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"4015", " - ", "TAXABLE SALES-CALENDARS")</f>
        <v xml:space="preserve">          4015 - TAXABLE SALES-CALENDARS</v>
      </c>
      <c r="D20" s="11">
        <f>-4640.46*-1</f>
        <v>4640.46</v>
      </c>
      <c r="F20" s="11">
        <f>-4266.02*-1</f>
        <v>4266.0200000000004</v>
      </c>
      <c r="G20" s="3"/>
      <c r="H20" s="11">
        <f>-166.8*-1</f>
        <v>166.8</v>
      </c>
      <c r="I20" s="3"/>
      <c r="J20" s="11">
        <f>0</f>
        <v>0</v>
      </c>
      <c r="K20" s="3"/>
      <c r="L20" s="11">
        <f>0</f>
        <v>0</v>
      </c>
      <c r="M20" s="3"/>
      <c r="N20" s="11">
        <f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"4017", " - ", "TAXABLE SALES-DORM/HOUSEWARES")</f>
        <v xml:space="preserve">          4017 - TAXABLE SALES-DORM/HOUSEWARES</v>
      </c>
      <c r="D21" s="11">
        <f>-544.67*-1</f>
        <v>544.66999999999996</v>
      </c>
      <c r="F21" s="11">
        <f>-2054.11*-1</f>
        <v>2054.11</v>
      </c>
      <c r="G21" s="3"/>
      <c r="H21" s="11">
        <f>-44.7*-1</f>
        <v>44.7</v>
      </c>
      <c r="I21" s="3"/>
      <c r="J21" s="11">
        <f>--524.99</f>
        <v>524.99</v>
      </c>
      <c r="K21" s="3"/>
      <c r="L21" s="11">
        <f>--1055.55</f>
        <v>1055.55</v>
      </c>
      <c r="M21" s="3"/>
      <c r="N21" s="11">
        <f>--347.52</f>
        <v>347.52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"4018", " - ", "TAXABLE SALES-STUDY GUIDES")</f>
        <v xml:space="preserve">          4018 - TAXABLE SALES-STUDY GUIDES</v>
      </c>
      <c r="D22" s="11">
        <f>-15442.23*-1</f>
        <v>15442.23</v>
      </c>
      <c r="F22" s="11">
        <f>-9203.96*-1</f>
        <v>9203.9599999999991</v>
      </c>
      <c r="G22" s="3"/>
      <c r="H22" s="11">
        <f>-8469.9*-1</f>
        <v>8469.9</v>
      </c>
      <c r="I22" s="3"/>
      <c r="J22" s="11">
        <f>--7616.72</f>
        <v>7616.72</v>
      </c>
      <c r="K22" s="3"/>
      <c r="L22" s="11">
        <f>--6524.46</f>
        <v>6524.46</v>
      </c>
      <c r="M22" s="3"/>
      <c r="N22" s="11">
        <f>--4179.3</f>
        <v>4179.3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"4019", " - ", "TAXABLE SALES-BOOK RELATED")</f>
        <v xml:space="preserve">          4019 - TAXABLE SALES-BOOK RELATED</v>
      </c>
      <c r="D23" s="11">
        <f>-12332.23*-1</f>
        <v>12332.23</v>
      </c>
      <c r="F23" s="11">
        <f>-11610.6*-1</f>
        <v>11610.6</v>
      </c>
      <c r="G23" s="3"/>
      <c r="H23" s="11">
        <f>-4849.34*-1</f>
        <v>4849.34</v>
      </c>
      <c r="I23" s="3"/>
      <c r="J23" s="11">
        <f>--584.61</f>
        <v>584.61</v>
      </c>
      <c r="K23" s="3"/>
      <c r="L23" s="11">
        <f>--81.89</f>
        <v>81.89</v>
      </c>
      <c r="M23" s="3"/>
      <c r="N23" s="11">
        <f>--42.85</f>
        <v>42.85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"4025", " - ", "TAXABLE SALES-TEST FORMS")</f>
        <v xml:space="preserve">          4025 - TAXABLE SALES-TEST FORMS</v>
      </c>
      <c r="D24" s="11">
        <f>-51956.53*-1</f>
        <v>51956.53</v>
      </c>
      <c r="F24" s="11">
        <f>-49379.15*-1</f>
        <v>49379.15</v>
      </c>
      <c r="G24" s="3"/>
      <c r="H24" s="11">
        <f>-55016.19*-1</f>
        <v>55016.19</v>
      </c>
      <c r="I24" s="3"/>
      <c r="J24" s="11">
        <f>--61493.16</f>
        <v>61493.16</v>
      </c>
      <c r="K24" s="3"/>
      <c r="L24" s="11">
        <f>--61223.1</f>
        <v>61223.1</v>
      </c>
      <c r="M24" s="3"/>
      <c r="N24" s="11">
        <f>--57819.85</f>
        <v>57819.85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"4026", " - ", "TAXABLE SALES-WRITING INSTRUME")</f>
        <v xml:space="preserve">          4026 - TAXABLE SALES-WRITING INSTRUME</v>
      </c>
      <c r="D25" s="11">
        <f>-83537.66*-1</f>
        <v>83537.66</v>
      </c>
      <c r="F25" s="11">
        <f>-97805.14*-1</f>
        <v>97805.14</v>
      </c>
      <c r="G25" s="3"/>
      <c r="H25" s="11">
        <f>-95318.43*-1</f>
        <v>95318.43</v>
      </c>
      <c r="I25" s="3"/>
      <c r="J25" s="11">
        <f>--84348.15</f>
        <v>84348.15</v>
      </c>
      <c r="K25" s="3"/>
      <c r="L25" s="11">
        <f>--84530.93</f>
        <v>84530.93</v>
      </c>
      <c r="M25" s="3"/>
      <c r="N25" s="11">
        <f>--83341.48</f>
        <v>83341.48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"4027", " - ", "TAXABLE SALES-SCHOOL SUPPLIES")</f>
        <v xml:space="preserve">          4027 - TAXABLE SALES-SCHOOL SUPPLIES</v>
      </c>
      <c r="D26" s="11">
        <f>-319354.8*-1</f>
        <v>319354.8</v>
      </c>
      <c r="F26" s="11">
        <f>-335265.6*-1</f>
        <v>335265.59999999998</v>
      </c>
      <c r="G26" s="3"/>
      <c r="H26" s="11">
        <f>-307441.53*-1</f>
        <v>307441.53000000003</v>
      </c>
      <c r="I26" s="3"/>
      <c r="J26" s="11">
        <f>--291064.08</f>
        <v>291064.08</v>
      </c>
      <c r="K26" s="3"/>
      <c r="L26" s="11">
        <f>--308997.93</f>
        <v>308997.93</v>
      </c>
      <c r="M26" s="3"/>
      <c r="N26" s="11">
        <f>--280850.13</f>
        <v>280850.13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"4028", " - ", "TAXABLE SALES-ART/TECH")</f>
        <v xml:space="preserve">          4028 - TAXABLE SALES-ART/TECH</v>
      </c>
      <c r="D27" s="11">
        <f>-333796.97*-1</f>
        <v>333796.96999999997</v>
      </c>
      <c r="F27" s="11">
        <f>-358576.17*-1</f>
        <v>358576.17</v>
      </c>
      <c r="G27" s="3"/>
      <c r="H27" s="11">
        <f>-349330.18*-1</f>
        <v>349330.18</v>
      </c>
      <c r="I27" s="3"/>
      <c r="J27" s="11">
        <f>--343847.2</f>
        <v>343847.2</v>
      </c>
      <c r="K27" s="3"/>
      <c r="L27" s="11">
        <f>--346880.65</f>
        <v>346880.65</v>
      </c>
      <c r="M27" s="3"/>
      <c r="N27" s="11">
        <f>--293577.64</f>
        <v>293577.64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"4031", " - ", "TAXABLE SALES-FOOD")</f>
        <v xml:space="preserve">          4031 - TAXABLE SALES-FOOD</v>
      </c>
      <c r="D28" s="11">
        <f>-1019.28*-1</f>
        <v>1019.28</v>
      </c>
      <c r="F28" s="11">
        <f>-2622.63*-1</f>
        <v>2622.63</v>
      </c>
      <c r="G28" s="3"/>
      <c r="H28" s="11">
        <f>-1010.63*-1</f>
        <v>1010.63</v>
      </c>
      <c r="I28" s="3"/>
      <c r="J28" s="11">
        <f>--992.43</f>
        <v>992.43</v>
      </c>
      <c r="K28" s="3"/>
      <c r="L28" s="11">
        <f>--834.06</f>
        <v>834.06</v>
      </c>
      <c r="M28" s="3"/>
      <c r="N28" s="11">
        <f>--486.34</f>
        <v>486.34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"4032", " - ", "TAXABLE SALES-JUICE")</f>
        <v xml:space="preserve">          4032 - TAXABLE SALES-JUICE</v>
      </c>
      <c r="D29" s="11">
        <f>-4149.87*-1</f>
        <v>4149.87</v>
      </c>
      <c r="F29" s="11">
        <f>-2831.41*-1</f>
        <v>2831.41</v>
      </c>
      <c r="G29" s="3"/>
      <c r="H29" s="11">
        <f>-219.69*-1</f>
        <v>219.69</v>
      </c>
      <c r="I29" s="3"/>
      <c r="J29" s="11">
        <f>--158.24</f>
        <v>158.24</v>
      </c>
      <c r="K29" s="3"/>
      <c r="L29" s="11">
        <f>--498.84</f>
        <v>498.84</v>
      </c>
      <c r="M29" s="3"/>
      <c r="N29" s="11">
        <f>--1905.06</f>
        <v>1905.06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"4033", " - ", "TAXABLE SALES-CANDY")</f>
        <v xml:space="preserve">          4033 - TAXABLE SALES-CANDY</v>
      </c>
      <c r="D30" s="11">
        <f>-0.89*-1</f>
        <v>0.89</v>
      </c>
      <c r="F30" s="11">
        <f>-140.65*-1</f>
        <v>140.65</v>
      </c>
      <c r="G30" s="3"/>
      <c r="H30" s="11">
        <f>-214.02*-1</f>
        <v>214.02</v>
      </c>
      <c r="I30" s="3"/>
      <c r="J30" s="11">
        <f>--202.55</f>
        <v>202.55</v>
      </c>
      <c r="K30" s="3"/>
      <c r="L30" s="11">
        <f>--264.15</f>
        <v>264.14999999999998</v>
      </c>
      <c r="M30" s="3"/>
      <c r="N30" s="11">
        <f>--205.53</f>
        <v>205.53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"4034", " - ", "TAXABLE SALES-SODA")</f>
        <v xml:space="preserve">          4034 - TAXABLE SALES-SODA</v>
      </c>
      <c r="D31" s="11">
        <f>-7787.4*-1</f>
        <v>7787.4</v>
      </c>
      <c r="F31" s="11">
        <f>-6032.75*-1</f>
        <v>6032.75</v>
      </c>
      <c r="G31" s="3"/>
      <c r="H31" s="11">
        <f>-9636.55*-1</f>
        <v>9636.5499999999993</v>
      </c>
      <c r="I31" s="3"/>
      <c r="J31" s="11">
        <f>--10036.08</f>
        <v>10036.08</v>
      </c>
      <c r="K31" s="3"/>
      <c r="L31" s="11">
        <f>--9299.56</f>
        <v>9299.56</v>
      </c>
      <c r="M31" s="3"/>
      <c r="N31" s="11">
        <f>--7803.51</f>
        <v>7803.51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"4035", " - ", "TAXABLE SALES-HEALTH &amp; BEAUTY")</f>
        <v xml:space="preserve">          4035 - TAXABLE SALES-HEALTH &amp; BEAUTY</v>
      </c>
      <c r="D32" s="11">
        <f>-1445.9*-1</f>
        <v>1445.9</v>
      </c>
      <c r="F32" s="11">
        <f>-2162.84*-1</f>
        <v>2162.84</v>
      </c>
      <c r="G32" s="3"/>
      <c r="H32" s="11">
        <f>-2572.19*-1</f>
        <v>2572.19</v>
      </c>
      <c r="I32" s="3"/>
      <c r="J32" s="11">
        <f>--2732.89</f>
        <v>2732.89</v>
      </c>
      <c r="K32" s="3"/>
      <c r="L32" s="11">
        <f>--2675.56</f>
        <v>2675.56</v>
      </c>
      <c r="M32" s="3"/>
      <c r="N32" s="11">
        <f>--1981.84</f>
        <v>1981.84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"4037", " - ", "TAXABLE SALES-WATER")</f>
        <v xml:space="preserve">          4037 - TAXABLE SALES-WATER</v>
      </c>
      <c r="D33" s="11">
        <f>0*-1</f>
        <v>0</v>
      </c>
      <c r="F33" s="11">
        <f>-165.87*-1</f>
        <v>165.87</v>
      </c>
      <c r="G33" s="3"/>
      <c r="H33" s="11">
        <f>-797.05*-1</f>
        <v>797.05</v>
      </c>
      <c r="I33" s="3"/>
      <c r="J33" s="11">
        <f>--705.4</f>
        <v>705.4</v>
      </c>
      <c r="K33" s="3"/>
      <c r="L33" s="11">
        <f>--881.19</f>
        <v>881.19</v>
      </c>
      <c r="M33" s="3"/>
      <c r="N33" s="11">
        <f>--513.51</f>
        <v>513.51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"4040", " - ", "TAXABLE SALES-LOGO CLOTHING")</f>
        <v xml:space="preserve">          4040 - TAXABLE SALES-LOGO CLOTHING</v>
      </c>
      <c r="D34" s="11">
        <f>-2091546.66*-1</f>
        <v>2091546.66</v>
      </c>
      <c r="F34" s="11">
        <f>-2361034.68*-1</f>
        <v>2361034.6800000002</v>
      </c>
      <c r="G34" s="3"/>
      <c r="H34" s="11">
        <f>-2542019.78*-1</f>
        <v>2542019.7799999998</v>
      </c>
      <c r="I34" s="3"/>
      <c r="J34" s="11">
        <f>--2496988.94</f>
        <v>2496988.94</v>
      </c>
      <c r="K34" s="3"/>
      <c r="L34" s="11">
        <f>--2503852.42</f>
        <v>2503852.42</v>
      </c>
      <c r="M34" s="3"/>
      <c r="N34" s="11">
        <f>--1941274.42</f>
        <v>1941274.42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"4041", " - ", "TAXABLE SALES-LOGO GIFTS")</f>
        <v xml:space="preserve">          4041 - TAXABLE SALES-LOGO GIFTS</v>
      </c>
      <c r="D35" s="11">
        <f>-872583.71*-1</f>
        <v>872583.71</v>
      </c>
      <c r="F35" s="11">
        <f>-912522.76*-1</f>
        <v>912522.76</v>
      </c>
      <c r="G35" s="3"/>
      <c r="H35" s="11">
        <f>-914844.45*-1</f>
        <v>914844.45</v>
      </c>
      <c r="I35" s="3"/>
      <c r="J35" s="11">
        <f>--914522.14</f>
        <v>914522.14</v>
      </c>
      <c r="K35" s="3"/>
      <c r="L35" s="11">
        <f>--859767.82</f>
        <v>859767.82</v>
      </c>
      <c r="M35" s="3"/>
      <c r="N35" s="11">
        <f>--556536.79</f>
        <v>556536.79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"4042", " - ", "TAXABLE SALES-EVERYDAY GIFTS")</f>
        <v xml:space="preserve">          4042 - TAXABLE SALES-EVERYDAY GIFTS</v>
      </c>
      <c r="D36" s="11">
        <f>-216339.99*-1</f>
        <v>216339.99</v>
      </c>
      <c r="F36" s="11">
        <f>-224508.74*-1</f>
        <v>224508.74</v>
      </c>
      <c r="G36" s="3"/>
      <c r="H36" s="11">
        <f>-243721.82*-1</f>
        <v>243721.82</v>
      </c>
      <c r="I36" s="3"/>
      <c r="J36" s="11">
        <f>--342271.68</f>
        <v>342271.68</v>
      </c>
      <c r="K36" s="3"/>
      <c r="L36" s="11">
        <f>--334175.22</f>
        <v>334175.21999999997</v>
      </c>
      <c r="M36" s="3"/>
      <c r="N36" s="11">
        <f>--285558.05</f>
        <v>285558.05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"4043", " - ", "TAXABLE SALES-CARDS")</f>
        <v xml:space="preserve">          4043 - TAXABLE SALES-CARDS</v>
      </c>
      <c r="D37" s="11">
        <f>-31993.73*-1</f>
        <v>31993.73</v>
      </c>
      <c r="F37" s="11">
        <f>-33431.2*-1</f>
        <v>33431.199999999997</v>
      </c>
      <c r="G37" s="3"/>
      <c r="H37" s="11">
        <f>-13466.67*-1</f>
        <v>13466.67</v>
      </c>
      <c r="I37" s="3"/>
      <c r="J37" s="11">
        <f>--9233.79</f>
        <v>9233.7900000000009</v>
      </c>
      <c r="K37" s="3"/>
      <c r="L37" s="11">
        <f>--4859.22</f>
        <v>4859.22</v>
      </c>
      <c r="M37" s="3"/>
      <c r="N37" s="11">
        <f>--77324.14</f>
        <v>77324.14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"4044", " - ", "TAXABLE SALES-ACCESSORIES")</f>
        <v xml:space="preserve">          4044 - TAXABLE SALES-ACCESSORIES</v>
      </c>
      <c r="D38" s="11">
        <f>-72513.34*-1</f>
        <v>72513.34</v>
      </c>
      <c r="F38" s="11">
        <f>-88358.95*-1</f>
        <v>88358.95</v>
      </c>
      <c r="G38" s="3"/>
      <c r="H38" s="11">
        <f>-84270.22*-1</f>
        <v>84270.22</v>
      </c>
      <c r="I38" s="3"/>
      <c r="J38" s="11">
        <f>--74129.41</f>
        <v>74129.41</v>
      </c>
      <c r="K38" s="3"/>
      <c r="L38" s="11">
        <f>--87817.61</f>
        <v>87817.61</v>
      </c>
      <c r="M38" s="3"/>
      <c r="N38" s="11">
        <f>--73780.56</f>
        <v>73780.56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"4045", " - ", "TAXABLE SALES-SPECIAL ORDERS")</f>
        <v xml:space="preserve">          4045 - TAXABLE SALES-SPECIAL ORDERS</v>
      </c>
      <c r="D39" s="11">
        <f>-122181.44*-1</f>
        <v>122181.44</v>
      </c>
      <c r="F39" s="11">
        <f>-106486.25*-1</f>
        <v>106486.25</v>
      </c>
      <c r="G39" s="3"/>
      <c r="H39" s="11">
        <f>-192412.91*-1</f>
        <v>192412.91</v>
      </c>
      <c r="I39" s="3"/>
      <c r="J39" s="11">
        <f>--185422.86</f>
        <v>185422.86</v>
      </c>
      <c r="K39" s="3"/>
      <c r="L39" s="11">
        <f>--219240.28</f>
        <v>219240.28</v>
      </c>
      <c r="M39" s="3"/>
      <c r="N39" s="11">
        <f>--123103.09</f>
        <v>123103.09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"4047", " - ", "TAXABLE SALES-MISC")</f>
        <v xml:space="preserve">          4047 - TAXABLE SALES-MISC</v>
      </c>
      <c r="D40" s="11">
        <f>-7763.72*-1</f>
        <v>7763.72</v>
      </c>
      <c r="F40" s="11">
        <f>-3475.74*-1</f>
        <v>3475.74</v>
      </c>
      <c r="G40" s="3"/>
      <c r="H40" s="11">
        <f>-5619.91*-1</f>
        <v>5619.91</v>
      </c>
      <c r="I40" s="3"/>
      <c r="J40" s="11">
        <f>--5136.78</f>
        <v>5136.78</v>
      </c>
      <c r="K40" s="3"/>
      <c r="L40" s="11">
        <f>--5818.6</f>
        <v>5818.6</v>
      </c>
      <c r="M40" s="3"/>
      <c r="N40" s="11">
        <f>--2676.14</f>
        <v>2676.14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"4081", " - ", "TAXABLE SALES-ELECTRONICS")</f>
        <v xml:space="preserve">          4081 - TAXABLE SALES-ELECTRONICS</v>
      </c>
      <c r="D41" s="11">
        <f>-136810.96*-1</f>
        <v>136810.96</v>
      </c>
      <c r="F41" s="11">
        <f>-195967.84*-1</f>
        <v>195967.84</v>
      </c>
      <c r="G41" s="3"/>
      <c r="H41" s="11">
        <f>-207741.1*-1</f>
        <v>207741.1</v>
      </c>
      <c r="I41" s="3"/>
      <c r="J41" s="11">
        <f>--300705.04</f>
        <v>300705.03999999998</v>
      </c>
      <c r="K41" s="3"/>
      <c r="L41" s="11">
        <f>--239783.4</f>
        <v>239783.4</v>
      </c>
      <c r="M41" s="3"/>
      <c r="N41" s="11">
        <f>--318043.95</f>
        <v>318043.95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"4082", " - ", "TAXABLE SALES-COMPUTER HARDWAR")</f>
        <v xml:space="preserve">          4082 - TAXABLE SALES-COMPUTER HARDWAR</v>
      </c>
      <c r="D42" s="11">
        <f>-2123067.48*-1</f>
        <v>2123067.48</v>
      </c>
      <c r="F42" s="11">
        <f>-1692329.91*-1</f>
        <v>1692329.91</v>
      </c>
      <c r="G42" s="3"/>
      <c r="H42" s="11">
        <f>-1869698.28*-1</f>
        <v>1869698.28</v>
      </c>
      <c r="I42" s="3"/>
      <c r="J42" s="11">
        <f>--1419301.58</f>
        <v>1419301.58</v>
      </c>
      <c r="K42" s="3"/>
      <c r="L42" s="11">
        <f>--2287323.33</f>
        <v>2287323.33</v>
      </c>
      <c r="M42" s="3"/>
      <c r="N42" s="11">
        <f>--2373850.38</f>
        <v>2373850.38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"4083", " - ", "TAXABLE SALES-COMPUTER EQUIPME")</f>
        <v xml:space="preserve">          4083 - TAXABLE SALES-COMPUTER EQUIPME</v>
      </c>
      <c r="D43" s="11">
        <f>-79707.41*-1</f>
        <v>79707.41</v>
      </c>
      <c r="F43" s="11">
        <f>-111130.81*-1</f>
        <v>111130.81</v>
      </c>
      <c r="G43" s="3"/>
      <c r="H43" s="11">
        <f>-101692*-1</f>
        <v>101692</v>
      </c>
      <c r="I43" s="3"/>
      <c r="J43" s="11">
        <f>--123139.74</f>
        <v>123139.74</v>
      </c>
      <c r="K43" s="3"/>
      <c r="L43" s="11">
        <f>--138670.92</f>
        <v>138670.92000000001</v>
      </c>
      <c r="M43" s="3"/>
      <c r="N43" s="11">
        <f>--139149.89</f>
        <v>139149.89000000001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"4084", " - ", "TAXABLE SALES-SOFTWARE LICENSE")</f>
        <v xml:space="preserve">          4084 - TAXABLE SALES-SOFTWARE LICENSE</v>
      </c>
      <c r="D44" s="11">
        <f>-17358.23*-1</f>
        <v>17358.23</v>
      </c>
      <c r="F44" s="11">
        <f>-2124.06*-1</f>
        <v>2124.06</v>
      </c>
      <c r="G44" s="3"/>
      <c r="H44" s="11">
        <f>-557.16*-1</f>
        <v>557.16</v>
      </c>
      <c r="I44" s="3"/>
      <c r="J44" s="11">
        <f>0</f>
        <v>0</v>
      </c>
      <c r="K44" s="3"/>
      <c r="L44" s="11">
        <f>--1563.99</f>
        <v>1563.99</v>
      </c>
      <c r="M44" s="3"/>
      <c r="N44" s="11">
        <f>--129</f>
        <v>129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"4085", " - ", "TAXABLE SALES-SOFTWARE")</f>
        <v xml:space="preserve">          4085 - TAXABLE SALES-SOFTWARE</v>
      </c>
      <c r="D45" s="11">
        <f>-21384.95*-1</f>
        <v>21384.95</v>
      </c>
      <c r="F45" s="11">
        <f>-17185.6*-1</f>
        <v>17185.599999999999</v>
      </c>
      <c r="G45" s="3"/>
      <c r="H45" s="11">
        <f>-16434.96*-1</f>
        <v>16434.96</v>
      </c>
      <c r="I45" s="3"/>
      <c r="J45" s="11">
        <f>--4702.73</f>
        <v>4702.7299999999996</v>
      </c>
      <c r="K45" s="3"/>
      <c r="L45" s="11">
        <f>--13428.64</f>
        <v>13428.64</v>
      </c>
      <c r="M45" s="3"/>
      <c r="N45" s="11">
        <f>--4587.93</f>
        <v>4587.93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"4086", " - ", "TAXABLE SALES-COMPUTER SUPPLIE")</f>
        <v xml:space="preserve">          4086 - TAXABLE SALES-COMPUTER SUPPLIE</v>
      </c>
      <c r="D46" s="11">
        <f>-53105.93*-1</f>
        <v>53105.93</v>
      </c>
      <c r="F46" s="11">
        <f>-78494.7*-1</f>
        <v>78494.7</v>
      </c>
      <c r="G46" s="3"/>
      <c r="H46" s="11">
        <f>-74415.82*-1</f>
        <v>74415.820000000007</v>
      </c>
      <c r="I46" s="3"/>
      <c r="J46" s="11">
        <f>--67014.65</f>
        <v>67014.649999999994</v>
      </c>
      <c r="K46" s="3"/>
      <c r="L46" s="11">
        <f>--93696.22</f>
        <v>93696.22</v>
      </c>
      <c r="M46" s="3"/>
      <c r="N46" s="11">
        <f>--49644.41</f>
        <v>49644.41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"4088", " - ", "TAXABLE SALES-MUSIC")</f>
        <v xml:space="preserve">          4088 - TAXABLE SALES-MUSIC</v>
      </c>
      <c r="D47" s="11">
        <f>0*-1</f>
        <v>0</v>
      </c>
      <c r="F47" s="11">
        <f>-5612.46*-1</f>
        <v>5612.46</v>
      </c>
      <c r="G47" s="3"/>
      <c r="H47" s="11">
        <f>-5310.31*-1</f>
        <v>5310.31</v>
      </c>
      <c r="I47" s="3"/>
      <c r="J47" s="11">
        <f>--4771.38</f>
        <v>4771.38</v>
      </c>
      <c r="K47" s="3"/>
      <c r="L47" s="11">
        <f>--2170.76</f>
        <v>2170.7600000000002</v>
      </c>
      <c r="M47" s="3"/>
      <c r="N47" s="11">
        <f>--3151.75</f>
        <v>3151.75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"4091", " - ", "TAXABLE SALES-GRAD ANNOUNCEMEN")</f>
        <v xml:space="preserve">          4091 - TAXABLE SALES-GRAD ANNOUNCEMEN</v>
      </c>
      <c r="D48" s="11">
        <f>-1250.64*-1</f>
        <v>1250.6400000000001</v>
      </c>
      <c r="F48" s="11">
        <f>-2134.69*-1</f>
        <v>2134.69</v>
      </c>
      <c r="G48" s="3"/>
      <c r="H48" s="11">
        <f>-927.2*-1</f>
        <v>927.2</v>
      </c>
      <c r="I48" s="3"/>
      <c r="J48" s="11">
        <f>--1013.94</f>
        <v>1013.94</v>
      </c>
      <c r="K48" s="3"/>
      <c r="L48" s="11">
        <f>0</f>
        <v>0</v>
      </c>
      <c r="M48" s="3"/>
      <c r="N48" s="11">
        <f>0</f>
        <v>0</v>
      </c>
      <c r="O48" s="3"/>
      <c r="P48" s="11"/>
      <c r="Q48" s="3"/>
      <c r="R48" s="11"/>
    </row>
    <row r="49" spans="2:18" s="16" customFormat="1" hidden="1" outlineLevel="1" x14ac:dyDescent="0.35">
      <c r="B49" s="35" t="str">
        <f>CONCATENATE("          ", "4092", " - ", "TAXABLE SALES-GRAD MERCH")</f>
        <v xml:space="preserve">          4092 - TAXABLE SALES-GRAD MERCH</v>
      </c>
      <c r="D49" s="11">
        <f>-345184.89*-1</f>
        <v>345184.89</v>
      </c>
      <c r="F49" s="11">
        <f>-400900.6*-1</f>
        <v>400900.6</v>
      </c>
      <c r="G49" s="3"/>
      <c r="H49" s="11">
        <f>-436215.05*-1</f>
        <v>436215.05</v>
      </c>
      <c r="I49" s="3"/>
      <c r="J49" s="11">
        <f>--521288.3</f>
        <v>521288.3</v>
      </c>
      <c r="K49" s="3"/>
      <c r="L49" s="11">
        <f>--223303.91</f>
        <v>223303.91</v>
      </c>
      <c r="M49" s="3"/>
      <c r="N49" s="11">
        <f>--41685.94</f>
        <v>41685.94</v>
      </c>
      <c r="O49" s="3"/>
      <c r="P49" s="11"/>
      <c r="Q49" s="3"/>
      <c r="R49" s="11"/>
    </row>
    <row r="50" spans="2:18" s="16" customFormat="1" hidden="1" outlineLevel="1" x14ac:dyDescent="0.35">
      <c r="B50" s="35" t="str">
        <f>CONCATENATE("          ", "4093", " - ", "TAXABLE SALES-CATALOGS")</f>
        <v xml:space="preserve">          4093 - TAXABLE SALES-CATALOGS</v>
      </c>
      <c r="D50" s="11">
        <f>0*-1</f>
        <v>0</v>
      </c>
      <c r="F50" s="11">
        <f>0*-1</f>
        <v>0</v>
      </c>
      <c r="G50" s="3"/>
      <c r="H50" s="11">
        <f>0*-1</f>
        <v>0</v>
      </c>
      <c r="I50" s="3"/>
      <c r="J50" s="11">
        <f>0</f>
        <v>0</v>
      </c>
      <c r="K50" s="3"/>
      <c r="L50" s="11">
        <f>0</f>
        <v>0</v>
      </c>
      <c r="M50" s="3"/>
      <c r="N50" s="11">
        <f>0</f>
        <v>0</v>
      </c>
      <c r="O50" s="3"/>
      <c r="P50" s="11"/>
      <c r="Q50" s="3"/>
      <c r="R50" s="11"/>
    </row>
    <row r="51" spans="2:18" s="16" customFormat="1" hidden="1" outlineLevel="1" x14ac:dyDescent="0.35">
      <c r="B51" s="35" t="str">
        <f>CONCATENATE("          ", "4095", " - ", "TAXABLE SALES-CUSTOMER SERVICE")</f>
        <v xml:space="preserve">          4095 - TAXABLE SALES-CUSTOMER SERVICE</v>
      </c>
      <c r="D51" s="11">
        <f>-3526.03*-1</f>
        <v>3526.03</v>
      </c>
      <c r="F51" s="11">
        <f>-2766.9*-1</f>
        <v>2766.9</v>
      </c>
      <c r="G51" s="3"/>
      <c r="H51" s="11">
        <f>-2405.17*-1</f>
        <v>2405.17</v>
      </c>
      <c r="I51" s="3"/>
      <c r="J51" s="11">
        <f>--1686.52</f>
        <v>1686.52</v>
      </c>
      <c r="K51" s="3"/>
      <c r="L51" s="11">
        <f>--2235.12</f>
        <v>2235.12</v>
      </c>
      <c r="M51" s="3"/>
      <c r="N51" s="11">
        <f>--309.26</f>
        <v>309.26</v>
      </c>
      <c r="O51" s="3"/>
      <c r="P51" s="11"/>
      <c r="Q51" s="3"/>
      <c r="R51" s="11"/>
    </row>
    <row r="52" spans="2:18" s="16" customFormat="1" hidden="1" outlineLevel="1" x14ac:dyDescent="0.35">
      <c r="B52" s="35" t="str">
        <f>CONCATENATE("          ", "4100", " - ", "NON-TAXABLE SALES")</f>
        <v xml:space="preserve">          4100 - NON-TAXABLE SALES</v>
      </c>
      <c r="D52" s="11">
        <f>-1174665.03*-1</f>
        <v>1174665.03</v>
      </c>
      <c r="F52" s="11">
        <f>-957549.38*-1</f>
        <v>957549.38</v>
      </c>
      <c r="G52" s="3"/>
      <c r="H52" s="11">
        <f>-812045.06*-1</f>
        <v>812045.06</v>
      </c>
      <c r="I52" s="3"/>
      <c r="J52" s="11">
        <f>--961357.32</f>
        <v>961357.32</v>
      </c>
      <c r="K52" s="3"/>
      <c r="L52" s="11">
        <f>--792359.45</f>
        <v>792359.45</v>
      </c>
      <c r="M52" s="3"/>
      <c r="N52" s="11">
        <f>--591246.5</f>
        <v>591246.5</v>
      </c>
      <c r="O52" s="3"/>
      <c r="P52" s="11">
        <v>508638</v>
      </c>
      <c r="Q52" s="3"/>
      <c r="R52" s="11">
        <v>521317</v>
      </c>
    </row>
    <row r="53" spans="2:18" s="16" customFormat="1" hidden="1" outlineLevel="1" x14ac:dyDescent="0.35">
      <c r="B53" s="35" t="str">
        <f>CONCATENATE("          ", "4101", " - ", "NON-TAXABLE SALES-NEW TEXT")</f>
        <v xml:space="preserve">          4101 - NON-TAXABLE SALES-NEW TEXT</v>
      </c>
      <c r="D53" s="11">
        <f>-333541.05*-1</f>
        <v>333541.05</v>
      </c>
      <c r="F53" s="11">
        <f>-331768.56*-1</f>
        <v>331768.56</v>
      </c>
      <c r="G53" s="3"/>
      <c r="H53" s="11">
        <f>-436453.6*-1</f>
        <v>436453.6</v>
      </c>
      <c r="I53" s="3"/>
      <c r="J53" s="11">
        <f>--176688.8</f>
        <v>176688.8</v>
      </c>
      <c r="K53" s="3"/>
      <c r="L53" s="11">
        <f>--281995.26</f>
        <v>281995.26</v>
      </c>
      <c r="M53" s="3"/>
      <c r="N53" s="11">
        <f>--153953.68</f>
        <v>153953.68</v>
      </c>
      <c r="O53" s="3"/>
      <c r="P53" s="11"/>
      <c r="Q53" s="3"/>
      <c r="R53" s="11"/>
    </row>
    <row r="54" spans="2:18" s="16" customFormat="1" hidden="1" outlineLevel="1" x14ac:dyDescent="0.35">
      <c r="B54" s="35" t="str">
        <f>CONCATENATE("          ", "4102", " - ", "NON-TAXABLE SALES-USED TEXT")</f>
        <v xml:space="preserve">          4102 - NON-TAXABLE SALES-USED TEXT</v>
      </c>
      <c r="D54" s="11">
        <f>-169093.51*-1</f>
        <v>169093.51</v>
      </c>
      <c r="F54" s="11">
        <f>-105992.28*-1</f>
        <v>105992.28</v>
      </c>
      <c r="G54" s="3"/>
      <c r="H54" s="11">
        <f>-102473.76*-1</f>
        <v>102473.76</v>
      </c>
      <c r="I54" s="3"/>
      <c r="J54" s="11">
        <f>--115900.77</f>
        <v>115900.77</v>
      </c>
      <c r="K54" s="3"/>
      <c r="L54" s="11">
        <f>--98541.39</f>
        <v>98541.39</v>
      </c>
      <c r="M54" s="3"/>
      <c r="N54" s="11">
        <f>--71943.61</f>
        <v>71943.61</v>
      </c>
      <c r="O54" s="3"/>
      <c r="P54" s="11"/>
      <c r="Q54" s="3"/>
      <c r="R54" s="11"/>
    </row>
    <row r="55" spans="2:18" s="16" customFormat="1" hidden="1" outlineLevel="1" x14ac:dyDescent="0.35">
      <c r="B55" s="35" t="str">
        <f>CONCATENATE("          ", "4103", " - ", "NON-TAXABLE SALES-RENTAL TEXT")</f>
        <v xml:space="preserve">          4103 - NON-TAXABLE SALES-RENTAL TEXT</v>
      </c>
      <c r="D55" s="11">
        <f>0*-1</f>
        <v>0</v>
      </c>
      <c r="F55" s="11">
        <f>0*-1</f>
        <v>0</v>
      </c>
      <c r="G55" s="3"/>
      <c r="H55" s="11">
        <f>0*-1</f>
        <v>0</v>
      </c>
      <c r="I55" s="3"/>
      <c r="J55" s="11">
        <f>0</f>
        <v>0</v>
      </c>
      <c r="K55" s="3"/>
      <c r="L55" s="11">
        <f>--830.85</f>
        <v>830.85</v>
      </c>
      <c r="M55" s="3"/>
      <c r="N55" s="11">
        <f>--664.97</f>
        <v>664.97</v>
      </c>
      <c r="O55" s="3"/>
      <c r="P55" s="11"/>
      <c r="Q55" s="3"/>
      <c r="R55" s="11"/>
    </row>
    <row r="56" spans="2:18" s="16" customFormat="1" hidden="1" outlineLevel="1" x14ac:dyDescent="0.35">
      <c r="B56" s="35" t="str">
        <f>CONCATENATE("          ", "4104", " - ", "NON-TAXABLE SALES-DIGITAL TEXT")</f>
        <v xml:space="preserve">          4104 - NON-TAXABLE SALES-DIGITAL TEXT</v>
      </c>
      <c r="D56" s="11">
        <f>-35063.14*-1</f>
        <v>35063.14</v>
      </c>
      <c r="F56" s="11">
        <f>-87423.09*-1</f>
        <v>87423.09</v>
      </c>
      <c r="G56" s="3"/>
      <c r="H56" s="11">
        <f>-168064.67*-1</f>
        <v>168064.67</v>
      </c>
      <c r="I56" s="3"/>
      <c r="J56" s="11">
        <f>--514704.82</f>
        <v>514704.82</v>
      </c>
      <c r="K56" s="3"/>
      <c r="L56" s="11">
        <f>--535221.75</f>
        <v>535221.75</v>
      </c>
      <c r="M56" s="3"/>
      <c r="N56" s="11">
        <f>--533640.31</f>
        <v>533640.31000000006</v>
      </c>
      <c r="O56" s="3"/>
      <c r="P56" s="11"/>
      <c r="Q56" s="3"/>
      <c r="R56" s="11"/>
    </row>
    <row r="57" spans="2:18" s="16" customFormat="1" hidden="1" outlineLevel="1" x14ac:dyDescent="0.35">
      <c r="B57" s="35" t="str">
        <f>CONCATENATE("          ", "4111", " - ", "NON-TAXABLE SALES-NO VALUE TEX")</f>
        <v xml:space="preserve">          4111 - NON-TAXABLE SALES-NO VALUE TEX</v>
      </c>
      <c r="D57" s="11">
        <f>-43256.3*-1</f>
        <v>43256.3</v>
      </c>
      <c r="F57" s="11">
        <f>-43259.52*-1</f>
        <v>43259.519999999997</v>
      </c>
      <c r="G57" s="3"/>
      <c r="H57" s="11">
        <f>-44203.6*-1</f>
        <v>44203.6</v>
      </c>
      <c r="I57" s="3"/>
      <c r="J57" s="11">
        <f>--38359.07</f>
        <v>38359.07</v>
      </c>
      <c r="K57" s="3"/>
      <c r="L57" s="11">
        <f>--25086.75</f>
        <v>25086.75</v>
      </c>
      <c r="M57" s="3"/>
      <c r="N57" s="11">
        <f>--16342.67</f>
        <v>16342.67</v>
      </c>
      <c r="O57" s="3"/>
      <c r="P57" s="11"/>
      <c r="Q57" s="3"/>
      <c r="R57" s="11"/>
    </row>
    <row r="58" spans="2:18" s="16" customFormat="1" hidden="1" outlineLevel="1" x14ac:dyDescent="0.35">
      <c r="B58" s="35" t="str">
        <f>CONCATENATE("          ", "4113", " - ", "NON-TAXABLE SALES-TRADE BOOKS")</f>
        <v xml:space="preserve">          4113 - NON-TAXABLE SALES-TRADE BOOKS</v>
      </c>
      <c r="D58" s="11">
        <f>-1319.69*-1</f>
        <v>1319.69</v>
      </c>
      <c r="F58" s="11">
        <f>-1790.87*-1</f>
        <v>1790.87</v>
      </c>
      <c r="G58" s="3"/>
      <c r="H58" s="11">
        <f>-5971.51*-1</f>
        <v>5971.51</v>
      </c>
      <c r="I58" s="3"/>
      <c r="J58" s="11">
        <f>--1947.27</f>
        <v>1947.27</v>
      </c>
      <c r="K58" s="3"/>
      <c r="L58" s="11">
        <f>--5373</f>
        <v>5373</v>
      </c>
      <c r="M58" s="3"/>
      <c r="N58" s="11">
        <f>--8266.16</f>
        <v>8266.16</v>
      </c>
      <c r="O58" s="3"/>
      <c r="P58" s="11"/>
      <c r="Q58" s="3"/>
      <c r="R58" s="11"/>
    </row>
    <row r="59" spans="2:18" s="16" customFormat="1" hidden="1" outlineLevel="1" x14ac:dyDescent="0.35">
      <c r="B59" s="35" t="str">
        <f>CONCATENATE("          ", "4114", " - ", "NON-TAXABLE SALES-REMAINDERS")</f>
        <v xml:space="preserve">          4114 - NON-TAXABLE SALES-REMAINDERS</v>
      </c>
      <c r="D59" s="11">
        <f>0*-1</f>
        <v>0</v>
      </c>
      <c r="F59" s="11">
        <f>0*-1</f>
        <v>0</v>
      </c>
      <c r="G59" s="3"/>
      <c r="H59" s="11">
        <f t="shared" ref="H59:H60" si="0">0*-1</f>
        <v>0</v>
      </c>
      <c r="I59" s="3"/>
      <c r="J59" s="11">
        <f t="shared" ref="J59:J60" si="1">0</f>
        <v>0</v>
      </c>
      <c r="K59" s="3"/>
      <c r="L59" s="11">
        <f t="shared" ref="L59:L60" si="2">0</f>
        <v>0</v>
      </c>
      <c r="M59" s="3"/>
      <c r="N59" s="11">
        <f>--3.19</f>
        <v>3.19</v>
      </c>
      <c r="O59" s="3"/>
      <c r="P59" s="11"/>
      <c r="Q59" s="3"/>
      <c r="R59" s="11"/>
    </row>
    <row r="60" spans="2:18" s="16" customFormat="1" hidden="1" outlineLevel="1" x14ac:dyDescent="0.35">
      <c r="B60" s="35" t="str">
        <f>CONCATENATE("          ", "4115", " - ", "NON-TAXABLE SALES-CALENDARS")</f>
        <v xml:space="preserve">          4115 - NON-TAXABLE SALES-CALENDARS</v>
      </c>
      <c r="D60" s="11">
        <f>-2*-1</f>
        <v>2</v>
      </c>
      <c r="F60" s="11">
        <f>-158.37*-1</f>
        <v>158.37</v>
      </c>
      <c r="G60" s="3"/>
      <c r="H60" s="11">
        <f t="shared" si="0"/>
        <v>0</v>
      </c>
      <c r="I60" s="3"/>
      <c r="J60" s="11">
        <f t="shared" si="1"/>
        <v>0</v>
      </c>
      <c r="K60" s="3"/>
      <c r="L60" s="11">
        <f t="shared" si="2"/>
        <v>0</v>
      </c>
      <c r="M60" s="3"/>
      <c r="N60" s="11">
        <f>0</f>
        <v>0</v>
      </c>
      <c r="O60" s="3"/>
      <c r="P60" s="11"/>
      <c r="Q60" s="3"/>
      <c r="R60" s="11"/>
    </row>
    <row r="61" spans="2:18" s="16" customFormat="1" hidden="1" outlineLevel="1" x14ac:dyDescent="0.35">
      <c r="B61" s="35" t="str">
        <f>CONCATENATE("          ", "4118", " - ", "NON-TAXABLE SALES-STUDY GUIDES")</f>
        <v xml:space="preserve">          4118 - NON-TAXABLE SALES-STUDY GUIDES</v>
      </c>
      <c r="D61" s="11">
        <f>-353.8*-1</f>
        <v>353.8</v>
      </c>
      <c r="F61" s="11">
        <f>-548.94*-1</f>
        <v>548.94000000000005</v>
      </c>
      <c r="G61" s="3"/>
      <c r="H61" s="11">
        <f>-571.8*-1</f>
        <v>571.79999999999995</v>
      </c>
      <c r="I61" s="3"/>
      <c r="J61" s="11">
        <f>--4573.16</f>
        <v>4573.16</v>
      </c>
      <c r="K61" s="3"/>
      <c r="L61" s="11">
        <f>--2773.48</f>
        <v>2773.48</v>
      </c>
      <c r="M61" s="3"/>
      <c r="N61" s="11">
        <f>--126.03</f>
        <v>126.03</v>
      </c>
      <c r="O61" s="3"/>
      <c r="P61" s="11"/>
      <c r="Q61" s="3"/>
      <c r="R61" s="11"/>
    </row>
    <row r="62" spans="2:18" s="16" customFormat="1" hidden="1" outlineLevel="1" x14ac:dyDescent="0.35">
      <c r="B62" s="35" t="str">
        <f>CONCATENATE("          ", "4119", " - ", "NON-TAXABLE SALES-BOOK RELATED")</f>
        <v xml:space="preserve">          4119 - NON-TAXABLE SALES-BOOK RELATED</v>
      </c>
      <c r="D62" s="11">
        <f>-151.27*-1</f>
        <v>151.27000000000001</v>
      </c>
      <c r="F62" s="11">
        <f>-120.62*-1</f>
        <v>120.62</v>
      </c>
      <c r="G62" s="3"/>
      <c r="H62" s="11">
        <f>-88.12*-1</f>
        <v>88.12</v>
      </c>
      <c r="I62" s="3"/>
      <c r="J62" s="11">
        <f>0</f>
        <v>0</v>
      </c>
      <c r="K62" s="3"/>
      <c r="L62" s="11">
        <f>0</f>
        <v>0</v>
      </c>
      <c r="M62" s="3"/>
      <c r="N62" s="11">
        <f>0</f>
        <v>0</v>
      </c>
      <c r="O62" s="3"/>
      <c r="P62" s="11"/>
      <c r="Q62" s="3"/>
      <c r="R62" s="11"/>
    </row>
    <row r="63" spans="2:18" s="16" customFormat="1" hidden="1" outlineLevel="1" x14ac:dyDescent="0.35">
      <c r="B63" s="35" t="str">
        <f>CONCATENATE("          ", "4125", " - ", "NON-TAXABLE SALES-TEST FORMS")</f>
        <v xml:space="preserve">          4125 - NON-TAXABLE SALES-TEST FORMS</v>
      </c>
      <c r="D63" s="11">
        <f>-224.26*-1</f>
        <v>224.26</v>
      </c>
      <c r="F63" s="11">
        <f>-235.54*-1</f>
        <v>235.54</v>
      </c>
      <c r="G63" s="3"/>
      <c r="H63" s="11">
        <f>-283.63*-1</f>
        <v>283.63</v>
      </c>
      <c r="I63" s="3"/>
      <c r="J63" s="11">
        <f>--349.35</f>
        <v>349.35</v>
      </c>
      <c r="K63" s="3"/>
      <c r="L63" s="11">
        <f>--331.15</f>
        <v>331.15</v>
      </c>
      <c r="M63" s="3"/>
      <c r="N63" s="11">
        <f>--452.61</f>
        <v>452.61</v>
      </c>
      <c r="O63" s="3"/>
      <c r="P63" s="11"/>
      <c r="Q63" s="3"/>
      <c r="R63" s="11"/>
    </row>
    <row r="64" spans="2:18" s="16" customFormat="1" hidden="1" outlineLevel="1" x14ac:dyDescent="0.35">
      <c r="B64" s="35" t="str">
        <f>CONCATENATE("          ", "4126", " - ", "NON-TAXABLE SALES-WRITING INST")</f>
        <v xml:space="preserve">          4126 - NON-TAXABLE SALES-WRITING INST</v>
      </c>
      <c r="D64" s="11">
        <f>-1895.22*-1</f>
        <v>1895.22</v>
      </c>
      <c r="F64" s="11">
        <f>-2640.93*-1</f>
        <v>2640.93</v>
      </c>
      <c r="G64" s="3"/>
      <c r="H64" s="11">
        <f>-3640.17*-1</f>
        <v>3640.17</v>
      </c>
      <c r="I64" s="3"/>
      <c r="J64" s="11">
        <f>--3799.86</f>
        <v>3799.86</v>
      </c>
      <c r="K64" s="3"/>
      <c r="L64" s="11">
        <f>--4171.98</f>
        <v>4171.9799999999996</v>
      </c>
      <c r="M64" s="3"/>
      <c r="N64" s="11">
        <f>--3301.44</f>
        <v>3301.44</v>
      </c>
      <c r="O64" s="3"/>
      <c r="P64" s="11"/>
      <c r="Q64" s="3"/>
      <c r="R64" s="11"/>
    </row>
    <row r="65" spans="2:18" s="16" customFormat="1" hidden="1" outlineLevel="1" x14ac:dyDescent="0.35">
      <c r="B65" s="35" t="str">
        <f>CONCATENATE("          ", "4127", " - ", "NON-TAXABLE SALES-SCHOOL SUPPL")</f>
        <v xml:space="preserve">          4127 - NON-TAXABLE SALES-SCHOOL SUPPL</v>
      </c>
      <c r="D65" s="11">
        <f>-5369.89*-1</f>
        <v>5369.89</v>
      </c>
      <c r="F65" s="11">
        <f>-5919.43*-1</f>
        <v>5919.43</v>
      </c>
      <c r="G65" s="3"/>
      <c r="H65" s="11">
        <f>-14303.61*-1</f>
        <v>14303.61</v>
      </c>
      <c r="I65" s="3"/>
      <c r="J65" s="11">
        <f>--6297.47</f>
        <v>6297.47</v>
      </c>
      <c r="K65" s="3"/>
      <c r="L65" s="11">
        <f>--12627.65</f>
        <v>12627.65</v>
      </c>
      <c r="M65" s="3"/>
      <c r="N65" s="11">
        <f>--6471.33</f>
        <v>6471.33</v>
      </c>
      <c r="O65" s="3"/>
      <c r="P65" s="11"/>
      <c r="Q65" s="3"/>
      <c r="R65" s="11"/>
    </row>
    <row r="66" spans="2:18" s="16" customFormat="1" hidden="1" outlineLevel="1" x14ac:dyDescent="0.35">
      <c r="B66" s="35" t="str">
        <f>CONCATENATE("          ", "4128", " - ", "NON-TAXABLE SALES-ART/TECH")</f>
        <v xml:space="preserve">          4128 - NON-TAXABLE SALES-ART/TECH</v>
      </c>
      <c r="D66" s="11">
        <f>-2829.75*-1</f>
        <v>2829.75</v>
      </c>
      <c r="F66" s="11">
        <f>-942.73*-1</f>
        <v>942.73</v>
      </c>
      <c r="G66" s="3"/>
      <c r="H66" s="11">
        <f>-1352.73*-1</f>
        <v>1352.73</v>
      </c>
      <c r="I66" s="3"/>
      <c r="J66" s="11">
        <f>--947.46</f>
        <v>947.46</v>
      </c>
      <c r="K66" s="3"/>
      <c r="L66" s="11">
        <f>--894.51</f>
        <v>894.51</v>
      </c>
      <c r="M66" s="3"/>
      <c r="N66" s="11">
        <f>--731.36</f>
        <v>731.36</v>
      </c>
      <c r="O66" s="3"/>
      <c r="P66" s="11"/>
      <c r="Q66" s="3"/>
      <c r="R66" s="11"/>
    </row>
    <row r="67" spans="2:18" s="16" customFormat="1" hidden="1" outlineLevel="1" x14ac:dyDescent="0.35">
      <c r="B67" s="35" t="str">
        <f>CONCATENATE("          ", "4131", " - ", "NON-TAXABLE SALES-FOOD")</f>
        <v xml:space="preserve">          4131 - NON-TAXABLE SALES-FOOD</v>
      </c>
      <c r="D67" s="11">
        <f>-50207.84*-1</f>
        <v>50207.839999999997</v>
      </c>
      <c r="F67" s="11">
        <f>-63237.13*-1</f>
        <v>63237.13</v>
      </c>
      <c r="G67" s="3"/>
      <c r="H67" s="11">
        <f>-85296.39*-1</f>
        <v>85296.39</v>
      </c>
      <c r="I67" s="3"/>
      <c r="J67" s="11">
        <f>--84180.45</f>
        <v>84180.45</v>
      </c>
      <c r="K67" s="3"/>
      <c r="L67" s="11">
        <f>--74222.68</f>
        <v>74222.679999999993</v>
      </c>
      <c r="M67" s="3"/>
      <c r="N67" s="11">
        <f>--57957.84</f>
        <v>57957.84</v>
      </c>
      <c r="O67" s="3"/>
      <c r="P67" s="11"/>
      <c r="Q67" s="3"/>
      <c r="R67" s="11"/>
    </row>
    <row r="68" spans="2:18" s="16" customFormat="1" hidden="1" outlineLevel="1" x14ac:dyDescent="0.35">
      <c r="B68" s="35" t="str">
        <f>CONCATENATE("          ", "4132", " - ", "NON-TAXABLE SALES-JUICE")</f>
        <v xml:space="preserve">          4132 - NON-TAXABLE SALES-JUICE</v>
      </c>
      <c r="D68" s="11">
        <f>-17244.1*-1</f>
        <v>17244.099999999999</v>
      </c>
      <c r="F68" s="11">
        <f>-20468.27*-1</f>
        <v>20468.27</v>
      </c>
      <c r="G68" s="3"/>
      <c r="H68" s="11">
        <f>-22043.96*-1</f>
        <v>22043.96</v>
      </c>
      <c r="I68" s="3"/>
      <c r="J68" s="11">
        <f>--19560.69</f>
        <v>19560.689999999999</v>
      </c>
      <c r="K68" s="3"/>
      <c r="L68" s="11">
        <f>--18307.55</f>
        <v>18307.55</v>
      </c>
      <c r="M68" s="3"/>
      <c r="N68" s="11">
        <f>--16199.63</f>
        <v>16199.63</v>
      </c>
      <c r="O68" s="3"/>
      <c r="P68" s="11"/>
      <c r="Q68" s="3"/>
      <c r="R68" s="11"/>
    </row>
    <row r="69" spans="2:18" s="16" customFormat="1" hidden="1" outlineLevel="1" x14ac:dyDescent="0.35">
      <c r="B69" s="35" t="str">
        <f>CONCATENATE("          ", "4133", " - ", "NON-TAXABLE SALES-CANDY")</f>
        <v xml:space="preserve">          4133 - NON-TAXABLE SALES-CANDY</v>
      </c>
      <c r="D69" s="11">
        <f>-32529.65*-1</f>
        <v>32529.65</v>
      </c>
      <c r="F69" s="11">
        <f>-35804.71*-1</f>
        <v>35804.71</v>
      </c>
      <c r="G69" s="3"/>
      <c r="H69" s="11">
        <f>-26566.22*-1</f>
        <v>26566.22</v>
      </c>
      <c r="I69" s="3"/>
      <c r="J69" s="11">
        <f>--23853.15</f>
        <v>23853.15</v>
      </c>
      <c r="K69" s="3"/>
      <c r="L69" s="11">
        <f>--23768.73</f>
        <v>23768.73</v>
      </c>
      <c r="M69" s="3"/>
      <c r="N69" s="11">
        <f>--18150.2</f>
        <v>18150.2</v>
      </c>
      <c r="O69" s="3"/>
      <c r="P69" s="11"/>
      <c r="Q69" s="3"/>
      <c r="R69" s="11"/>
    </row>
    <row r="70" spans="2:18" s="16" customFormat="1" hidden="1" outlineLevel="1" x14ac:dyDescent="0.35">
      <c r="B70" s="35" t="str">
        <f>CONCATENATE("          ", "4134", " - ", "NON-TAXABLE SALES-SODA")</f>
        <v xml:space="preserve">          4134 - NON-TAXABLE SALES-SODA</v>
      </c>
      <c r="D70" s="11">
        <f>-786.93*-1</f>
        <v>786.93</v>
      </c>
      <c r="F70" s="11">
        <f>-2404.6*-1</f>
        <v>2404.6</v>
      </c>
      <c r="G70" s="3"/>
      <c r="H70" s="11">
        <f>-382.67*-1</f>
        <v>382.67</v>
      </c>
      <c r="I70" s="3"/>
      <c r="J70" s="11">
        <f>--770.15</f>
        <v>770.15</v>
      </c>
      <c r="K70" s="3"/>
      <c r="L70" s="11">
        <f>--111.36</f>
        <v>111.36</v>
      </c>
      <c r="M70" s="3"/>
      <c r="N70" s="11">
        <f>--1.89</f>
        <v>1.89</v>
      </c>
      <c r="O70" s="3"/>
      <c r="P70" s="11"/>
      <c r="Q70" s="3"/>
      <c r="R70" s="11"/>
    </row>
    <row r="71" spans="2:18" s="16" customFormat="1" hidden="1" outlineLevel="1" x14ac:dyDescent="0.35">
      <c r="B71" s="35" t="str">
        <f>CONCATENATE("          ", "4135", " - ", "NON-TAXABLE SALES")</f>
        <v xml:space="preserve">          4135 - NON-TAXABLE SALES</v>
      </c>
      <c r="D71" s="11">
        <f>0*-1</f>
        <v>0</v>
      </c>
      <c r="F71" s="11">
        <f>0*-1</f>
        <v>0</v>
      </c>
      <c r="G71" s="3"/>
      <c r="H71" s="11">
        <f>-429.05*-1</f>
        <v>429.05</v>
      </c>
      <c r="I71" s="3"/>
      <c r="J71" s="11">
        <f>--469.36</f>
        <v>469.36</v>
      </c>
      <c r="K71" s="3"/>
      <c r="L71" s="11">
        <f>--383.81</f>
        <v>383.81</v>
      </c>
      <c r="M71" s="3"/>
      <c r="N71" s="11">
        <f>--161.4</f>
        <v>161.4</v>
      </c>
      <c r="O71" s="3"/>
      <c r="P71" s="11"/>
      <c r="Q71" s="3"/>
      <c r="R71" s="11"/>
    </row>
    <row r="72" spans="2:18" s="16" customFormat="1" hidden="1" outlineLevel="1" x14ac:dyDescent="0.35">
      <c r="B72" s="35" t="str">
        <f>CONCATENATE("          ", "4137", " - ", "NON-TAXABLE SALES-WATER")</f>
        <v xml:space="preserve">          4137 - NON-TAXABLE SALES-WATER</v>
      </c>
      <c r="D72" s="11">
        <f>-13255.47*-1</f>
        <v>13255.47</v>
      </c>
      <c r="F72" s="11">
        <f>-13633.74*-1</f>
        <v>13633.74</v>
      </c>
      <c r="G72" s="3"/>
      <c r="H72" s="11">
        <f>-11981.03*-1</f>
        <v>11981.03</v>
      </c>
      <c r="I72" s="3"/>
      <c r="J72" s="11">
        <f>--10548.1</f>
        <v>10548.1</v>
      </c>
      <c r="K72" s="3"/>
      <c r="L72" s="11">
        <f>--10182.76</f>
        <v>10182.76</v>
      </c>
      <c r="M72" s="3"/>
      <c r="N72" s="11">
        <f>--8519.06</f>
        <v>8519.06</v>
      </c>
      <c r="O72" s="3"/>
      <c r="P72" s="11"/>
      <c r="Q72" s="3"/>
      <c r="R72" s="11"/>
    </row>
    <row r="73" spans="2:18" s="16" customFormat="1" hidden="1" outlineLevel="1" x14ac:dyDescent="0.35">
      <c r="B73" s="35" t="str">
        <f>CONCATENATE("          ", "4140", " - ", "NON-TAXABLE SALES-LOGO CLOTHIN")</f>
        <v xml:space="preserve">          4140 - NON-TAXABLE SALES-LOGO CLOTHIN</v>
      </c>
      <c r="D73" s="11">
        <f>-66659.64*-1</f>
        <v>66659.64</v>
      </c>
      <c r="F73" s="11">
        <f>-54768.83*-1</f>
        <v>54768.83</v>
      </c>
      <c r="G73" s="3"/>
      <c r="H73" s="11">
        <f>-69204.87*-1</f>
        <v>69204.87</v>
      </c>
      <c r="I73" s="3"/>
      <c r="J73" s="11">
        <f>--67516.34</f>
        <v>67516.34</v>
      </c>
      <c r="K73" s="3"/>
      <c r="L73" s="11">
        <f>--62811.11</f>
        <v>62811.11</v>
      </c>
      <c r="M73" s="3"/>
      <c r="N73" s="11">
        <f>--176221.13</f>
        <v>176221.13</v>
      </c>
      <c r="O73" s="3"/>
      <c r="P73" s="11"/>
      <c r="Q73" s="3"/>
      <c r="R73" s="11"/>
    </row>
    <row r="74" spans="2:18" s="16" customFormat="1" hidden="1" outlineLevel="1" x14ac:dyDescent="0.35">
      <c r="B74" s="35" t="str">
        <f>CONCATENATE("          ", "4141", " - ", "NON-TAXABLE SALES-LOGO GIFTS")</f>
        <v xml:space="preserve">          4141 - NON-TAXABLE SALES-LOGO GIFTS</v>
      </c>
      <c r="D74" s="11">
        <f>-10801.42*-1</f>
        <v>10801.42</v>
      </c>
      <c r="F74" s="11">
        <f>-8388.38*-1</f>
        <v>8388.3799999999992</v>
      </c>
      <c r="G74" s="3"/>
      <c r="H74" s="11">
        <f>-7282.43*-1</f>
        <v>7282.43</v>
      </c>
      <c r="I74" s="3"/>
      <c r="J74" s="11">
        <f>--6513.46</f>
        <v>6513.46</v>
      </c>
      <c r="K74" s="3"/>
      <c r="L74" s="11">
        <f>--6856.03</f>
        <v>6856.03</v>
      </c>
      <c r="M74" s="3"/>
      <c r="N74" s="11">
        <f>--23601.45</f>
        <v>23601.45</v>
      </c>
      <c r="O74" s="3"/>
      <c r="P74" s="11"/>
      <c r="Q74" s="3"/>
      <c r="R74" s="11"/>
    </row>
    <row r="75" spans="2:18" s="16" customFormat="1" hidden="1" outlineLevel="1" x14ac:dyDescent="0.35">
      <c r="B75" s="35" t="str">
        <f>CONCATENATE("          ", "4142", " - ", "NON-TAXABLE SALES-EVERYDAY GIF")</f>
        <v xml:space="preserve">          4142 - NON-TAXABLE SALES-EVERYDAY GIF</v>
      </c>
      <c r="D75" s="11">
        <f>-8395.9*-1</f>
        <v>8395.9</v>
      </c>
      <c r="F75" s="11">
        <f>-11594.47*-1</f>
        <v>11594.47</v>
      </c>
      <c r="G75" s="3"/>
      <c r="H75" s="11">
        <f>-24990.14*-1</f>
        <v>24990.14</v>
      </c>
      <c r="I75" s="3"/>
      <c r="J75" s="11">
        <f>--19557.21</f>
        <v>19557.21</v>
      </c>
      <c r="K75" s="3"/>
      <c r="L75" s="11">
        <f>--21317.71</f>
        <v>21317.71</v>
      </c>
      <c r="M75" s="3"/>
      <c r="N75" s="11">
        <f>--19400.17</f>
        <v>19400.169999999998</v>
      </c>
      <c r="O75" s="3"/>
      <c r="P75" s="11"/>
      <c r="Q75" s="3"/>
      <c r="R75" s="11"/>
    </row>
    <row r="76" spans="2:18" s="16" customFormat="1" hidden="1" outlineLevel="1" x14ac:dyDescent="0.35">
      <c r="B76" s="35" t="str">
        <f>CONCATENATE("          ", "4143", " - ", "NON-TAXABLE SALES-CARDS")</f>
        <v xml:space="preserve">          4143 - NON-TAXABLE SALES-CARDS</v>
      </c>
      <c r="D76" s="11">
        <f>-1.5*-1</f>
        <v>1.5</v>
      </c>
      <c r="F76" s="11">
        <f>-7.95*-1</f>
        <v>7.95</v>
      </c>
      <c r="G76" s="3"/>
      <c r="H76" s="11">
        <f>0*-1</f>
        <v>0</v>
      </c>
      <c r="I76" s="3"/>
      <c r="J76" s="11">
        <f>0</f>
        <v>0</v>
      </c>
      <c r="K76" s="3"/>
      <c r="L76" s="11">
        <f>0</f>
        <v>0</v>
      </c>
      <c r="M76" s="3"/>
      <c r="N76" s="11">
        <f>--19.98</f>
        <v>19.98</v>
      </c>
      <c r="O76" s="3"/>
      <c r="P76" s="11"/>
      <c r="Q76" s="3"/>
      <c r="R76" s="11"/>
    </row>
    <row r="77" spans="2:18" s="16" customFormat="1" hidden="1" outlineLevel="1" x14ac:dyDescent="0.35">
      <c r="B77" s="35" t="str">
        <f>CONCATENATE("          ", "4144", " - ", "NON-TAXABLE SALES-ACCESSORIES")</f>
        <v xml:space="preserve">          4144 - NON-TAXABLE SALES-ACCESSORIES</v>
      </c>
      <c r="D77" s="11">
        <f>-1524.08*-1</f>
        <v>1524.08</v>
      </c>
      <c r="F77" s="11">
        <f>-1919.05*-1</f>
        <v>1919.05</v>
      </c>
      <c r="G77" s="3"/>
      <c r="H77" s="11">
        <f>-7162.32*-1</f>
        <v>7162.32</v>
      </c>
      <c r="I77" s="3"/>
      <c r="J77" s="11">
        <f>--1934.37</f>
        <v>1934.37</v>
      </c>
      <c r="K77" s="3"/>
      <c r="L77" s="11">
        <f>--659.84</f>
        <v>659.84</v>
      </c>
      <c r="M77" s="3"/>
      <c r="N77" s="11">
        <f>--3710.92</f>
        <v>3710.92</v>
      </c>
      <c r="O77" s="3"/>
      <c r="P77" s="11"/>
      <c r="Q77" s="3"/>
      <c r="R77" s="11"/>
    </row>
    <row r="78" spans="2:18" s="16" customFormat="1" hidden="1" outlineLevel="1" x14ac:dyDescent="0.35">
      <c r="B78" s="35" t="str">
        <f>CONCATENATE("          ", "4145", " - ", "NON-TAXABLE SALES-SPECIAL ORDE")</f>
        <v xml:space="preserve">          4145 - NON-TAXABLE SALES-SPECIAL ORDE</v>
      </c>
      <c r="D78" s="11">
        <f>-2024.48*-1</f>
        <v>2024.48</v>
      </c>
      <c r="F78" s="11">
        <f>270*-1</f>
        <v>-270</v>
      </c>
      <c r="G78" s="3"/>
      <c r="H78" s="11">
        <f>-183*-1</f>
        <v>183</v>
      </c>
      <c r="I78" s="3"/>
      <c r="J78" s="11">
        <f>--5341.94</f>
        <v>5341.94</v>
      </c>
      <c r="K78" s="3"/>
      <c r="L78" s="11">
        <f>--2382.85</f>
        <v>2382.85</v>
      </c>
      <c r="M78" s="3"/>
      <c r="N78" s="11">
        <f>--27208.18</f>
        <v>27208.18</v>
      </c>
      <c r="O78" s="3"/>
      <c r="P78" s="11"/>
      <c r="Q78" s="3"/>
      <c r="R78" s="11"/>
    </row>
    <row r="79" spans="2:18" s="16" customFormat="1" hidden="1" outlineLevel="1" x14ac:dyDescent="0.35">
      <c r="B79" s="35" t="str">
        <f>CONCATENATE("          ", "4146", " - ", "NON-TAXABLE SALES-COIN OP MACH")</f>
        <v xml:space="preserve">          4146 - NON-TAXABLE SALES-COIN OP MACH</v>
      </c>
      <c r="D79" s="11">
        <f>-319810.41*-1</f>
        <v>319810.40999999997</v>
      </c>
      <c r="F79" s="11">
        <f>-367498.96*-1</f>
        <v>367498.96</v>
      </c>
      <c r="G79" s="3"/>
      <c r="H79" s="11">
        <f>-347130.16*-1</f>
        <v>347130.16</v>
      </c>
      <c r="I79" s="3"/>
      <c r="J79" s="11">
        <f>--299409.05</f>
        <v>299409.05</v>
      </c>
      <c r="K79" s="3"/>
      <c r="L79" s="11">
        <f>--288251.29</f>
        <v>288251.28999999998</v>
      </c>
      <c r="M79" s="3"/>
      <c r="N79" s="11">
        <f>--205908.65</f>
        <v>205908.65</v>
      </c>
      <c r="O79" s="3"/>
      <c r="P79" s="11"/>
      <c r="Q79" s="3"/>
      <c r="R79" s="11"/>
    </row>
    <row r="80" spans="2:18" s="16" customFormat="1" hidden="1" outlineLevel="1" x14ac:dyDescent="0.35">
      <c r="B80" s="35" t="str">
        <f>CONCATENATE("          ", "4147", " - ", "NON-TAXABLE SALES-MISC")</f>
        <v xml:space="preserve">          4147 - NON-TAXABLE SALES-MISC</v>
      </c>
      <c r="D80" s="11">
        <f>-19396.27*-1</f>
        <v>19396.27</v>
      </c>
      <c r="F80" s="11">
        <f>-2120.65*-1</f>
        <v>2120.65</v>
      </c>
      <c r="G80" s="3"/>
      <c r="H80" s="11">
        <f>-1465.7*-1</f>
        <v>1465.7</v>
      </c>
      <c r="I80" s="3"/>
      <c r="J80" s="11">
        <f>--885</f>
        <v>885</v>
      </c>
      <c r="K80" s="3"/>
      <c r="L80" s="11">
        <f>--959.73</f>
        <v>959.73</v>
      </c>
      <c r="M80" s="3"/>
      <c r="N80" s="11">
        <f>--3446.37</f>
        <v>3446.37</v>
      </c>
      <c r="O80" s="3"/>
      <c r="P80" s="11"/>
      <c r="Q80" s="3"/>
      <c r="R80" s="11"/>
    </row>
    <row r="81" spans="2:18" s="16" customFormat="1" hidden="1" outlineLevel="1" x14ac:dyDescent="0.35">
      <c r="B81" s="35" t="str">
        <f>CONCATENATE("          ", "4181", " - ", "NON-TAXABLE SALES-ELECTRONICS")</f>
        <v xml:space="preserve">          4181 - NON-TAXABLE SALES-ELECTRONICS</v>
      </c>
      <c r="D81" s="11">
        <f>-5820.55*-1</f>
        <v>5820.55</v>
      </c>
      <c r="F81" s="11">
        <f>-24667.99*-1</f>
        <v>24667.99</v>
      </c>
      <c r="G81" s="3"/>
      <c r="H81" s="11">
        <f>-44991.32*-1</f>
        <v>44991.32</v>
      </c>
      <c r="I81" s="3"/>
      <c r="J81" s="11">
        <f>--30373.18</f>
        <v>30373.18</v>
      </c>
      <c r="K81" s="3"/>
      <c r="L81" s="11">
        <f>--16357.65</f>
        <v>16357.65</v>
      </c>
      <c r="M81" s="3"/>
      <c r="N81" s="11">
        <f>--3925.74</f>
        <v>3925.74</v>
      </c>
      <c r="O81" s="3"/>
      <c r="P81" s="11"/>
      <c r="Q81" s="3"/>
      <c r="R81" s="11"/>
    </row>
    <row r="82" spans="2:18" s="16" customFormat="1" hidden="1" outlineLevel="1" x14ac:dyDescent="0.35">
      <c r="B82" s="35" t="str">
        <f>CONCATENATE("          ", "4182", " - ", "NON-TAXABLE SALES-COMPUTER HAR")</f>
        <v xml:space="preserve">          4182 - NON-TAXABLE SALES-COMPUTER HAR</v>
      </c>
      <c r="D82" s="11">
        <f>-178118.84*-1</f>
        <v>178118.84</v>
      </c>
      <c r="F82" s="11">
        <f>-566284.24*-1</f>
        <v>566284.24</v>
      </c>
      <c r="G82" s="3"/>
      <c r="H82" s="11">
        <f>-558130.07*-1</f>
        <v>558130.06999999995</v>
      </c>
      <c r="I82" s="3"/>
      <c r="J82" s="11">
        <f>--301723.6</f>
        <v>301723.59999999998</v>
      </c>
      <c r="K82" s="3"/>
      <c r="L82" s="11">
        <f>--239193.82</f>
        <v>239193.82</v>
      </c>
      <c r="M82" s="3"/>
      <c r="N82" s="11">
        <f>--221223.79</f>
        <v>221223.79</v>
      </c>
      <c r="O82" s="3"/>
      <c r="P82" s="11"/>
      <c r="Q82" s="3"/>
      <c r="R82" s="11"/>
    </row>
    <row r="83" spans="2:18" s="16" customFormat="1" hidden="1" outlineLevel="1" x14ac:dyDescent="0.35">
      <c r="B83" s="35" t="str">
        <f>CONCATENATE("          ", "4183", " - ", "NON-TAXABLE SALES-COMPUTER EQU")</f>
        <v xml:space="preserve">          4183 - NON-TAXABLE SALES-COMPUTER EQU</v>
      </c>
      <c r="D83" s="11">
        <f>-19323.14*-1</f>
        <v>19323.14</v>
      </c>
      <c r="F83" s="11">
        <f>-71615.6*-1</f>
        <v>71615.600000000006</v>
      </c>
      <c r="G83" s="3"/>
      <c r="H83" s="11">
        <f>-58854.21*-1</f>
        <v>58854.21</v>
      </c>
      <c r="I83" s="3"/>
      <c r="J83" s="11">
        <f>--26096.3</f>
        <v>26096.3</v>
      </c>
      <c r="K83" s="3"/>
      <c r="L83" s="11">
        <f>--9758.94</f>
        <v>9758.94</v>
      </c>
      <c r="M83" s="3"/>
      <c r="N83" s="11">
        <f>--12822.38</f>
        <v>12822.38</v>
      </c>
      <c r="O83" s="3"/>
      <c r="P83" s="11"/>
      <c r="Q83" s="3"/>
      <c r="R83" s="11"/>
    </row>
    <row r="84" spans="2:18" s="16" customFormat="1" hidden="1" outlineLevel="1" x14ac:dyDescent="0.35">
      <c r="B84" s="35" t="str">
        <f>CONCATENATE("          ", "4184", " - ", "NON-TAXABLE SALES-SOFTWARE LIC")</f>
        <v xml:space="preserve">          4184 - NON-TAXABLE SALES-SOFTWARE LIC</v>
      </c>
      <c r="D84" s="11">
        <f>-19.99*-1</f>
        <v>19.989999999999998</v>
      </c>
      <c r="F84" s="11">
        <f>-179*-1</f>
        <v>179</v>
      </c>
      <c r="G84" s="3"/>
      <c r="H84" s="11">
        <f>-1158.96*-1</f>
        <v>1158.96</v>
      </c>
      <c r="I84" s="3"/>
      <c r="J84" s="11">
        <f>--529.99</f>
        <v>529.99</v>
      </c>
      <c r="K84" s="3"/>
      <c r="L84" s="11">
        <f>--3840</f>
        <v>3840</v>
      </c>
      <c r="M84" s="3"/>
      <c r="N84" s="11">
        <f>--2728</f>
        <v>2728</v>
      </c>
      <c r="O84" s="3"/>
      <c r="P84" s="11"/>
      <c r="Q84" s="3"/>
      <c r="R84" s="11"/>
    </row>
    <row r="85" spans="2:18" s="16" customFormat="1" hidden="1" outlineLevel="1" x14ac:dyDescent="0.35">
      <c r="B85" s="35" t="str">
        <f>CONCATENATE("          ", "4185", " - ", "NON-TAXABLE SALES-SOFTWARE")</f>
        <v xml:space="preserve">          4185 - NON-TAXABLE SALES-SOFTWARE</v>
      </c>
      <c r="D85" s="11">
        <f>-3804.87*-1</f>
        <v>3804.87</v>
      </c>
      <c r="F85" s="11">
        <f>-13244.29*-1</f>
        <v>13244.29</v>
      </c>
      <c r="G85" s="3"/>
      <c r="H85" s="11">
        <f>-23603.96*-1</f>
        <v>23603.96</v>
      </c>
      <c r="I85" s="3"/>
      <c r="J85" s="11">
        <f>--29148.69</f>
        <v>29148.69</v>
      </c>
      <c r="K85" s="3"/>
      <c r="L85" s="11">
        <f>--6664.76</f>
        <v>6664.76</v>
      </c>
      <c r="M85" s="3"/>
      <c r="N85" s="11">
        <f>--25792.1</f>
        <v>25792.1</v>
      </c>
      <c r="O85" s="3"/>
      <c r="P85" s="11"/>
      <c r="Q85" s="3"/>
      <c r="R85" s="11"/>
    </row>
    <row r="86" spans="2:18" s="16" customFormat="1" hidden="1" outlineLevel="1" x14ac:dyDescent="0.35">
      <c r="B86" s="35" t="str">
        <f>CONCATENATE("          ", "4186", " - ", "NON-TAXABLE SALES-COMPUTER SUP")</f>
        <v xml:space="preserve">          4186 - NON-TAXABLE SALES-COMPUTER SUP</v>
      </c>
      <c r="D86" s="11">
        <f>-6149.66*-1</f>
        <v>6149.66</v>
      </c>
      <c r="F86" s="11">
        <f>-21437.98*-1</f>
        <v>21437.98</v>
      </c>
      <c r="G86" s="3"/>
      <c r="H86" s="11">
        <f>-19876.28*-1</f>
        <v>19876.28</v>
      </c>
      <c r="I86" s="3"/>
      <c r="J86" s="11">
        <f>--9156.08</f>
        <v>9156.08</v>
      </c>
      <c r="K86" s="3"/>
      <c r="L86" s="11">
        <f>--6076.62</f>
        <v>6076.62</v>
      </c>
      <c r="M86" s="3"/>
      <c r="N86" s="11">
        <f>--3327.08</f>
        <v>3327.08</v>
      </c>
      <c r="O86" s="3"/>
      <c r="P86" s="11"/>
      <c r="Q86" s="3"/>
      <c r="R86" s="11"/>
    </row>
    <row r="87" spans="2:18" s="16" customFormat="1" hidden="1" outlineLevel="1" x14ac:dyDescent="0.35">
      <c r="B87" s="35" t="str">
        <f>CONCATENATE("          ", "4188", " - ", "NON-TAXABLE SALES-MUSIC")</f>
        <v xml:space="preserve">          4188 - NON-TAXABLE SALES-MUSIC</v>
      </c>
      <c r="D87" s="11">
        <f>0*-1</f>
        <v>0</v>
      </c>
      <c r="F87" s="11">
        <f>-3808.75*-1</f>
        <v>3808.75</v>
      </c>
      <c r="G87" s="3"/>
      <c r="H87" s="11">
        <f>-3329.94*-1</f>
        <v>3329.94</v>
      </c>
      <c r="I87" s="3"/>
      <c r="J87" s="11">
        <f>--1485.91</f>
        <v>1485.91</v>
      </c>
      <c r="K87" s="3"/>
      <c r="L87" s="11">
        <f>--199.98</f>
        <v>199.98</v>
      </c>
      <c r="M87" s="3"/>
      <c r="N87" s="11">
        <f>--343.94</f>
        <v>343.94</v>
      </c>
      <c r="O87" s="3"/>
      <c r="P87" s="11"/>
      <c r="Q87" s="3"/>
      <c r="R87" s="11"/>
    </row>
    <row r="88" spans="2:18" s="16" customFormat="1" hidden="1" outlineLevel="1" x14ac:dyDescent="0.35">
      <c r="B88" s="35" t="str">
        <f>CONCATENATE("          ", "4192", " - ", "NON-TAXABLE SALES-GRAD MERCH")</f>
        <v xml:space="preserve">          4192 - NON-TAXABLE SALES-GRAD MERCH</v>
      </c>
      <c r="D88" s="11">
        <f>-1271.01*-1</f>
        <v>1271.01</v>
      </c>
      <c r="F88" s="11">
        <f>-413.78*-1</f>
        <v>413.78</v>
      </c>
      <c r="G88" s="3"/>
      <c r="H88" s="11">
        <f>0*-1</f>
        <v>0</v>
      </c>
      <c r="I88" s="3"/>
      <c r="J88" s="11">
        <f t="shared" ref="J88:J89" si="3">0</f>
        <v>0</v>
      </c>
      <c r="K88" s="3"/>
      <c r="L88" s="11">
        <f>--21.25</f>
        <v>21.25</v>
      </c>
      <c r="M88" s="3"/>
      <c r="N88" s="11">
        <f>--119.4</f>
        <v>119.4</v>
      </c>
      <c r="O88" s="3"/>
      <c r="P88" s="11"/>
      <c r="Q88" s="3"/>
      <c r="R88" s="11"/>
    </row>
    <row r="89" spans="2:18" s="16" customFormat="1" hidden="1" outlineLevel="1" x14ac:dyDescent="0.35">
      <c r="B89" s="35" t="str">
        <f>CONCATENATE("          ", "4195", " - ", "NON-TAXABLE SALES-CUSTOMER SER")</f>
        <v xml:space="preserve">          4195 - NON-TAXABLE SALES-CUSTOMER SER</v>
      </c>
      <c r="D89" s="11">
        <f>-10.94*-1</f>
        <v>10.94</v>
      </c>
      <c r="F89" s="11">
        <f>0*-1</f>
        <v>0</v>
      </c>
      <c r="G89" s="3"/>
      <c r="H89" s="11">
        <f>-1.98*-1</f>
        <v>1.98</v>
      </c>
      <c r="I89" s="3"/>
      <c r="J89" s="11">
        <f t="shared" si="3"/>
        <v>0</v>
      </c>
      <c r="K89" s="3"/>
      <c r="L89" s="11">
        <f>0</f>
        <v>0</v>
      </c>
      <c r="M89" s="3"/>
      <c r="N89" s="11">
        <f>0</f>
        <v>0</v>
      </c>
      <c r="O89" s="3"/>
      <c r="P89" s="11"/>
      <c r="Q89" s="3"/>
      <c r="R89" s="11"/>
    </row>
    <row r="90" spans="2:18" s="16" customFormat="1" hidden="1" outlineLevel="1" x14ac:dyDescent="0.35">
      <c r="B90" s="35" t="str">
        <f>CONCATENATE("          ", "4201", " - ", "SALES RETURN TAXABLE-NEW TEXT")</f>
        <v xml:space="preserve">          4201 - SALES RETURN TAXABLE-NEW TEXT</v>
      </c>
      <c r="D90" s="11">
        <f>365569.91*-1</f>
        <v>-365569.91</v>
      </c>
      <c r="F90" s="11">
        <f>331351.34*-1</f>
        <v>-331351.34000000003</v>
      </c>
      <c r="G90" s="3"/>
      <c r="H90" s="11">
        <f>338311.16*-1</f>
        <v>-338311.16</v>
      </c>
      <c r="I90" s="3"/>
      <c r="J90" s="11">
        <f>-274197.84</f>
        <v>-274197.84000000003</v>
      </c>
      <c r="K90" s="3"/>
      <c r="L90" s="11">
        <f>-180616.86</f>
        <v>-180616.86</v>
      </c>
      <c r="M90" s="3"/>
      <c r="N90" s="11">
        <f>-121451.61</f>
        <v>-121451.61</v>
      </c>
      <c r="O90" s="3"/>
      <c r="P90" s="11"/>
      <c r="Q90" s="3"/>
      <c r="R90" s="11"/>
    </row>
    <row r="91" spans="2:18" s="16" customFormat="1" hidden="1" outlineLevel="1" x14ac:dyDescent="0.35">
      <c r="B91" s="35" t="str">
        <f>CONCATENATE("          ", "4202", " - ", "SALES RETURN TAXABLE-USED TEXT")</f>
        <v xml:space="preserve">          4202 - SALES RETURN TAXABLE-USED TEXT</v>
      </c>
      <c r="D91" s="11">
        <f>119446.59*-1</f>
        <v>-119446.59</v>
      </c>
      <c r="F91" s="11">
        <f>111075.8*-1</f>
        <v>-111075.8</v>
      </c>
      <c r="G91" s="3"/>
      <c r="H91" s="11">
        <f>93513.58*-1</f>
        <v>-93513.58</v>
      </c>
      <c r="I91" s="3"/>
      <c r="J91" s="11">
        <f>-66220.07</f>
        <v>-66220.070000000007</v>
      </c>
      <c r="K91" s="3"/>
      <c r="L91" s="11">
        <f>-47688.8</f>
        <v>-47688.800000000003</v>
      </c>
      <c r="M91" s="3"/>
      <c r="N91" s="11">
        <f>-45799.46</f>
        <v>-45799.46</v>
      </c>
      <c r="O91" s="3"/>
      <c r="P91" s="11"/>
      <c r="Q91" s="3"/>
      <c r="R91" s="11"/>
    </row>
    <row r="92" spans="2:18" s="16" customFormat="1" hidden="1" outlineLevel="1" x14ac:dyDescent="0.35">
      <c r="B92" s="35" t="str">
        <f>CONCATENATE("          ", "4203", " - ", "SALES RETURN TAXABLE-RENTAL TE")</f>
        <v xml:space="preserve">          4203 - SALES RETURN TAXABLE-RENTAL TE</v>
      </c>
      <c r="D92" s="11">
        <f>0*-1</f>
        <v>0</v>
      </c>
      <c r="F92" s="11">
        <f>0*-1</f>
        <v>0</v>
      </c>
      <c r="G92" s="3"/>
      <c r="H92" s="11">
        <f>0*-1</f>
        <v>0</v>
      </c>
      <c r="I92" s="3"/>
      <c r="J92" s="11">
        <f>-457.7</f>
        <v>-457.7</v>
      </c>
      <c r="K92" s="3"/>
      <c r="L92" s="11">
        <f>-1699.5</f>
        <v>-1699.5</v>
      </c>
      <c r="M92" s="3"/>
      <c r="N92" s="11">
        <f>-144.99</f>
        <v>-144.99</v>
      </c>
      <c r="O92" s="3"/>
      <c r="P92" s="11"/>
      <c r="Q92" s="3"/>
      <c r="R92" s="11"/>
    </row>
    <row r="93" spans="2:18" s="16" customFormat="1" hidden="1" outlineLevel="1" x14ac:dyDescent="0.35">
      <c r="B93" s="35" t="str">
        <f>CONCATENATE("          ", "4204", " - ", "SALES RETURN TAXABLE-DIGITAL T")</f>
        <v xml:space="preserve">          4204 - SALES RETURN TAXABLE-DIGITAL T</v>
      </c>
      <c r="D93" s="11">
        <f>10124.95*-1</f>
        <v>-10124.950000000001</v>
      </c>
      <c r="F93" s="11">
        <f>20461.65*-1</f>
        <v>-20461.650000000001</v>
      </c>
      <c r="G93" s="3"/>
      <c r="H93" s="11">
        <f>30518.8*-1</f>
        <v>-30518.799999999999</v>
      </c>
      <c r="I93" s="3"/>
      <c r="J93" s="11">
        <f>-202.45</f>
        <v>-202.45</v>
      </c>
      <c r="K93" s="3"/>
      <c r="L93" s="11">
        <f>-27147</f>
        <v>-27147</v>
      </c>
      <c r="M93" s="3"/>
      <c r="N93" s="11">
        <f>-17255.33</f>
        <v>-17255.330000000002</v>
      </c>
      <c r="O93" s="3"/>
      <c r="P93" s="11"/>
      <c r="Q93" s="3"/>
      <c r="R93" s="11"/>
    </row>
    <row r="94" spans="2:18" s="16" customFormat="1" hidden="1" outlineLevel="1" x14ac:dyDescent="0.35">
      <c r="B94" s="35" t="str">
        <f>CONCATENATE("          ", "4211", " - ", "SALES RETURN TAXABLE-NO VALUE")</f>
        <v xml:space="preserve">          4211 - SALES RETURN TAXABLE-NO VALUE</v>
      </c>
      <c r="D94" s="11">
        <f t="shared" ref="D94:D95" si="4">0*-1</f>
        <v>0</v>
      </c>
      <c r="F94" s="11">
        <f>0*-1</f>
        <v>0</v>
      </c>
      <c r="G94" s="3"/>
      <c r="H94" s="11">
        <f>0*-1</f>
        <v>0</v>
      </c>
      <c r="I94" s="3"/>
      <c r="J94" s="11">
        <f>-90.83</f>
        <v>-90.83</v>
      </c>
      <c r="K94" s="3"/>
      <c r="L94" s="11">
        <f t="shared" ref="L94:L95" si="5">0</f>
        <v>0</v>
      </c>
      <c r="M94" s="3"/>
      <c r="N94" s="11">
        <f t="shared" ref="N94:N95" si="6">0</f>
        <v>0</v>
      </c>
      <c r="O94" s="3"/>
      <c r="P94" s="11"/>
      <c r="Q94" s="3"/>
      <c r="R94" s="11"/>
    </row>
    <row r="95" spans="2:18" s="16" customFormat="1" hidden="1" outlineLevel="1" x14ac:dyDescent="0.35">
      <c r="B95" s="35" t="str">
        <f>CONCATENATE("          ", "4212", " - ", "SALES RETURN TAXABLE-MAGAZINES")</f>
        <v xml:space="preserve">          4212 - SALES RETURN TAXABLE-MAGAZINES</v>
      </c>
      <c r="D95" s="11">
        <f t="shared" si="4"/>
        <v>0</v>
      </c>
      <c r="F95" s="11">
        <f>26.85*-1</f>
        <v>-26.85</v>
      </c>
      <c r="G95" s="3"/>
      <c r="H95" s="11">
        <f>17.9*-1</f>
        <v>-17.899999999999999</v>
      </c>
      <c r="I95" s="3"/>
      <c r="J95" s="11">
        <f>0</f>
        <v>0</v>
      </c>
      <c r="K95" s="3"/>
      <c r="L95" s="11">
        <f t="shared" si="5"/>
        <v>0</v>
      </c>
      <c r="M95" s="3"/>
      <c r="N95" s="11">
        <f t="shared" si="6"/>
        <v>0</v>
      </c>
      <c r="O95" s="3"/>
      <c r="P95" s="11"/>
      <c r="Q95" s="3"/>
      <c r="R95" s="11"/>
    </row>
    <row r="96" spans="2:18" s="16" customFormat="1" hidden="1" outlineLevel="1" x14ac:dyDescent="0.35">
      <c r="B96" s="35" t="str">
        <f>CONCATENATE("          ", "4213", " - ", "NON-TAXABLE SALES-TRADE BOOKS")</f>
        <v xml:space="preserve">          4213 - NON-TAXABLE SALES-TRADE BOOKS</v>
      </c>
      <c r="D96" s="11">
        <f>881.78*-1</f>
        <v>-881.78</v>
      </c>
      <c r="F96" s="11">
        <f>1135.32*-1</f>
        <v>-1135.32</v>
      </c>
      <c r="G96" s="3"/>
      <c r="H96" s="11">
        <f>1397.88*-1</f>
        <v>-1397.88</v>
      </c>
      <c r="I96" s="3"/>
      <c r="J96" s="11">
        <f>-283.02</f>
        <v>-283.02</v>
      </c>
      <c r="K96" s="3"/>
      <c r="L96" s="11">
        <f>-1554.3</f>
        <v>-1554.3</v>
      </c>
      <c r="M96" s="3"/>
      <c r="N96" s="11">
        <f>-2869.37</f>
        <v>-2869.37</v>
      </c>
      <c r="O96" s="3"/>
      <c r="P96" s="11"/>
      <c r="Q96" s="3"/>
      <c r="R96" s="11"/>
    </row>
    <row r="97" spans="2:18" s="16" customFormat="1" hidden="1" outlineLevel="1" x14ac:dyDescent="0.35">
      <c r="B97" s="35" t="str">
        <f>CONCATENATE("          ", "4214", " - ", "SALES RETURN TAXABLE-REMAINDER")</f>
        <v xml:space="preserve">          4214 - SALES RETURN TAXABLE-REMAINDER</v>
      </c>
      <c r="D97" s="11">
        <f>0*-1</f>
        <v>0</v>
      </c>
      <c r="F97" s="11">
        <f>9.73*-1</f>
        <v>-9.73</v>
      </c>
      <c r="G97" s="3"/>
      <c r="H97" s="11">
        <f t="shared" ref="H97:H99" si="7">0*-1</f>
        <v>0</v>
      </c>
      <c r="I97" s="3"/>
      <c r="J97" s="11">
        <f t="shared" ref="J97:J98" si="8">0</f>
        <v>0</v>
      </c>
      <c r="K97" s="3"/>
      <c r="L97" s="11">
        <f>-19.84</f>
        <v>-19.84</v>
      </c>
      <c r="M97" s="3"/>
      <c r="N97" s="11">
        <f>-11.94</f>
        <v>-11.94</v>
      </c>
      <c r="O97" s="3"/>
      <c r="P97" s="11"/>
      <c r="Q97" s="3"/>
      <c r="R97" s="11"/>
    </row>
    <row r="98" spans="2:18" s="16" customFormat="1" hidden="1" outlineLevel="1" x14ac:dyDescent="0.35">
      <c r="B98" s="35" t="str">
        <f>CONCATENATE("          ", "4215", " - ", "SALES RETURN TAXABLE-CALENDARS")</f>
        <v xml:space="preserve">          4215 - SALES RETURN TAXABLE-CALENDARS</v>
      </c>
      <c r="D98" s="11">
        <f>23.98*-1</f>
        <v>-23.98</v>
      </c>
      <c r="F98" s="11">
        <f>21.86*-1</f>
        <v>-21.86</v>
      </c>
      <c r="G98" s="3"/>
      <c r="H98" s="11">
        <f t="shared" si="7"/>
        <v>0</v>
      </c>
      <c r="I98" s="3"/>
      <c r="J98" s="11">
        <f t="shared" si="8"/>
        <v>0</v>
      </c>
      <c r="K98" s="3"/>
      <c r="L98" s="11">
        <f>0</f>
        <v>0</v>
      </c>
      <c r="M98" s="3"/>
      <c r="N98" s="11">
        <f>0</f>
        <v>0</v>
      </c>
      <c r="O98" s="3"/>
      <c r="P98" s="11"/>
      <c r="Q98" s="3"/>
      <c r="R98" s="11"/>
    </row>
    <row r="99" spans="2:18" s="16" customFormat="1" hidden="1" outlineLevel="1" x14ac:dyDescent="0.35">
      <c r="B99" s="35" t="str">
        <f>CONCATENATE("          ", "4217", " - ", "NON-TAXABLE SALES-DORM/HOUSEWA")</f>
        <v xml:space="preserve">          4217 - NON-TAXABLE SALES-DORM/HOUSEWA</v>
      </c>
      <c r="D99" s="11">
        <f>45.97*-1</f>
        <v>-45.97</v>
      </c>
      <c r="F99" s="11">
        <f>10.87*-1</f>
        <v>-10.87</v>
      </c>
      <c r="G99" s="3"/>
      <c r="H99" s="11">
        <f t="shared" si="7"/>
        <v>0</v>
      </c>
      <c r="I99" s="3"/>
      <c r="J99" s="11">
        <f>-5.96</f>
        <v>-5.96</v>
      </c>
      <c r="K99" s="3"/>
      <c r="L99" s="11">
        <f>-2.99</f>
        <v>-2.99</v>
      </c>
      <c r="M99" s="3"/>
      <c r="N99" s="11">
        <f>-2.98</f>
        <v>-2.98</v>
      </c>
      <c r="O99" s="3"/>
      <c r="P99" s="11"/>
      <c r="Q99" s="3"/>
      <c r="R99" s="11"/>
    </row>
    <row r="100" spans="2:18" s="16" customFormat="1" hidden="1" outlineLevel="1" x14ac:dyDescent="0.35">
      <c r="B100" s="35" t="str">
        <f>CONCATENATE("          ", "4218", " - ", "SALES RETURN TAXABLE-STUDY GUI")</f>
        <v xml:space="preserve">          4218 - SALES RETURN TAXABLE-STUDY GUI</v>
      </c>
      <c r="D100" s="11">
        <f>503.09*-1</f>
        <v>-503.09</v>
      </c>
      <c r="F100" s="11">
        <f>273.78*-1</f>
        <v>-273.77999999999997</v>
      </c>
      <c r="G100" s="3"/>
      <c r="H100" s="11">
        <f>349.67*-1</f>
        <v>-349.67</v>
      </c>
      <c r="I100" s="3"/>
      <c r="J100" s="11">
        <f>-234.52</f>
        <v>-234.52</v>
      </c>
      <c r="K100" s="3"/>
      <c r="L100" s="11">
        <f>-67.6</f>
        <v>-67.599999999999994</v>
      </c>
      <c r="M100" s="3"/>
      <c r="N100" s="11">
        <f>-39.25</f>
        <v>-39.25</v>
      </c>
      <c r="O100" s="3"/>
      <c r="P100" s="11"/>
      <c r="Q100" s="3"/>
      <c r="R100" s="11"/>
    </row>
    <row r="101" spans="2:18" s="16" customFormat="1" hidden="1" outlineLevel="1" x14ac:dyDescent="0.35">
      <c r="B101" s="35" t="str">
        <f>CONCATENATE("          ", "4219", " - ", "SALES RETURN TAXABLE-BOOK RELA")</f>
        <v xml:space="preserve">          4219 - SALES RETURN TAXABLE-BOOK RELA</v>
      </c>
      <c r="D101" s="11">
        <f>106.68*-1</f>
        <v>-106.68</v>
      </c>
      <c r="F101" s="11">
        <f>236.39*-1</f>
        <v>-236.39</v>
      </c>
      <c r="G101" s="3"/>
      <c r="H101" s="11">
        <f>126.81*-1</f>
        <v>-126.81</v>
      </c>
      <c r="I101" s="3"/>
      <c r="J101" s="11">
        <f>-42.59</f>
        <v>-42.59</v>
      </c>
      <c r="K101" s="3"/>
      <c r="L101" s="11">
        <f>0</f>
        <v>0</v>
      </c>
      <c r="M101" s="3"/>
      <c r="N101" s="11">
        <f>0</f>
        <v>0</v>
      </c>
      <c r="O101" s="3"/>
      <c r="P101" s="11"/>
      <c r="Q101" s="3"/>
      <c r="R101" s="11"/>
    </row>
    <row r="102" spans="2:18" s="16" customFormat="1" hidden="1" outlineLevel="1" x14ac:dyDescent="0.35">
      <c r="B102" s="35" t="str">
        <f>CONCATENATE("          ", "4225", " - ", "SALES RETURN TAXABLE-TEST FORM")</f>
        <v xml:space="preserve">          4225 - SALES RETURN TAXABLE-TEST FORM</v>
      </c>
      <c r="D102" s="11">
        <f>4449.52*-1</f>
        <v>-4449.5200000000004</v>
      </c>
      <c r="F102" s="11">
        <f>375.44*-1</f>
        <v>-375.44</v>
      </c>
      <c r="G102" s="3"/>
      <c r="H102" s="11">
        <f>249.91*-1</f>
        <v>-249.91</v>
      </c>
      <c r="I102" s="3"/>
      <c r="J102" s="11">
        <f>-667.94</f>
        <v>-667.94</v>
      </c>
      <c r="K102" s="3"/>
      <c r="L102" s="11">
        <f>-191.21</f>
        <v>-191.21</v>
      </c>
      <c r="M102" s="3"/>
      <c r="N102" s="11">
        <f>-205.91</f>
        <v>-205.91</v>
      </c>
      <c r="O102" s="3"/>
      <c r="P102" s="11"/>
      <c r="Q102" s="3"/>
      <c r="R102" s="11"/>
    </row>
    <row r="103" spans="2:18" s="16" customFormat="1" hidden="1" outlineLevel="1" x14ac:dyDescent="0.35">
      <c r="B103" s="35" t="str">
        <f>CONCATENATE("          ", "4226", " - ", "SALES RETURN TAXABLE-WRITING I")</f>
        <v xml:space="preserve">          4226 - SALES RETURN TAXABLE-WRITING I</v>
      </c>
      <c r="D103" s="11">
        <f>446.88*-1</f>
        <v>-446.88</v>
      </c>
      <c r="F103" s="11">
        <f>912.62*-1</f>
        <v>-912.62</v>
      </c>
      <c r="G103" s="3"/>
      <c r="H103" s="11">
        <f>1358.13*-1</f>
        <v>-1358.13</v>
      </c>
      <c r="I103" s="3"/>
      <c r="J103" s="11">
        <f>-540.77</f>
        <v>-540.77</v>
      </c>
      <c r="K103" s="3"/>
      <c r="L103" s="11">
        <f>-766.52</f>
        <v>-766.52</v>
      </c>
      <c r="M103" s="3"/>
      <c r="N103" s="11">
        <f>-924.44</f>
        <v>-924.44</v>
      </c>
      <c r="O103" s="3"/>
      <c r="P103" s="11"/>
      <c r="Q103" s="3"/>
      <c r="R103" s="11"/>
    </row>
    <row r="104" spans="2:18" s="16" customFormat="1" hidden="1" outlineLevel="1" x14ac:dyDescent="0.35">
      <c r="B104" s="35" t="str">
        <f>CONCATENATE("          ", "4227", " - ", "SALES RETURN TAXABLE-SCHOOL SU")</f>
        <v xml:space="preserve">          4227 - SALES RETURN TAXABLE-SCHOOL SU</v>
      </c>
      <c r="D104" s="11">
        <f>11137.35*-1</f>
        <v>-11137.35</v>
      </c>
      <c r="F104" s="11">
        <f>8179.42*-1</f>
        <v>-8179.42</v>
      </c>
      <c r="G104" s="3"/>
      <c r="H104" s="11">
        <f>11174.72*-1</f>
        <v>-11174.72</v>
      </c>
      <c r="I104" s="3"/>
      <c r="J104" s="11">
        <f>-5104.74</f>
        <v>-5104.74</v>
      </c>
      <c r="K104" s="3"/>
      <c r="L104" s="11">
        <f>-6986.53</f>
        <v>-6986.53</v>
      </c>
      <c r="M104" s="3"/>
      <c r="N104" s="11">
        <f>-8728.9</f>
        <v>-8728.9</v>
      </c>
      <c r="O104" s="3"/>
      <c r="P104" s="11"/>
      <c r="Q104" s="3"/>
      <c r="R104" s="11"/>
    </row>
    <row r="105" spans="2:18" s="16" customFormat="1" hidden="1" outlineLevel="1" x14ac:dyDescent="0.35">
      <c r="B105" s="35" t="str">
        <f>CONCATENATE("          ", "4228", " - ", "SALES RETURN TAXABLE-ART/TECH")</f>
        <v xml:space="preserve">          4228 - SALES RETURN TAXABLE-ART/TECH</v>
      </c>
      <c r="D105" s="11">
        <f>7205.97*-1</f>
        <v>-7205.97</v>
      </c>
      <c r="F105" s="11">
        <f>9466.39*-1</f>
        <v>-9466.39</v>
      </c>
      <c r="G105" s="3"/>
      <c r="H105" s="11">
        <f>9563.97*-1</f>
        <v>-9563.9699999999993</v>
      </c>
      <c r="I105" s="3"/>
      <c r="J105" s="11">
        <f>-7513.66</f>
        <v>-7513.66</v>
      </c>
      <c r="K105" s="3"/>
      <c r="L105" s="11">
        <f>-8342.73</f>
        <v>-8342.73</v>
      </c>
      <c r="M105" s="3"/>
      <c r="N105" s="11">
        <f>-4739.1</f>
        <v>-4739.1000000000004</v>
      </c>
      <c r="O105" s="3"/>
      <c r="P105" s="11"/>
      <c r="Q105" s="3"/>
      <c r="R105" s="11"/>
    </row>
    <row r="106" spans="2:18" s="16" customFormat="1" hidden="1" outlineLevel="1" x14ac:dyDescent="0.35">
      <c r="B106" s="35" t="str">
        <f>CONCATENATE("          ", "4233", " - ", "SALES RETURN TAXABLE-CANDY")</f>
        <v xml:space="preserve">          4233 - SALES RETURN TAXABLE-CANDY</v>
      </c>
      <c r="D106" s="11">
        <f>4.97*-1</f>
        <v>-4.97</v>
      </c>
      <c r="F106" s="11">
        <f>71.15*-1</f>
        <v>-71.150000000000006</v>
      </c>
      <c r="G106" s="3"/>
      <c r="H106" s="11">
        <f>56.39*-1</f>
        <v>-56.39</v>
      </c>
      <c r="I106" s="3"/>
      <c r="J106" s="11">
        <f>-2.91</f>
        <v>-2.91</v>
      </c>
      <c r="K106" s="3"/>
      <c r="L106" s="11">
        <f>-143.5</f>
        <v>-143.5</v>
      </c>
      <c r="M106" s="3"/>
      <c r="N106" s="11">
        <f>-8.25</f>
        <v>-8.25</v>
      </c>
      <c r="O106" s="3"/>
      <c r="P106" s="11"/>
      <c r="Q106" s="3"/>
      <c r="R106" s="11"/>
    </row>
    <row r="107" spans="2:18" s="16" customFormat="1" hidden="1" outlineLevel="1" x14ac:dyDescent="0.35">
      <c r="B107" s="35" t="str">
        <f>CONCATENATE("          ", "4234", " - ", "SALES RETURN TAXABLE-SODA")</f>
        <v xml:space="preserve">          4234 - SALES RETURN TAXABLE-SODA</v>
      </c>
      <c r="D107" s="11">
        <f>5.25*-1</f>
        <v>-5.25</v>
      </c>
      <c r="F107" s="11">
        <f>12.53*-1</f>
        <v>-12.53</v>
      </c>
      <c r="G107" s="3"/>
      <c r="H107" s="11">
        <f>21*-1</f>
        <v>-21</v>
      </c>
      <c r="I107" s="3"/>
      <c r="J107" s="11">
        <f>0</f>
        <v>0</v>
      </c>
      <c r="K107" s="3"/>
      <c r="L107" s="11">
        <f>-368.16</f>
        <v>-368.16</v>
      </c>
      <c r="M107" s="3"/>
      <c r="N107" s="11">
        <f>0</f>
        <v>0</v>
      </c>
      <c r="O107" s="3"/>
      <c r="P107" s="11"/>
      <c r="Q107" s="3"/>
      <c r="R107" s="11"/>
    </row>
    <row r="108" spans="2:18" s="16" customFormat="1" hidden="1" outlineLevel="1" x14ac:dyDescent="0.35">
      <c r="B108" s="35" t="str">
        <f>CONCATENATE("          ", "4240", " - ", "SALES RETURN TAXABLE-LOGO CLOT")</f>
        <v xml:space="preserve">          4240 - SALES RETURN TAXABLE-LOGO CLOT</v>
      </c>
      <c r="D108" s="11">
        <f>96968.18*-1</f>
        <v>-96968.18</v>
      </c>
      <c r="F108" s="11">
        <f>100700.23*-1</f>
        <v>-100700.23</v>
      </c>
      <c r="G108" s="3"/>
      <c r="H108" s="11">
        <f>107081.87*-1</f>
        <v>-107081.87</v>
      </c>
      <c r="I108" s="3"/>
      <c r="J108" s="11">
        <f>-107854.41</f>
        <v>-107854.41</v>
      </c>
      <c r="K108" s="3"/>
      <c r="L108" s="11">
        <f>-98015.21</f>
        <v>-98015.21</v>
      </c>
      <c r="M108" s="3"/>
      <c r="N108" s="11">
        <f>-80387.11</f>
        <v>-80387.11</v>
      </c>
      <c r="O108" s="3"/>
      <c r="P108" s="11"/>
      <c r="Q108" s="3"/>
      <c r="R108" s="11"/>
    </row>
    <row r="109" spans="2:18" s="16" customFormat="1" hidden="1" outlineLevel="1" x14ac:dyDescent="0.35">
      <c r="B109" s="35" t="str">
        <f>CONCATENATE("          ", "4241", " - ", "SALES RETURN TAXABLE-LOGO GIFT")</f>
        <v xml:space="preserve">          4241 - SALES RETURN TAXABLE-LOGO GIFT</v>
      </c>
      <c r="D109" s="11">
        <f>21345.17*-1</f>
        <v>-21345.17</v>
      </c>
      <c r="F109" s="11">
        <f>20857.19*-1</f>
        <v>-20857.189999999999</v>
      </c>
      <c r="G109" s="3"/>
      <c r="H109" s="11">
        <f>62952.05*-1</f>
        <v>-62952.05</v>
      </c>
      <c r="I109" s="3"/>
      <c r="J109" s="11">
        <f>-48717.69</f>
        <v>-48717.69</v>
      </c>
      <c r="K109" s="3"/>
      <c r="L109" s="11">
        <f>-16238.22</f>
        <v>-16238.22</v>
      </c>
      <c r="M109" s="3"/>
      <c r="N109" s="11">
        <f>-7990.78</f>
        <v>-7990.78</v>
      </c>
      <c r="O109" s="3"/>
      <c r="P109" s="11"/>
      <c r="Q109" s="3"/>
      <c r="R109" s="11"/>
    </row>
    <row r="110" spans="2:18" s="16" customFormat="1" hidden="1" outlineLevel="1" x14ac:dyDescent="0.35">
      <c r="B110" s="35" t="str">
        <f>CONCATENATE("          ", "4242", " - ", "SALES RETURN TAXABLE-EVERYDAY")</f>
        <v xml:space="preserve">          4242 - SALES RETURN TAXABLE-EVERYDAY</v>
      </c>
      <c r="D110" s="11">
        <f>4810.4*-1</f>
        <v>-4810.3999999999996</v>
      </c>
      <c r="F110" s="11">
        <f>1835.78*-1</f>
        <v>-1835.78</v>
      </c>
      <c r="G110" s="3"/>
      <c r="H110" s="11">
        <f>1799.31*-1</f>
        <v>-1799.31</v>
      </c>
      <c r="I110" s="3"/>
      <c r="J110" s="11">
        <f>-4419.39</f>
        <v>-4419.3900000000003</v>
      </c>
      <c r="K110" s="3"/>
      <c r="L110" s="11">
        <f>-5238.15</f>
        <v>-5238.1499999999996</v>
      </c>
      <c r="M110" s="3"/>
      <c r="N110" s="11">
        <f>-4232.85</f>
        <v>-4232.8500000000004</v>
      </c>
      <c r="O110" s="3"/>
      <c r="P110" s="11"/>
      <c r="Q110" s="3"/>
      <c r="R110" s="11"/>
    </row>
    <row r="111" spans="2:18" s="16" customFormat="1" hidden="1" outlineLevel="1" x14ac:dyDescent="0.35">
      <c r="B111" s="35" t="str">
        <f>CONCATENATE("          ", "4243", " - ", "SALES RETURN TAXABLE-CARDS")</f>
        <v xml:space="preserve">          4243 - SALES RETURN TAXABLE-CARDS</v>
      </c>
      <c r="D111" s="11">
        <f>234.28*-1</f>
        <v>-234.28</v>
      </c>
      <c r="F111" s="11">
        <f>355.88*-1</f>
        <v>-355.88</v>
      </c>
      <c r="G111" s="3"/>
      <c r="H111" s="11">
        <f>63.25*-1</f>
        <v>-63.25</v>
      </c>
      <c r="I111" s="3"/>
      <c r="J111" s="11">
        <f>-70.29</f>
        <v>-70.290000000000006</v>
      </c>
      <c r="K111" s="3"/>
      <c r="L111" s="11">
        <f>-25.94</f>
        <v>-25.94</v>
      </c>
      <c r="M111" s="3"/>
      <c r="N111" s="11">
        <f>-3026.3</f>
        <v>-3026.3</v>
      </c>
      <c r="O111" s="3"/>
      <c r="P111" s="11"/>
      <c r="Q111" s="3"/>
      <c r="R111" s="11"/>
    </row>
    <row r="112" spans="2:18" s="16" customFormat="1" hidden="1" outlineLevel="1" x14ac:dyDescent="0.35">
      <c r="B112" s="35" t="str">
        <f>CONCATENATE("          ", "4244", " - ", "SALES RETURN TAXABLE-ACCESSORI")</f>
        <v xml:space="preserve">          4244 - SALES RETURN TAXABLE-ACCESSORI</v>
      </c>
      <c r="D112" s="11">
        <f>2618.91*-1</f>
        <v>-2618.91</v>
      </c>
      <c r="F112" s="11">
        <f>3348.98*-1</f>
        <v>-3348.98</v>
      </c>
      <c r="G112" s="3"/>
      <c r="H112" s="11">
        <f>3937.3*-1</f>
        <v>-3937.3</v>
      </c>
      <c r="I112" s="3"/>
      <c r="J112" s="11">
        <f>-3142.99</f>
        <v>-3142.99</v>
      </c>
      <c r="K112" s="3"/>
      <c r="L112" s="11">
        <f>-3985.97</f>
        <v>-3985.97</v>
      </c>
      <c r="M112" s="3"/>
      <c r="N112" s="11">
        <f>-2726.41</f>
        <v>-2726.41</v>
      </c>
      <c r="O112" s="3"/>
      <c r="P112" s="11"/>
      <c r="Q112" s="3"/>
      <c r="R112" s="11"/>
    </row>
    <row r="113" spans="2:18" s="16" customFormat="1" hidden="1" outlineLevel="1" x14ac:dyDescent="0.35">
      <c r="B113" s="35" t="str">
        <f>CONCATENATE("          ", "4245", " - ", "SALES RETURN TAXABLE-SPECIAL O")</f>
        <v xml:space="preserve">          4245 - SALES RETURN TAXABLE-SPECIAL O</v>
      </c>
      <c r="D113" s="11">
        <f>9720.55*-1</f>
        <v>-9720.5499999999993</v>
      </c>
      <c r="F113" s="11">
        <f>2945.35*-1</f>
        <v>-2945.35</v>
      </c>
      <c r="G113" s="3"/>
      <c r="H113" s="11">
        <f>10919.43*-1</f>
        <v>-10919.43</v>
      </c>
      <c r="I113" s="3"/>
      <c r="J113" s="11">
        <f>-4473.01</f>
        <v>-4473.01</v>
      </c>
      <c r="K113" s="3"/>
      <c r="L113" s="11">
        <f>-2848.22</f>
        <v>-2848.22</v>
      </c>
      <c r="M113" s="3"/>
      <c r="N113" s="11">
        <f>-4097.53</f>
        <v>-4097.53</v>
      </c>
      <c r="O113" s="3"/>
      <c r="P113" s="11"/>
      <c r="Q113" s="3"/>
      <c r="R113" s="11"/>
    </row>
    <row r="114" spans="2:18" s="16" customFormat="1" hidden="1" outlineLevel="1" x14ac:dyDescent="0.35">
      <c r="B114" s="35" t="str">
        <f>CONCATENATE("          ", "4247", " - ", "SALES RETURN TAXABLE-MISC")</f>
        <v xml:space="preserve">          4247 - SALES RETURN TAXABLE-MISC</v>
      </c>
      <c r="D114" s="11">
        <f>41.94*-1</f>
        <v>-41.94</v>
      </c>
      <c r="F114" s="11">
        <f>25.97*-1</f>
        <v>-25.97</v>
      </c>
      <c r="G114" s="3"/>
      <c r="H114" s="11">
        <f>0*-1</f>
        <v>0</v>
      </c>
      <c r="I114" s="3"/>
      <c r="J114" s="11">
        <f>-50.01</f>
        <v>-50.01</v>
      </c>
      <c r="K114" s="3"/>
      <c r="L114" s="11">
        <f>0</f>
        <v>0</v>
      </c>
      <c r="M114" s="3"/>
      <c r="N114" s="11">
        <f>0</f>
        <v>0</v>
      </c>
      <c r="O114" s="3"/>
      <c r="P114" s="11"/>
      <c r="Q114" s="3"/>
      <c r="R114" s="11"/>
    </row>
    <row r="115" spans="2:18" s="16" customFormat="1" hidden="1" outlineLevel="1" x14ac:dyDescent="0.35">
      <c r="B115" s="35" t="str">
        <f>CONCATENATE("          ", "4281", " - ", "SALES RETURN TAXABLE-ELECTRONI")</f>
        <v xml:space="preserve">          4281 - SALES RETURN TAXABLE-ELECTRONI</v>
      </c>
      <c r="D115" s="11">
        <f>7292.45*-1</f>
        <v>-7292.45</v>
      </c>
      <c r="F115" s="11">
        <f>9286.2*-1</f>
        <v>-9286.2000000000007</v>
      </c>
      <c r="G115" s="3"/>
      <c r="H115" s="11">
        <f>9316.23*-1</f>
        <v>-9316.23</v>
      </c>
      <c r="I115" s="3"/>
      <c r="J115" s="11">
        <f>-12863.54</f>
        <v>-12863.54</v>
      </c>
      <c r="K115" s="3"/>
      <c r="L115" s="11">
        <f>-7994.67</f>
        <v>-7994.67</v>
      </c>
      <c r="M115" s="3"/>
      <c r="N115" s="11">
        <f>-8154.67</f>
        <v>-8154.67</v>
      </c>
      <c r="O115" s="3"/>
      <c r="P115" s="11"/>
      <c r="Q115" s="3"/>
      <c r="R115" s="11"/>
    </row>
    <row r="116" spans="2:18" s="16" customFormat="1" hidden="1" outlineLevel="1" x14ac:dyDescent="0.35">
      <c r="B116" s="35" t="str">
        <f>CONCATENATE("          ", "4282", " - ", "SALES RETURN TAXABLE-COMPUTER")</f>
        <v xml:space="preserve">          4282 - SALES RETURN TAXABLE-COMPUTER</v>
      </c>
      <c r="D116" s="11">
        <f>196974.26*-1</f>
        <v>-196974.26</v>
      </c>
      <c r="F116" s="11">
        <f>160638.56*-1</f>
        <v>-160638.56</v>
      </c>
      <c r="G116" s="3"/>
      <c r="H116" s="11">
        <f>150756.11*-1</f>
        <v>-150756.10999999999</v>
      </c>
      <c r="I116" s="3"/>
      <c r="J116" s="11">
        <f>-95739.07</f>
        <v>-95739.07</v>
      </c>
      <c r="K116" s="3"/>
      <c r="L116" s="11">
        <f>-84999.98</f>
        <v>-84999.98</v>
      </c>
      <c r="M116" s="3"/>
      <c r="N116" s="11">
        <f>-247392.7</f>
        <v>-247392.7</v>
      </c>
      <c r="O116" s="3"/>
      <c r="P116" s="11"/>
      <c r="Q116" s="3"/>
      <c r="R116" s="11"/>
    </row>
    <row r="117" spans="2:18" s="16" customFormat="1" hidden="1" outlineLevel="1" x14ac:dyDescent="0.35">
      <c r="B117" s="35" t="str">
        <f>CONCATENATE("          ", "4283", " - ", "SALES RETURN TAXABLE-COMPUTER")</f>
        <v xml:space="preserve">          4283 - SALES RETURN TAXABLE-COMPUTER</v>
      </c>
      <c r="D117" s="11">
        <f>4092.1*-1</f>
        <v>-4092.1</v>
      </c>
      <c r="F117" s="11">
        <f>10197.28*-1</f>
        <v>-10197.280000000001</v>
      </c>
      <c r="G117" s="3"/>
      <c r="H117" s="11">
        <f>7626.03*-1</f>
        <v>-7626.03</v>
      </c>
      <c r="I117" s="3"/>
      <c r="J117" s="11">
        <f>-9156.47</f>
        <v>-9156.4699999999993</v>
      </c>
      <c r="K117" s="3"/>
      <c r="L117" s="11">
        <f>-7916.71</f>
        <v>-7916.71</v>
      </c>
      <c r="M117" s="3"/>
      <c r="N117" s="11">
        <f>-6718.01</f>
        <v>-6718.01</v>
      </c>
      <c r="O117" s="3"/>
      <c r="P117" s="11"/>
      <c r="Q117" s="3"/>
      <c r="R117" s="11"/>
    </row>
    <row r="118" spans="2:18" s="16" customFormat="1" hidden="1" outlineLevel="1" x14ac:dyDescent="0.35">
      <c r="B118" s="35" t="str">
        <f>CONCATENATE("          ", "4284", " - ", "SALES RETURN TAXABLE-SOFTWARE")</f>
        <v xml:space="preserve">          4284 - SALES RETURN TAXABLE-SOFTWARE</v>
      </c>
      <c r="D118" s="11">
        <f>9152.81*-1</f>
        <v>-9152.81</v>
      </c>
      <c r="F118" s="11">
        <f>495.94*-1</f>
        <v>-495.94</v>
      </c>
      <c r="G118" s="3"/>
      <c r="H118" s="11">
        <f>259.96*-1</f>
        <v>-259.95999999999998</v>
      </c>
      <c r="I118" s="3"/>
      <c r="J118" s="11">
        <f>-17.99</f>
        <v>-17.989999999999998</v>
      </c>
      <c r="K118" s="3"/>
      <c r="L118" s="11">
        <f>0</f>
        <v>0</v>
      </c>
      <c r="M118" s="3"/>
      <c r="N118" s="11">
        <f>-129</f>
        <v>-129</v>
      </c>
      <c r="O118" s="3"/>
      <c r="P118" s="11"/>
      <c r="Q118" s="3"/>
      <c r="R118" s="11"/>
    </row>
    <row r="119" spans="2:18" s="16" customFormat="1" hidden="1" outlineLevel="1" x14ac:dyDescent="0.35">
      <c r="B119" s="35" t="str">
        <f>CONCATENATE("          ", "4285", " - ", "SALES RETURN TAXABLE-SOFTWARE")</f>
        <v xml:space="preserve">          4285 - SALES RETURN TAXABLE-SOFTWARE</v>
      </c>
      <c r="D119" s="11">
        <f>504.94*-1</f>
        <v>-504.94</v>
      </c>
      <c r="F119" s="11">
        <f>1400.92*-1</f>
        <v>-1400.92</v>
      </c>
      <c r="G119" s="3"/>
      <c r="H119" s="11">
        <f>455.95*-1</f>
        <v>-455.95</v>
      </c>
      <c r="I119" s="3"/>
      <c r="J119" s="11">
        <f>-1634.9</f>
        <v>-1634.9</v>
      </c>
      <c r="K119" s="3"/>
      <c r="L119" s="11">
        <f>-725.94</f>
        <v>-725.94</v>
      </c>
      <c r="M119" s="3"/>
      <c r="N119" s="11">
        <f>-805.97</f>
        <v>-805.97</v>
      </c>
      <c r="O119" s="3"/>
      <c r="P119" s="11"/>
      <c r="Q119" s="3"/>
      <c r="R119" s="11"/>
    </row>
    <row r="120" spans="2:18" s="16" customFormat="1" hidden="1" outlineLevel="1" x14ac:dyDescent="0.35">
      <c r="B120" s="35" t="str">
        <f>CONCATENATE("          ", "4286", " - ", "SALES RETURN TAXABLE-COMPUTER")</f>
        <v xml:space="preserve">          4286 - SALES RETURN TAXABLE-COMPUTER</v>
      </c>
      <c r="D120" s="11">
        <f>2850.55*-1</f>
        <v>-2850.55</v>
      </c>
      <c r="F120" s="11">
        <f>5273.97*-1</f>
        <v>-5273.97</v>
      </c>
      <c r="G120" s="3"/>
      <c r="H120" s="11">
        <f>5958.38*-1</f>
        <v>-5958.38</v>
      </c>
      <c r="I120" s="3"/>
      <c r="J120" s="11">
        <f>-4358.88</f>
        <v>-4358.88</v>
      </c>
      <c r="K120" s="3"/>
      <c r="L120" s="11">
        <f>-5583.83</f>
        <v>-5583.83</v>
      </c>
      <c r="M120" s="3"/>
      <c r="N120" s="11">
        <f>-3660.86</f>
        <v>-3660.86</v>
      </c>
      <c r="O120" s="3"/>
      <c r="P120" s="11"/>
      <c r="Q120" s="3"/>
      <c r="R120" s="11"/>
    </row>
    <row r="121" spans="2:18" s="16" customFormat="1" hidden="1" outlineLevel="1" x14ac:dyDescent="0.35">
      <c r="B121" s="35" t="str">
        <f>CONCATENATE("          ", "4288", " - ", "TAXABLE SALES RETURN-MUSIC")</f>
        <v xml:space="preserve">          4288 - TAXABLE SALES RETURN-MUSIC</v>
      </c>
      <c r="D121" s="11">
        <f>0*-1</f>
        <v>0</v>
      </c>
      <c r="F121" s="11">
        <f>369.32*-1</f>
        <v>-369.32</v>
      </c>
      <c r="G121" s="3"/>
      <c r="H121" s="11">
        <f>454.34*-1</f>
        <v>-454.34</v>
      </c>
      <c r="I121" s="3"/>
      <c r="J121" s="11">
        <f>-98.99</f>
        <v>-98.99</v>
      </c>
      <c r="K121" s="3"/>
      <c r="L121" s="11">
        <f>-64.98</f>
        <v>-64.98</v>
      </c>
      <c r="M121" s="3"/>
      <c r="N121" s="11">
        <f>-152.99</f>
        <v>-152.99</v>
      </c>
      <c r="O121" s="3"/>
      <c r="P121" s="11"/>
      <c r="Q121" s="3"/>
      <c r="R121" s="11"/>
    </row>
    <row r="122" spans="2:18" s="16" customFormat="1" hidden="1" outlineLevel="1" x14ac:dyDescent="0.35">
      <c r="B122" s="35" t="str">
        <f>CONCATENATE("          ", "4291", " - ", "SALES RETURN TAXABLE-GRAD ANNO")</f>
        <v xml:space="preserve">          4291 - SALES RETURN TAXABLE-GRAD ANNO</v>
      </c>
      <c r="D122" s="11">
        <f>976.49*-1</f>
        <v>-976.49</v>
      </c>
      <c r="F122" s="11">
        <f>678.04*-1</f>
        <v>-678.04</v>
      </c>
      <c r="G122" s="3"/>
      <c r="H122" s="11">
        <f>459.6*-1</f>
        <v>-459.6</v>
      </c>
      <c r="I122" s="3"/>
      <c r="J122" s="11">
        <f>0</f>
        <v>0</v>
      </c>
      <c r="K122" s="3"/>
      <c r="L122" s="11">
        <f>0</f>
        <v>0</v>
      </c>
      <c r="M122" s="3"/>
      <c r="N122" s="11">
        <f>0</f>
        <v>0</v>
      </c>
      <c r="O122" s="3"/>
      <c r="P122" s="11"/>
      <c r="Q122" s="3"/>
      <c r="R122" s="11"/>
    </row>
    <row r="123" spans="2:18" s="16" customFormat="1" hidden="1" outlineLevel="1" x14ac:dyDescent="0.35">
      <c r="B123" s="35" t="str">
        <f>CONCATENATE("          ", "4292", " - ", "SALES RETURN TAXABLE-GRAD MERC")</f>
        <v xml:space="preserve">          4292 - SALES RETURN TAXABLE-GRAD MERC</v>
      </c>
      <c r="D123" s="11">
        <f>21697.5*-1</f>
        <v>-21697.5</v>
      </c>
      <c r="F123" s="11">
        <f>14483.28*-1</f>
        <v>-14483.28</v>
      </c>
      <c r="G123" s="3"/>
      <c r="H123" s="11">
        <f>12378.21*-1</f>
        <v>-12378.21</v>
      </c>
      <c r="I123" s="3"/>
      <c r="J123" s="11">
        <f>-39897.48</f>
        <v>-39897.480000000003</v>
      </c>
      <c r="K123" s="3"/>
      <c r="L123" s="11">
        <f>-8552.26</f>
        <v>-8552.26</v>
      </c>
      <c r="M123" s="3"/>
      <c r="N123" s="11">
        <f>-793.52</f>
        <v>-793.52</v>
      </c>
      <c r="O123" s="3"/>
      <c r="P123" s="11"/>
      <c r="Q123" s="3"/>
      <c r="R123" s="11"/>
    </row>
    <row r="124" spans="2:18" s="16" customFormat="1" hidden="1" outlineLevel="1" x14ac:dyDescent="0.35">
      <c r="B124" s="35" t="str">
        <f>CONCATENATE("          ", "4295", " - ", "SALES RETURN TAXABLE-CUSTOMER")</f>
        <v xml:space="preserve">          4295 - SALES RETURN TAXABLE-CUSTOMER</v>
      </c>
      <c r="D124" s="11">
        <f>300.22*-1</f>
        <v>-300.22000000000003</v>
      </c>
      <c r="F124" s="11">
        <f>324.09*-1</f>
        <v>-324.08999999999997</v>
      </c>
      <c r="G124" s="3"/>
      <c r="H124" s="11">
        <f>9.9*-1</f>
        <v>-9.9</v>
      </c>
      <c r="I124" s="3"/>
      <c r="J124" s="11">
        <f>-2.03</f>
        <v>-2.0299999999999998</v>
      </c>
      <c r="K124" s="3"/>
      <c r="L124" s="11">
        <f>-126.72</f>
        <v>-126.72</v>
      </c>
      <c r="M124" s="3"/>
      <c r="N124" s="11">
        <f>--0.99</f>
        <v>0.99</v>
      </c>
      <c r="O124" s="3"/>
      <c r="P124" s="11"/>
      <c r="Q124" s="3"/>
      <c r="R124" s="11"/>
    </row>
    <row r="125" spans="2:18" s="16" customFormat="1" hidden="1" outlineLevel="1" x14ac:dyDescent="0.35">
      <c r="B125" s="35" t="str">
        <f>CONCATENATE("          ", "4301", " - ", "SALES RETURN NON TAXABLE-NEW T")</f>
        <v xml:space="preserve">          4301 - SALES RETURN NON TAXABLE-NEW T</v>
      </c>
      <c r="D125" s="11">
        <f>23238.51*-1</f>
        <v>-23238.51</v>
      </c>
      <c r="F125" s="11">
        <f>41726.46*-1</f>
        <v>-41726.46</v>
      </c>
      <c r="G125" s="3"/>
      <c r="H125" s="11">
        <f>37606.44*-1</f>
        <v>-37606.44</v>
      </c>
      <c r="I125" s="3"/>
      <c r="J125" s="11">
        <f>--6537.73</f>
        <v>6537.73</v>
      </c>
      <c r="K125" s="3"/>
      <c r="L125" s="11">
        <f>-51917.32</f>
        <v>-51917.32</v>
      </c>
      <c r="M125" s="3"/>
      <c r="N125" s="11">
        <f>-21543.36</f>
        <v>-21543.360000000001</v>
      </c>
      <c r="O125" s="3"/>
      <c r="P125" s="11"/>
      <c r="Q125" s="3"/>
      <c r="R125" s="11"/>
    </row>
    <row r="126" spans="2:18" s="16" customFormat="1" hidden="1" outlineLevel="1" x14ac:dyDescent="0.35">
      <c r="B126" s="35" t="str">
        <f>CONCATENATE("          ", "4302", " - ", "SALES RETURN NON TAXABLE-TEXT")</f>
        <v xml:space="preserve">          4302 - SALES RETURN NON TAXABLE-TEXT</v>
      </c>
      <c r="D126" s="11">
        <f>5954.54*-1</f>
        <v>-5954.54</v>
      </c>
      <c r="F126" s="11">
        <f>7432.62*-1</f>
        <v>-7432.62</v>
      </c>
      <c r="G126" s="3"/>
      <c r="H126" s="11">
        <f>6604.68*-1</f>
        <v>-6604.68</v>
      </c>
      <c r="I126" s="3"/>
      <c r="J126" s="11">
        <f>-5507.21</f>
        <v>-5507.21</v>
      </c>
      <c r="K126" s="3"/>
      <c r="L126" s="11">
        <f>-6780.29</f>
        <v>-6780.29</v>
      </c>
      <c r="M126" s="3"/>
      <c r="N126" s="11">
        <f>-1475.62</f>
        <v>-1475.62</v>
      </c>
      <c r="O126" s="3"/>
      <c r="P126" s="11"/>
      <c r="Q126" s="3"/>
      <c r="R126" s="11"/>
    </row>
    <row r="127" spans="2:18" s="16" customFormat="1" hidden="1" outlineLevel="1" x14ac:dyDescent="0.35">
      <c r="B127" s="35" t="str">
        <f>CONCATENATE("          ", "4303", " - ", "SALES RETURN NON-TAXABLE-RENTA")</f>
        <v xml:space="preserve">          4303 - SALES RETURN NON-TAXABLE-RENTA</v>
      </c>
      <c r="D127" s="11">
        <f>0*-1</f>
        <v>0</v>
      </c>
      <c r="F127" s="11">
        <f>0*-1</f>
        <v>0</v>
      </c>
      <c r="G127" s="3"/>
      <c r="H127" s="11">
        <f>0*-1</f>
        <v>0</v>
      </c>
      <c r="I127" s="3"/>
      <c r="J127" s="11">
        <f>0</f>
        <v>0</v>
      </c>
      <c r="K127" s="3"/>
      <c r="L127" s="11">
        <f>-509.85</f>
        <v>-509.85</v>
      </c>
      <c r="M127" s="3"/>
      <c r="N127" s="11">
        <f>-184.99</f>
        <v>-184.99</v>
      </c>
      <c r="O127" s="3"/>
      <c r="P127" s="11"/>
      <c r="Q127" s="3"/>
      <c r="R127" s="11"/>
    </row>
    <row r="128" spans="2:18" s="16" customFormat="1" hidden="1" outlineLevel="1" x14ac:dyDescent="0.35">
      <c r="B128" s="35" t="str">
        <f>CONCATENATE("          ", "4304", " - ", "SALES RETURN NON TAXABLE-DIGIT")</f>
        <v xml:space="preserve">          4304 - SALES RETURN NON TAXABLE-DIGIT</v>
      </c>
      <c r="D128" s="11">
        <f>469.45*-1</f>
        <v>-469.45</v>
      </c>
      <c r="F128" s="11">
        <f>1065.09*-1</f>
        <v>-1065.0899999999999</v>
      </c>
      <c r="G128" s="3"/>
      <c r="H128" s="11">
        <f>1950.45*-1</f>
        <v>-1950.45</v>
      </c>
      <c r="I128" s="3"/>
      <c r="J128" s="11">
        <f>-34135.02</f>
        <v>-34135.019999999997</v>
      </c>
      <c r="K128" s="3"/>
      <c r="L128" s="11">
        <f>-6171.97</f>
        <v>-6171.97</v>
      </c>
      <c r="M128" s="3"/>
      <c r="N128" s="11">
        <f>-19873.2</f>
        <v>-19873.2</v>
      </c>
      <c r="O128" s="3"/>
      <c r="P128" s="11"/>
      <c r="Q128" s="3"/>
      <c r="R128" s="11"/>
    </row>
    <row r="129" spans="2:18" s="16" customFormat="1" hidden="1" outlineLevel="1" x14ac:dyDescent="0.35">
      <c r="B129" s="35" t="str">
        <f>CONCATENATE("          ", "4311", " - ", "SALES RETURN NON TAXABLE-NO VA")</f>
        <v xml:space="preserve">          4311 - SALES RETURN NON TAXABLE-NO VA</v>
      </c>
      <c r="D129" s="11">
        <f>1157.4*-1</f>
        <v>-1157.4000000000001</v>
      </c>
      <c r="F129" s="11">
        <f>2960.66*-1</f>
        <v>-2960.66</v>
      </c>
      <c r="G129" s="3"/>
      <c r="H129" s="11">
        <f>2203.9*-1</f>
        <v>-2203.9</v>
      </c>
      <c r="I129" s="3"/>
      <c r="J129" s="11">
        <f>-1836.02</f>
        <v>-1836.02</v>
      </c>
      <c r="K129" s="3"/>
      <c r="L129" s="11">
        <f>-2399.84</f>
        <v>-2399.84</v>
      </c>
      <c r="M129" s="3"/>
      <c r="N129" s="11">
        <f>-1011.65</f>
        <v>-1011.65</v>
      </c>
      <c r="O129" s="3"/>
      <c r="P129" s="11"/>
      <c r="Q129" s="3"/>
      <c r="R129" s="11"/>
    </row>
    <row r="130" spans="2:18" s="16" customFormat="1" hidden="1" outlineLevel="1" x14ac:dyDescent="0.35">
      <c r="B130" s="35" t="str">
        <f>CONCATENATE("          ", "4313", " - ", "SALES RETURN NON TAXABLE-TRADE")</f>
        <v xml:space="preserve">          4313 - SALES RETURN NON TAXABLE-TRADE</v>
      </c>
      <c r="D130" s="11">
        <f>63.74*-1</f>
        <v>-63.74</v>
      </c>
      <c r="F130" s="11">
        <f>17.35*-1</f>
        <v>-17.350000000000001</v>
      </c>
      <c r="G130" s="3"/>
      <c r="H130" s="11">
        <f>0*-1</f>
        <v>0</v>
      </c>
      <c r="I130" s="3"/>
      <c r="J130" s="11">
        <f>0</f>
        <v>0</v>
      </c>
      <c r="K130" s="3"/>
      <c r="L130" s="11">
        <f>-800</f>
        <v>-800</v>
      </c>
      <c r="M130" s="3"/>
      <c r="N130" s="11">
        <f>-2481.44</f>
        <v>-2481.44</v>
      </c>
      <c r="O130" s="3"/>
      <c r="P130" s="11"/>
      <c r="Q130" s="3"/>
      <c r="R130" s="11"/>
    </row>
    <row r="131" spans="2:18" s="16" customFormat="1" hidden="1" outlineLevel="1" x14ac:dyDescent="0.35">
      <c r="B131" s="35" t="str">
        <f>CONCATENATE("          ", "4318", " - ", "SALES RETURN NON TAXABLE-STUDY")</f>
        <v xml:space="preserve">          4318 - SALES RETURN NON TAXABLE-STUDY</v>
      </c>
      <c r="D131" s="11">
        <f>0*-1</f>
        <v>0</v>
      </c>
      <c r="F131" s="11">
        <f t="shared" ref="F131:F132" si="9">0*-1</f>
        <v>0</v>
      </c>
      <c r="G131" s="3"/>
      <c r="H131" s="11">
        <f>5.95*-1</f>
        <v>-5.95</v>
      </c>
      <c r="I131" s="3"/>
      <c r="J131" s="11">
        <f>-2025</f>
        <v>-2025</v>
      </c>
      <c r="K131" s="3"/>
      <c r="L131" s="11">
        <f>-1258.54</f>
        <v>-1258.54</v>
      </c>
      <c r="M131" s="3"/>
      <c r="N131" s="11">
        <f t="shared" ref="N131:N133" si="10">0</f>
        <v>0</v>
      </c>
      <c r="O131" s="3"/>
      <c r="P131" s="11"/>
      <c r="Q131" s="3"/>
      <c r="R131" s="11"/>
    </row>
    <row r="132" spans="2:18" s="16" customFormat="1" hidden="1" outlineLevel="1" x14ac:dyDescent="0.35">
      <c r="B132" s="35" t="str">
        <f>CONCATENATE("          ", "4319", " - ", "SALES RETURN NON TAXABLE-BOOK")</f>
        <v xml:space="preserve">          4319 - SALES RETURN NON TAXABLE-BOOK</v>
      </c>
      <c r="D132" s="11">
        <f>5.19*-1</f>
        <v>-5.19</v>
      </c>
      <c r="F132" s="11">
        <f t="shared" si="9"/>
        <v>0</v>
      </c>
      <c r="G132" s="3"/>
      <c r="H132" s="11">
        <f t="shared" ref="H132:H133" si="11">0*-1</f>
        <v>0</v>
      </c>
      <c r="I132" s="3"/>
      <c r="J132" s="11">
        <f t="shared" ref="J132:J133" si="12">0</f>
        <v>0</v>
      </c>
      <c r="K132" s="3"/>
      <c r="L132" s="11">
        <f t="shared" ref="L132:L133" si="13">0</f>
        <v>0</v>
      </c>
      <c r="M132" s="3"/>
      <c r="N132" s="11">
        <f t="shared" si="10"/>
        <v>0</v>
      </c>
      <c r="O132" s="3"/>
      <c r="P132" s="11"/>
      <c r="Q132" s="3"/>
      <c r="R132" s="11"/>
    </row>
    <row r="133" spans="2:18" s="16" customFormat="1" hidden="1" outlineLevel="1" x14ac:dyDescent="0.35">
      <c r="B133" s="35" t="str">
        <f>CONCATENATE("          ", "4325", " - ", "SALES RETURN NON TAXABLE-TEST")</f>
        <v xml:space="preserve">          4325 - SALES RETURN NON TAXABLE-TEST</v>
      </c>
      <c r="D133" s="11">
        <f t="shared" ref="D133:D134" si="14">0*-1</f>
        <v>0</v>
      </c>
      <c r="F133" s="11">
        <f>3.33*-1</f>
        <v>-3.33</v>
      </c>
      <c r="G133" s="3"/>
      <c r="H133" s="11">
        <f t="shared" si="11"/>
        <v>0</v>
      </c>
      <c r="I133" s="3"/>
      <c r="J133" s="11">
        <f t="shared" si="12"/>
        <v>0</v>
      </c>
      <c r="K133" s="3"/>
      <c r="L133" s="11">
        <f t="shared" si="13"/>
        <v>0</v>
      </c>
      <c r="M133" s="3"/>
      <c r="N133" s="11">
        <f t="shared" si="10"/>
        <v>0</v>
      </c>
      <c r="O133" s="3"/>
      <c r="P133" s="11"/>
      <c r="Q133" s="3"/>
      <c r="R133" s="11"/>
    </row>
    <row r="134" spans="2:18" s="16" customFormat="1" hidden="1" outlineLevel="1" x14ac:dyDescent="0.35">
      <c r="B134" s="35" t="str">
        <f>CONCATENATE("          ", "4326", " - ", "SALES RETURN NON TAXABLE-WRITI")</f>
        <v xml:space="preserve">          4326 - SALES RETURN NON TAXABLE-WRITI</v>
      </c>
      <c r="D134" s="11">
        <f t="shared" si="14"/>
        <v>0</v>
      </c>
      <c r="F134" s="11">
        <f t="shared" ref="F134:F136" si="15">0*-1</f>
        <v>0</v>
      </c>
      <c r="G134" s="3"/>
      <c r="H134" s="11">
        <f>3.38*-1</f>
        <v>-3.38</v>
      </c>
      <c r="I134" s="3"/>
      <c r="J134" s="11">
        <f>-3.78</f>
        <v>-3.78</v>
      </c>
      <c r="K134" s="3"/>
      <c r="L134" s="11">
        <f>-28.23</f>
        <v>-28.23</v>
      </c>
      <c r="M134" s="3"/>
      <c r="N134" s="11">
        <f>-2.98</f>
        <v>-2.98</v>
      </c>
      <c r="O134" s="3"/>
      <c r="P134" s="11"/>
      <c r="Q134" s="3"/>
      <c r="R134" s="11"/>
    </row>
    <row r="135" spans="2:18" s="16" customFormat="1" hidden="1" outlineLevel="1" x14ac:dyDescent="0.35">
      <c r="B135" s="35" t="str">
        <f>CONCATENATE("          ", "4327", " - ", "SALES RETURN NON TAXABLE-SCHOO")</f>
        <v xml:space="preserve">          4327 - SALES RETURN NON TAXABLE-SCHOO</v>
      </c>
      <c r="D135" s="11">
        <f>30.57*-1</f>
        <v>-30.57</v>
      </c>
      <c r="F135" s="11">
        <f t="shared" si="15"/>
        <v>0</v>
      </c>
      <c r="G135" s="3"/>
      <c r="H135" s="11">
        <f>81.8*-1</f>
        <v>-81.8</v>
      </c>
      <c r="I135" s="3"/>
      <c r="J135" s="11">
        <f>-10.78</f>
        <v>-10.78</v>
      </c>
      <c r="K135" s="3"/>
      <c r="L135" s="11">
        <f>-4.99</f>
        <v>-4.99</v>
      </c>
      <c r="M135" s="3"/>
      <c r="N135" s="11">
        <f>-21.87</f>
        <v>-21.87</v>
      </c>
      <c r="O135" s="3"/>
      <c r="P135" s="11"/>
      <c r="Q135" s="3"/>
      <c r="R135" s="11"/>
    </row>
    <row r="136" spans="2:18" s="16" customFormat="1" hidden="1" outlineLevel="1" x14ac:dyDescent="0.35">
      <c r="B136" s="35" t="str">
        <f>CONCATENATE("          ", "4328", " - ", "SALES RETURN NON TAXABLE-ART/T")</f>
        <v xml:space="preserve">          4328 - SALES RETURN NON TAXABLE-ART/T</v>
      </c>
      <c r="D136" s="11">
        <f>11.29*-1</f>
        <v>-11.29</v>
      </c>
      <c r="F136" s="11">
        <f t="shared" si="15"/>
        <v>0</v>
      </c>
      <c r="G136" s="3"/>
      <c r="H136" s="11">
        <f t="shared" ref="H136:H137" si="16">0*-1</f>
        <v>0</v>
      </c>
      <c r="I136" s="3"/>
      <c r="J136" s="11">
        <f t="shared" ref="J136:J140" si="17">0</f>
        <v>0</v>
      </c>
      <c r="K136" s="3"/>
      <c r="L136" s="11">
        <f t="shared" ref="L136:L140" si="18">0</f>
        <v>0</v>
      </c>
      <c r="M136" s="3"/>
      <c r="N136" s="11">
        <f>0</f>
        <v>0</v>
      </c>
      <c r="O136" s="3"/>
      <c r="P136" s="11"/>
      <c r="Q136" s="3"/>
      <c r="R136" s="11"/>
    </row>
    <row r="137" spans="2:18" s="16" customFormat="1" hidden="1" outlineLevel="1" x14ac:dyDescent="0.35">
      <c r="B137" s="35" t="str">
        <f>CONCATENATE("          ", "4331", " - ", "SALES RETURN NON TAXABLE-FOOD")</f>
        <v xml:space="preserve">          4331 - SALES RETURN NON TAXABLE-FOOD</v>
      </c>
      <c r="D137" s="11">
        <f>40.61*-1</f>
        <v>-40.61</v>
      </c>
      <c r="F137" s="11">
        <f>57.11*-1</f>
        <v>-57.11</v>
      </c>
      <c r="G137" s="3"/>
      <c r="H137" s="11">
        <f t="shared" si="16"/>
        <v>0</v>
      </c>
      <c r="I137" s="3"/>
      <c r="J137" s="11">
        <f t="shared" si="17"/>
        <v>0</v>
      </c>
      <c r="K137" s="3"/>
      <c r="L137" s="11">
        <f t="shared" si="18"/>
        <v>0</v>
      </c>
      <c r="M137" s="3"/>
      <c r="N137" s="11">
        <f>-12.57</f>
        <v>-12.57</v>
      </c>
      <c r="O137" s="3"/>
      <c r="P137" s="11"/>
      <c r="Q137" s="3"/>
      <c r="R137" s="11"/>
    </row>
    <row r="138" spans="2:18" s="16" customFormat="1" hidden="1" outlineLevel="1" x14ac:dyDescent="0.35">
      <c r="B138" s="35" t="str">
        <f>CONCATENATE("          ", "4332", " - ", "SALES RETURN NON TAXABLE-JUICE")</f>
        <v xml:space="preserve">          4332 - SALES RETURN NON TAXABLE-JUICE</v>
      </c>
      <c r="D138" s="11">
        <f>4.29*-1</f>
        <v>-4.29</v>
      </c>
      <c r="F138" s="11">
        <f>47.49*-1</f>
        <v>-47.49</v>
      </c>
      <c r="G138" s="3"/>
      <c r="H138" s="11">
        <f>2.3*-1</f>
        <v>-2.2999999999999998</v>
      </c>
      <c r="I138" s="3"/>
      <c r="J138" s="11">
        <f t="shared" si="17"/>
        <v>0</v>
      </c>
      <c r="K138" s="3"/>
      <c r="L138" s="11">
        <f t="shared" si="18"/>
        <v>0</v>
      </c>
      <c r="M138" s="3"/>
      <c r="N138" s="11">
        <f>-2.79</f>
        <v>-2.79</v>
      </c>
      <c r="O138" s="3"/>
      <c r="P138" s="11"/>
      <c r="Q138" s="3"/>
      <c r="R138" s="11"/>
    </row>
    <row r="139" spans="2:18" s="16" customFormat="1" hidden="1" outlineLevel="1" x14ac:dyDescent="0.35">
      <c r="B139" s="35" t="str">
        <f>CONCATENATE("          ", "4333", " - ", "SALES RETURN NON TAXABLE-CANDY")</f>
        <v xml:space="preserve">          4333 - SALES RETURN NON TAXABLE-CANDY</v>
      </c>
      <c r="D139" s="11">
        <f>19.2*-1</f>
        <v>-19.2</v>
      </c>
      <c r="F139" s="11">
        <f>13.54*-1</f>
        <v>-13.54</v>
      </c>
      <c r="G139" s="3"/>
      <c r="H139" s="11">
        <f t="shared" ref="H139:H140" si="19">0*-1</f>
        <v>0</v>
      </c>
      <c r="I139" s="3"/>
      <c r="J139" s="11">
        <f t="shared" si="17"/>
        <v>0</v>
      </c>
      <c r="K139" s="3"/>
      <c r="L139" s="11">
        <f t="shared" si="18"/>
        <v>0</v>
      </c>
      <c r="M139" s="3"/>
      <c r="N139" s="11">
        <f t="shared" ref="N139:N140" si="20">0</f>
        <v>0</v>
      </c>
      <c r="O139" s="3"/>
      <c r="P139" s="11"/>
      <c r="Q139" s="3"/>
      <c r="R139" s="11"/>
    </row>
    <row r="140" spans="2:18" s="16" customFormat="1" hidden="1" outlineLevel="1" x14ac:dyDescent="0.35">
      <c r="B140" s="35" t="str">
        <f>CONCATENATE("          ", "4337", " - ", "SALES RETURN NON TAXABLE-WATER")</f>
        <v xml:space="preserve">          4337 - SALES RETURN NON TAXABLE-WATER</v>
      </c>
      <c r="D140" s="11">
        <f>21.78*-1</f>
        <v>-21.78</v>
      </c>
      <c r="F140" s="11">
        <f>0*-1</f>
        <v>0</v>
      </c>
      <c r="G140" s="3"/>
      <c r="H140" s="11">
        <f t="shared" si="19"/>
        <v>0</v>
      </c>
      <c r="I140" s="3"/>
      <c r="J140" s="11">
        <f t="shared" si="17"/>
        <v>0</v>
      </c>
      <c r="K140" s="3"/>
      <c r="L140" s="11">
        <f t="shared" si="18"/>
        <v>0</v>
      </c>
      <c r="M140" s="3"/>
      <c r="N140" s="11">
        <f t="shared" si="20"/>
        <v>0</v>
      </c>
      <c r="O140" s="3"/>
      <c r="P140" s="11"/>
      <c r="Q140" s="3"/>
      <c r="R140" s="11"/>
    </row>
    <row r="141" spans="2:18" s="16" customFormat="1" hidden="1" outlineLevel="1" x14ac:dyDescent="0.35">
      <c r="B141" s="35" t="str">
        <f>CONCATENATE("          ", "4340", " - ", "SALES RETURN NON TAXABLE-LOGO")</f>
        <v xml:space="preserve">          4340 - SALES RETURN NON TAXABLE-LOGO</v>
      </c>
      <c r="D141" s="11">
        <f>1278.54*-1</f>
        <v>-1278.54</v>
      </c>
      <c r="F141" s="11">
        <f>973.95*-1</f>
        <v>-973.95</v>
      </c>
      <c r="G141" s="3"/>
      <c r="H141" s="11">
        <f>937.35*-1</f>
        <v>-937.35</v>
      </c>
      <c r="I141" s="3"/>
      <c r="J141" s="11">
        <f>-602.86</f>
        <v>-602.86</v>
      </c>
      <c r="K141" s="3"/>
      <c r="L141" s="11">
        <f>-1132.72</f>
        <v>-1132.72</v>
      </c>
      <c r="M141" s="3"/>
      <c r="N141" s="11">
        <f>-2664.48</f>
        <v>-2664.48</v>
      </c>
      <c r="O141" s="3"/>
      <c r="P141" s="11"/>
      <c r="Q141" s="3"/>
      <c r="R141" s="11"/>
    </row>
    <row r="142" spans="2:18" s="16" customFormat="1" hidden="1" outlineLevel="1" x14ac:dyDescent="0.35">
      <c r="B142" s="35" t="str">
        <f>CONCATENATE("          ", "4341", " - ", "SALES RETURN NON TAXABLE-LOGO")</f>
        <v xml:space="preserve">          4341 - SALES RETURN NON TAXABLE-LOGO</v>
      </c>
      <c r="D142" s="11">
        <f>821.6*-1</f>
        <v>-821.6</v>
      </c>
      <c r="F142" s="11">
        <f>176*-1</f>
        <v>-176</v>
      </c>
      <c r="G142" s="3"/>
      <c r="H142" s="11">
        <f>238.55*-1</f>
        <v>-238.55</v>
      </c>
      <c r="I142" s="3"/>
      <c r="J142" s="11">
        <f>-91.9</f>
        <v>-91.9</v>
      </c>
      <c r="K142" s="3"/>
      <c r="L142" s="11">
        <f>-335.8</f>
        <v>-335.8</v>
      </c>
      <c r="M142" s="3"/>
      <c r="N142" s="11">
        <f>-295.35</f>
        <v>-295.35000000000002</v>
      </c>
      <c r="O142" s="3"/>
      <c r="P142" s="11"/>
      <c r="Q142" s="3"/>
      <c r="R142" s="11"/>
    </row>
    <row r="143" spans="2:18" s="16" customFormat="1" hidden="1" outlineLevel="1" x14ac:dyDescent="0.35">
      <c r="B143" s="35" t="str">
        <f>CONCATENATE("          ", "4342", " - ", "SALES RETURN NON TAXABLE-EVERY")</f>
        <v xml:space="preserve">          4342 - SALES RETURN NON TAXABLE-EVERY</v>
      </c>
      <c r="D143" s="11">
        <f>12.75*-1</f>
        <v>-12.75</v>
      </c>
      <c r="F143" s="11">
        <f>2*-1</f>
        <v>-2</v>
      </c>
      <c r="G143" s="3"/>
      <c r="H143" s="11">
        <f>1*-1</f>
        <v>-1</v>
      </c>
      <c r="I143" s="3"/>
      <c r="J143" s="11">
        <f>-46.8</f>
        <v>-46.8</v>
      </c>
      <c r="K143" s="3"/>
      <c r="L143" s="11">
        <f>-128.55</f>
        <v>-128.55000000000001</v>
      </c>
      <c r="M143" s="3"/>
      <c r="N143" s="11">
        <f>-186.02</f>
        <v>-186.02</v>
      </c>
      <c r="O143" s="3"/>
      <c r="P143" s="11"/>
      <c r="Q143" s="3"/>
      <c r="R143" s="11"/>
    </row>
    <row r="144" spans="2:18" s="16" customFormat="1" hidden="1" outlineLevel="1" x14ac:dyDescent="0.35">
      <c r="B144" s="35" t="str">
        <f>CONCATENATE("          ", "4346", " - ", "SALES RETURN NON TAXABLE-COIN-")</f>
        <v xml:space="preserve">          4346 - SALES RETURN NON TAXABLE-COIN-</v>
      </c>
      <c r="D144" s="11">
        <f t="shared" ref="D144:D145" si="21">0*-1</f>
        <v>0</v>
      </c>
      <c r="F144" s="11">
        <f>0*-1</f>
        <v>0</v>
      </c>
      <c r="G144" s="3"/>
      <c r="H144" s="11">
        <f t="shared" ref="H144:H145" si="22">0*-1</f>
        <v>0</v>
      </c>
      <c r="I144" s="3"/>
      <c r="J144" s="11">
        <f t="shared" ref="J144:J145" si="23">0</f>
        <v>0</v>
      </c>
      <c r="K144" s="3"/>
      <c r="L144" s="11">
        <f t="shared" ref="L144:L145" si="24">0</f>
        <v>0</v>
      </c>
      <c r="M144" s="3"/>
      <c r="N144" s="11">
        <f>-8.15</f>
        <v>-8.15</v>
      </c>
      <c r="O144" s="3"/>
      <c r="P144" s="11"/>
      <c r="Q144" s="3"/>
      <c r="R144" s="11"/>
    </row>
    <row r="145" spans="1:18" s="16" customFormat="1" hidden="1" outlineLevel="1" x14ac:dyDescent="0.35">
      <c r="B145" s="35" t="str">
        <f>CONCATENATE("          ", "4347", " - ", "SALES RETURN NON TAXABLE-MISC")</f>
        <v xml:space="preserve">          4347 - SALES RETURN NON TAXABLE-MISC</v>
      </c>
      <c r="D145" s="11">
        <f t="shared" si="21"/>
        <v>0</v>
      </c>
      <c r="F145" s="11">
        <f>7.5*-1</f>
        <v>-7.5</v>
      </c>
      <c r="G145" s="3"/>
      <c r="H145" s="11">
        <f t="shared" si="22"/>
        <v>0</v>
      </c>
      <c r="I145" s="3"/>
      <c r="J145" s="11">
        <f t="shared" si="23"/>
        <v>0</v>
      </c>
      <c r="K145" s="3"/>
      <c r="L145" s="11">
        <f t="shared" si="24"/>
        <v>0</v>
      </c>
      <c r="M145" s="3"/>
      <c r="N145" s="11">
        <f>-84</f>
        <v>-84</v>
      </c>
      <c r="O145" s="3"/>
      <c r="P145" s="11"/>
      <c r="Q145" s="3"/>
      <c r="R145" s="11"/>
    </row>
    <row r="146" spans="1:18" s="16" customFormat="1" hidden="1" outlineLevel="1" x14ac:dyDescent="0.35">
      <c r="B146" s="35" t="str">
        <f>CONCATENATE("          ", "4381", " - ", "SALES RETURN NON TAXABLE-ELECT")</f>
        <v xml:space="preserve">          4381 - SALES RETURN NON TAXABLE-ELECT</v>
      </c>
      <c r="D146" s="11">
        <f>206.94*-1</f>
        <v>-206.94</v>
      </c>
      <c r="F146" s="11">
        <f>935.88*-1</f>
        <v>-935.88</v>
      </c>
      <c r="G146" s="3"/>
      <c r="H146" s="11">
        <f>840.75*-1</f>
        <v>-840.75</v>
      </c>
      <c r="I146" s="3"/>
      <c r="J146" s="11">
        <f>-148.99</f>
        <v>-148.99</v>
      </c>
      <c r="K146" s="3"/>
      <c r="L146" s="11">
        <f>-257.81</f>
        <v>-257.81</v>
      </c>
      <c r="M146" s="3"/>
      <c r="N146" s="11">
        <f>-1279.84</f>
        <v>-1279.8399999999999</v>
      </c>
      <c r="O146" s="3"/>
      <c r="P146" s="11"/>
      <c r="Q146" s="3"/>
      <c r="R146" s="11"/>
    </row>
    <row r="147" spans="1:18" s="16" customFormat="1" hidden="1" outlineLevel="1" x14ac:dyDescent="0.35">
      <c r="B147" s="35" t="str">
        <f>CONCATENATE("          ", "4383", " - ", "SALES RETURN NON TAXABLE-COMPU")</f>
        <v xml:space="preserve">          4383 - SALES RETURN NON TAXABLE-COMPU</v>
      </c>
      <c r="D147" s="11">
        <f>127.98*-1</f>
        <v>-127.98</v>
      </c>
      <c r="F147" s="11">
        <f>2269.85*-1</f>
        <v>-2269.85</v>
      </c>
      <c r="G147" s="3"/>
      <c r="H147" s="11">
        <f>425.51*-1</f>
        <v>-425.51</v>
      </c>
      <c r="I147" s="3"/>
      <c r="J147" s="11">
        <f>-230.56</f>
        <v>-230.56</v>
      </c>
      <c r="K147" s="3"/>
      <c r="L147" s="11">
        <f>-153.92</f>
        <v>-153.91999999999999</v>
      </c>
      <c r="M147" s="3"/>
      <c r="N147" s="11">
        <f>-49.98</f>
        <v>-49.98</v>
      </c>
      <c r="O147" s="3"/>
      <c r="P147" s="11"/>
      <c r="Q147" s="3"/>
      <c r="R147" s="11"/>
    </row>
    <row r="148" spans="1:18" s="16" customFormat="1" hidden="1" outlineLevel="1" x14ac:dyDescent="0.35">
      <c r="B148" s="35" t="str">
        <f>CONCATENATE("          ", "4384", " - ", "SALES RETURN NON TAXABLE-SOFTW")</f>
        <v xml:space="preserve">          4384 - SALES RETURN NON TAXABLE-SOFTW</v>
      </c>
      <c r="D148" s="11">
        <f t="shared" ref="D148:D149" si="25">0*-1</f>
        <v>0</v>
      </c>
      <c r="F148" s="11">
        <f>0*-1</f>
        <v>0</v>
      </c>
      <c r="G148" s="3"/>
      <c r="H148" s="11">
        <f>199.99*-1</f>
        <v>-199.99</v>
      </c>
      <c r="I148" s="3"/>
      <c r="J148" s="11">
        <f>0</f>
        <v>0</v>
      </c>
      <c r="K148" s="3"/>
      <c r="L148" s="11">
        <f t="shared" ref="L148:L149" si="26">0</f>
        <v>0</v>
      </c>
      <c r="M148" s="3"/>
      <c r="N148" s="11">
        <f t="shared" ref="N148:N149" si="27">0</f>
        <v>0</v>
      </c>
      <c r="O148" s="3"/>
      <c r="P148" s="11"/>
      <c r="Q148" s="3"/>
      <c r="R148" s="11"/>
    </row>
    <row r="149" spans="1:18" s="16" customFormat="1" hidden="1" outlineLevel="1" x14ac:dyDescent="0.35">
      <c r="B149" s="35" t="str">
        <f>CONCATENATE("          ", "4385", " - ", "SALES RETURN NON TAXABLE-SOFTW")</f>
        <v xml:space="preserve">          4385 - SALES RETURN NON TAXABLE-SOFTW</v>
      </c>
      <c r="D149" s="11">
        <f t="shared" si="25"/>
        <v>0</v>
      </c>
      <c r="F149" s="11">
        <f>783.98*-1</f>
        <v>-783.98</v>
      </c>
      <c r="G149" s="3"/>
      <c r="H149" s="11">
        <f>240.97*-1</f>
        <v>-240.97</v>
      </c>
      <c r="I149" s="3"/>
      <c r="J149" s="11">
        <f>-631.99</f>
        <v>-631.99</v>
      </c>
      <c r="K149" s="3"/>
      <c r="L149" s="11">
        <f t="shared" si="26"/>
        <v>0</v>
      </c>
      <c r="M149" s="3"/>
      <c r="N149" s="11">
        <f t="shared" si="27"/>
        <v>0</v>
      </c>
      <c r="O149" s="3"/>
      <c r="P149" s="11"/>
      <c r="Q149" s="3"/>
      <c r="R149" s="11"/>
    </row>
    <row r="150" spans="1:18" s="16" customFormat="1" hidden="1" outlineLevel="1" x14ac:dyDescent="0.35">
      <c r="B150" s="35" t="str">
        <f>CONCATENATE("          ", "4386", " - ", "SALES RETURN NON TAXABLE-COMPU")</f>
        <v xml:space="preserve">          4386 - SALES RETURN NON TAXABLE-COMPU</v>
      </c>
      <c r="D150" s="11">
        <f>183.97*-1</f>
        <v>-183.97</v>
      </c>
      <c r="F150" s="11">
        <f>199.33*-1</f>
        <v>-199.33</v>
      </c>
      <c r="G150" s="3"/>
      <c r="H150" s="11">
        <f>79.98*-1</f>
        <v>-79.98</v>
      </c>
      <c r="I150" s="3"/>
      <c r="J150" s="11">
        <f>-124.97</f>
        <v>-124.97</v>
      </c>
      <c r="K150" s="3"/>
      <c r="L150" s="11">
        <f>-209.95</f>
        <v>-209.95</v>
      </c>
      <c r="M150" s="3"/>
      <c r="N150" s="11">
        <f>-104.96</f>
        <v>-104.96</v>
      </c>
      <c r="O150" s="3"/>
      <c r="P150" s="11"/>
      <c r="Q150" s="3"/>
      <c r="R150" s="11"/>
    </row>
    <row r="151" spans="1:18" s="16" customFormat="1" hidden="1" outlineLevel="1" x14ac:dyDescent="0.35">
      <c r="B151" s="35" t="str">
        <f>CONCATENATE("          ", "4392", " - ", "SALES RETURN NON TAXABLE-GRAD")</f>
        <v xml:space="preserve">          4392 - SALES RETURN NON TAXABLE-GRAD</v>
      </c>
      <c r="D151" s="11">
        <f>0*-1</f>
        <v>0</v>
      </c>
      <c r="F151" s="11">
        <f>0*-1</f>
        <v>0</v>
      </c>
      <c r="G151" s="3"/>
      <c r="H151" s="11">
        <f>36.95*-1</f>
        <v>-36.950000000000003</v>
      </c>
      <c r="I151" s="3"/>
      <c r="J151" s="11">
        <f>0</f>
        <v>0</v>
      </c>
      <c r="K151" s="3"/>
      <c r="L151" s="11">
        <f>0</f>
        <v>0</v>
      </c>
      <c r="M151" s="3"/>
      <c r="N151" s="11">
        <f>0</f>
        <v>0</v>
      </c>
      <c r="O151" s="3"/>
      <c r="P151" s="11"/>
      <c r="Q151" s="3"/>
      <c r="R151" s="11"/>
    </row>
    <row r="152" spans="1:18" s="12" customFormat="1" x14ac:dyDescent="0.35">
      <c r="B152" s="7"/>
      <c r="D152" s="6"/>
      <c r="F152" s="6"/>
      <c r="G152" s="5"/>
      <c r="H152" s="6"/>
      <c r="I152" s="5"/>
      <c r="J152" s="6"/>
      <c r="K152" s="5"/>
      <c r="L152" s="6"/>
      <c r="M152" s="5"/>
      <c r="N152" s="6"/>
      <c r="O152" s="5"/>
      <c r="P152" s="6"/>
      <c r="Q152" s="5"/>
      <c r="R152" s="6"/>
    </row>
    <row r="153" spans="1:18" s="12" customFormat="1" collapsed="1" x14ac:dyDescent="0.35">
      <c r="B153" s="7" t="s">
        <v>278</v>
      </c>
      <c r="D153" s="8">
        <f>SUM(OSRRefD14x_0)</f>
        <v>10703802.01</v>
      </c>
      <c r="E153" s="8"/>
      <c r="F153" s="8">
        <f>SUM(OSRRefF14x_0)</f>
        <v>10107301.400000004</v>
      </c>
      <c r="G153" s="8"/>
      <c r="H153" s="8">
        <f>SUM(OSRRefH14x_0)</f>
        <v>9943905.3999999985</v>
      </c>
      <c r="I153" s="8"/>
      <c r="J153" s="8">
        <f>SUM(OSRRefJ14x_0)</f>
        <v>9054654.7299999986</v>
      </c>
      <c r="K153" s="8"/>
      <c r="L153" s="8">
        <f>SUM(OSRRefL14x_0)</f>
        <v>9172554.1500000022</v>
      </c>
      <c r="M153" s="8"/>
      <c r="N153" s="8">
        <f>SUM(OSRRefN14x_0)</f>
        <v>7960436.9500000011</v>
      </c>
      <c r="O153" s="8"/>
      <c r="P153" s="8">
        <f>SUM(OSRRefP14x_0)</f>
        <v>7306656</v>
      </c>
      <c r="Q153" s="8"/>
      <c r="R153" s="8">
        <f>SUM(OSRRefR14x_0)</f>
        <v>7396773</v>
      </c>
    </row>
    <row r="154" spans="1:18" s="44" customFormat="1" hidden="1" outlineLevel="1" x14ac:dyDescent="0.35">
      <c r="A154" s="16"/>
      <c r="B154" s="35" t="str">
        <f>CONCATENATE("          ", "5000", " - ", "PURCHASES @ COST")</f>
        <v xml:space="preserve">          5000 - PURCHASES @ COST</v>
      </c>
      <c r="C154" s="16"/>
      <c r="D154" s="11"/>
      <c r="E154" s="16"/>
      <c r="F154" s="11"/>
      <c r="G154" s="3"/>
      <c r="H154" s="11"/>
      <c r="I154" s="3"/>
      <c r="J154" s="11">
        <v>172.8</v>
      </c>
      <c r="K154" s="3"/>
      <c r="L154" s="11">
        <v>20</v>
      </c>
      <c r="M154" s="3"/>
      <c r="N154" s="11">
        <v>0</v>
      </c>
      <c r="O154" s="3"/>
      <c r="P154" s="11">
        <v>7306656</v>
      </c>
      <c r="Q154" s="3"/>
      <c r="R154" s="11">
        <v>7396773</v>
      </c>
    </row>
    <row r="155" spans="1:18" s="44" customFormat="1" hidden="1" outlineLevel="1" x14ac:dyDescent="0.35">
      <c r="A155" s="16"/>
      <c r="B155" s="35" t="str">
        <f>CONCATENATE("          ", "5001", " - ", "PURCHASES @ COST-NEW TEXT")</f>
        <v xml:space="preserve">          5001 - PURCHASES @ COST-NEW TEXT</v>
      </c>
      <c r="C155" s="16"/>
      <c r="D155" s="11">
        <v>4879202.72</v>
      </c>
      <c r="E155" s="16"/>
      <c r="F155" s="11">
        <v>3900047.23</v>
      </c>
      <c r="G155" s="3"/>
      <c r="H155" s="11">
        <v>3863075.84</v>
      </c>
      <c r="I155" s="3"/>
      <c r="J155" s="11">
        <v>3273700.71</v>
      </c>
      <c r="K155" s="3"/>
      <c r="L155" s="11">
        <v>2431202.9900000002</v>
      </c>
      <c r="M155" s="3"/>
      <c r="N155" s="11">
        <v>1662669.27</v>
      </c>
      <c r="O155" s="3"/>
      <c r="P155" s="11"/>
      <c r="Q155" s="3"/>
      <c r="R155" s="11"/>
    </row>
    <row r="156" spans="1:18" s="44" customFormat="1" hidden="1" outlineLevel="1" x14ac:dyDescent="0.35">
      <c r="A156" s="16"/>
      <c r="B156" s="35" t="str">
        <f>CONCATENATE("          ", "5002", " - ", "PURCHASES @ COST-USED TEXT")</f>
        <v xml:space="preserve">          5002 - PURCHASES @ COST-USED TEXT</v>
      </c>
      <c r="C156" s="16"/>
      <c r="D156" s="11">
        <v>1724866.84</v>
      </c>
      <c r="E156" s="16"/>
      <c r="F156" s="11">
        <v>1525233.92</v>
      </c>
      <c r="G156" s="3"/>
      <c r="H156" s="11">
        <v>1225459.8899999999</v>
      </c>
      <c r="I156" s="3"/>
      <c r="J156" s="11">
        <v>1258537.1399999999</v>
      </c>
      <c r="K156" s="3"/>
      <c r="L156" s="11">
        <v>1006777.41</v>
      </c>
      <c r="M156" s="3"/>
      <c r="N156" s="11">
        <v>731343.19</v>
      </c>
      <c r="O156" s="3"/>
      <c r="P156" s="11"/>
      <c r="Q156" s="3"/>
      <c r="R156" s="11"/>
    </row>
    <row r="157" spans="1:18" s="44" customFormat="1" hidden="1" outlineLevel="1" x14ac:dyDescent="0.35">
      <c r="A157" s="16"/>
      <c r="B157" s="35" t="str">
        <f>CONCATENATE("          ", "5003", " - ", "PURCHASES @ COST-RENTAL TEXT")</f>
        <v xml:space="preserve">          5003 - PURCHASES @ COST-RENTAL TEXT</v>
      </c>
      <c r="C157" s="16"/>
      <c r="D157" s="11"/>
      <c r="E157" s="16"/>
      <c r="F157" s="11"/>
      <c r="G157" s="3"/>
      <c r="H157" s="11"/>
      <c r="I157" s="3"/>
      <c r="J157" s="11">
        <v>6149.3</v>
      </c>
      <c r="K157" s="3"/>
      <c r="L157" s="11">
        <v>15917.98</v>
      </c>
      <c r="M157" s="3"/>
      <c r="N157" s="11">
        <v>24578.2</v>
      </c>
      <c r="O157" s="3"/>
      <c r="P157" s="11"/>
      <c r="Q157" s="3"/>
      <c r="R157" s="11"/>
    </row>
    <row r="158" spans="1:18" s="44" customFormat="1" hidden="1" outlineLevel="1" x14ac:dyDescent="0.35">
      <c r="A158" s="16"/>
      <c r="B158" s="35" t="str">
        <f>CONCATENATE("          ", "5004", " - ", "PURCHASES @ COST-DIGITAL TEXT")</f>
        <v xml:space="preserve">          5004 - PURCHASES @ COST-DIGITAL TEXT</v>
      </c>
      <c r="C158" s="16"/>
      <c r="D158" s="11">
        <v>132546.79999999999</v>
      </c>
      <c r="E158" s="16"/>
      <c r="F158" s="11">
        <v>145666.69</v>
      </c>
      <c r="G158" s="3"/>
      <c r="H158" s="11">
        <v>240791.2</v>
      </c>
      <c r="I158" s="3"/>
      <c r="J158" s="11">
        <v>358061.45</v>
      </c>
      <c r="K158" s="3"/>
      <c r="L158" s="11">
        <v>507143.45</v>
      </c>
      <c r="M158" s="3"/>
      <c r="N158" s="11">
        <v>451308.6</v>
      </c>
      <c r="O158" s="3"/>
      <c r="P158" s="11"/>
      <c r="Q158" s="3"/>
      <c r="R158" s="11"/>
    </row>
    <row r="159" spans="1:18" s="44" customFormat="1" hidden="1" outlineLevel="1" x14ac:dyDescent="0.35">
      <c r="A159" s="16"/>
      <c r="B159" s="35" t="str">
        <f>CONCATENATE("          ", "5011", " - ", "PURCHASES @ COST-NO VALUE TEXT")</f>
        <v xml:space="preserve">          5011 - PURCHASES @ COST-NO VALUE TEXT</v>
      </c>
      <c r="C159" s="16"/>
      <c r="D159" s="11">
        <v>6675</v>
      </c>
      <c r="E159" s="16"/>
      <c r="F159" s="11">
        <v>7296</v>
      </c>
      <c r="G159" s="3"/>
      <c r="H159" s="11">
        <v>5721</v>
      </c>
      <c r="I159" s="3"/>
      <c r="J159" s="11">
        <v>6765</v>
      </c>
      <c r="K159" s="3"/>
      <c r="L159" s="11">
        <v>5295</v>
      </c>
      <c r="M159" s="3"/>
      <c r="N159" s="11">
        <v>6462</v>
      </c>
      <c r="O159" s="3"/>
      <c r="P159" s="11"/>
      <c r="Q159" s="3"/>
      <c r="R159" s="11"/>
    </row>
    <row r="160" spans="1:18" s="44" customFormat="1" hidden="1" outlineLevel="1" x14ac:dyDescent="0.35">
      <c r="A160" s="16"/>
      <c r="B160" s="35" t="str">
        <f>CONCATENATE("          ", "5012", " - ", "PURCHASES @ COST-MAGAZINES")</f>
        <v xml:space="preserve">          5012 - PURCHASES @ COST-MAGAZINES</v>
      </c>
      <c r="C160" s="16"/>
      <c r="D160" s="11"/>
      <c r="E160" s="16"/>
      <c r="F160" s="11">
        <v>48.61</v>
      </c>
      <c r="G160" s="3"/>
      <c r="H160" s="11"/>
      <c r="I160" s="3"/>
      <c r="J160" s="11"/>
      <c r="K160" s="3"/>
      <c r="L160" s="11"/>
      <c r="M160" s="3"/>
      <c r="N160" s="11"/>
      <c r="O160" s="3"/>
      <c r="P160" s="11"/>
      <c r="Q160" s="3"/>
      <c r="R160" s="11"/>
    </row>
    <row r="161" spans="1:18" s="44" customFormat="1" hidden="1" outlineLevel="1" x14ac:dyDescent="0.35">
      <c r="A161" s="16"/>
      <c r="B161" s="35" t="str">
        <f>CONCATENATE("          ", "5013", " - ", "PURCHASES @ COST-TRADE BOOKS")</f>
        <v xml:space="preserve">          5013 - PURCHASES @ COST-TRADE BOOKS</v>
      </c>
      <c r="C161" s="16"/>
      <c r="D161" s="11">
        <v>23643.49</v>
      </c>
      <c r="E161" s="16"/>
      <c r="F161" s="11">
        <v>15893.73</v>
      </c>
      <c r="G161" s="3"/>
      <c r="H161" s="11">
        <v>7649.14</v>
      </c>
      <c r="I161" s="3"/>
      <c r="J161" s="11">
        <v>7603.03</v>
      </c>
      <c r="K161" s="3"/>
      <c r="L161" s="11">
        <v>6715.59</v>
      </c>
      <c r="M161" s="3"/>
      <c r="N161" s="11">
        <v>2777.09</v>
      </c>
      <c r="O161" s="3"/>
      <c r="P161" s="11"/>
      <c r="Q161" s="3"/>
      <c r="R161" s="11"/>
    </row>
    <row r="162" spans="1:18" s="44" customFormat="1" hidden="1" outlineLevel="1" x14ac:dyDescent="0.35">
      <c r="A162" s="16"/>
      <c r="B162" s="35" t="str">
        <f>CONCATENATE("          ", "5014", " - ", "PURCHASES @ COST-REMAINDERS")</f>
        <v xml:space="preserve">          5014 - PURCHASES @ COST-REMAINDERS</v>
      </c>
      <c r="C162" s="16"/>
      <c r="D162" s="11"/>
      <c r="E162" s="16"/>
      <c r="F162" s="11">
        <v>1308.4100000000001</v>
      </c>
      <c r="G162" s="3"/>
      <c r="H162" s="11">
        <v>0</v>
      </c>
      <c r="I162" s="3"/>
      <c r="J162" s="11">
        <v>2568.8000000000002</v>
      </c>
      <c r="K162" s="3"/>
      <c r="L162" s="11">
        <v>1261.47</v>
      </c>
      <c r="M162" s="3"/>
      <c r="N162" s="11">
        <v>747.07</v>
      </c>
      <c r="O162" s="3"/>
      <c r="P162" s="11"/>
      <c r="Q162" s="3"/>
      <c r="R162" s="11"/>
    </row>
    <row r="163" spans="1:18" s="44" customFormat="1" hidden="1" outlineLevel="1" x14ac:dyDescent="0.35">
      <c r="A163" s="16"/>
      <c r="B163" s="35" t="str">
        <f>CONCATENATE("          ", "5015", " - ", "PURCHASES @ COST-CALENDARS")</f>
        <v xml:space="preserve">          5015 - PURCHASES @ COST-CALENDARS</v>
      </c>
      <c r="C163" s="16"/>
      <c r="D163" s="11">
        <v>2530.37</v>
      </c>
      <c r="E163" s="16"/>
      <c r="F163" s="11">
        <v>2659.06</v>
      </c>
      <c r="G163" s="3"/>
      <c r="H163" s="11"/>
      <c r="I163" s="3"/>
      <c r="J163" s="11"/>
      <c r="K163" s="3"/>
      <c r="L163" s="11"/>
      <c r="M163" s="3"/>
      <c r="N163" s="11"/>
      <c r="O163" s="3"/>
      <c r="P163" s="11"/>
      <c r="Q163" s="3"/>
      <c r="R163" s="11"/>
    </row>
    <row r="164" spans="1:18" s="44" customFormat="1" hidden="1" outlineLevel="1" x14ac:dyDescent="0.35">
      <c r="A164" s="16"/>
      <c r="B164" s="35" t="str">
        <f>CONCATENATE("          ", "5017", " - ", "PURCHASES @ COST-DORM/HOUSEWAR")</f>
        <v xml:space="preserve">          5017 - PURCHASES @ COST-DORM/HOUSEWAR</v>
      </c>
      <c r="C164" s="16"/>
      <c r="D164" s="11">
        <v>1414.67</v>
      </c>
      <c r="E164" s="16"/>
      <c r="F164" s="11"/>
      <c r="G164" s="3"/>
      <c r="H164" s="11"/>
      <c r="I164" s="3"/>
      <c r="J164" s="11">
        <v>3451.82</v>
      </c>
      <c r="K164" s="3"/>
      <c r="L164" s="11">
        <v>239.9</v>
      </c>
      <c r="M164" s="3"/>
      <c r="N164" s="11">
        <v>14.46</v>
      </c>
      <c r="O164" s="3"/>
      <c r="P164" s="11"/>
      <c r="Q164" s="3"/>
      <c r="R164" s="11"/>
    </row>
    <row r="165" spans="1:18" s="44" customFormat="1" hidden="1" outlineLevel="1" x14ac:dyDescent="0.35">
      <c r="A165" s="16"/>
      <c r="B165" s="35" t="str">
        <f>CONCATENATE("          ", "5018", " - ", "PURCHASES @ COST-STUDY GUIDES")</f>
        <v xml:space="preserve">          5018 - PURCHASES @ COST-STUDY GUIDES</v>
      </c>
      <c r="C165" s="16"/>
      <c r="D165" s="11">
        <v>5816.04</v>
      </c>
      <c r="E165" s="16"/>
      <c r="F165" s="11">
        <v>4459.92</v>
      </c>
      <c r="G165" s="3"/>
      <c r="H165" s="11">
        <v>4716.9799999999996</v>
      </c>
      <c r="I165" s="3"/>
      <c r="J165" s="11">
        <v>6227.2</v>
      </c>
      <c r="K165" s="3"/>
      <c r="L165" s="11">
        <v>3717</v>
      </c>
      <c r="M165" s="3"/>
      <c r="N165" s="11">
        <v>-454.52</v>
      </c>
      <c r="O165" s="3"/>
      <c r="P165" s="11"/>
      <c r="Q165" s="3"/>
      <c r="R165" s="11"/>
    </row>
    <row r="166" spans="1:18" s="44" customFormat="1" hidden="1" outlineLevel="1" x14ac:dyDescent="0.35">
      <c r="A166" s="16"/>
      <c r="B166" s="35" t="str">
        <f>CONCATENATE("          ", "5019", " - ", "PURCHASES @ COST-BOOK RELATED")</f>
        <v xml:space="preserve">          5019 - PURCHASES @ COST-BOOK RELATED</v>
      </c>
      <c r="C166" s="16"/>
      <c r="D166" s="11">
        <v>5234.41</v>
      </c>
      <c r="E166" s="16"/>
      <c r="F166" s="11">
        <v>6086.85</v>
      </c>
      <c r="G166" s="3"/>
      <c r="H166" s="11">
        <v>659.98</v>
      </c>
      <c r="I166" s="3"/>
      <c r="J166" s="11">
        <v>148.38</v>
      </c>
      <c r="K166" s="3"/>
      <c r="L166" s="11"/>
      <c r="M166" s="3"/>
      <c r="N166" s="11"/>
      <c r="O166" s="3"/>
      <c r="P166" s="11"/>
      <c r="Q166" s="3"/>
      <c r="R166" s="11"/>
    </row>
    <row r="167" spans="1:18" s="44" customFormat="1" hidden="1" outlineLevel="1" x14ac:dyDescent="0.35">
      <c r="A167" s="16"/>
      <c r="B167" s="35" t="str">
        <f>CONCATENATE("          ", "5025", " - ", "PURCHASES @ COST-TEST FORMS")</f>
        <v xml:space="preserve">          5025 - PURCHASES @ COST-TEST FORMS</v>
      </c>
      <c r="C167" s="16"/>
      <c r="D167" s="11">
        <v>21074.42</v>
      </c>
      <c r="E167" s="16"/>
      <c r="F167" s="11">
        <v>27919.040000000001</v>
      </c>
      <c r="G167" s="3"/>
      <c r="H167" s="11">
        <v>26579.64</v>
      </c>
      <c r="I167" s="3"/>
      <c r="J167" s="11">
        <v>27885.29</v>
      </c>
      <c r="K167" s="3"/>
      <c r="L167" s="11">
        <v>21295.599999999999</v>
      </c>
      <c r="M167" s="3"/>
      <c r="N167" s="11">
        <v>26400.39</v>
      </c>
      <c r="O167" s="3"/>
      <c r="P167" s="11"/>
      <c r="Q167" s="3"/>
      <c r="R167" s="11"/>
    </row>
    <row r="168" spans="1:18" s="44" customFormat="1" hidden="1" outlineLevel="1" x14ac:dyDescent="0.35">
      <c r="A168" s="16"/>
      <c r="B168" s="35" t="str">
        <f>CONCATENATE("          ", "5026", " - ", "PURCHASES @ COST-WRITING INSTR")</f>
        <v xml:space="preserve">          5026 - PURCHASES @ COST-WRITING INSTR</v>
      </c>
      <c r="C168" s="16"/>
      <c r="D168" s="11">
        <v>46008.37</v>
      </c>
      <c r="E168" s="16"/>
      <c r="F168" s="11">
        <v>51715.06</v>
      </c>
      <c r="G168" s="3"/>
      <c r="H168" s="11">
        <v>55045.67</v>
      </c>
      <c r="I168" s="3"/>
      <c r="J168" s="11">
        <v>44843.66</v>
      </c>
      <c r="K168" s="3"/>
      <c r="L168" s="11">
        <v>54938.31</v>
      </c>
      <c r="M168" s="3"/>
      <c r="N168" s="11">
        <v>44186.57</v>
      </c>
      <c r="O168" s="3"/>
      <c r="P168" s="11"/>
      <c r="Q168" s="3"/>
      <c r="R168" s="11"/>
    </row>
    <row r="169" spans="1:18" s="44" customFormat="1" hidden="1" outlineLevel="1" x14ac:dyDescent="0.35">
      <c r="A169" s="16"/>
      <c r="B169" s="35" t="str">
        <f>CONCATENATE("          ", "5027", " - ", "PURCHASES @ COST-SCHOOL SUPPLI")</f>
        <v xml:space="preserve">          5027 - PURCHASES @ COST-SCHOOL SUPPLI</v>
      </c>
      <c r="C169" s="16"/>
      <c r="D169" s="11">
        <v>164788.62</v>
      </c>
      <c r="E169" s="16"/>
      <c r="F169" s="11">
        <v>178356.07</v>
      </c>
      <c r="G169" s="3"/>
      <c r="H169" s="11">
        <v>155465.81</v>
      </c>
      <c r="I169" s="3"/>
      <c r="J169" s="11">
        <v>172464.31</v>
      </c>
      <c r="K169" s="3"/>
      <c r="L169" s="11">
        <v>168868.3</v>
      </c>
      <c r="M169" s="3"/>
      <c r="N169" s="11">
        <v>153162.12</v>
      </c>
      <c r="O169" s="3"/>
      <c r="P169" s="11"/>
      <c r="Q169" s="3"/>
      <c r="R169" s="11"/>
    </row>
    <row r="170" spans="1:18" s="44" customFormat="1" hidden="1" outlineLevel="1" x14ac:dyDescent="0.35">
      <c r="A170" s="16"/>
      <c r="B170" s="35" t="str">
        <f>CONCATENATE("          ", "5028", " - ", "PURCHASES @ COST-ART/TECH")</f>
        <v xml:space="preserve">          5028 - PURCHASES @ COST-ART/TECH</v>
      </c>
      <c r="C170" s="16"/>
      <c r="D170" s="11">
        <v>183333.92</v>
      </c>
      <c r="E170" s="16"/>
      <c r="F170" s="11">
        <v>197868.04</v>
      </c>
      <c r="G170" s="3"/>
      <c r="H170" s="11">
        <v>186438.47</v>
      </c>
      <c r="I170" s="3"/>
      <c r="J170" s="11">
        <v>196144.24</v>
      </c>
      <c r="K170" s="3"/>
      <c r="L170" s="11">
        <v>178081.3</v>
      </c>
      <c r="M170" s="3"/>
      <c r="N170" s="11">
        <v>158554.31</v>
      </c>
      <c r="O170" s="3"/>
      <c r="P170" s="11"/>
      <c r="Q170" s="3"/>
      <c r="R170" s="11"/>
    </row>
    <row r="171" spans="1:18" s="44" customFormat="1" hidden="1" outlineLevel="1" x14ac:dyDescent="0.35">
      <c r="A171" s="16"/>
      <c r="B171" s="35" t="str">
        <f>CONCATENATE("          ", "5031", " - ", "PURCHASES @ COST-FOOD")</f>
        <v xml:space="preserve">          5031 - PURCHASES @ COST-FOOD</v>
      </c>
      <c r="C171" s="16"/>
      <c r="D171" s="11">
        <v>27168.41</v>
      </c>
      <c r="E171" s="16"/>
      <c r="F171" s="11">
        <v>33416.9</v>
      </c>
      <c r="G171" s="3"/>
      <c r="H171" s="11">
        <v>45727.41</v>
      </c>
      <c r="I171" s="3"/>
      <c r="J171" s="11">
        <v>42979.55</v>
      </c>
      <c r="K171" s="3"/>
      <c r="L171" s="11">
        <v>39394.629999999997</v>
      </c>
      <c r="M171" s="3"/>
      <c r="N171" s="11">
        <v>33239.879999999997</v>
      </c>
      <c r="O171" s="3"/>
      <c r="P171" s="11"/>
      <c r="Q171" s="3"/>
      <c r="R171" s="11"/>
    </row>
    <row r="172" spans="1:18" s="44" customFormat="1" hidden="1" outlineLevel="1" x14ac:dyDescent="0.35">
      <c r="A172" s="16"/>
      <c r="B172" s="35" t="str">
        <f>CONCATENATE("          ", "5032", " - ", "PURCHASES @ COST-JUICE")</f>
        <v xml:space="preserve">          5032 - PURCHASES @ COST-JUICE</v>
      </c>
      <c r="C172" s="16"/>
      <c r="D172" s="11">
        <v>11186.97</v>
      </c>
      <c r="E172" s="16"/>
      <c r="F172" s="11">
        <v>12614.91</v>
      </c>
      <c r="G172" s="3"/>
      <c r="H172" s="11">
        <v>12192.02</v>
      </c>
      <c r="I172" s="3"/>
      <c r="J172" s="11">
        <v>10424.870000000001</v>
      </c>
      <c r="K172" s="3"/>
      <c r="L172" s="11">
        <v>10038.59</v>
      </c>
      <c r="M172" s="3"/>
      <c r="N172" s="11">
        <v>7802.45</v>
      </c>
      <c r="O172" s="3"/>
      <c r="P172" s="11"/>
      <c r="Q172" s="3"/>
      <c r="R172" s="11"/>
    </row>
    <row r="173" spans="1:18" s="44" customFormat="1" hidden="1" outlineLevel="1" x14ac:dyDescent="0.35">
      <c r="A173" s="16"/>
      <c r="B173" s="35" t="str">
        <f>CONCATENATE("          ", "5033", " - ", "PURCHASES @ COST-CANDY")</f>
        <v xml:space="preserve">          5033 - PURCHASES @ COST-CANDY</v>
      </c>
      <c r="C173" s="16"/>
      <c r="D173" s="11">
        <v>15944.82</v>
      </c>
      <c r="E173" s="16"/>
      <c r="F173" s="11">
        <v>18911.07</v>
      </c>
      <c r="G173" s="3"/>
      <c r="H173" s="11">
        <v>14003.16</v>
      </c>
      <c r="I173" s="3"/>
      <c r="J173" s="11">
        <v>9927</v>
      </c>
      <c r="K173" s="3"/>
      <c r="L173" s="11">
        <v>10043.27</v>
      </c>
      <c r="M173" s="3"/>
      <c r="N173" s="11">
        <v>9998.41</v>
      </c>
      <c r="O173" s="3"/>
      <c r="P173" s="11"/>
      <c r="Q173" s="3"/>
      <c r="R173" s="11"/>
    </row>
    <row r="174" spans="1:18" s="44" customFormat="1" hidden="1" outlineLevel="1" x14ac:dyDescent="0.35">
      <c r="A174" s="16"/>
      <c r="B174" s="35" t="str">
        <f>CONCATENATE("          ", "5034", " - ", "PURCHASES @ COST-SODA")</f>
        <v xml:space="preserve">          5034 - PURCHASES @ COST-SODA</v>
      </c>
      <c r="C174" s="16"/>
      <c r="D174" s="11">
        <v>3990.6</v>
      </c>
      <c r="E174" s="16"/>
      <c r="F174" s="11">
        <v>3908.57</v>
      </c>
      <c r="G174" s="3"/>
      <c r="H174" s="11">
        <v>4978.3900000000003</v>
      </c>
      <c r="I174" s="3"/>
      <c r="J174" s="11">
        <v>5525.26</v>
      </c>
      <c r="K174" s="3"/>
      <c r="L174" s="11">
        <v>3996.87</v>
      </c>
      <c r="M174" s="3"/>
      <c r="N174" s="11">
        <v>4033.88</v>
      </c>
      <c r="O174" s="3"/>
      <c r="P174" s="11"/>
      <c r="Q174" s="3"/>
      <c r="R174" s="11"/>
    </row>
    <row r="175" spans="1:18" s="44" customFormat="1" hidden="1" outlineLevel="1" x14ac:dyDescent="0.35">
      <c r="A175" s="16"/>
      <c r="B175" s="35" t="str">
        <f>CONCATENATE("          ", "5035", " - ", "PURCHASES @ COST-HEALTH &amp; BEAU")</f>
        <v xml:space="preserve">          5035 - PURCHASES @ COST-HEALTH &amp; BEAU</v>
      </c>
      <c r="C175" s="16"/>
      <c r="D175" s="11">
        <v>792.67</v>
      </c>
      <c r="E175" s="16"/>
      <c r="F175" s="11">
        <v>1167.97</v>
      </c>
      <c r="G175" s="3"/>
      <c r="H175" s="11">
        <v>1842.37</v>
      </c>
      <c r="I175" s="3"/>
      <c r="J175" s="11">
        <v>1744.79</v>
      </c>
      <c r="K175" s="3"/>
      <c r="L175" s="11">
        <v>1219.07</v>
      </c>
      <c r="M175" s="3"/>
      <c r="N175" s="11">
        <v>1117.6500000000001</v>
      </c>
      <c r="O175" s="3"/>
      <c r="P175" s="11"/>
      <c r="Q175" s="3"/>
      <c r="R175" s="11"/>
    </row>
    <row r="176" spans="1:18" s="44" customFormat="1" hidden="1" outlineLevel="1" x14ac:dyDescent="0.35">
      <c r="A176" s="16"/>
      <c r="B176" s="35" t="str">
        <f>CONCATENATE("          ", "5037", " - ", "PURCHASES @ COST-WATER")</f>
        <v xml:space="preserve">          5037 - PURCHASES @ COST-WATER</v>
      </c>
      <c r="C176" s="16"/>
      <c r="D176" s="11">
        <v>6123.42</v>
      </c>
      <c r="E176" s="16"/>
      <c r="F176" s="11">
        <v>6136.26</v>
      </c>
      <c r="G176" s="3"/>
      <c r="H176" s="11">
        <v>5251.91</v>
      </c>
      <c r="I176" s="3"/>
      <c r="J176" s="11">
        <v>5729.06</v>
      </c>
      <c r="K176" s="3"/>
      <c r="L176" s="11">
        <v>6290.29</v>
      </c>
      <c r="M176" s="3"/>
      <c r="N176" s="11">
        <v>5693.57</v>
      </c>
      <c r="O176" s="3"/>
      <c r="P176" s="11"/>
      <c r="Q176" s="3"/>
      <c r="R176" s="11"/>
    </row>
    <row r="177" spans="1:18" s="44" customFormat="1" hidden="1" outlineLevel="1" x14ac:dyDescent="0.35">
      <c r="A177" s="16"/>
      <c r="B177" s="35" t="str">
        <f>CONCATENATE("          ", "5040", " - ", "PURCHASES @ COST-LOGO CLOTHING")</f>
        <v xml:space="preserve">          5040 - PURCHASES @ COST-LOGO CLOTHING</v>
      </c>
      <c r="C177" s="16"/>
      <c r="D177" s="11">
        <v>847287.44</v>
      </c>
      <c r="E177" s="16"/>
      <c r="F177" s="11">
        <v>991136.65</v>
      </c>
      <c r="G177" s="3"/>
      <c r="H177" s="11">
        <v>1087573.07</v>
      </c>
      <c r="I177" s="3"/>
      <c r="J177" s="11">
        <v>1108851</v>
      </c>
      <c r="K177" s="3"/>
      <c r="L177" s="11">
        <v>1080553.1200000001</v>
      </c>
      <c r="M177" s="3"/>
      <c r="N177" s="11">
        <v>982941.51</v>
      </c>
      <c r="O177" s="3"/>
      <c r="P177" s="11"/>
      <c r="Q177" s="3"/>
      <c r="R177" s="11"/>
    </row>
    <row r="178" spans="1:18" s="44" customFormat="1" hidden="1" outlineLevel="1" x14ac:dyDescent="0.35">
      <c r="A178" s="16"/>
      <c r="B178" s="35" t="str">
        <f>CONCATENATE("          ", "5041", " - ", "PURCHASES @ COST-LOGO GIFTS")</f>
        <v xml:space="preserve">          5041 - PURCHASES @ COST-LOGO GIFTS</v>
      </c>
      <c r="C178" s="16"/>
      <c r="D178" s="11">
        <v>249651.27</v>
      </c>
      <c r="E178" s="16"/>
      <c r="F178" s="11">
        <v>266168.43</v>
      </c>
      <c r="G178" s="3"/>
      <c r="H178" s="11">
        <v>290516.88</v>
      </c>
      <c r="I178" s="3"/>
      <c r="J178" s="11">
        <v>293142.75</v>
      </c>
      <c r="K178" s="3"/>
      <c r="L178" s="11">
        <v>323814.98</v>
      </c>
      <c r="M178" s="3"/>
      <c r="N178" s="11">
        <v>162844.63</v>
      </c>
      <c r="O178" s="3"/>
      <c r="P178" s="11"/>
      <c r="Q178" s="3"/>
      <c r="R178" s="11"/>
    </row>
    <row r="179" spans="1:18" s="44" customFormat="1" hidden="1" outlineLevel="1" x14ac:dyDescent="0.35">
      <c r="A179" s="16"/>
      <c r="B179" s="35" t="str">
        <f>CONCATENATE("          ", "5042", " - ", "PURCHASES @ COST-EVERYDAY GIFT")</f>
        <v xml:space="preserve">          5042 - PURCHASES @ COST-EVERYDAY GIFT</v>
      </c>
      <c r="C179" s="16"/>
      <c r="D179" s="11">
        <v>46184.45</v>
      </c>
      <c r="E179" s="16"/>
      <c r="F179" s="11">
        <v>57437.81</v>
      </c>
      <c r="G179" s="3"/>
      <c r="H179" s="11">
        <v>63500.18</v>
      </c>
      <c r="I179" s="3"/>
      <c r="J179" s="11">
        <v>127577.98</v>
      </c>
      <c r="K179" s="3"/>
      <c r="L179" s="11">
        <v>143887.1</v>
      </c>
      <c r="M179" s="3"/>
      <c r="N179" s="11">
        <v>125778.55</v>
      </c>
      <c r="O179" s="3"/>
      <c r="P179" s="11"/>
      <c r="Q179" s="3"/>
      <c r="R179" s="11"/>
    </row>
    <row r="180" spans="1:18" s="44" customFormat="1" hidden="1" outlineLevel="1" x14ac:dyDescent="0.35">
      <c r="A180" s="16"/>
      <c r="B180" s="35" t="str">
        <f>CONCATENATE("          ", "5043", " - ", "PURCHASES @ COST-CARDS")</f>
        <v xml:space="preserve">          5043 - PURCHASES @ COST-CARDS</v>
      </c>
      <c r="C180" s="16"/>
      <c r="D180" s="11">
        <v>18266.72</v>
      </c>
      <c r="E180" s="16"/>
      <c r="F180" s="11">
        <v>16408.27</v>
      </c>
      <c r="G180" s="3"/>
      <c r="H180" s="11">
        <v>2227.88</v>
      </c>
      <c r="I180" s="3"/>
      <c r="J180" s="11">
        <v>4641.3599999999997</v>
      </c>
      <c r="K180" s="3"/>
      <c r="L180" s="11">
        <v>3631.23</v>
      </c>
      <c r="M180" s="3"/>
      <c r="N180" s="11">
        <v>30914.66</v>
      </c>
      <c r="O180" s="3"/>
      <c r="P180" s="11"/>
      <c r="Q180" s="3"/>
      <c r="R180" s="11"/>
    </row>
    <row r="181" spans="1:18" s="44" customFormat="1" hidden="1" outlineLevel="1" x14ac:dyDescent="0.35">
      <c r="A181" s="16"/>
      <c r="B181" s="35" t="str">
        <f>CONCATENATE("          ", "5044", " - ", "PURCHASES @ COST-ACCESSORIES")</f>
        <v xml:space="preserve">          5044 - PURCHASES @ COST-ACCESSORIES</v>
      </c>
      <c r="C181" s="16"/>
      <c r="D181" s="11">
        <v>37989.160000000003</v>
      </c>
      <c r="E181" s="16"/>
      <c r="F181" s="11">
        <v>43577.53</v>
      </c>
      <c r="G181" s="3"/>
      <c r="H181" s="11">
        <v>29753.37</v>
      </c>
      <c r="I181" s="3"/>
      <c r="J181" s="11">
        <v>39851.769999999997</v>
      </c>
      <c r="K181" s="3"/>
      <c r="L181" s="11">
        <v>37653.61</v>
      </c>
      <c r="M181" s="3"/>
      <c r="N181" s="11">
        <v>37869.03</v>
      </c>
      <c r="O181" s="3"/>
      <c r="P181" s="11"/>
      <c r="Q181" s="3"/>
      <c r="R181" s="11"/>
    </row>
    <row r="182" spans="1:18" s="44" customFormat="1" hidden="1" outlineLevel="1" x14ac:dyDescent="0.35">
      <c r="A182" s="16"/>
      <c r="B182" s="35" t="str">
        <f>CONCATENATE("          ", "5045", " - ", "PURCHASES @ COST-SPECIAL ORDER")</f>
        <v xml:space="preserve">          5045 - PURCHASES @ COST-SPECIAL ORDER</v>
      </c>
      <c r="C182" s="16"/>
      <c r="D182" s="11">
        <v>80402.06</v>
      </c>
      <c r="E182" s="16"/>
      <c r="F182" s="11">
        <v>75693.570000000007</v>
      </c>
      <c r="G182" s="3"/>
      <c r="H182" s="11">
        <v>138273.57999999999</v>
      </c>
      <c r="I182" s="3"/>
      <c r="J182" s="11">
        <v>125479.66</v>
      </c>
      <c r="K182" s="3"/>
      <c r="L182" s="11">
        <v>157881.60999999999</v>
      </c>
      <c r="M182" s="3"/>
      <c r="N182" s="11">
        <v>131614.81</v>
      </c>
      <c r="O182" s="3"/>
      <c r="P182" s="11"/>
      <c r="Q182" s="3"/>
      <c r="R182" s="11"/>
    </row>
    <row r="183" spans="1:18" s="44" customFormat="1" hidden="1" outlineLevel="1" x14ac:dyDescent="0.35">
      <c r="A183" s="16"/>
      <c r="B183" s="35" t="str">
        <f>CONCATENATE("          ", "5081", " - ", "PURCHASES @ COST-ELECTRONICS")</f>
        <v xml:space="preserve">          5081 - PURCHASES @ COST-ELECTRONICS</v>
      </c>
      <c r="C183" s="16"/>
      <c r="D183" s="11">
        <v>87679.76</v>
      </c>
      <c r="E183" s="16"/>
      <c r="F183" s="11">
        <v>132249.53</v>
      </c>
      <c r="G183" s="3"/>
      <c r="H183" s="11">
        <v>163933.5</v>
      </c>
      <c r="I183" s="3"/>
      <c r="J183" s="11">
        <v>267563.89</v>
      </c>
      <c r="K183" s="3"/>
      <c r="L183" s="11">
        <v>238614.98</v>
      </c>
      <c r="M183" s="3"/>
      <c r="N183" s="11">
        <v>260296.33</v>
      </c>
      <c r="O183" s="3"/>
      <c r="P183" s="11"/>
      <c r="Q183" s="3"/>
      <c r="R183" s="11"/>
    </row>
    <row r="184" spans="1:18" s="44" customFormat="1" hidden="1" outlineLevel="1" x14ac:dyDescent="0.35">
      <c r="A184" s="16"/>
      <c r="B184" s="35" t="str">
        <f>CONCATENATE("          ", "5082", " - ", "PURCHASES @ COST-COMPUTER HARD")</f>
        <v xml:space="preserve">          5082 - PURCHASES @ COST-COMPUTER HARD</v>
      </c>
      <c r="C184" s="16"/>
      <c r="D184" s="11">
        <v>1881910.11</v>
      </c>
      <c r="E184" s="16"/>
      <c r="F184" s="11">
        <v>2119626.5299999998</v>
      </c>
      <c r="G184" s="3"/>
      <c r="H184" s="11">
        <v>1942325.26</v>
      </c>
      <c r="I184" s="3"/>
      <c r="J184" s="11">
        <v>1415311.99</v>
      </c>
      <c r="K184" s="3"/>
      <c r="L184" s="11">
        <v>1965346.54</v>
      </c>
      <c r="M184" s="3"/>
      <c r="N184" s="11">
        <v>1831850.83</v>
      </c>
      <c r="O184" s="3"/>
      <c r="P184" s="11"/>
      <c r="Q184" s="3"/>
      <c r="R184" s="11"/>
    </row>
    <row r="185" spans="1:18" s="44" customFormat="1" hidden="1" outlineLevel="1" x14ac:dyDescent="0.35">
      <c r="A185" s="16"/>
      <c r="B185" s="35" t="str">
        <f>CONCATENATE("          ", "5083", " - ", "PURCHASES @ COST-COMPUTER EQUI")</f>
        <v xml:space="preserve">          5083 - PURCHASES @ COST-COMPUTER EQUI</v>
      </c>
      <c r="C185" s="16"/>
      <c r="D185" s="11">
        <v>72529.350000000006</v>
      </c>
      <c r="E185" s="16"/>
      <c r="F185" s="11">
        <v>115838.88</v>
      </c>
      <c r="G185" s="3"/>
      <c r="H185" s="11">
        <v>115507.54</v>
      </c>
      <c r="I185" s="3"/>
      <c r="J185" s="11">
        <v>112783.73</v>
      </c>
      <c r="K185" s="3"/>
      <c r="L185" s="11">
        <v>111716.08</v>
      </c>
      <c r="M185" s="3"/>
      <c r="N185" s="11">
        <v>107819.31</v>
      </c>
      <c r="O185" s="3"/>
      <c r="P185" s="11"/>
      <c r="Q185" s="3"/>
      <c r="R185" s="11"/>
    </row>
    <row r="186" spans="1:18" s="44" customFormat="1" hidden="1" outlineLevel="1" x14ac:dyDescent="0.35">
      <c r="A186" s="16"/>
      <c r="B186" s="35" t="str">
        <f>CONCATENATE("          ", "5084", " - ", "PURCHASES @ COST-SOFTWARE LICE")</f>
        <v xml:space="preserve">          5084 - PURCHASES @ COST-SOFTWARE LICE</v>
      </c>
      <c r="C186" s="16"/>
      <c r="D186" s="11">
        <v>1042.55</v>
      </c>
      <c r="E186" s="16"/>
      <c r="F186" s="11">
        <v>941.89</v>
      </c>
      <c r="G186" s="3"/>
      <c r="H186" s="11">
        <v>661.55</v>
      </c>
      <c r="I186" s="3"/>
      <c r="J186" s="11">
        <v>525.54999999999995</v>
      </c>
      <c r="K186" s="3"/>
      <c r="L186" s="11">
        <v>5183</v>
      </c>
      <c r="M186" s="3"/>
      <c r="N186" s="11">
        <v>2728</v>
      </c>
      <c r="O186" s="3"/>
      <c r="P186" s="11"/>
      <c r="Q186" s="3"/>
      <c r="R186" s="11"/>
    </row>
    <row r="187" spans="1:18" s="44" customFormat="1" hidden="1" outlineLevel="1" x14ac:dyDescent="0.35">
      <c r="A187" s="16"/>
      <c r="B187" s="35" t="str">
        <f>CONCATENATE("          ", "5085", " - ", "PURCHASES @ COST-SOFTWARE")</f>
        <v xml:space="preserve">          5085 - PURCHASES @ COST-SOFTWARE</v>
      </c>
      <c r="C187" s="16"/>
      <c r="D187" s="11">
        <v>19066.349999999999</v>
      </c>
      <c r="E187" s="16"/>
      <c r="F187" s="11">
        <v>17377.990000000002</v>
      </c>
      <c r="G187" s="3"/>
      <c r="H187" s="11">
        <v>15223.87</v>
      </c>
      <c r="I187" s="3"/>
      <c r="J187" s="11">
        <v>28339.68</v>
      </c>
      <c r="K187" s="3"/>
      <c r="L187" s="11">
        <v>12963.48</v>
      </c>
      <c r="M187" s="3"/>
      <c r="N187" s="11">
        <v>17324.650000000001</v>
      </c>
      <c r="O187" s="3"/>
      <c r="P187" s="11"/>
      <c r="Q187" s="3"/>
      <c r="R187" s="11"/>
    </row>
    <row r="188" spans="1:18" s="44" customFormat="1" hidden="1" outlineLevel="1" x14ac:dyDescent="0.35">
      <c r="A188" s="16"/>
      <c r="B188" s="35" t="str">
        <f>CONCATENATE("          ", "5086", " - ", "PURCHASES @ COST-COMPUTER SUPP")</f>
        <v xml:space="preserve">          5086 - PURCHASES @ COST-COMPUTER SUPP</v>
      </c>
      <c r="C188" s="16"/>
      <c r="D188" s="11">
        <v>29306.720000000001</v>
      </c>
      <c r="E188" s="16"/>
      <c r="F188" s="11">
        <v>62269.51</v>
      </c>
      <c r="G188" s="3"/>
      <c r="H188" s="11">
        <v>48616.19</v>
      </c>
      <c r="I188" s="3"/>
      <c r="J188" s="11">
        <v>44701.93</v>
      </c>
      <c r="K188" s="3"/>
      <c r="L188" s="11">
        <v>62151.839999999997</v>
      </c>
      <c r="M188" s="3"/>
      <c r="N188" s="11">
        <v>30436.54</v>
      </c>
      <c r="O188" s="3"/>
      <c r="P188" s="11"/>
      <c r="Q188" s="3"/>
      <c r="R188" s="11"/>
    </row>
    <row r="189" spans="1:18" s="44" customFormat="1" hidden="1" outlineLevel="1" x14ac:dyDescent="0.35">
      <c r="A189" s="16"/>
      <c r="B189" s="35" t="str">
        <f>CONCATENATE("          ", "5088", " - ", "PURCHASES @ COST-MUSIC")</f>
        <v xml:space="preserve">          5088 - PURCHASES @ COST-MUSIC</v>
      </c>
      <c r="C189" s="16"/>
      <c r="D189" s="11"/>
      <c r="E189" s="16"/>
      <c r="F189" s="11">
        <v>8393.5499999999993</v>
      </c>
      <c r="G189" s="3"/>
      <c r="H189" s="11">
        <v>5291.05</v>
      </c>
      <c r="I189" s="3"/>
      <c r="J189" s="11">
        <v>3590.95</v>
      </c>
      <c r="K189" s="3"/>
      <c r="L189" s="11">
        <v>2245</v>
      </c>
      <c r="M189" s="3"/>
      <c r="N189" s="11">
        <v>95.65</v>
      </c>
      <c r="O189" s="3"/>
      <c r="P189" s="11"/>
      <c r="Q189" s="3"/>
      <c r="R189" s="11"/>
    </row>
    <row r="190" spans="1:18" s="44" customFormat="1" hidden="1" outlineLevel="1" x14ac:dyDescent="0.35">
      <c r="A190" s="16"/>
      <c r="B190" s="35" t="str">
        <f>CONCATENATE("          ", "5091", " - ", "PURCHASES @ COST-GRAD ANNOUNCE")</f>
        <v xml:space="preserve">          5091 - PURCHASES @ COST-GRAD ANNOUNCE</v>
      </c>
      <c r="C190" s="16"/>
      <c r="D190" s="11">
        <v>478.5</v>
      </c>
      <c r="E190" s="16"/>
      <c r="F190" s="11">
        <v>715</v>
      </c>
      <c r="G190" s="3"/>
      <c r="H190" s="11"/>
      <c r="I190" s="3"/>
      <c r="J190" s="11">
        <v>0</v>
      </c>
      <c r="K190" s="3"/>
      <c r="L190" s="11"/>
      <c r="M190" s="3"/>
      <c r="N190" s="11"/>
      <c r="O190" s="3"/>
      <c r="P190" s="11"/>
      <c r="Q190" s="3"/>
      <c r="R190" s="11"/>
    </row>
    <row r="191" spans="1:18" s="44" customFormat="1" hidden="1" outlineLevel="1" x14ac:dyDescent="0.35">
      <c r="A191" s="16"/>
      <c r="B191" s="35" t="str">
        <f>CONCATENATE("          ", "5092", " - ", "PURCHASES @ COST-GRAD MERCH")</f>
        <v xml:space="preserve">          5092 - PURCHASES @ COST-GRAD MERCH</v>
      </c>
      <c r="C191" s="16"/>
      <c r="D191" s="11">
        <v>128753.82</v>
      </c>
      <c r="E191" s="16"/>
      <c r="F191" s="11">
        <v>155039.99</v>
      </c>
      <c r="G191" s="3"/>
      <c r="H191" s="11">
        <v>187802.28</v>
      </c>
      <c r="I191" s="3"/>
      <c r="J191" s="11">
        <v>207987.96</v>
      </c>
      <c r="K191" s="3"/>
      <c r="L191" s="11">
        <v>96915.8</v>
      </c>
      <c r="M191" s="3"/>
      <c r="N191" s="11">
        <v>13839.98</v>
      </c>
      <c r="O191" s="3"/>
      <c r="P191" s="11"/>
      <c r="Q191" s="3"/>
      <c r="R191" s="11"/>
    </row>
    <row r="192" spans="1:18" s="44" customFormat="1" hidden="1" outlineLevel="1" x14ac:dyDescent="0.35">
      <c r="A192" s="16"/>
      <c r="B192" s="35" t="str">
        <f>CONCATENATE("          ", "5095", " - ", "PURCHASES @ COST-CUSTOMER SERV")</f>
        <v xml:space="preserve">          5095 - PURCHASES @ COST-CUSTOMER SERV</v>
      </c>
      <c r="C192" s="16"/>
      <c r="D192" s="11">
        <v>0</v>
      </c>
      <c r="E192" s="16"/>
      <c r="F192" s="11">
        <v>-1.68</v>
      </c>
      <c r="G192" s="3"/>
      <c r="H192" s="11">
        <v>0</v>
      </c>
      <c r="I192" s="3"/>
      <c r="J192" s="11">
        <v>0</v>
      </c>
      <c r="K192" s="3"/>
      <c r="L192" s="11">
        <v>0</v>
      </c>
      <c r="M192" s="3"/>
      <c r="N192" s="11">
        <v>0</v>
      </c>
      <c r="O192" s="3"/>
      <c r="P192" s="11"/>
      <c r="Q192" s="3"/>
      <c r="R192" s="11"/>
    </row>
    <row r="193" spans="1:18" s="44" customFormat="1" hidden="1" outlineLevel="1" x14ac:dyDescent="0.35">
      <c r="A193" s="16"/>
      <c r="B193" s="35" t="str">
        <f>CONCATENATE("          ", "5200", " - ", "PURCHASES OFFSET")</f>
        <v xml:space="preserve">          5200 - PURCHASES OFFSET</v>
      </c>
      <c r="C193" s="16"/>
      <c r="D193" s="11">
        <v>-8946334</v>
      </c>
      <c r="E193" s="16"/>
      <c r="F193" s="11">
        <v>-8568454</v>
      </c>
      <c r="G193" s="3"/>
      <c r="H193" s="11">
        <v>-8636188</v>
      </c>
      <c r="I193" s="3"/>
      <c r="J193" s="11">
        <v>-7616486</v>
      </c>
      <c r="K193" s="3"/>
      <c r="L193" s="11">
        <v>-7325548</v>
      </c>
      <c r="M193" s="3"/>
      <c r="N193" s="11">
        <v>-6025314</v>
      </c>
      <c r="O193" s="3"/>
      <c r="P193" s="11"/>
      <c r="Q193" s="3"/>
      <c r="R193" s="11"/>
    </row>
    <row r="194" spans="1:18" s="44" customFormat="1" hidden="1" outlineLevel="1" x14ac:dyDescent="0.35">
      <c r="A194" s="16"/>
      <c r="B194" s="35" t="str">
        <f>CONCATENATE("          ", "5300", " - ", "COG$ OFFSET")</f>
        <v xml:space="preserve">          5300 - COG$ OFFSET</v>
      </c>
      <c r="C194" s="16"/>
      <c r="D194" s="11">
        <v>8705985</v>
      </c>
      <c r="E194" s="16"/>
      <c r="F194" s="11">
        <v>8309230</v>
      </c>
      <c r="G194" s="3"/>
      <c r="H194" s="11">
        <v>8494844</v>
      </c>
      <c r="I194" s="3"/>
      <c r="J194" s="11">
        <v>7309852</v>
      </c>
      <c r="K194" s="3"/>
      <c r="L194" s="11">
        <v>7638476</v>
      </c>
      <c r="M194" s="3"/>
      <c r="N194" s="11">
        <v>6784339</v>
      </c>
      <c r="O194" s="3"/>
      <c r="P194" s="11"/>
      <c r="Q194" s="3"/>
      <c r="R194" s="11"/>
    </row>
    <row r="195" spans="1:18" s="44" customFormat="1" hidden="1" outlineLevel="1" x14ac:dyDescent="0.35">
      <c r="A195" s="16"/>
      <c r="B195" s="35" t="str">
        <f>CONCATENATE("          ", "5500", " - ", "FREIGHT-IN")</f>
        <v xml:space="preserve">          5500 - FREIGHT-IN</v>
      </c>
      <c r="C195" s="16"/>
      <c r="D195" s="11"/>
      <c r="E195" s="16"/>
      <c r="F195" s="11"/>
      <c r="G195" s="3"/>
      <c r="H195" s="11"/>
      <c r="I195" s="3"/>
      <c r="J195" s="11">
        <v>253.26</v>
      </c>
      <c r="K195" s="3"/>
      <c r="L195" s="11">
        <v>202.99</v>
      </c>
      <c r="M195" s="3"/>
      <c r="N195" s="11">
        <v>239.61</v>
      </c>
      <c r="O195" s="3"/>
      <c r="P195" s="11"/>
      <c r="Q195" s="3"/>
      <c r="R195" s="11"/>
    </row>
    <row r="196" spans="1:18" s="44" customFormat="1" hidden="1" outlineLevel="1" x14ac:dyDescent="0.35">
      <c r="A196" s="16"/>
      <c r="B196" s="35" t="str">
        <f>CONCATENATE("          ", "5501", " - ", "FREIGHT-IN-NEW TEXT")</f>
        <v xml:space="preserve">          5501 - FREIGHT-IN-NEW TEXT</v>
      </c>
      <c r="C196" s="16"/>
      <c r="D196" s="11">
        <v>113122.15</v>
      </c>
      <c r="E196" s="16"/>
      <c r="F196" s="11">
        <v>81075.98</v>
      </c>
      <c r="G196" s="3"/>
      <c r="H196" s="11">
        <v>66269.36</v>
      </c>
      <c r="I196" s="3"/>
      <c r="J196" s="11">
        <v>72413.94</v>
      </c>
      <c r="K196" s="3"/>
      <c r="L196" s="11">
        <v>66019.19</v>
      </c>
      <c r="M196" s="3"/>
      <c r="N196" s="11">
        <v>72230.789999999994</v>
      </c>
      <c r="O196" s="3"/>
      <c r="P196" s="11"/>
      <c r="Q196" s="3"/>
      <c r="R196" s="11"/>
    </row>
    <row r="197" spans="1:18" s="44" customFormat="1" hidden="1" outlineLevel="1" x14ac:dyDescent="0.35">
      <c r="A197" s="16"/>
      <c r="B197" s="35" t="str">
        <f>CONCATENATE("          ", "5502", " - ", "FREIGHT-IN-USED TEXT")</f>
        <v xml:space="preserve">          5502 - FREIGHT-IN-USED TEXT</v>
      </c>
      <c r="C197" s="16"/>
      <c r="D197" s="11">
        <v>25064.61</v>
      </c>
      <c r="E197" s="16"/>
      <c r="F197" s="11">
        <v>23788.51</v>
      </c>
      <c r="G197" s="3"/>
      <c r="H197" s="11">
        <v>22503.66</v>
      </c>
      <c r="I197" s="3"/>
      <c r="J197" s="11">
        <v>20515.400000000001</v>
      </c>
      <c r="K197" s="3"/>
      <c r="L197" s="11">
        <v>14394.46</v>
      </c>
      <c r="M197" s="3"/>
      <c r="N197" s="11">
        <v>16200.12</v>
      </c>
      <c r="O197" s="3"/>
      <c r="P197" s="11"/>
      <c r="Q197" s="3"/>
      <c r="R197" s="11"/>
    </row>
    <row r="198" spans="1:18" s="44" customFormat="1" hidden="1" outlineLevel="1" x14ac:dyDescent="0.35">
      <c r="A198" s="16"/>
      <c r="B198" s="35" t="str">
        <f>CONCATENATE("          ", "5504", " - ", "FREIGHT-IN-DIGITAL TEXT")</f>
        <v xml:space="preserve">          5504 - FREIGHT-IN-DIGITAL TEXT</v>
      </c>
      <c r="C198" s="16"/>
      <c r="D198" s="11">
        <v>10</v>
      </c>
      <c r="E198" s="16"/>
      <c r="F198" s="11"/>
      <c r="G198" s="3"/>
      <c r="H198" s="11">
        <v>36.46</v>
      </c>
      <c r="I198" s="3"/>
      <c r="J198" s="11">
        <v>84.51</v>
      </c>
      <c r="K198" s="3"/>
      <c r="L198" s="11">
        <v>243.53</v>
      </c>
      <c r="M198" s="3"/>
      <c r="N198" s="11">
        <v>118.75</v>
      </c>
      <c r="O198" s="3"/>
      <c r="P198" s="11"/>
      <c r="Q198" s="3"/>
      <c r="R198" s="11"/>
    </row>
    <row r="199" spans="1:18" s="44" customFormat="1" hidden="1" outlineLevel="1" x14ac:dyDescent="0.35">
      <c r="A199" s="16"/>
      <c r="B199" s="35" t="str">
        <f>CONCATENATE("          ", "5505", " - ", "FREIGHT-IN-NCSU")</f>
        <v xml:space="preserve">          5505 - FREIGHT-IN-NCSU</v>
      </c>
      <c r="C199" s="16"/>
      <c r="D199" s="11"/>
      <c r="E199" s="16"/>
      <c r="F199" s="11"/>
      <c r="G199" s="3"/>
      <c r="H199" s="11"/>
      <c r="I199" s="3"/>
      <c r="J199" s="11"/>
      <c r="K199" s="3"/>
      <c r="L199" s="11">
        <v>0</v>
      </c>
      <c r="M199" s="3"/>
      <c r="N199" s="11"/>
      <c r="O199" s="3"/>
      <c r="P199" s="11"/>
      <c r="Q199" s="3"/>
      <c r="R199" s="11"/>
    </row>
    <row r="200" spans="1:18" s="44" customFormat="1" hidden="1" outlineLevel="1" x14ac:dyDescent="0.35">
      <c r="A200" s="16"/>
      <c r="B200" s="35" t="str">
        <f>CONCATENATE("          ", "5507", " - ", "FREIGHT-IN-NPUB")</f>
        <v xml:space="preserve">          5507 - FREIGHT-IN-NPUB</v>
      </c>
      <c r="C200" s="16"/>
      <c r="D200" s="11"/>
      <c r="E200" s="16"/>
      <c r="F200" s="11"/>
      <c r="G200" s="3"/>
      <c r="H200" s="11"/>
      <c r="I200" s="3"/>
      <c r="J200" s="11">
        <v>1.75</v>
      </c>
      <c r="K200" s="3"/>
      <c r="L200" s="11"/>
      <c r="M200" s="3"/>
      <c r="N200" s="11"/>
      <c r="O200" s="3"/>
      <c r="P200" s="11"/>
      <c r="Q200" s="3"/>
      <c r="R200" s="11"/>
    </row>
    <row r="201" spans="1:18" s="44" customFormat="1" hidden="1" outlineLevel="1" x14ac:dyDescent="0.35">
      <c r="A201" s="16"/>
      <c r="B201" s="35" t="str">
        <f>CONCATENATE("          ", "5513", " - ", "FREIGHT-IN-TRADE BOOKS")</f>
        <v xml:space="preserve">          5513 - FREIGHT-IN-TRADE BOOKS</v>
      </c>
      <c r="C201" s="16"/>
      <c r="D201" s="11">
        <v>689.7</v>
      </c>
      <c r="E201" s="16"/>
      <c r="F201" s="11">
        <v>584.27</v>
      </c>
      <c r="G201" s="3"/>
      <c r="H201" s="11">
        <v>202.25</v>
      </c>
      <c r="I201" s="3"/>
      <c r="J201" s="11">
        <v>129.78</v>
      </c>
      <c r="K201" s="3"/>
      <c r="L201" s="11">
        <v>54.9</v>
      </c>
      <c r="M201" s="3"/>
      <c r="N201" s="11">
        <v>30.24</v>
      </c>
      <c r="O201" s="3"/>
      <c r="P201" s="11"/>
      <c r="Q201" s="3"/>
      <c r="R201" s="11"/>
    </row>
    <row r="202" spans="1:18" s="44" customFormat="1" hidden="1" outlineLevel="1" x14ac:dyDescent="0.35">
      <c r="A202" s="16"/>
      <c r="B202" s="35" t="str">
        <f>CONCATENATE("          ", "5514", " - ", "FREIGHT-IN-REMAINDERS")</f>
        <v xml:space="preserve">          5514 - FREIGHT-IN-REMAINDERS</v>
      </c>
      <c r="C202" s="16"/>
      <c r="D202" s="11"/>
      <c r="E202" s="16"/>
      <c r="F202" s="11">
        <v>243.14</v>
      </c>
      <c r="G202" s="3"/>
      <c r="H202" s="11"/>
      <c r="I202" s="3"/>
      <c r="J202" s="11"/>
      <c r="K202" s="3"/>
      <c r="L202" s="11"/>
      <c r="M202" s="3"/>
      <c r="N202" s="11"/>
      <c r="O202" s="3"/>
      <c r="P202" s="11"/>
      <c r="Q202" s="3"/>
      <c r="R202" s="11"/>
    </row>
    <row r="203" spans="1:18" s="44" customFormat="1" hidden="1" outlineLevel="1" x14ac:dyDescent="0.35">
      <c r="A203" s="16"/>
      <c r="B203" s="35" t="str">
        <f>CONCATENATE("          ", "5515", " - ", "FREIGHT-IN-CALENDARS")</f>
        <v xml:space="preserve">          5515 - FREIGHT-IN-CALENDARS</v>
      </c>
      <c r="C203" s="16"/>
      <c r="D203" s="11">
        <v>9.69</v>
      </c>
      <c r="E203" s="16"/>
      <c r="F203" s="11"/>
      <c r="G203" s="3"/>
      <c r="H203" s="11"/>
      <c r="I203" s="3"/>
      <c r="J203" s="11"/>
      <c r="K203" s="3"/>
      <c r="L203" s="11"/>
      <c r="M203" s="3"/>
      <c r="N203" s="11"/>
      <c r="O203" s="3"/>
      <c r="P203" s="11"/>
      <c r="Q203" s="3"/>
      <c r="R203" s="11"/>
    </row>
    <row r="204" spans="1:18" s="44" customFormat="1" hidden="1" outlineLevel="1" x14ac:dyDescent="0.35">
      <c r="A204" s="16"/>
      <c r="B204" s="35" t="str">
        <f>CONCATENATE("          ", "5517", " - ", "FREIGHT-IN-DORM/HOUSEWARES")</f>
        <v xml:space="preserve">          5517 - FREIGHT-IN-DORM/HOUSEWARES</v>
      </c>
      <c r="C204" s="16"/>
      <c r="D204" s="11">
        <v>33</v>
      </c>
      <c r="E204" s="16"/>
      <c r="F204" s="11"/>
      <c r="G204" s="3"/>
      <c r="H204" s="11"/>
      <c r="I204" s="3"/>
      <c r="J204" s="11">
        <v>21.57</v>
      </c>
      <c r="K204" s="3"/>
      <c r="L204" s="11"/>
      <c r="M204" s="3"/>
      <c r="N204" s="11"/>
      <c r="O204" s="3"/>
      <c r="P204" s="11"/>
      <c r="Q204" s="3"/>
      <c r="R204" s="11"/>
    </row>
    <row r="205" spans="1:18" s="44" customFormat="1" hidden="1" outlineLevel="1" x14ac:dyDescent="0.35">
      <c r="A205" s="16"/>
      <c r="B205" s="35" t="str">
        <f>CONCATENATE("          ", "5518", " - ", "FREIGHT-IN-STUDY GUIDES")</f>
        <v xml:space="preserve">          5518 - FREIGHT-IN-STUDY GUIDES</v>
      </c>
      <c r="C205" s="16"/>
      <c r="D205" s="11">
        <v>37.56</v>
      </c>
      <c r="E205" s="16"/>
      <c r="F205" s="11">
        <v>11.63</v>
      </c>
      <c r="G205" s="3"/>
      <c r="H205" s="11">
        <v>16.38</v>
      </c>
      <c r="I205" s="3"/>
      <c r="J205" s="11"/>
      <c r="K205" s="3"/>
      <c r="L205" s="11"/>
      <c r="M205" s="3"/>
      <c r="N205" s="11">
        <v>21.13</v>
      </c>
      <c r="O205" s="3"/>
      <c r="P205" s="11"/>
      <c r="Q205" s="3"/>
      <c r="R205" s="11"/>
    </row>
    <row r="206" spans="1:18" s="44" customFormat="1" hidden="1" outlineLevel="1" x14ac:dyDescent="0.35">
      <c r="A206" s="16"/>
      <c r="B206" s="35" t="str">
        <f>CONCATENATE("          ", "5519", " - ", "FREIGHT-IN-BOOK RELATED")</f>
        <v xml:space="preserve">          5519 - FREIGHT-IN-BOOK RELATED</v>
      </c>
      <c r="C206" s="16"/>
      <c r="D206" s="11">
        <v>169.6</v>
      </c>
      <c r="E206" s="16"/>
      <c r="F206" s="11">
        <v>250.18</v>
      </c>
      <c r="G206" s="3"/>
      <c r="H206" s="11"/>
      <c r="I206" s="3"/>
      <c r="J206" s="11"/>
      <c r="K206" s="3"/>
      <c r="L206" s="11"/>
      <c r="M206" s="3"/>
      <c r="N206" s="11"/>
      <c r="O206" s="3"/>
      <c r="P206" s="11"/>
      <c r="Q206" s="3"/>
      <c r="R206" s="11"/>
    </row>
    <row r="207" spans="1:18" s="44" customFormat="1" hidden="1" outlineLevel="1" x14ac:dyDescent="0.35">
      <c r="A207" s="16"/>
      <c r="B207" s="35" t="str">
        <f>CONCATENATE("          ", "5525", " - ", "FREIGHT-IN-TEST FORMS")</f>
        <v xml:space="preserve">          5525 - FREIGHT-IN-TEST FORMS</v>
      </c>
      <c r="C207" s="16"/>
      <c r="D207" s="11">
        <v>477.7</v>
      </c>
      <c r="E207" s="16"/>
      <c r="F207" s="11">
        <v>527.13</v>
      </c>
      <c r="G207" s="3"/>
      <c r="H207" s="11">
        <v>715.82</v>
      </c>
      <c r="I207" s="3"/>
      <c r="J207" s="11">
        <v>786.81</v>
      </c>
      <c r="K207" s="3"/>
      <c r="L207" s="11">
        <v>390.96</v>
      </c>
      <c r="M207" s="3"/>
      <c r="N207" s="11">
        <v>1614.32</v>
      </c>
      <c r="O207" s="3"/>
      <c r="P207" s="11"/>
      <c r="Q207" s="3"/>
      <c r="R207" s="11"/>
    </row>
    <row r="208" spans="1:18" s="44" customFormat="1" hidden="1" outlineLevel="1" x14ac:dyDescent="0.35">
      <c r="A208" s="16"/>
      <c r="B208" s="35" t="str">
        <f>CONCATENATE("          ", "5526", " - ", "FREIGHT-IN-WRITING INSTRUMENTS")</f>
        <v xml:space="preserve">          5526 - FREIGHT-IN-WRITING INSTRUMENTS</v>
      </c>
      <c r="C208" s="16"/>
      <c r="D208" s="11">
        <v>252.21</v>
      </c>
      <c r="E208" s="16"/>
      <c r="F208" s="11">
        <v>325.39</v>
      </c>
      <c r="G208" s="3"/>
      <c r="H208" s="11">
        <v>944.45</v>
      </c>
      <c r="I208" s="3"/>
      <c r="J208" s="11">
        <v>119.51</v>
      </c>
      <c r="K208" s="3"/>
      <c r="L208" s="11">
        <v>262.62</v>
      </c>
      <c r="M208" s="3"/>
      <c r="N208" s="11">
        <v>274.5</v>
      </c>
      <c r="O208" s="3"/>
      <c r="P208" s="11"/>
      <c r="Q208" s="3"/>
      <c r="R208" s="11"/>
    </row>
    <row r="209" spans="1:18" s="44" customFormat="1" hidden="1" outlineLevel="1" x14ac:dyDescent="0.35">
      <c r="A209" s="16"/>
      <c r="B209" s="35" t="str">
        <f>CONCATENATE("          ", "5527", " - ", "FREIGHT-IN-SCHOOL SUPPLIES")</f>
        <v xml:space="preserve">          5527 - FREIGHT-IN-SCHOOL SUPPLIES</v>
      </c>
      <c r="C209" s="16"/>
      <c r="D209" s="11">
        <v>1884.99</v>
      </c>
      <c r="E209" s="16"/>
      <c r="F209" s="11">
        <v>2183.15</v>
      </c>
      <c r="G209" s="3"/>
      <c r="H209" s="11">
        <v>3088.99</v>
      </c>
      <c r="I209" s="3"/>
      <c r="J209" s="11">
        <v>1747.18</v>
      </c>
      <c r="K209" s="3"/>
      <c r="L209" s="11">
        <v>2106.8200000000002</v>
      </c>
      <c r="M209" s="3"/>
      <c r="N209" s="11">
        <v>1808</v>
      </c>
      <c r="O209" s="3"/>
      <c r="P209" s="11"/>
      <c r="Q209" s="3"/>
      <c r="R209" s="11"/>
    </row>
    <row r="210" spans="1:18" s="44" customFormat="1" hidden="1" outlineLevel="1" x14ac:dyDescent="0.35">
      <c r="A210" s="16"/>
      <c r="B210" s="35" t="str">
        <f>CONCATENATE("          ", "5528", " - ", "FREIGHT-IN-ART/TECH")</f>
        <v xml:space="preserve">          5528 - FREIGHT-IN-ART/TECH</v>
      </c>
      <c r="C210" s="16"/>
      <c r="D210" s="11">
        <v>1217.47</v>
      </c>
      <c r="E210" s="16"/>
      <c r="F210" s="11">
        <v>1778.86</v>
      </c>
      <c r="G210" s="3"/>
      <c r="H210" s="11">
        <v>1886.69</v>
      </c>
      <c r="I210" s="3"/>
      <c r="J210" s="11">
        <v>1892.15</v>
      </c>
      <c r="K210" s="3"/>
      <c r="L210" s="11">
        <v>7608.5</v>
      </c>
      <c r="M210" s="3"/>
      <c r="N210" s="11">
        <v>2837.7</v>
      </c>
      <c r="O210" s="3"/>
      <c r="P210" s="11"/>
      <c r="Q210" s="3"/>
      <c r="R210" s="11"/>
    </row>
    <row r="211" spans="1:18" s="44" customFormat="1" hidden="1" outlineLevel="1" x14ac:dyDescent="0.35">
      <c r="A211" s="16"/>
      <c r="B211" s="35" t="str">
        <f>CONCATENATE("          ", "5540", " - ", "FREIGHT-IN-LOGO CLOTHING")</f>
        <v xml:space="preserve">          5540 - FREIGHT-IN-LOGO CLOTHING</v>
      </c>
      <c r="C211" s="16"/>
      <c r="D211" s="11">
        <v>21210.19</v>
      </c>
      <c r="E211" s="16"/>
      <c r="F211" s="11">
        <v>34315.83</v>
      </c>
      <c r="G211" s="3"/>
      <c r="H211" s="11">
        <v>27831.279999999999</v>
      </c>
      <c r="I211" s="3"/>
      <c r="J211" s="11">
        <v>25956.86</v>
      </c>
      <c r="K211" s="3"/>
      <c r="L211" s="11">
        <v>35751.94</v>
      </c>
      <c r="M211" s="3"/>
      <c r="N211" s="11">
        <v>32548.98</v>
      </c>
      <c r="O211" s="3"/>
      <c r="P211" s="11"/>
      <c r="Q211" s="3"/>
      <c r="R211" s="11"/>
    </row>
    <row r="212" spans="1:18" s="44" customFormat="1" hidden="1" outlineLevel="1" x14ac:dyDescent="0.35">
      <c r="A212" s="16"/>
      <c r="B212" s="35" t="str">
        <f>CONCATENATE("          ", "5541", " - ", "FREIGHT-IN-LOGO GIFTS")</f>
        <v xml:space="preserve">          5541 - FREIGHT-IN-LOGO GIFTS</v>
      </c>
      <c r="C212" s="16"/>
      <c r="D212" s="11">
        <v>9598.33</v>
      </c>
      <c r="E212" s="16"/>
      <c r="F212" s="11">
        <v>7755.4</v>
      </c>
      <c r="G212" s="3"/>
      <c r="H212" s="11">
        <v>6647.69</v>
      </c>
      <c r="I212" s="3"/>
      <c r="J212" s="11">
        <v>6736.78</v>
      </c>
      <c r="K212" s="3"/>
      <c r="L212" s="11">
        <v>8438.06</v>
      </c>
      <c r="M212" s="3"/>
      <c r="N212" s="11">
        <v>5574.41</v>
      </c>
      <c r="O212" s="3"/>
      <c r="P212" s="11"/>
      <c r="Q212" s="3"/>
      <c r="R212" s="11"/>
    </row>
    <row r="213" spans="1:18" s="44" customFormat="1" hidden="1" outlineLevel="1" x14ac:dyDescent="0.35">
      <c r="A213" s="16"/>
      <c r="B213" s="35" t="str">
        <f>CONCATENATE("          ", "5542", " - ", "FREIGHT-IN-EVERYDAY GIFTS")</f>
        <v xml:space="preserve">          5542 - FREIGHT-IN-EVERYDAY GIFTS</v>
      </c>
      <c r="C213" s="16"/>
      <c r="D213" s="11">
        <v>1401.93</v>
      </c>
      <c r="E213" s="16"/>
      <c r="F213" s="11">
        <v>2793.76</v>
      </c>
      <c r="G213" s="3"/>
      <c r="H213" s="11">
        <v>2300.5500000000002</v>
      </c>
      <c r="I213" s="3"/>
      <c r="J213" s="11">
        <v>1602.66</v>
      </c>
      <c r="K213" s="3"/>
      <c r="L213" s="11">
        <v>2038.06</v>
      </c>
      <c r="M213" s="3"/>
      <c r="N213" s="11">
        <v>2223.5100000000002</v>
      </c>
      <c r="O213" s="3"/>
      <c r="P213" s="11"/>
      <c r="Q213" s="3"/>
      <c r="R213" s="11"/>
    </row>
    <row r="214" spans="1:18" s="44" customFormat="1" hidden="1" outlineLevel="1" x14ac:dyDescent="0.35">
      <c r="A214" s="16"/>
      <c r="B214" s="35" t="str">
        <f>CONCATENATE("          ", "5543", " - ", "FREIGHT-IN-CARDS")</f>
        <v xml:space="preserve">          5543 - FREIGHT-IN-CARDS</v>
      </c>
      <c r="C214" s="16"/>
      <c r="D214" s="11">
        <v>47.8</v>
      </c>
      <c r="E214" s="16"/>
      <c r="F214" s="11">
        <v>10.06</v>
      </c>
      <c r="G214" s="3"/>
      <c r="H214" s="11">
        <v>7.19</v>
      </c>
      <c r="I214" s="3"/>
      <c r="J214" s="11">
        <v>123.84</v>
      </c>
      <c r="K214" s="3"/>
      <c r="L214" s="11">
        <v>57.18</v>
      </c>
      <c r="M214" s="3"/>
      <c r="N214" s="11">
        <v>2926.76</v>
      </c>
      <c r="O214" s="3"/>
      <c r="P214" s="11"/>
      <c r="Q214" s="3"/>
      <c r="R214" s="11"/>
    </row>
    <row r="215" spans="1:18" s="44" customFormat="1" hidden="1" outlineLevel="1" x14ac:dyDescent="0.35">
      <c r="A215" s="16"/>
      <c r="B215" s="35" t="str">
        <f>CONCATENATE("          ", "5544", " - ", "FREIGHT-IN-ACCESSORIES")</f>
        <v xml:space="preserve">          5544 - FREIGHT-IN-ACCESSORIES</v>
      </c>
      <c r="C215" s="16"/>
      <c r="D215" s="11">
        <v>807.33</v>
      </c>
      <c r="E215" s="16"/>
      <c r="F215" s="11">
        <v>349.62</v>
      </c>
      <c r="G215" s="3"/>
      <c r="H215" s="11">
        <v>845.08</v>
      </c>
      <c r="I215" s="3"/>
      <c r="J215" s="11">
        <v>635.88</v>
      </c>
      <c r="K215" s="3"/>
      <c r="L215" s="11">
        <v>1360.08</v>
      </c>
      <c r="M215" s="3"/>
      <c r="N215" s="11">
        <v>483.44</v>
      </c>
      <c r="O215" s="3"/>
      <c r="P215" s="11"/>
      <c r="Q215" s="3"/>
      <c r="R215" s="11"/>
    </row>
    <row r="216" spans="1:18" s="44" customFormat="1" hidden="1" outlineLevel="1" x14ac:dyDescent="0.35">
      <c r="A216" s="16"/>
      <c r="B216" s="35" t="str">
        <f>CONCATENATE("          ", "5545", " - ", "FREIGHT-IN-SPECIAL ORDERS")</f>
        <v xml:space="preserve">          5545 - FREIGHT-IN-SPECIAL ORDERS</v>
      </c>
      <c r="C216" s="16"/>
      <c r="D216" s="11">
        <v>1532.2</v>
      </c>
      <c r="E216" s="16"/>
      <c r="F216" s="11">
        <v>1427.75</v>
      </c>
      <c r="G216" s="3"/>
      <c r="H216" s="11">
        <v>1892.22</v>
      </c>
      <c r="I216" s="3"/>
      <c r="J216" s="11">
        <v>2225.2600000000002</v>
      </c>
      <c r="K216" s="3"/>
      <c r="L216" s="11">
        <v>2744.68</v>
      </c>
      <c r="M216" s="3"/>
      <c r="N216" s="11">
        <v>1420.62</v>
      </c>
      <c r="O216" s="3"/>
      <c r="P216" s="11"/>
      <c r="Q216" s="3"/>
      <c r="R216" s="11"/>
    </row>
    <row r="217" spans="1:18" s="44" customFormat="1" hidden="1" outlineLevel="1" x14ac:dyDescent="0.35">
      <c r="A217" s="16"/>
      <c r="B217" s="35" t="str">
        <f>CONCATENATE("          ", "5581", " - ", "FREIGHT-IN-ELECTRONICS")</f>
        <v xml:space="preserve">          5581 - FREIGHT-IN-ELECTRONICS</v>
      </c>
      <c r="C217" s="16"/>
      <c r="D217" s="11">
        <v>69.02</v>
      </c>
      <c r="E217" s="16"/>
      <c r="F217" s="11">
        <v>144.29</v>
      </c>
      <c r="G217" s="3"/>
      <c r="H217" s="11">
        <v>125.31</v>
      </c>
      <c r="I217" s="3"/>
      <c r="J217" s="11">
        <v>33.08</v>
      </c>
      <c r="K217" s="3"/>
      <c r="L217" s="11"/>
      <c r="M217" s="3"/>
      <c r="N217" s="11">
        <v>137</v>
      </c>
      <c r="O217" s="3"/>
      <c r="P217" s="11"/>
      <c r="Q217" s="3"/>
      <c r="R217" s="11"/>
    </row>
    <row r="218" spans="1:18" s="44" customFormat="1" hidden="1" outlineLevel="1" x14ac:dyDescent="0.35">
      <c r="A218" s="16"/>
      <c r="B218" s="35" t="str">
        <f>CONCATENATE("          ", "5582", " - ", "FREIGHT-IN-COMPUTER HARDWARE")</f>
        <v xml:space="preserve">          5582 - FREIGHT-IN-COMPUTER HARDWARE</v>
      </c>
      <c r="C218" s="16"/>
      <c r="D218" s="11">
        <v>62.66</v>
      </c>
      <c r="E218" s="16"/>
      <c r="F218" s="11">
        <v>22.02</v>
      </c>
      <c r="G218" s="3"/>
      <c r="H218" s="11">
        <v>226.3</v>
      </c>
      <c r="I218" s="3"/>
      <c r="J218" s="11"/>
      <c r="K218" s="3"/>
      <c r="L218" s="11">
        <v>12</v>
      </c>
      <c r="M218" s="3"/>
      <c r="N218" s="11">
        <v>154.30000000000001</v>
      </c>
      <c r="O218" s="3"/>
      <c r="P218" s="11"/>
      <c r="Q218" s="3"/>
      <c r="R218" s="11"/>
    </row>
    <row r="219" spans="1:18" s="44" customFormat="1" hidden="1" outlineLevel="1" x14ac:dyDescent="0.35">
      <c r="A219" s="16"/>
      <c r="B219" s="35" t="str">
        <f>CONCATENATE("          ", "5583", " - ", "FREIGHT-IN-COMPUTER EQUIPMENT")</f>
        <v xml:space="preserve">          5583 - FREIGHT-IN-COMPUTER EQUIPMENT</v>
      </c>
      <c r="C219" s="16"/>
      <c r="D219" s="11">
        <v>314.95999999999998</v>
      </c>
      <c r="E219" s="16"/>
      <c r="F219" s="11">
        <v>117.62</v>
      </c>
      <c r="G219" s="3"/>
      <c r="H219" s="11">
        <v>120.86</v>
      </c>
      <c r="I219" s="3"/>
      <c r="J219" s="11">
        <v>94.05</v>
      </c>
      <c r="K219" s="3"/>
      <c r="L219" s="11">
        <v>93.42</v>
      </c>
      <c r="M219" s="3"/>
      <c r="N219" s="11">
        <v>96.55</v>
      </c>
      <c r="O219" s="3"/>
      <c r="P219" s="11"/>
      <c r="Q219" s="3"/>
      <c r="R219" s="11"/>
    </row>
    <row r="220" spans="1:18" s="44" customFormat="1" hidden="1" outlineLevel="1" x14ac:dyDescent="0.35">
      <c r="A220" s="16"/>
      <c r="B220" s="35" t="str">
        <f>CONCATENATE("          ", "5585", " - ", "FREIGHT-IN-SOFTWARE")</f>
        <v xml:space="preserve">          5585 - FREIGHT-IN-SOFTWARE</v>
      </c>
      <c r="C220" s="16"/>
      <c r="D220" s="11">
        <v>1.75</v>
      </c>
      <c r="E220" s="16"/>
      <c r="F220" s="11">
        <v>18.899999999999999</v>
      </c>
      <c r="G220" s="3"/>
      <c r="H220" s="11"/>
      <c r="I220" s="3"/>
      <c r="J220" s="11"/>
      <c r="K220" s="3"/>
      <c r="L220" s="11"/>
      <c r="M220" s="3"/>
      <c r="N220" s="11">
        <v>10</v>
      </c>
      <c r="O220" s="3"/>
      <c r="P220" s="11"/>
      <c r="Q220" s="3"/>
      <c r="R220" s="11"/>
    </row>
    <row r="221" spans="1:18" s="44" customFormat="1" hidden="1" outlineLevel="1" x14ac:dyDescent="0.35">
      <c r="A221" s="16"/>
      <c r="B221" s="35" t="str">
        <f>CONCATENATE("          ", "5586", " - ", "FREIGHT-IN-COMPUTER SUPPLIES")</f>
        <v xml:space="preserve">          5586 - FREIGHT-IN-COMPUTER SUPPLIES</v>
      </c>
      <c r="C221" s="16"/>
      <c r="D221" s="11">
        <v>229.6</v>
      </c>
      <c r="E221" s="16"/>
      <c r="F221" s="11">
        <v>1037.08</v>
      </c>
      <c r="G221" s="3"/>
      <c r="H221" s="11">
        <v>493.45</v>
      </c>
      <c r="I221" s="3"/>
      <c r="J221" s="11">
        <v>392.29</v>
      </c>
      <c r="K221" s="3"/>
      <c r="L221" s="11">
        <v>379.94</v>
      </c>
      <c r="M221" s="3"/>
      <c r="N221" s="11">
        <v>301.27</v>
      </c>
      <c r="O221" s="3"/>
      <c r="P221" s="11"/>
      <c r="Q221" s="3"/>
      <c r="R221" s="11"/>
    </row>
    <row r="222" spans="1:18" s="44" customFormat="1" hidden="1" outlineLevel="1" x14ac:dyDescent="0.35">
      <c r="A222" s="16"/>
      <c r="B222" s="35" t="str">
        <f>CONCATENATE("          ", "5592", " - ", "FREIGHT-IN-GRAD MERCH")</f>
        <v xml:space="preserve">          5592 - FREIGHT-IN-GRAD MERCH</v>
      </c>
      <c r="C222" s="16"/>
      <c r="D222" s="11">
        <v>3015.74</v>
      </c>
      <c r="E222" s="16"/>
      <c r="F222" s="11">
        <v>4177.07</v>
      </c>
      <c r="G222" s="3"/>
      <c r="H222" s="11">
        <v>2290.33</v>
      </c>
      <c r="I222" s="3"/>
      <c r="J222" s="11">
        <v>4118.3100000000004</v>
      </c>
      <c r="K222" s="3"/>
      <c r="L222" s="11">
        <v>2451.4299999999998</v>
      </c>
      <c r="M222" s="3"/>
      <c r="N222" s="11">
        <v>170.88</v>
      </c>
      <c r="O222" s="3"/>
      <c r="P222" s="11"/>
      <c r="Q222" s="3"/>
      <c r="R222" s="11"/>
    </row>
    <row r="223" spans="1:18" x14ac:dyDescent="0.35">
      <c r="A223" s="12"/>
      <c r="B223" s="7"/>
      <c r="C223" s="7"/>
      <c r="D223" s="6"/>
      <c r="F223" s="6"/>
      <c r="H223" s="6"/>
      <c r="J223" s="6"/>
      <c r="L223" s="6"/>
      <c r="N223" s="6"/>
      <c r="P223" s="6"/>
      <c r="R223" s="6"/>
    </row>
    <row r="224" spans="1:18" s="15" customFormat="1" x14ac:dyDescent="0.35">
      <c r="A224" s="7"/>
      <c r="B224" s="22" t="s">
        <v>107</v>
      </c>
      <c r="C224" s="22"/>
      <c r="D224" s="10">
        <f>+D10-D153</f>
        <v>5440022.7900000159</v>
      </c>
      <c r="E224" s="12"/>
      <c r="F224" s="10">
        <f>+F10-F153</f>
        <v>5884328.3200000003</v>
      </c>
      <c r="G224" s="5"/>
      <c r="H224" s="10">
        <f>+H10-H153</f>
        <v>5708857.8799999971</v>
      </c>
      <c r="I224" s="5"/>
      <c r="J224" s="10">
        <f>+J10-J153</f>
        <v>5673317.6300000045</v>
      </c>
      <c r="K224" s="5"/>
      <c r="L224" s="10">
        <f>+L10-L153</f>
        <v>5259307.989999989</v>
      </c>
      <c r="M224" s="5"/>
      <c r="N224" s="10">
        <f>+N10-N153</f>
        <v>4162510.7699999996</v>
      </c>
      <c r="O224" s="5"/>
      <c r="P224" s="10">
        <f>+P10-P153</f>
        <v>4350526</v>
      </c>
      <c r="Q224" s="5"/>
      <c r="R224" s="10">
        <f>+R10-R153</f>
        <v>3763803</v>
      </c>
    </row>
    <row r="225" spans="1:18" s="27" customFormat="1" x14ac:dyDescent="0.35">
      <c r="A225" s="18"/>
      <c r="B225" s="31"/>
      <c r="C225" s="18"/>
      <c r="D225" s="9">
        <f>IFERROR(D224/D10, 0)</f>
        <v>0.3369723629557731</v>
      </c>
      <c r="E225" s="13"/>
      <c r="F225" s="9">
        <f>IFERROR(F224/F10, 0)</f>
        <v>0.36796301709266932</v>
      </c>
      <c r="G225" s="26"/>
      <c r="H225" s="9">
        <f>IFERROR(H224/H10, 0)</f>
        <v>0.3647188536540622</v>
      </c>
      <c r="I225" s="26"/>
      <c r="J225" s="9">
        <f>IFERROR(J224/J10, 0)</f>
        <v>0.3852069715589827</v>
      </c>
      <c r="K225" s="26"/>
      <c r="L225" s="9">
        <f>IFERROR(L224/L10, 0)</f>
        <v>0.36442338064074609</v>
      </c>
      <c r="M225" s="26"/>
      <c r="N225" s="9">
        <f>IFERROR(N224/N10, 0)</f>
        <v>0.34335797416108954</v>
      </c>
      <c r="O225" s="26"/>
      <c r="P225" s="9">
        <f>IFERROR(P224/P10, 0)</f>
        <v>0.37320563408892476</v>
      </c>
      <c r="Q225" s="26"/>
      <c r="R225" s="9">
        <f>IFERROR(R224/R10, 0)</f>
        <v>0.33724092734998623</v>
      </c>
    </row>
    <row r="226" spans="1:18" s="27" customFormat="1" x14ac:dyDescent="0.35">
      <c r="A226" s="18"/>
      <c r="B226" s="31"/>
      <c r="C226" s="18"/>
      <c r="D226" s="13"/>
      <c r="E226" s="13"/>
      <c r="F226" s="13"/>
      <c r="G226" s="26"/>
      <c r="H226" s="13"/>
      <c r="I226" s="26"/>
      <c r="J226" s="13"/>
      <c r="K226" s="26"/>
      <c r="L226" s="13"/>
      <c r="M226" s="26"/>
      <c r="N226" s="13"/>
      <c r="O226" s="26"/>
      <c r="P226" s="13"/>
      <c r="Q226" s="26"/>
      <c r="R226" s="13"/>
    </row>
    <row r="227" spans="1:18" s="15" customFormat="1" x14ac:dyDescent="0.35">
      <c r="A227" s="7"/>
      <c r="B227" s="34" t="s">
        <v>314</v>
      </c>
      <c r="C227" s="7"/>
      <c r="D227" s="8">
        <f>SUM(OSRRefD21x_0)</f>
        <v>4405985.8200000012</v>
      </c>
      <c r="E227" s="19"/>
      <c r="F227" s="8">
        <f>SUM(OSRRefF21x_0)</f>
        <v>4627108.1999999993</v>
      </c>
      <c r="G227" s="4"/>
      <c r="H227" s="8">
        <f>SUM(OSRRefH21x_0)</f>
        <v>4788937.9999999991</v>
      </c>
      <c r="I227" s="4"/>
      <c r="J227" s="8">
        <f>SUM(OSRRefJ21x_0)</f>
        <v>4801348.1800000016</v>
      </c>
      <c r="K227" s="4"/>
      <c r="L227" s="8">
        <f>SUM(OSRRefL21x_0)</f>
        <v>4780565.370000001</v>
      </c>
      <c r="M227" s="4"/>
      <c r="N227" s="8">
        <f>SUM(OSRRefN21x_0)</f>
        <v>4372976.3699999992</v>
      </c>
      <c r="O227" s="4"/>
      <c r="P227" s="8">
        <f>SUM(OSRRefP21x_0)</f>
        <v>4656385.7027438451</v>
      </c>
      <c r="Q227" s="4"/>
      <c r="R227" s="8">
        <f>SUM(OSRRefR21x_0)</f>
        <v>4139629.306178418</v>
      </c>
    </row>
    <row r="228" spans="1:18" s="15" customFormat="1" outlineLevel="1" collapsed="1" x14ac:dyDescent="0.35">
      <c r="A228" s="7"/>
      <c r="B228" s="20" t="str">
        <f>CONCATENATE("     ","*Benefits                                         ")</f>
        <v xml:space="preserve">     *Benefits                                         </v>
      </c>
      <c r="C228" s="7"/>
      <c r="D228" s="1">
        <f>SUM(OSRRefD21_0x_0)</f>
        <v>541735.87</v>
      </c>
      <c r="E228" s="19"/>
      <c r="F228" s="1">
        <f>SUM(OSRRefF21_0x_0)</f>
        <v>603341.4</v>
      </c>
      <c r="G228" s="4"/>
      <c r="H228" s="1">
        <f>SUM(OSRRefH21_0x_0)</f>
        <v>559507.6</v>
      </c>
      <c r="I228" s="4"/>
      <c r="J228" s="1">
        <f>SUM(OSRRefJ21_0x_0)</f>
        <v>603715.71</v>
      </c>
      <c r="K228" s="4"/>
      <c r="L228" s="1">
        <f>SUM(OSRRefL21_0x_0)</f>
        <v>621589.1</v>
      </c>
      <c r="M228" s="4"/>
      <c r="N228" s="1">
        <f>SUM(OSRRefN21_0x_0)</f>
        <v>545555.68999999994</v>
      </c>
      <c r="O228" s="4"/>
      <c r="P228" s="1">
        <f>SUM(OSRRefP21_0x_0)</f>
        <v>572432.30200584501</v>
      </c>
      <c r="Q228" s="4"/>
      <c r="R228" s="1">
        <f>SUM(OSRRefR21_0x_0)</f>
        <v>603442.74107665743</v>
      </c>
    </row>
    <row r="229" spans="1:18" s="16" customFormat="1" hidden="1" outlineLevel="2" x14ac:dyDescent="0.35">
      <c r="B229" s="11" t="str">
        <f>CONCATENATE("          ", "6111", " - ", "F.I.C.A.")</f>
        <v xml:space="preserve">          6111 - F.I.C.A.</v>
      </c>
      <c r="D229" s="2">
        <v>98531.89</v>
      </c>
      <c r="F229" s="2">
        <v>103607.34</v>
      </c>
      <c r="G229" s="3"/>
      <c r="H229" s="2">
        <v>104992.35</v>
      </c>
      <c r="I229" s="3"/>
      <c r="J229" s="2">
        <v>121198.84</v>
      </c>
      <c r="K229" s="3"/>
      <c r="L229" s="2">
        <v>120165.4</v>
      </c>
      <c r="M229" s="3"/>
      <c r="N229" s="2">
        <v>115508.67</v>
      </c>
      <c r="O229" s="3"/>
      <c r="P229" s="2">
        <v>105097.78910892</v>
      </c>
      <c r="Q229" s="3"/>
      <c r="R229" s="2">
        <v>126563.04317063899</v>
      </c>
    </row>
    <row r="230" spans="1:18" s="16" customFormat="1" hidden="1" outlineLevel="2" x14ac:dyDescent="0.35">
      <c r="B230" s="11" t="str">
        <f>CONCATENATE("          ", "6112", " - ", "COMPENSATION INSURANCE")</f>
        <v xml:space="preserve">          6112 - COMPENSATION INSURANCE</v>
      </c>
      <c r="D230" s="2">
        <v>24016.47</v>
      </c>
      <c r="F230" s="2">
        <v>42258.1</v>
      </c>
      <c r="G230" s="3"/>
      <c r="H230" s="2">
        <v>26908.86</v>
      </c>
      <c r="I230" s="3"/>
      <c r="J230" s="2">
        <v>16139.83</v>
      </c>
      <c r="K230" s="3"/>
      <c r="L230" s="2">
        <v>20039.62</v>
      </c>
      <c r="M230" s="3"/>
      <c r="N230" s="2">
        <v>30072.52</v>
      </c>
      <c r="O230" s="3"/>
      <c r="P230" s="2">
        <v>40725.866084875001</v>
      </c>
      <c r="Q230" s="3"/>
      <c r="R230" s="2">
        <v>35314.311631440003</v>
      </c>
    </row>
    <row r="231" spans="1:18" s="16" customFormat="1" hidden="1" outlineLevel="2" x14ac:dyDescent="0.35">
      <c r="B231" s="11" t="str">
        <f>CONCATENATE("          ", "6113", " - ", "GROUP INSURANCE")</f>
        <v xml:space="preserve">          6113 - GROUP INSURANCE</v>
      </c>
      <c r="D231" s="2">
        <v>189257</v>
      </c>
      <c r="F231" s="2">
        <v>214164.41</v>
      </c>
      <c r="G231" s="3"/>
      <c r="H231" s="2">
        <v>218174.27</v>
      </c>
      <c r="I231" s="3"/>
      <c r="J231" s="2">
        <v>240158.03</v>
      </c>
      <c r="K231" s="3"/>
      <c r="L231" s="2">
        <v>247049.44</v>
      </c>
      <c r="M231" s="3"/>
      <c r="N231" s="2">
        <v>217069.72</v>
      </c>
      <c r="O231" s="3"/>
      <c r="P231" s="2">
        <v>222540</v>
      </c>
      <c r="Q231" s="3"/>
      <c r="R231" s="2">
        <v>209740.5</v>
      </c>
    </row>
    <row r="232" spans="1:18" s="16" customFormat="1" hidden="1" outlineLevel="2" x14ac:dyDescent="0.35">
      <c r="B232" s="11" t="str">
        <f>CONCATENATE("          ", "6114", " - ", "STATE UNEMPLOYMENT INSURANCE")</f>
        <v xml:space="preserve">          6114 - STATE UNEMPLOYMENT INSURANCE</v>
      </c>
      <c r="D232" s="2">
        <v>9975.16</v>
      </c>
      <c r="F232" s="2">
        <v>12935.9</v>
      </c>
      <c r="G232" s="3"/>
      <c r="H232" s="2">
        <v>6289.86</v>
      </c>
      <c r="I232" s="3"/>
      <c r="J232" s="2">
        <v>6813.41</v>
      </c>
      <c r="K232" s="3"/>
      <c r="L232" s="2">
        <v>6180.59</v>
      </c>
      <c r="M232" s="3"/>
      <c r="N232" s="2">
        <v>0</v>
      </c>
      <c r="O232" s="3"/>
      <c r="P232" s="2">
        <v>5768.8893775500001</v>
      </c>
      <c r="Q232" s="3"/>
      <c r="R232" s="2">
        <v>4753.84964269384</v>
      </c>
    </row>
    <row r="233" spans="1:18" s="16" customFormat="1" hidden="1" outlineLevel="2" x14ac:dyDescent="0.35">
      <c r="B233" s="11" t="str">
        <f>CONCATENATE("          ", "6115", " - ", "P.E.R.S.")</f>
        <v xml:space="preserve">          6115 - P.E.R.S.</v>
      </c>
      <c r="D233" s="2">
        <v>88730.62</v>
      </c>
      <c r="F233" s="2">
        <v>71289.05</v>
      </c>
      <c r="G233" s="3"/>
      <c r="H233" s="2">
        <v>71634.080000000002</v>
      </c>
      <c r="I233" s="3"/>
      <c r="J233" s="2">
        <v>73355.25</v>
      </c>
      <c r="K233" s="3"/>
      <c r="L233" s="2">
        <v>73557.64</v>
      </c>
      <c r="M233" s="3"/>
      <c r="N233" s="2">
        <v>81932.37</v>
      </c>
      <c r="O233" s="3"/>
      <c r="P233" s="2">
        <v>63863.036441999997</v>
      </c>
      <c r="Q233" s="3"/>
      <c r="R233" s="2">
        <v>59248.5303649384</v>
      </c>
    </row>
    <row r="234" spans="1:18" s="16" customFormat="1" hidden="1" outlineLevel="2" x14ac:dyDescent="0.35">
      <c r="B234" s="11" t="str">
        <f>CONCATENATE("          ", "6116", " - ", "EDUCATIONAL BENEFITS")</f>
        <v xml:space="preserve">          6116 - EDUCATIONAL BENEFITS</v>
      </c>
      <c r="D234" s="2"/>
      <c r="F234" s="2"/>
      <c r="G234" s="3"/>
      <c r="H234" s="2"/>
      <c r="I234" s="3"/>
      <c r="J234" s="2"/>
      <c r="K234" s="3"/>
      <c r="L234" s="2"/>
      <c r="M234" s="3"/>
      <c r="N234" s="2"/>
      <c r="O234" s="3"/>
      <c r="P234" s="2">
        <v>0</v>
      </c>
      <c r="Q234" s="3"/>
      <c r="R234" s="2">
        <v>0</v>
      </c>
    </row>
    <row r="235" spans="1:18" s="16" customFormat="1" hidden="1" outlineLevel="2" x14ac:dyDescent="0.35">
      <c r="B235" s="11" t="str">
        <f>CONCATENATE("          ", "6117", " - ", "RETIREMENT STAFF HOURLY")</f>
        <v xml:space="preserve">          6117 - RETIREMENT STAFF HOURLY</v>
      </c>
      <c r="D235" s="2">
        <v>5336.81</v>
      </c>
      <c r="F235" s="2">
        <v>2920.37</v>
      </c>
      <c r="G235" s="3"/>
      <c r="H235" s="2">
        <v>2954.32</v>
      </c>
      <c r="I235" s="3"/>
      <c r="J235" s="2">
        <v>4433.41</v>
      </c>
      <c r="K235" s="3"/>
      <c r="L235" s="2">
        <v>4996.3100000000004</v>
      </c>
      <c r="M235" s="3"/>
      <c r="N235" s="2">
        <v>4115.66</v>
      </c>
      <c r="O235" s="3"/>
      <c r="P235" s="2"/>
      <c r="Q235" s="3"/>
      <c r="R235" s="2"/>
    </row>
    <row r="236" spans="1:18" s="16" customFormat="1" hidden="1" outlineLevel="2" x14ac:dyDescent="0.35">
      <c r="B236" s="11" t="str">
        <f>CONCATENATE("          ", "6118", " - ", "VACATION")</f>
        <v xml:space="preserve">          6118 - VACATION</v>
      </c>
      <c r="D236" s="2">
        <v>57099.61</v>
      </c>
      <c r="F236" s="2">
        <v>72000.75</v>
      </c>
      <c r="G236" s="3"/>
      <c r="H236" s="2">
        <v>59086.18</v>
      </c>
      <c r="I236" s="3"/>
      <c r="J236" s="2">
        <v>65101.5</v>
      </c>
      <c r="K236" s="3"/>
      <c r="L236" s="2">
        <v>74149.210000000006</v>
      </c>
      <c r="M236" s="3"/>
      <c r="N236" s="2">
        <v>71053.05</v>
      </c>
      <c r="O236" s="3"/>
      <c r="P236" s="2">
        <v>54041.516309999999</v>
      </c>
      <c r="Q236" s="3"/>
      <c r="R236" s="2">
        <v>53755.653723930802</v>
      </c>
    </row>
    <row r="237" spans="1:18" s="16" customFormat="1" hidden="1" outlineLevel="2" x14ac:dyDescent="0.35">
      <c r="B237" s="11" t="str">
        <f>CONCATENATE("          ", "6119", " - ", "SICK LEAVE")</f>
        <v xml:space="preserve">          6119 - SICK LEAVE</v>
      </c>
      <c r="D237" s="2">
        <v>40818.21</v>
      </c>
      <c r="F237" s="2">
        <v>55876.98</v>
      </c>
      <c r="G237" s="3"/>
      <c r="H237" s="2">
        <v>42788.4</v>
      </c>
      <c r="I237" s="3"/>
      <c r="J237" s="2">
        <v>49452.639999999999</v>
      </c>
      <c r="K237" s="3"/>
      <c r="L237" s="2">
        <v>49495.55</v>
      </c>
      <c r="M237" s="3"/>
      <c r="N237" s="2">
        <v>4066.99</v>
      </c>
      <c r="O237" s="3"/>
      <c r="P237" s="2">
        <v>58795.2046825</v>
      </c>
      <c r="Q237" s="3"/>
      <c r="R237" s="2">
        <v>81691.852543015397</v>
      </c>
    </row>
    <row r="238" spans="1:18" s="16" customFormat="1" hidden="1" outlineLevel="2" x14ac:dyDescent="0.35">
      <c r="B238" s="11" t="str">
        <f>CONCATENATE("          ", "6156", " - ", "EMPLOYEE MEALS")</f>
        <v xml:space="preserve">          6156 - EMPLOYEE MEALS</v>
      </c>
      <c r="D238" s="2">
        <v>27970.1</v>
      </c>
      <c r="F238" s="2">
        <v>28288.5</v>
      </c>
      <c r="G238" s="3"/>
      <c r="H238" s="2">
        <v>26679.279999999999</v>
      </c>
      <c r="I238" s="3"/>
      <c r="J238" s="2">
        <v>27062.799999999999</v>
      </c>
      <c r="K238" s="3"/>
      <c r="L238" s="2">
        <v>25955.34</v>
      </c>
      <c r="M238" s="3"/>
      <c r="N238" s="2">
        <v>21736.71</v>
      </c>
      <c r="O238" s="3"/>
      <c r="P238" s="2">
        <v>21600</v>
      </c>
      <c r="Q238" s="3"/>
      <c r="R238" s="2">
        <v>32375</v>
      </c>
    </row>
    <row r="239" spans="1:18" s="15" customFormat="1" outlineLevel="1" collapsed="1" x14ac:dyDescent="0.35">
      <c r="A239" s="7"/>
      <c r="B239" s="20" t="str">
        <f>CONCATENATE("     ","*Payroll                                          ")</f>
        <v xml:space="preserve">     *Payroll                                          </v>
      </c>
      <c r="C239" s="7"/>
      <c r="D239" s="1">
        <f>SUM(OSRRefD21_1x_0)</f>
        <v>1908531.3399999996</v>
      </c>
      <c r="E239" s="19"/>
      <c r="F239" s="1">
        <f>SUM(OSRRefF21_1x_0)</f>
        <v>1993082.7799999998</v>
      </c>
      <c r="G239" s="4"/>
      <c r="H239" s="1">
        <f>SUM(OSRRefH21_1x_0)</f>
        <v>2093539.04</v>
      </c>
      <c r="I239" s="4"/>
      <c r="J239" s="1">
        <f>SUM(OSRRefJ21_1x_0)</f>
        <v>2147323.29</v>
      </c>
      <c r="K239" s="4"/>
      <c r="L239" s="1">
        <f>SUM(OSRRefL21_1x_0)</f>
        <v>2138363.04</v>
      </c>
      <c r="M239" s="4"/>
      <c r="N239" s="1">
        <f>SUM(OSRRefN21_1x_0)</f>
        <v>1999534.62</v>
      </c>
      <c r="O239" s="4"/>
      <c r="P239" s="1">
        <f>SUM(OSRRefP21_1x_0)</f>
        <v>2063437.4007379999</v>
      </c>
      <c r="Q239" s="4"/>
      <c r="R239" s="1">
        <f>SUM(OSRRefR21_1x_0)</f>
        <v>2170012.5651017614</v>
      </c>
    </row>
    <row r="240" spans="1:18" s="16" customFormat="1" hidden="1" outlineLevel="2" x14ac:dyDescent="0.35">
      <c r="B240" s="11" t="str">
        <f>CONCATENATE("          ", "6001", " - ", "ADMINISTRATIVE SALARIES")</f>
        <v xml:space="preserve">          6001 - ADMINISTRATIVE SALARIES</v>
      </c>
      <c r="D240" s="2">
        <v>7692.32</v>
      </c>
      <c r="F240" s="2">
        <v>123006.26</v>
      </c>
      <c r="G240" s="3"/>
      <c r="H240" s="2">
        <v>116582.59</v>
      </c>
      <c r="I240" s="3"/>
      <c r="J240" s="2">
        <v>122233.39</v>
      </c>
      <c r="K240" s="3"/>
      <c r="L240" s="2">
        <v>125900.5</v>
      </c>
      <c r="M240" s="3"/>
      <c r="N240" s="2">
        <v>93238.31</v>
      </c>
      <c r="O240" s="3"/>
      <c r="P240" s="2">
        <v>100876</v>
      </c>
      <c r="Q240" s="3"/>
      <c r="R240" s="2">
        <v>53817.5</v>
      </c>
    </row>
    <row r="241" spans="1:18" s="16" customFormat="1" hidden="1" outlineLevel="2" x14ac:dyDescent="0.35">
      <c r="B241" s="11" t="str">
        <f>CONCATENATE("          ", "6002", " - ", "STAFF SALARIES")</f>
        <v xml:space="preserve">          6002 - STAFF SALARIES</v>
      </c>
      <c r="D241" s="2">
        <v>697373.57</v>
      </c>
      <c r="F241" s="2">
        <v>718277.09</v>
      </c>
      <c r="G241" s="3"/>
      <c r="H241" s="2">
        <v>677052.59</v>
      </c>
      <c r="I241" s="3"/>
      <c r="J241" s="2">
        <v>687272.12</v>
      </c>
      <c r="K241" s="3"/>
      <c r="L241" s="2">
        <v>691016.77</v>
      </c>
      <c r="M241" s="3"/>
      <c r="N241" s="2">
        <v>694564.51</v>
      </c>
      <c r="O241" s="3"/>
      <c r="P241" s="2">
        <v>567079.13242799998</v>
      </c>
      <c r="Q241" s="3"/>
      <c r="R241" s="2">
        <v>567872.84379276098</v>
      </c>
    </row>
    <row r="242" spans="1:18" s="16" customFormat="1" hidden="1" outlineLevel="2" x14ac:dyDescent="0.35">
      <c r="B242" s="11" t="str">
        <f>CONCATENATE("          ", "6003", " - ", "STAFF HOURLY-9 MONTH")</f>
        <v xml:space="preserve">          6003 - STAFF HOURLY-9 MONTH</v>
      </c>
      <c r="D242" s="2"/>
      <c r="F242" s="2"/>
      <c r="G242" s="3"/>
      <c r="H242" s="2"/>
      <c r="I242" s="3"/>
      <c r="J242" s="2"/>
      <c r="K242" s="3"/>
      <c r="L242" s="2"/>
      <c r="M242" s="3"/>
      <c r="N242" s="2"/>
      <c r="O242" s="3"/>
      <c r="P242" s="2">
        <v>0</v>
      </c>
      <c r="Q242" s="3"/>
      <c r="R242" s="2">
        <v>0</v>
      </c>
    </row>
    <row r="243" spans="1:18" s="16" customFormat="1" hidden="1" outlineLevel="2" x14ac:dyDescent="0.35">
      <c r="B243" s="11" t="str">
        <f>CONCATENATE("          ", "6004", " - ", "STAFF HOURLY")</f>
        <v xml:space="preserve">          6004 - STAFF HOURLY</v>
      </c>
      <c r="D243" s="2">
        <v>132961.95000000001</v>
      </c>
      <c r="F243" s="2">
        <v>68642.95</v>
      </c>
      <c r="G243" s="3"/>
      <c r="H243" s="2">
        <v>70975.56</v>
      </c>
      <c r="I243" s="3"/>
      <c r="J243" s="2">
        <v>74178.69</v>
      </c>
      <c r="K243" s="3"/>
      <c r="L243" s="2">
        <v>72178.3</v>
      </c>
      <c r="M243" s="3"/>
      <c r="N243" s="2">
        <v>92884.72</v>
      </c>
      <c r="O243" s="3"/>
      <c r="P243" s="2">
        <v>372167.82604000001</v>
      </c>
      <c r="Q243" s="3"/>
      <c r="R243" s="2">
        <v>498167.41418399999</v>
      </c>
    </row>
    <row r="244" spans="1:18" s="16" customFormat="1" hidden="1" outlineLevel="2" x14ac:dyDescent="0.35">
      <c r="B244" s="11" t="str">
        <f>CONCATENATE("          ", "6005", " - ", "TEMPORARY WAGES-HOURLY")</f>
        <v xml:space="preserve">          6005 - TEMPORARY WAGES-HOURLY</v>
      </c>
      <c r="D244" s="2">
        <v>113392.34</v>
      </c>
      <c r="F244" s="2">
        <v>119303.94</v>
      </c>
      <c r="G244" s="3"/>
      <c r="H244" s="2">
        <v>157453.64000000001</v>
      </c>
      <c r="I244" s="3"/>
      <c r="J244" s="2">
        <v>210993.03</v>
      </c>
      <c r="K244" s="3"/>
      <c r="L244" s="2">
        <v>264348.64</v>
      </c>
      <c r="M244" s="3"/>
      <c r="N244" s="2">
        <v>231656.27</v>
      </c>
      <c r="O244" s="3"/>
      <c r="P244" s="2">
        <v>55119.76</v>
      </c>
      <c r="Q244" s="3"/>
      <c r="R244" s="2">
        <v>36028.160000000003</v>
      </c>
    </row>
    <row r="245" spans="1:18" s="16" customFormat="1" hidden="1" outlineLevel="2" x14ac:dyDescent="0.35">
      <c r="B245" s="11" t="str">
        <f>CONCATENATE("          ", "6006", " - ", "TEMPORARY PART TIME")</f>
        <v xml:space="preserve">          6006 - TEMPORARY PART TIME</v>
      </c>
      <c r="D245" s="2">
        <v>78348.3</v>
      </c>
      <c r="F245" s="2">
        <v>53238.720000000001</v>
      </c>
      <c r="G245" s="3"/>
      <c r="H245" s="2">
        <v>98638.080000000002</v>
      </c>
      <c r="I245" s="3"/>
      <c r="J245" s="2">
        <v>116166.17</v>
      </c>
      <c r="K245" s="3"/>
      <c r="L245" s="2">
        <v>67079.16</v>
      </c>
      <c r="M245" s="3"/>
      <c r="N245" s="2">
        <v>46340.98</v>
      </c>
      <c r="O245" s="3"/>
      <c r="P245" s="2">
        <v>0</v>
      </c>
      <c r="Q245" s="3"/>
      <c r="R245" s="2">
        <v>0</v>
      </c>
    </row>
    <row r="246" spans="1:18" s="16" customFormat="1" hidden="1" outlineLevel="2" x14ac:dyDescent="0.35">
      <c r="B246" s="11" t="str">
        <f>CONCATENATE("          ", "6007", " - ", "STUDENT HOURLY")</f>
        <v xml:space="preserve">          6007 - STUDENT HOURLY</v>
      </c>
      <c r="D246" s="2">
        <v>863508.22</v>
      </c>
      <c r="F246" s="2">
        <v>903645.57</v>
      </c>
      <c r="G246" s="3"/>
      <c r="H246" s="2">
        <v>956714.03</v>
      </c>
      <c r="I246" s="3"/>
      <c r="J246" s="2">
        <v>909838.33</v>
      </c>
      <c r="K246" s="3"/>
      <c r="L246" s="2">
        <v>890353.72</v>
      </c>
      <c r="M246" s="3"/>
      <c r="N246" s="2">
        <v>825369.91</v>
      </c>
      <c r="O246" s="3"/>
      <c r="P246" s="2">
        <v>210862.66863999999</v>
      </c>
      <c r="Q246" s="3"/>
      <c r="R246" s="2">
        <v>437026.73334999999</v>
      </c>
    </row>
    <row r="247" spans="1:18" s="16" customFormat="1" hidden="1" outlineLevel="2" x14ac:dyDescent="0.35">
      <c r="B247" s="11" t="str">
        <f>CONCATENATE("          ", "6008", " - ", "STUDENT HOURLY-FICA EXEMPT")</f>
        <v xml:space="preserve">          6008 - STUDENT HOURLY-FICA EXEMPT</v>
      </c>
      <c r="D247" s="2">
        <v>11527.01</v>
      </c>
      <c r="F247" s="2">
        <v>5006.25</v>
      </c>
      <c r="G247" s="3"/>
      <c r="H247" s="2">
        <v>16122.55</v>
      </c>
      <c r="I247" s="3"/>
      <c r="J247" s="2">
        <v>26641.56</v>
      </c>
      <c r="K247" s="3"/>
      <c r="L247" s="2">
        <v>27485.95</v>
      </c>
      <c r="M247" s="3"/>
      <c r="N247" s="2">
        <v>15479.92</v>
      </c>
      <c r="O247" s="3"/>
      <c r="P247" s="2">
        <v>757332.01362999994</v>
      </c>
      <c r="Q247" s="3"/>
      <c r="R247" s="2">
        <v>577099.91377500002</v>
      </c>
    </row>
    <row r="248" spans="1:18" s="16" customFormat="1" hidden="1" outlineLevel="2" x14ac:dyDescent="0.35">
      <c r="B248" s="11" t="str">
        <f>CONCATENATE("          ", "6009", " - ", "TEMPORARY-SEASONAL")</f>
        <v xml:space="preserve">          6009 - TEMPORARY-SEASONAL</v>
      </c>
      <c r="D248" s="2">
        <v>3727.63</v>
      </c>
      <c r="F248" s="2">
        <v>1962</v>
      </c>
      <c r="G248" s="3"/>
      <c r="H248" s="2"/>
      <c r="I248" s="3"/>
      <c r="J248" s="2"/>
      <c r="K248" s="3"/>
      <c r="L248" s="2"/>
      <c r="M248" s="3"/>
      <c r="N248" s="2"/>
      <c r="O248" s="3"/>
      <c r="P248" s="2">
        <v>0</v>
      </c>
      <c r="Q248" s="3"/>
      <c r="R248" s="2">
        <v>0</v>
      </c>
    </row>
    <row r="249" spans="1:18" s="16" customFormat="1" hidden="1" outlineLevel="2" x14ac:dyDescent="0.35">
      <c r="B249" s="11" t="str">
        <f>CONCATENATE("          ", "6010", " - ", "GRATUITY")</f>
        <v xml:space="preserve">          6010 - GRATUITY</v>
      </c>
      <c r="D249" s="2"/>
      <c r="F249" s="2"/>
      <c r="G249" s="3"/>
      <c r="H249" s="2"/>
      <c r="I249" s="3"/>
      <c r="J249" s="2"/>
      <c r="K249" s="3"/>
      <c r="L249" s="2"/>
      <c r="M249" s="3"/>
      <c r="N249" s="2"/>
      <c r="O249" s="3"/>
      <c r="P249" s="2">
        <v>0</v>
      </c>
      <c r="Q249" s="3"/>
      <c r="R249" s="2">
        <v>0</v>
      </c>
    </row>
    <row r="250" spans="1:18" s="15" customFormat="1" outlineLevel="1" collapsed="1" x14ac:dyDescent="0.35">
      <c r="A250" s="7"/>
      <c r="B250" s="20" t="str">
        <f>CONCATENATE("     ","Advertising/Promo                                 ")</f>
        <v xml:space="preserve">     Advertising/Promo                                 </v>
      </c>
      <c r="C250" s="7"/>
      <c r="D250" s="1">
        <f>SUM(OSRRefD21_2x_0)</f>
        <v>111778.93</v>
      </c>
      <c r="E250" s="19"/>
      <c r="F250" s="1">
        <f>SUM(OSRRefF21_2x_0)</f>
        <v>68615.850000000006</v>
      </c>
      <c r="G250" s="4"/>
      <c r="H250" s="1">
        <f>SUM(OSRRefH21_2x_0)</f>
        <v>68353.279999999999</v>
      </c>
      <c r="I250" s="4"/>
      <c r="J250" s="1">
        <f>SUM(OSRRefJ21_2x_0)</f>
        <v>121769.18</v>
      </c>
      <c r="K250" s="4"/>
      <c r="L250" s="1">
        <f>SUM(OSRRefL21_2x_0)</f>
        <v>78385.91</v>
      </c>
      <c r="M250" s="4"/>
      <c r="N250" s="1">
        <f>SUM(OSRRefN21_2x_0)</f>
        <v>44836.67</v>
      </c>
      <c r="O250" s="4"/>
      <c r="P250" s="1">
        <f>SUM(OSRRefP21_2x_0)</f>
        <v>17660</v>
      </c>
      <c r="Q250" s="4"/>
      <c r="R250" s="1">
        <f>SUM(OSRRefR21_2x_0)</f>
        <v>9500</v>
      </c>
    </row>
    <row r="251" spans="1:18" s="16" customFormat="1" hidden="1" outlineLevel="2" x14ac:dyDescent="0.35">
      <c r="B251" s="11" t="str">
        <f>CONCATENATE("          ", "6362", " - ", "ADVERTISING EXPENSE")</f>
        <v xml:space="preserve">          6362 - ADVERTISING EXPENSE</v>
      </c>
      <c r="D251" s="2">
        <v>111778.93</v>
      </c>
      <c r="F251" s="2">
        <v>68615.850000000006</v>
      </c>
      <c r="G251" s="3"/>
      <c r="H251" s="2">
        <v>68353.279999999999</v>
      </c>
      <c r="I251" s="3"/>
      <c r="J251" s="2">
        <v>121769.18</v>
      </c>
      <c r="K251" s="3"/>
      <c r="L251" s="2">
        <v>78385.91</v>
      </c>
      <c r="M251" s="3"/>
      <c r="N251" s="2">
        <v>44836.67</v>
      </c>
      <c r="O251" s="3"/>
      <c r="P251" s="2">
        <v>17660</v>
      </c>
      <c r="Q251" s="3"/>
      <c r="R251" s="2">
        <v>9500</v>
      </c>
    </row>
    <row r="252" spans="1:18" s="15" customFormat="1" outlineLevel="1" collapsed="1" x14ac:dyDescent="0.35">
      <c r="A252" s="7"/>
      <c r="B252" s="20" t="str">
        <f>CONCATENATE("     ","Bad Debts/Over/Short                              ")</f>
        <v xml:space="preserve">     Bad Debts/Over/Short                              </v>
      </c>
      <c r="C252" s="7"/>
      <c r="D252" s="1">
        <f>SUM(OSRRefD21_3x_0)</f>
        <v>-37925.560000000005</v>
      </c>
      <c r="E252" s="19"/>
      <c r="F252" s="1">
        <f>SUM(OSRRefF21_3x_0)</f>
        <v>39705.839999999997</v>
      </c>
      <c r="G252" s="4"/>
      <c r="H252" s="1">
        <f>SUM(OSRRefH21_3x_0)</f>
        <v>39350.14</v>
      </c>
      <c r="I252" s="4"/>
      <c r="J252" s="1">
        <f>SUM(OSRRefJ21_3x_0)</f>
        <v>667.79</v>
      </c>
      <c r="K252" s="4"/>
      <c r="L252" s="1">
        <f>SUM(OSRRefL21_3x_0)</f>
        <v>325.27999999999997</v>
      </c>
      <c r="M252" s="4"/>
      <c r="N252" s="1">
        <f>SUM(OSRRefN21_3x_0)</f>
        <v>-33.400000000000006</v>
      </c>
      <c r="O252" s="4"/>
      <c r="P252" s="1">
        <f>SUM(OSRRefP21_3x_0)</f>
        <v>1320</v>
      </c>
      <c r="Q252" s="4"/>
      <c r="R252" s="1">
        <f>SUM(OSRRefR21_3x_0)</f>
        <v>2820</v>
      </c>
    </row>
    <row r="253" spans="1:18" s="16" customFormat="1" hidden="1" outlineLevel="2" x14ac:dyDescent="0.35">
      <c r="B253" s="11" t="str">
        <f>CONCATENATE("          ", "6272", " - ", "CASH (OVER/SHORT)")</f>
        <v xml:space="preserve">          6272 - CASH (OVER/SHORT)</v>
      </c>
      <c r="D253" s="2">
        <v>1997.99</v>
      </c>
      <c r="F253" s="2">
        <v>520.6</v>
      </c>
      <c r="G253" s="3"/>
      <c r="H253" s="2">
        <v>1650.69</v>
      </c>
      <c r="I253" s="3"/>
      <c r="J253" s="2">
        <v>250.59</v>
      </c>
      <c r="K253" s="3"/>
      <c r="L253" s="2">
        <v>325.27999999999997</v>
      </c>
      <c r="M253" s="3"/>
      <c r="N253" s="2">
        <v>-78.2</v>
      </c>
      <c r="O253" s="3"/>
      <c r="P253" s="2">
        <v>720</v>
      </c>
      <c r="Q253" s="3"/>
      <c r="R253" s="2">
        <v>2820</v>
      </c>
    </row>
    <row r="254" spans="1:18" s="16" customFormat="1" hidden="1" outlineLevel="2" x14ac:dyDescent="0.35">
      <c r="B254" s="11" t="str">
        <f>CONCATENATE("          ", "6342", " - ", "BAD DEBT")</f>
        <v xml:space="preserve">          6342 - BAD DEBT</v>
      </c>
      <c r="D254" s="2">
        <v>-39923.550000000003</v>
      </c>
      <c r="F254" s="2">
        <v>33276.9</v>
      </c>
      <c r="G254" s="3"/>
      <c r="H254" s="2">
        <v>37699.449999999997</v>
      </c>
      <c r="I254" s="3"/>
      <c r="J254" s="2">
        <v>417.2</v>
      </c>
      <c r="K254" s="3"/>
      <c r="L254" s="2"/>
      <c r="M254" s="3"/>
      <c r="N254" s="2">
        <v>44.8</v>
      </c>
      <c r="O254" s="3"/>
      <c r="P254" s="2">
        <v>600</v>
      </c>
      <c r="Q254" s="3"/>
      <c r="R254" s="2"/>
    </row>
    <row r="255" spans="1:18" s="16" customFormat="1" hidden="1" outlineLevel="2" x14ac:dyDescent="0.35">
      <c r="B255" s="11" t="str">
        <f>CONCATENATE("          ", "6344", " - ", "BAD DEBT-NSF")</f>
        <v xml:space="preserve">          6344 - BAD DEBT-NSF</v>
      </c>
      <c r="D255" s="2"/>
      <c r="F255" s="2">
        <v>5908.34</v>
      </c>
      <c r="G255" s="3"/>
      <c r="H255" s="2"/>
      <c r="I255" s="3"/>
      <c r="J255" s="2"/>
      <c r="K255" s="3"/>
      <c r="L255" s="2"/>
      <c r="M255" s="3"/>
      <c r="N255" s="2"/>
      <c r="O255" s="3"/>
      <c r="P255" s="2"/>
      <c r="Q255" s="3"/>
      <c r="R255" s="2"/>
    </row>
    <row r="256" spans="1:18" s="15" customFormat="1" outlineLevel="1" collapsed="1" x14ac:dyDescent="0.35">
      <c r="A256" s="7"/>
      <c r="B256" s="20" t="str">
        <f>CONCATENATE("     ","Bank/card Fees                                    ")</f>
        <v xml:space="preserve">     Bank/card Fees                                    </v>
      </c>
      <c r="C256" s="7"/>
      <c r="D256" s="1">
        <f>SUM(OSRRefD21_4x_0)</f>
        <v>169568.85</v>
      </c>
      <c r="E256" s="19"/>
      <c r="F256" s="1">
        <f>SUM(OSRRefF21_4x_0)</f>
        <v>179153.92000000001</v>
      </c>
      <c r="G256" s="4"/>
      <c r="H256" s="1">
        <f>SUM(OSRRefH21_4x_0)</f>
        <v>190945.6</v>
      </c>
      <c r="I256" s="4"/>
      <c r="J256" s="1">
        <f>SUM(OSRRefJ21_4x_0)</f>
        <v>188826.22</v>
      </c>
      <c r="K256" s="4"/>
      <c r="L256" s="1">
        <f>SUM(OSRRefL21_4x_0)</f>
        <v>175343.88</v>
      </c>
      <c r="M256" s="4"/>
      <c r="N256" s="1">
        <f>SUM(OSRRefN21_4x_0)</f>
        <v>148948.63</v>
      </c>
      <c r="O256" s="4"/>
      <c r="P256" s="1">
        <f>SUM(OSRRefP21_4x_0)</f>
        <v>198503</v>
      </c>
      <c r="Q256" s="4"/>
      <c r="R256" s="1">
        <f>SUM(OSRRefR21_4x_0)</f>
        <v>184132</v>
      </c>
    </row>
    <row r="257" spans="1:18" s="16" customFormat="1" hidden="1" outlineLevel="2" x14ac:dyDescent="0.35">
      <c r="B257" s="11" t="str">
        <f>CONCATENATE("          ", "6381", " - ", "BANK/CREDIT CARD FEES")</f>
        <v xml:space="preserve">          6381 - BANK/CREDIT CARD FEES</v>
      </c>
      <c r="D257" s="2">
        <v>169568.85</v>
      </c>
      <c r="F257" s="2">
        <v>179153.92000000001</v>
      </c>
      <c r="G257" s="3"/>
      <c r="H257" s="2">
        <v>190945.6</v>
      </c>
      <c r="I257" s="3"/>
      <c r="J257" s="2">
        <v>188826.22</v>
      </c>
      <c r="K257" s="3"/>
      <c r="L257" s="2">
        <v>175343.88</v>
      </c>
      <c r="M257" s="3"/>
      <c r="N257" s="2">
        <v>148948.63</v>
      </c>
      <c r="O257" s="3"/>
      <c r="P257" s="2">
        <v>198503</v>
      </c>
      <c r="Q257" s="3"/>
      <c r="R257" s="2">
        <v>184132</v>
      </c>
    </row>
    <row r="258" spans="1:18" s="15" customFormat="1" outlineLevel="1" collapsed="1" x14ac:dyDescent="0.35">
      <c r="A258" s="7"/>
      <c r="B258" s="20" t="str">
        <f>CONCATENATE("     ","Depreciation                                      ")</f>
        <v xml:space="preserve">     Depreciation                                      </v>
      </c>
      <c r="C258" s="7"/>
      <c r="D258" s="1">
        <f>SUM(OSRRefD21_5x_0)</f>
        <v>238755.13</v>
      </c>
      <c r="E258" s="19"/>
      <c r="F258" s="1">
        <f>SUM(OSRRefF21_5x_0)</f>
        <v>234767.51</v>
      </c>
      <c r="G258" s="4"/>
      <c r="H258" s="1">
        <f>SUM(OSRRefH21_5x_0)</f>
        <v>262239.52</v>
      </c>
      <c r="I258" s="4"/>
      <c r="J258" s="1">
        <f>SUM(OSRRefJ21_5x_0)</f>
        <v>355318.24999999994</v>
      </c>
      <c r="K258" s="4"/>
      <c r="L258" s="1">
        <f>SUM(OSRRefL21_5x_0)</f>
        <v>356539.56</v>
      </c>
      <c r="M258" s="4"/>
      <c r="N258" s="1">
        <f>SUM(OSRRefN21_5x_0)</f>
        <v>362746.92000000004</v>
      </c>
      <c r="O258" s="4"/>
      <c r="P258" s="1">
        <f>SUM(OSRRefP21_5x_0)</f>
        <v>367719</v>
      </c>
      <c r="Q258" s="4"/>
      <c r="R258" s="1">
        <f>SUM(OSRRefR21_5x_0)</f>
        <v>315125</v>
      </c>
    </row>
    <row r="259" spans="1:18" s="16" customFormat="1" hidden="1" outlineLevel="2" x14ac:dyDescent="0.35">
      <c r="B259" s="11" t="str">
        <f>CONCATENATE("          ", "6321", " - ", "BUILDING DEPRECIATION")</f>
        <v xml:space="preserve">          6321 - BUILDING DEPRECIATION</v>
      </c>
      <c r="D259" s="2">
        <v>205572.02</v>
      </c>
      <c r="F259" s="2">
        <v>200807.62</v>
      </c>
      <c r="G259" s="3"/>
      <c r="H259" s="2">
        <v>199482.87</v>
      </c>
      <c r="I259" s="3"/>
      <c r="J259" s="2">
        <v>197440.25</v>
      </c>
      <c r="K259" s="3"/>
      <c r="L259" s="2">
        <v>197440.31</v>
      </c>
      <c r="M259" s="3"/>
      <c r="N259" s="2">
        <v>196757.97</v>
      </c>
      <c r="O259" s="3"/>
      <c r="P259" s="2"/>
      <c r="Q259" s="3"/>
      <c r="R259" s="2"/>
    </row>
    <row r="260" spans="1:18" s="16" customFormat="1" hidden="1" outlineLevel="2" x14ac:dyDescent="0.35">
      <c r="B260" s="11" t="str">
        <f>CONCATENATE("          ", "6322", " - ", "EQUIPMENT DEPRECIATION EXPENSE")</f>
        <v xml:space="preserve">          6322 - EQUIPMENT DEPRECIATION EXPENSE</v>
      </c>
      <c r="D260" s="2">
        <v>27379.11</v>
      </c>
      <c r="F260" s="2">
        <v>30150.5</v>
      </c>
      <c r="G260" s="3"/>
      <c r="H260" s="2">
        <v>59082.25</v>
      </c>
      <c r="I260" s="3"/>
      <c r="J260" s="2">
        <v>154475.09</v>
      </c>
      <c r="K260" s="3"/>
      <c r="L260" s="2">
        <v>159099.25</v>
      </c>
      <c r="M260" s="3"/>
      <c r="N260" s="2">
        <v>165988.95000000001</v>
      </c>
      <c r="O260" s="3"/>
      <c r="P260" s="2">
        <v>367719</v>
      </c>
      <c r="Q260" s="3"/>
      <c r="R260" s="2">
        <v>315125</v>
      </c>
    </row>
    <row r="261" spans="1:18" s="16" customFormat="1" hidden="1" outlineLevel="2" x14ac:dyDescent="0.35">
      <c r="B261" s="11" t="str">
        <f>CONCATENATE("          ", "6324", " - ", "FURNITURE + FIXT DEPRECIATION")</f>
        <v xml:space="preserve">          6324 - FURNITURE + FIXT DEPRECIATION</v>
      </c>
      <c r="D261" s="2">
        <v>3809.39</v>
      </c>
      <c r="F261" s="2">
        <v>3809.39</v>
      </c>
      <c r="G261" s="3"/>
      <c r="H261" s="2">
        <v>3674.4</v>
      </c>
      <c r="I261" s="3"/>
      <c r="J261" s="2">
        <v>3402.91</v>
      </c>
      <c r="K261" s="3"/>
      <c r="L261" s="2">
        <v>0</v>
      </c>
      <c r="M261" s="3"/>
      <c r="N261" s="2">
        <v>0</v>
      </c>
      <c r="O261" s="3"/>
      <c r="P261" s="2"/>
      <c r="Q261" s="3"/>
      <c r="R261" s="2"/>
    </row>
    <row r="262" spans="1:18" s="16" customFormat="1" hidden="1" outlineLevel="2" x14ac:dyDescent="0.35">
      <c r="B262" s="11" t="str">
        <f>CONCATENATE("          ", "6326", " - ", "VEHICLES DEPRECIATION EXPENSE")</f>
        <v xml:space="preserve">          6326 - VEHICLES DEPRECIATION EXPENSE</v>
      </c>
      <c r="D262" s="2">
        <v>1994.61</v>
      </c>
      <c r="F262" s="2"/>
      <c r="G262" s="3"/>
      <c r="H262" s="2"/>
      <c r="I262" s="3"/>
      <c r="J262" s="2"/>
      <c r="K262" s="3"/>
      <c r="L262" s="2"/>
      <c r="M262" s="3"/>
      <c r="N262" s="2"/>
      <c r="O262" s="3"/>
      <c r="P262" s="2"/>
      <c r="Q262" s="3"/>
      <c r="R262" s="2"/>
    </row>
    <row r="263" spans="1:18" s="15" customFormat="1" outlineLevel="1" collapsed="1" x14ac:dyDescent="0.35">
      <c r="A263" s="7"/>
      <c r="B263" s="20" t="str">
        <f>CONCATENATE("     ","Discounts and Markdowns                           ")</f>
        <v xml:space="preserve">     Discounts and Markdowns                           </v>
      </c>
      <c r="C263" s="7"/>
      <c r="D263" s="1">
        <f>SUM(OSRRefD21_6x_0)</f>
        <v>392155.55</v>
      </c>
      <c r="E263" s="19"/>
      <c r="F263" s="1">
        <f>SUM(OSRRefF21_6x_0)</f>
        <v>402689.14999999997</v>
      </c>
      <c r="G263" s="4"/>
      <c r="H263" s="1">
        <f>SUM(OSRRefH21_6x_0)</f>
        <v>425633.5</v>
      </c>
      <c r="I263" s="4"/>
      <c r="J263" s="1">
        <f>SUM(OSRRefJ21_6x_0)</f>
        <v>410736.39999999997</v>
      </c>
      <c r="K263" s="4"/>
      <c r="L263" s="1">
        <f>SUM(OSRRefL21_6x_0)</f>
        <v>447232.34</v>
      </c>
      <c r="M263" s="4"/>
      <c r="N263" s="1">
        <f>SUM(OSRRefN21_6x_0)</f>
        <v>464055.9</v>
      </c>
      <c r="O263" s="4"/>
      <c r="P263" s="1">
        <f>SUM(OSRRefP21_6x_0)</f>
        <v>386785</v>
      </c>
      <c r="Q263" s="4"/>
      <c r="R263" s="1">
        <f>SUM(OSRRefR21_6x_0)</f>
        <v>0</v>
      </c>
    </row>
    <row r="264" spans="1:18" s="16" customFormat="1" hidden="1" outlineLevel="2" x14ac:dyDescent="0.35">
      <c r="B264" s="11" t="str">
        <f>CONCATENATE("          ", "6382", " - ", "DISCOUNTS/MARK DOWNS")</f>
        <v xml:space="preserve">          6382 - DISCOUNTS/MARK DOWNS</v>
      </c>
      <c r="D264" s="2">
        <v>403336.8</v>
      </c>
      <c r="F264" s="2">
        <v>411877.99</v>
      </c>
      <c r="G264" s="3"/>
      <c r="H264" s="2">
        <v>432881.83</v>
      </c>
      <c r="I264" s="3"/>
      <c r="J264" s="2">
        <v>417297.74</v>
      </c>
      <c r="K264" s="3"/>
      <c r="L264" s="2">
        <v>451855.44</v>
      </c>
      <c r="M264" s="3"/>
      <c r="N264" s="2">
        <v>467290.38</v>
      </c>
      <c r="O264" s="3"/>
      <c r="P264" s="2">
        <v>386785</v>
      </c>
      <c r="Q264" s="3"/>
      <c r="R264" s="2">
        <v>0</v>
      </c>
    </row>
    <row r="265" spans="1:18" s="16" customFormat="1" hidden="1" outlineLevel="2" x14ac:dyDescent="0.35">
      <c r="B265" s="11" t="str">
        <f>CONCATENATE("          ", "9175", " - ", "EARNED DISCOUNTS")</f>
        <v xml:space="preserve">          9175 - EARNED DISCOUNTS</v>
      </c>
      <c r="D265" s="2">
        <v>-11181.25</v>
      </c>
      <c r="F265" s="2">
        <v>-9188.84</v>
      </c>
      <c r="G265" s="3"/>
      <c r="H265" s="2">
        <v>-7248.33</v>
      </c>
      <c r="I265" s="3"/>
      <c r="J265" s="2">
        <v>-6561.34</v>
      </c>
      <c r="K265" s="3"/>
      <c r="L265" s="2">
        <v>-4623.1000000000004</v>
      </c>
      <c r="M265" s="3"/>
      <c r="N265" s="2">
        <v>-3234.48</v>
      </c>
      <c r="O265" s="3"/>
      <c r="P265" s="2"/>
      <c r="Q265" s="3"/>
      <c r="R265" s="2"/>
    </row>
    <row r="266" spans="1:18" s="15" customFormat="1" outlineLevel="1" collapsed="1" x14ac:dyDescent="0.35">
      <c r="A266" s="7"/>
      <c r="B266" s="20" t="str">
        <f>CONCATENATE("     ","Donations                                         ")</f>
        <v xml:space="preserve">     Donations                                         </v>
      </c>
      <c r="C266" s="7"/>
      <c r="D266" s="1">
        <f>SUM(OSRRefD21_7x_0)</f>
        <v>3990.7</v>
      </c>
      <c r="E266" s="19"/>
      <c r="F266" s="1">
        <f>SUM(OSRRefF21_7x_0)</f>
        <v>7807.94</v>
      </c>
      <c r="G266" s="4"/>
      <c r="H266" s="1">
        <f>SUM(OSRRefH21_7x_0)</f>
        <v>15019.87</v>
      </c>
      <c r="I266" s="4"/>
      <c r="J266" s="1">
        <f>SUM(OSRRefJ21_7x_0)</f>
        <v>4901.6400000000003</v>
      </c>
      <c r="K266" s="4"/>
      <c r="L266" s="1">
        <f>SUM(OSRRefL21_7x_0)</f>
        <v>9858.49</v>
      </c>
      <c r="M266" s="4"/>
      <c r="N266" s="1">
        <f>SUM(OSRRefN21_7x_0)</f>
        <v>10985.64</v>
      </c>
      <c r="O266" s="4"/>
      <c r="P266" s="1">
        <f>SUM(OSRRefP21_7x_0)</f>
        <v>12000</v>
      </c>
      <c r="Q266" s="4"/>
      <c r="R266" s="1">
        <f>SUM(OSRRefR21_7x_0)</f>
        <v>15000</v>
      </c>
    </row>
    <row r="267" spans="1:18" s="16" customFormat="1" hidden="1" outlineLevel="2" x14ac:dyDescent="0.35">
      <c r="B267" s="11" t="str">
        <f>CONCATENATE("          ", "6395", " - ", "DONATION-OFF CAMPUS")</f>
        <v xml:space="preserve">          6395 - DONATION-OFF CAMPUS</v>
      </c>
      <c r="D267" s="2"/>
      <c r="F267" s="2"/>
      <c r="G267" s="3"/>
      <c r="H267" s="2">
        <v>207.19</v>
      </c>
      <c r="I267" s="3"/>
      <c r="J267" s="2"/>
      <c r="K267" s="3"/>
      <c r="L267" s="2"/>
      <c r="M267" s="3"/>
      <c r="N267" s="2"/>
      <c r="O267" s="3"/>
      <c r="P267" s="2">
        <v>0</v>
      </c>
      <c r="Q267" s="3"/>
      <c r="R267" s="2"/>
    </row>
    <row r="268" spans="1:18" s="16" customFormat="1" hidden="1" outlineLevel="2" x14ac:dyDescent="0.35">
      <c r="B268" s="11" t="str">
        <f>CONCATENATE("          ", "6399", " - ", "DONATION-ON CAMPUS")</f>
        <v xml:space="preserve">          6399 - DONATION-ON CAMPUS</v>
      </c>
      <c r="D268" s="2">
        <v>3990.7</v>
      </c>
      <c r="F268" s="2">
        <v>7807.94</v>
      </c>
      <c r="G268" s="3"/>
      <c r="H268" s="2">
        <v>14812.68</v>
      </c>
      <c r="I268" s="3"/>
      <c r="J268" s="2">
        <v>4901.6400000000003</v>
      </c>
      <c r="K268" s="3"/>
      <c r="L268" s="2">
        <v>9858.49</v>
      </c>
      <c r="M268" s="3"/>
      <c r="N268" s="2">
        <v>10985.64</v>
      </c>
      <c r="O268" s="3"/>
      <c r="P268" s="2">
        <v>12000</v>
      </c>
      <c r="Q268" s="3"/>
      <c r="R268" s="2">
        <v>15000</v>
      </c>
    </row>
    <row r="269" spans="1:18" s="15" customFormat="1" outlineLevel="1" collapsed="1" x14ac:dyDescent="0.35">
      <c r="A269" s="7"/>
      <c r="B269" s="20" t="str">
        <f>CONCATENATE("     ","Employees' Appreciation                           ")</f>
        <v xml:space="preserve">     Employees' Appreciation                           </v>
      </c>
      <c r="C269" s="7"/>
      <c r="D269" s="1">
        <f>SUM(OSRRefD21_8x_0)</f>
        <v>3993.16</v>
      </c>
      <c r="E269" s="19"/>
      <c r="F269" s="1">
        <f>SUM(OSRRefF21_8x_0)</f>
        <v>5397.12</v>
      </c>
      <c r="G269" s="4"/>
      <c r="H269" s="1">
        <f>SUM(OSRRefH21_8x_0)</f>
        <v>3560.28</v>
      </c>
      <c r="I269" s="4"/>
      <c r="J269" s="1">
        <f>SUM(OSRRefJ21_8x_0)</f>
        <v>2872.46</v>
      </c>
      <c r="K269" s="4"/>
      <c r="L269" s="1">
        <f>SUM(OSRRefL21_8x_0)</f>
        <v>4380.3999999999996</v>
      </c>
      <c r="M269" s="4"/>
      <c r="N269" s="1">
        <f>SUM(OSRRefN21_8x_0)</f>
        <v>1611.27</v>
      </c>
      <c r="O269" s="4"/>
      <c r="P269" s="1">
        <f>SUM(OSRRefP21_8x_0)</f>
        <v>5140</v>
      </c>
      <c r="Q269" s="4"/>
      <c r="R269" s="1">
        <f>SUM(OSRRefR21_8x_0)</f>
        <v>2940</v>
      </c>
    </row>
    <row r="270" spans="1:18" s="16" customFormat="1" hidden="1" outlineLevel="2" x14ac:dyDescent="0.35">
      <c r="B270" s="11" t="str">
        <f>CONCATENATE("          ", "6277", " - ", "EMPLOYEE APPRECIATION")</f>
        <v xml:space="preserve">          6277 - EMPLOYEE APPRECIATION</v>
      </c>
      <c r="D270" s="2">
        <v>3993.16</v>
      </c>
      <c r="F270" s="2">
        <v>5397.12</v>
      </c>
      <c r="G270" s="3"/>
      <c r="H270" s="2">
        <v>3560.28</v>
      </c>
      <c r="I270" s="3"/>
      <c r="J270" s="2">
        <v>2872.46</v>
      </c>
      <c r="K270" s="3"/>
      <c r="L270" s="2">
        <v>4380.3999999999996</v>
      </c>
      <c r="M270" s="3"/>
      <c r="N270" s="2">
        <v>1611.27</v>
      </c>
      <c r="O270" s="3"/>
      <c r="P270" s="2">
        <v>5140</v>
      </c>
      <c r="Q270" s="3"/>
      <c r="R270" s="2">
        <v>2940</v>
      </c>
    </row>
    <row r="271" spans="1:18" s="15" customFormat="1" outlineLevel="1" collapsed="1" x14ac:dyDescent="0.35">
      <c r="A271" s="7"/>
      <c r="B271" s="20" t="str">
        <f>CONCATENATE("     ","Equipment Rental                                  ")</f>
        <v xml:space="preserve">     Equipment Rental                                  </v>
      </c>
      <c r="C271" s="7"/>
      <c r="D271" s="1">
        <f>SUM(OSRRefD21_9x_0)</f>
        <v>42289.74</v>
      </c>
      <c r="E271" s="19"/>
      <c r="F271" s="1">
        <f>SUM(OSRRefF21_9x_0)</f>
        <v>42188.78</v>
      </c>
      <c r="G271" s="4"/>
      <c r="H271" s="1">
        <f>SUM(OSRRefH21_9x_0)</f>
        <v>41411.03</v>
      </c>
      <c r="I271" s="4"/>
      <c r="J271" s="1">
        <f>SUM(OSRRefJ21_9x_0)</f>
        <v>40855.75</v>
      </c>
      <c r="K271" s="4"/>
      <c r="L271" s="1">
        <f>SUM(OSRRefL21_9x_0)</f>
        <v>40979.39</v>
      </c>
      <c r="M271" s="4"/>
      <c r="N271" s="1">
        <f>SUM(OSRRefN21_9x_0)</f>
        <v>19839.79</v>
      </c>
      <c r="O271" s="4"/>
      <c r="P271" s="1">
        <f>SUM(OSRRefP21_9x_0)</f>
        <v>36072</v>
      </c>
      <c r="Q271" s="4"/>
      <c r="R271" s="1">
        <f>SUM(OSRRefR21_9x_0)</f>
        <v>20200</v>
      </c>
    </row>
    <row r="272" spans="1:18" s="16" customFormat="1" hidden="1" outlineLevel="2" x14ac:dyDescent="0.35">
      <c r="B272" s="11" t="str">
        <f>CONCATENATE("          ", "6351", " - ", "EQUIPMENT RENTAL")</f>
        <v xml:space="preserve">          6351 - EQUIPMENT RENTAL</v>
      </c>
      <c r="D272" s="2">
        <v>42289.74</v>
      </c>
      <c r="F272" s="2">
        <v>42188.78</v>
      </c>
      <c r="G272" s="3"/>
      <c r="H272" s="2">
        <v>41411.03</v>
      </c>
      <c r="I272" s="3"/>
      <c r="J272" s="2">
        <v>40855.75</v>
      </c>
      <c r="K272" s="3"/>
      <c r="L272" s="2">
        <v>40979.39</v>
      </c>
      <c r="M272" s="3"/>
      <c r="N272" s="2">
        <v>19839.79</v>
      </c>
      <c r="O272" s="3"/>
      <c r="P272" s="2">
        <v>36072</v>
      </c>
      <c r="Q272" s="3"/>
      <c r="R272" s="2">
        <v>20200</v>
      </c>
    </row>
    <row r="273" spans="1:18" s="15" customFormat="1" outlineLevel="1" collapsed="1" x14ac:dyDescent="0.35">
      <c r="A273" s="7"/>
      <c r="B273" s="20" t="str">
        <f>CONCATENATE("     ","Freight out/Postage                               ")</f>
        <v xml:space="preserve">     Freight out/Postage                               </v>
      </c>
      <c r="C273" s="7"/>
      <c r="D273" s="1">
        <f>SUM(OSRRefD21_10x_0)</f>
        <v>-21945.560000000005</v>
      </c>
      <c r="E273" s="19"/>
      <c r="F273" s="1">
        <f>SUM(OSRRefF21_10x_0)</f>
        <v>-15669.679999999993</v>
      </c>
      <c r="G273" s="4"/>
      <c r="H273" s="1">
        <f>SUM(OSRRefH21_10x_0)</f>
        <v>-13729.89</v>
      </c>
      <c r="I273" s="4"/>
      <c r="J273" s="1">
        <f>SUM(OSRRefJ21_10x_0)</f>
        <v>-2300.1700000000128</v>
      </c>
      <c r="K273" s="4"/>
      <c r="L273" s="1">
        <f>SUM(OSRRefL21_10x_0)</f>
        <v>-520.94999999999709</v>
      </c>
      <c r="M273" s="4"/>
      <c r="N273" s="1">
        <f>SUM(OSRRefN21_10x_0)</f>
        <v>41914.199999999997</v>
      </c>
      <c r="O273" s="4"/>
      <c r="P273" s="1">
        <f>SUM(OSRRefP21_10x_0)</f>
        <v>35563</v>
      </c>
      <c r="Q273" s="4"/>
      <c r="R273" s="1">
        <f>SUM(OSRRefR21_10x_0)</f>
        <v>-16220</v>
      </c>
    </row>
    <row r="274" spans="1:18" s="16" customFormat="1" hidden="1" outlineLevel="2" x14ac:dyDescent="0.35">
      <c r="B274" s="11" t="str">
        <f>CONCATENATE("          ", "6305", " - ", "FREIGHT OUT")</f>
        <v xml:space="preserve">          6305 - FREIGHT OUT</v>
      </c>
      <c r="D274" s="2">
        <v>49884.93</v>
      </c>
      <c r="F274" s="2">
        <v>73456.36</v>
      </c>
      <c r="G274" s="3"/>
      <c r="H274" s="2">
        <v>80250.53</v>
      </c>
      <c r="I274" s="3"/>
      <c r="J274" s="2">
        <v>75678.539999999994</v>
      </c>
      <c r="K274" s="3"/>
      <c r="L274" s="2">
        <v>80711.61</v>
      </c>
      <c r="M274" s="3"/>
      <c r="N274" s="2">
        <v>102931.45</v>
      </c>
      <c r="O274" s="3"/>
      <c r="P274" s="2">
        <v>66865</v>
      </c>
      <c r="Q274" s="3"/>
      <c r="R274" s="2">
        <v>157080</v>
      </c>
    </row>
    <row r="275" spans="1:18" s="16" customFormat="1" hidden="1" outlineLevel="2" x14ac:dyDescent="0.35">
      <c r="B275" s="11" t="str">
        <f>CONCATENATE("          ", "6307", " - ", "POSTAGE")</f>
        <v xml:space="preserve">          6307 - POSTAGE</v>
      </c>
      <c r="D275" s="2">
        <v>-71830.490000000005</v>
      </c>
      <c r="F275" s="2">
        <v>-89126.04</v>
      </c>
      <c r="G275" s="3"/>
      <c r="H275" s="2">
        <v>-93980.42</v>
      </c>
      <c r="I275" s="3"/>
      <c r="J275" s="2">
        <v>-77978.710000000006</v>
      </c>
      <c r="K275" s="3"/>
      <c r="L275" s="2">
        <v>-81232.56</v>
      </c>
      <c r="M275" s="3"/>
      <c r="N275" s="2">
        <v>-61017.25</v>
      </c>
      <c r="O275" s="3"/>
      <c r="P275" s="2">
        <v>-31302</v>
      </c>
      <c r="Q275" s="3"/>
      <c r="R275" s="2">
        <v>-173300</v>
      </c>
    </row>
    <row r="276" spans="1:18" s="15" customFormat="1" outlineLevel="1" collapsed="1" x14ac:dyDescent="0.35">
      <c r="A276" s="7"/>
      <c r="B276" s="20" t="str">
        <f>CONCATENATE("     ","General                                           ")</f>
        <v xml:space="preserve">     General                                           </v>
      </c>
      <c r="C276" s="7"/>
      <c r="D276" s="1">
        <f>SUM(OSRRefD21_11x_0)</f>
        <v>4474.99</v>
      </c>
      <c r="E276" s="19"/>
      <c r="F276" s="1">
        <f>SUM(OSRRefF21_11x_0)</f>
        <v>22836.06</v>
      </c>
      <c r="G276" s="4"/>
      <c r="H276" s="1">
        <f>SUM(OSRRefH21_11x_0)</f>
        <v>23554.47</v>
      </c>
      <c r="I276" s="4"/>
      <c r="J276" s="1">
        <f>SUM(OSRRefJ21_11x_0)</f>
        <v>30348.98</v>
      </c>
      <c r="K276" s="4"/>
      <c r="L276" s="1">
        <f>SUM(OSRRefL21_11x_0)</f>
        <v>25428.799999999999</v>
      </c>
      <c r="M276" s="4"/>
      <c r="N276" s="1">
        <f>SUM(OSRRefN21_11x_0)</f>
        <v>-2978.87</v>
      </c>
      <c r="O276" s="4"/>
      <c r="P276" s="1">
        <f>SUM(OSRRefP21_11x_0)</f>
        <v>13610</v>
      </c>
      <c r="Q276" s="4"/>
      <c r="R276" s="1">
        <f>SUM(OSRRefR21_11x_0)</f>
        <v>7760</v>
      </c>
    </row>
    <row r="277" spans="1:18" s="16" customFormat="1" hidden="1" outlineLevel="2" x14ac:dyDescent="0.35">
      <c r="B277" s="11" t="str">
        <f>CONCATENATE("          ", "6269", " - ", "ENTERTAINMENT")</f>
        <v xml:space="preserve">          6269 - ENTERTAINMENT</v>
      </c>
      <c r="D277" s="2"/>
      <c r="F277" s="2"/>
      <c r="G277" s="3"/>
      <c r="H277" s="2"/>
      <c r="I277" s="3"/>
      <c r="J277" s="2"/>
      <c r="K277" s="3"/>
      <c r="L277" s="2"/>
      <c r="M277" s="3"/>
      <c r="N277" s="2"/>
      <c r="O277" s="3"/>
      <c r="P277" s="2">
        <v>2750</v>
      </c>
      <c r="Q277" s="3"/>
      <c r="R277" s="2"/>
    </row>
    <row r="278" spans="1:18" s="16" customFormat="1" hidden="1" outlineLevel="2" x14ac:dyDescent="0.35">
      <c r="B278" s="11" t="str">
        <f>CONCATENATE("          ", "6276", " - ", "PROPERTY TAX")</f>
        <v xml:space="preserve">          6276 - PROPERTY TAX</v>
      </c>
      <c r="D278" s="2"/>
      <c r="F278" s="2"/>
      <c r="G278" s="3"/>
      <c r="H278" s="2"/>
      <c r="I278" s="3"/>
      <c r="J278" s="2"/>
      <c r="K278" s="3"/>
      <c r="L278" s="2"/>
      <c r="M278" s="3"/>
      <c r="N278" s="2"/>
      <c r="O278" s="3"/>
      <c r="P278" s="2">
        <v>150</v>
      </c>
      <c r="Q278" s="3"/>
      <c r="R278" s="2">
        <v>1250</v>
      </c>
    </row>
    <row r="279" spans="1:18" s="16" customFormat="1" hidden="1" outlineLevel="2" x14ac:dyDescent="0.35">
      <c r="B279" s="11" t="str">
        <f>CONCATENATE("          ", "6279", " - ", "GENERAL EXPENSE")</f>
        <v xml:space="preserve">          6279 - GENERAL EXPENSE</v>
      </c>
      <c r="D279" s="2">
        <v>4474.99</v>
      </c>
      <c r="F279" s="2">
        <v>22836.06</v>
      </c>
      <c r="G279" s="3"/>
      <c r="H279" s="2">
        <v>23554.47</v>
      </c>
      <c r="I279" s="3"/>
      <c r="J279" s="2">
        <v>30348.98</v>
      </c>
      <c r="K279" s="3"/>
      <c r="L279" s="2">
        <v>25428.799999999999</v>
      </c>
      <c r="M279" s="3"/>
      <c r="N279" s="2">
        <v>-2978.87</v>
      </c>
      <c r="O279" s="3"/>
      <c r="P279" s="2">
        <v>10710</v>
      </c>
      <c r="Q279" s="3"/>
      <c r="R279" s="2">
        <v>6510</v>
      </c>
    </row>
    <row r="280" spans="1:18" s="15" customFormat="1" outlineLevel="1" collapsed="1" x14ac:dyDescent="0.35">
      <c r="A280" s="7"/>
      <c r="B280" s="20" t="str">
        <f>CONCATENATE("     ","Insurance                                         ")</f>
        <v xml:space="preserve">     Insurance                                         </v>
      </c>
      <c r="C280" s="7"/>
      <c r="D280" s="1">
        <f>SUM(OSRRefD21_12x_0)</f>
        <v>32667.97</v>
      </c>
      <c r="E280" s="19"/>
      <c r="F280" s="1">
        <f>SUM(OSRRefF21_12x_0)</f>
        <v>39521.519999999997</v>
      </c>
      <c r="G280" s="4"/>
      <c r="H280" s="1">
        <f>SUM(OSRRefH21_12x_0)</f>
        <v>35877.75</v>
      </c>
      <c r="I280" s="4"/>
      <c r="J280" s="1">
        <f>SUM(OSRRefJ21_12x_0)</f>
        <v>40077.360000000001</v>
      </c>
      <c r="K280" s="4"/>
      <c r="L280" s="1">
        <f>SUM(OSRRefL21_12x_0)</f>
        <v>38930.870000000003</v>
      </c>
      <c r="M280" s="4"/>
      <c r="N280" s="1">
        <f>SUM(OSRRefN21_12x_0)</f>
        <v>48536.88</v>
      </c>
      <c r="O280" s="4"/>
      <c r="P280" s="1">
        <f>SUM(OSRRefP21_12x_0)</f>
        <v>53352</v>
      </c>
      <c r="Q280" s="4"/>
      <c r="R280" s="1">
        <f>SUM(OSRRefR21_12x_0)</f>
        <v>64500</v>
      </c>
    </row>
    <row r="281" spans="1:18" s="16" customFormat="1" hidden="1" outlineLevel="2" x14ac:dyDescent="0.35">
      <c r="B281" s="11" t="str">
        <f>CONCATENATE("          ", "6314", " - ", "LIABILITY INSURANCE")</f>
        <v xml:space="preserve">          6314 - LIABILITY INSURANCE</v>
      </c>
      <c r="D281" s="2">
        <v>32667.97</v>
      </c>
      <c r="F281" s="2">
        <v>39521.519999999997</v>
      </c>
      <c r="G281" s="3"/>
      <c r="H281" s="2">
        <v>35877.75</v>
      </c>
      <c r="I281" s="3"/>
      <c r="J281" s="2">
        <v>40077.360000000001</v>
      </c>
      <c r="K281" s="3"/>
      <c r="L281" s="2">
        <v>38930.870000000003</v>
      </c>
      <c r="M281" s="3"/>
      <c r="N281" s="2">
        <v>48536.88</v>
      </c>
      <c r="O281" s="3"/>
      <c r="P281" s="2">
        <v>53352</v>
      </c>
      <c r="Q281" s="3"/>
      <c r="R281" s="2">
        <v>64500</v>
      </c>
    </row>
    <row r="282" spans="1:18" s="15" customFormat="1" outlineLevel="1" collapsed="1" x14ac:dyDescent="0.35">
      <c r="A282" s="7"/>
      <c r="B282" s="20" t="str">
        <f>CONCATENATE("     ","Inventory Adjustment                              ")</f>
        <v xml:space="preserve">     Inventory Adjustment                              </v>
      </c>
      <c r="C282" s="7"/>
      <c r="D282" s="1">
        <f>SUM(OSRRefD21_13x_0)</f>
        <v>0</v>
      </c>
      <c r="E282" s="19"/>
      <c r="F282" s="1">
        <f>SUM(OSRRefF21_13x_0)</f>
        <v>0</v>
      </c>
      <c r="G282" s="4"/>
      <c r="H282" s="1">
        <f>SUM(OSRRefH21_13x_0)</f>
        <v>0</v>
      </c>
      <c r="I282" s="4"/>
      <c r="J282" s="1">
        <f>SUM(OSRRefJ21_13x_0)</f>
        <v>0</v>
      </c>
      <c r="K282" s="4"/>
      <c r="L282" s="1">
        <f>SUM(OSRRefL21_13x_0)</f>
        <v>0</v>
      </c>
      <c r="M282" s="4"/>
      <c r="N282" s="1">
        <f>SUM(OSRRefN21_13x_0)</f>
        <v>0</v>
      </c>
      <c r="O282" s="4"/>
      <c r="P282" s="1">
        <f>SUM(OSRRefP21_13x_0)</f>
        <v>100200</v>
      </c>
      <c r="Q282" s="4"/>
      <c r="R282" s="1">
        <f>SUM(OSRRefR21_13x_0)</f>
        <v>91200</v>
      </c>
    </row>
    <row r="283" spans="1:18" s="16" customFormat="1" hidden="1" outlineLevel="2" x14ac:dyDescent="0.35">
      <c r="B283" s="11" t="str">
        <f>CONCATENATE("          ", "6408", " - ", "INVENTORY ADJUSTMENT")</f>
        <v xml:space="preserve">          6408 - INVENTORY ADJUSTMENT</v>
      </c>
      <c r="D283" s="2">
        <v>0</v>
      </c>
      <c r="F283" s="2">
        <v>0</v>
      </c>
      <c r="G283" s="3"/>
      <c r="H283" s="2">
        <v>0</v>
      </c>
      <c r="I283" s="3"/>
      <c r="J283" s="2">
        <v>0</v>
      </c>
      <c r="K283" s="3"/>
      <c r="L283" s="2">
        <v>0</v>
      </c>
      <c r="M283" s="3"/>
      <c r="N283" s="2">
        <v>0</v>
      </c>
      <c r="O283" s="3"/>
      <c r="P283" s="2">
        <v>100200</v>
      </c>
      <c r="Q283" s="3"/>
      <c r="R283" s="2">
        <v>91200</v>
      </c>
    </row>
    <row r="284" spans="1:18" s="16" customFormat="1" hidden="1" outlineLevel="2" x14ac:dyDescent="0.35">
      <c r="B284" s="11" t="str">
        <f>CONCATENATE("          ", "7700", " - ", "INV. SHRINKAGE @ RETAIL-CONTRA")</f>
        <v xml:space="preserve">          7700 - INV. SHRINKAGE @ RETAIL-CONTRA</v>
      </c>
      <c r="D284" s="2">
        <v>-100505</v>
      </c>
      <c r="F284" s="2">
        <v>51810</v>
      </c>
      <c r="G284" s="3"/>
      <c r="H284" s="2">
        <v>-36650</v>
      </c>
      <c r="I284" s="3"/>
      <c r="J284" s="2">
        <v>110351</v>
      </c>
      <c r="K284" s="3"/>
      <c r="L284" s="2">
        <v>166740</v>
      </c>
      <c r="M284" s="3"/>
      <c r="N284" s="2">
        <v>-99781</v>
      </c>
      <c r="O284" s="3"/>
      <c r="P284" s="2"/>
      <c r="Q284" s="3"/>
      <c r="R284" s="2"/>
    </row>
    <row r="285" spans="1:18" s="16" customFormat="1" hidden="1" outlineLevel="2" x14ac:dyDescent="0.35">
      <c r="B285" s="11" t="str">
        <f>CONCATENATE("          ", "7701", " - ", "INV. SHRINKAGE-NEW TEXT")</f>
        <v xml:space="preserve">          7701 - INV. SHRINKAGE-NEW TEXT</v>
      </c>
      <c r="D285" s="2">
        <v>27329</v>
      </c>
      <c r="F285" s="2">
        <v>-45934</v>
      </c>
      <c r="G285" s="3"/>
      <c r="H285" s="2">
        <v>425827</v>
      </c>
      <c r="I285" s="3"/>
      <c r="J285" s="2">
        <v>36055</v>
      </c>
      <c r="K285" s="3"/>
      <c r="L285" s="2">
        <v>-79917</v>
      </c>
      <c r="M285" s="3"/>
      <c r="N285" s="2">
        <v>-4346</v>
      </c>
      <c r="O285" s="3"/>
      <c r="P285" s="2"/>
      <c r="Q285" s="3"/>
      <c r="R285" s="2"/>
    </row>
    <row r="286" spans="1:18" s="16" customFormat="1" hidden="1" outlineLevel="2" x14ac:dyDescent="0.35">
      <c r="B286" s="11" t="str">
        <f>CONCATENATE("          ", "7702", " - ", "INV. SHRINKAGE-USED TEXT")</f>
        <v xml:space="preserve">          7702 - INV. SHRINKAGE-USED TEXT</v>
      </c>
      <c r="D286" s="2">
        <v>58945</v>
      </c>
      <c r="F286" s="2">
        <v>-5994</v>
      </c>
      <c r="G286" s="3"/>
      <c r="H286" s="2">
        <v>-306482</v>
      </c>
      <c r="I286" s="3"/>
      <c r="J286" s="2">
        <v>-43858</v>
      </c>
      <c r="K286" s="3"/>
      <c r="L286" s="2">
        <v>-5215</v>
      </c>
      <c r="M286" s="3"/>
      <c r="N286" s="2">
        <v>-29494</v>
      </c>
      <c r="O286" s="3"/>
      <c r="P286" s="2"/>
      <c r="Q286" s="3"/>
      <c r="R286" s="2"/>
    </row>
    <row r="287" spans="1:18" s="16" customFormat="1" hidden="1" outlineLevel="2" x14ac:dyDescent="0.35">
      <c r="B287" s="11" t="str">
        <f>CONCATENATE("          ", "7703", " - ", "INV. SHRINKAGE-RENTAL TEXT")</f>
        <v xml:space="preserve">          7703 - INV. SHRINKAGE-RENTAL TEXT</v>
      </c>
      <c r="D287" s="2"/>
      <c r="F287" s="2"/>
      <c r="G287" s="3"/>
      <c r="H287" s="2"/>
      <c r="I287" s="3"/>
      <c r="J287" s="2">
        <v>-19135</v>
      </c>
      <c r="K287" s="3"/>
      <c r="L287" s="2">
        <v>30858</v>
      </c>
      <c r="M287" s="3"/>
      <c r="N287" s="2">
        <v>526</v>
      </c>
      <c r="O287" s="3"/>
      <c r="P287" s="2"/>
      <c r="Q287" s="3"/>
      <c r="R287" s="2"/>
    </row>
    <row r="288" spans="1:18" s="16" customFormat="1" hidden="1" outlineLevel="2" x14ac:dyDescent="0.35">
      <c r="B288" s="11" t="str">
        <f>CONCATENATE("          ", "7704", " - ", "INV. SHRINKAGE-DIGITAL TEXT")</f>
        <v xml:space="preserve">          7704 - INV. SHRINKAGE-DIGITAL TEXT</v>
      </c>
      <c r="D288" s="2">
        <v>-9157</v>
      </c>
      <c r="F288" s="2">
        <v>-13898</v>
      </c>
      <c r="G288" s="3"/>
      <c r="H288" s="2">
        <v>-106620</v>
      </c>
      <c r="I288" s="3"/>
      <c r="J288" s="2">
        <v>-101331</v>
      </c>
      <c r="K288" s="3"/>
      <c r="L288" s="2">
        <v>-37301</v>
      </c>
      <c r="M288" s="3"/>
      <c r="N288" s="2">
        <v>816</v>
      </c>
      <c r="O288" s="3"/>
      <c r="P288" s="2"/>
      <c r="Q288" s="3"/>
      <c r="R288" s="2"/>
    </row>
    <row r="289" spans="2:18" s="16" customFormat="1" hidden="1" outlineLevel="2" x14ac:dyDescent="0.35">
      <c r="B289" s="11" t="str">
        <f>CONCATENATE("          ", "7711", " - ", "INV. SHRINKAGE-NO VALUE TEXT")</f>
        <v xml:space="preserve">          7711 - INV. SHRINKAGE-NO VALUE TEXT</v>
      </c>
      <c r="D289" s="2"/>
      <c r="F289" s="2">
        <v>-191</v>
      </c>
      <c r="G289" s="3"/>
      <c r="H289" s="2">
        <v>6</v>
      </c>
      <c r="I289" s="3"/>
      <c r="J289" s="2">
        <v>-8956</v>
      </c>
      <c r="K289" s="3"/>
      <c r="L289" s="2">
        <v>-2516</v>
      </c>
      <c r="M289" s="3"/>
      <c r="N289" s="2">
        <v>-1126</v>
      </c>
      <c r="O289" s="3"/>
      <c r="P289" s="2"/>
      <c r="Q289" s="3"/>
      <c r="R289" s="2"/>
    </row>
    <row r="290" spans="2:18" s="16" customFormat="1" hidden="1" outlineLevel="2" x14ac:dyDescent="0.35">
      <c r="B290" s="11" t="str">
        <f>CONCATENATE("          ", "7712", " - ", "INV. SHRINKAGE-MAGAZINES")</f>
        <v xml:space="preserve">          7712 - INV. SHRINKAGE-MAGAZINES</v>
      </c>
      <c r="D290" s="2">
        <v>-54</v>
      </c>
      <c r="F290" s="2">
        <v>-15</v>
      </c>
      <c r="G290" s="3"/>
      <c r="H290" s="2">
        <v>-27</v>
      </c>
      <c r="I290" s="3"/>
      <c r="J290" s="2"/>
      <c r="K290" s="3"/>
      <c r="L290" s="2"/>
      <c r="M290" s="3"/>
      <c r="N290" s="2"/>
      <c r="O290" s="3"/>
      <c r="P290" s="2"/>
      <c r="Q290" s="3"/>
      <c r="R290" s="2"/>
    </row>
    <row r="291" spans="2:18" s="16" customFormat="1" hidden="1" outlineLevel="2" x14ac:dyDescent="0.35">
      <c r="B291" s="11" t="str">
        <f>CONCATENATE("          ", "7713", " - ", "INV. SHRINKAGE-TRADE BOOKS")</f>
        <v xml:space="preserve">          7713 - INV. SHRINKAGE-TRADE BOOKS</v>
      </c>
      <c r="D291" s="2">
        <v>10516</v>
      </c>
      <c r="F291" s="2">
        <v>-970</v>
      </c>
      <c r="G291" s="3"/>
      <c r="H291" s="2">
        <v>-273</v>
      </c>
      <c r="I291" s="3"/>
      <c r="J291" s="2">
        <v>-548</v>
      </c>
      <c r="K291" s="3"/>
      <c r="L291" s="2">
        <v>749</v>
      </c>
      <c r="M291" s="3"/>
      <c r="N291" s="2">
        <v>-385</v>
      </c>
      <c r="O291" s="3"/>
      <c r="P291" s="2"/>
      <c r="Q291" s="3"/>
      <c r="R291" s="2"/>
    </row>
    <row r="292" spans="2:18" s="16" customFormat="1" hidden="1" outlineLevel="2" x14ac:dyDescent="0.35">
      <c r="B292" s="11" t="str">
        <f>CONCATENATE("          ", "7714", " - ", "INV. SHRINKAGE-REMAINDERS")</f>
        <v xml:space="preserve">          7714 - INV. SHRINKAGE-REMAINDERS</v>
      </c>
      <c r="D292" s="2">
        <v>-182</v>
      </c>
      <c r="F292" s="2">
        <v>-97</v>
      </c>
      <c r="G292" s="3"/>
      <c r="H292" s="2">
        <v>-107</v>
      </c>
      <c r="I292" s="3"/>
      <c r="J292" s="2">
        <v>-1904</v>
      </c>
      <c r="K292" s="3"/>
      <c r="L292" s="2">
        <v>-23</v>
      </c>
      <c r="M292" s="3"/>
      <c r="N292" s="2">
        <v>204</v>
      </c>
      <c r="O292" s="3"/>
      <c r="P292" s="2"/>
      <c r="Q292" s="3"/>
      <c r="R292" s="2"/>
    </row>
    <row r="293" spans="2:18" s="16" customFormat="1" hidden="1" outlineLevel="2" x14ac:dyDescent="0.35">
      <c r="B293" s="11" t="str">
        <f>CONCATENATE("          ", "7715", " - ", "INV. SHRINKAGE-CALENDARS")</f>
        <v xml:space="preserve">          7715 - INV. SHRINKAGE-CALENDARS</v>
      </c>
      <c r="D293" s="2">
        <v>-12</v>
      </c>
      <c r="F293" s="2">
        <v>-383</v>
      </c>
      <c r="G293" s="3"/>
      <c r="H293" s="2">
        <v>-154</v>
      </c>
      <c r="I293" s="3"/>
      <c r="J293" s="2"/>
      <c r="K293" s="3"/>
      <c r="L293" s="2"/>
      <c r="M293" s="3"/>
      <c r="N293" s="2"/>
      <c r="O293" s="3"/>
      <c r="P293" s="2"/>
      <c r="Q293" s="3"/>
      <c r="R293" s="2"/>
    </row>
    <row r="294" spans="2:18" s="16" customFormat="1" hidden="1" outlineLevel="2" x14ac:dyDescent="0.35">
      <c r="B294" s="11" t="str">
        <f>CONCATENATE("          ", "7717", " - ", "INV. SHRINKAGE-DORM/HOUSEWARES")</f>
        <v xml:space="preserve">          7717 - INV. SHRINKAGE-DORM/HOUSEWARES</v>
      </c>
      <c r="D294" s="2">
        <v>62</v>
      </c>
      <c r="F294" s="2">
        <v>-148</v>
      </c>
      <c r="G294" s="3"/>
      <c r="H294" s="2">
        <v>-513</v>
      </c>
      <c r="I294" s="3"/>
      <c r="J294" s="2">
        <v>3654</v>
      </c>
      <c r="K294" s="3"/>
      <c r="L294" s="2">
        <v>-22</v>
      </c>
      <c r="M294" s="3"/>
      <c r="N294" s="2">
        <v>-254</v>
      </c>
      <c r="O294" s="3"/>
      <c r="P294" s="2"/>
      <c r="Q294" s="3"/>
      <c r="R294" s="2"/>
    </row>
    <row r="295" spans="2:18" s="16" customFormat="1" hidden="1" outlineLevel="2" x14ac:dyDescent="0.35">
      <c r="B295" s="11" t="str">
        <f>CONCATENATE("          ", "7718", " - ", "INV. SHRINKAGE-STUDY GUIDES")</f>
        <v xml:space="preserve">          7718 - INV. SHRINKAGE-STUDY GUIDES</v>
      </c>
      <c r="D295" s="2">
        <v>599</v>
      </c>
      <c r="F295" s="2">
        <v>368</v>
      </c>
      <c r="G295" s="3"/>
      <c r="H295" s="2">
        <v>-28</v>
      </c>
      <c r="I295" s="3"/>
      <c r="J295" s="2">
        <v>-24</v>
      </c>
      <c r="K295" s="3"/>
      <c r="L295" s="2">
        <v>-1534</v>
      </c>
      <c r="M295" s="3"/>
      <c r="N295" s="2">
        <v>458</v>
      </c>
      <c r="O295" s="3"/>
      <c r="P295" s="2"/>
      <c r="Q295" s="3"/>
      <c r="R295" s="2"/>
    </row>
    <row r="296" spans="2:18" s="16" customFormat="1" hidden="1" outlineLevel="2" x14ac:dyDescent="0.35">
      <c r="B296" s="11" t="str">
        <f>CONCATENATE("          ", "7719", " - ", "INV. SHRINKAGE-BOOK RELATED")</f>
        <v xml:space="preserve">          7719 - INV. SHRINKAGE-BOOK RELATED</v>
      </c>
      <c r="D296" s="2">
        <v>283</v>
      </c>
      <c r="F296" s="2">
        <v>-98</v>
      </c>
      <c r="G296" s="3"/>
      <c r="H296" s="2">
        <v>80</v>
      </c>
      <c r="I296" s="3"/>
      <c r="J296" s="2">
        <v>22</v>
      </c>
      <c r="K296" s="3"/>
      <c r="L296" s="2">
        <v>-43</v>
      </c>
      <c r="M296" s="3"/>
      <c r="N296" s="2">
        <v>-43</v>
      </c>
      <c r="O296" s="3"/>
      <c r="P296" s="2"/>
      <c r="Q296" s="3"/>
      <c r="R296" s="2"/>
    </row>
    <row r="297" spans="2:18" s="16" customFormat="1" hidden="1" outlineLevel="2" x14ac:dyDescent="0.35">
      <c r="B297" s="11" t="str">
        <f>CONCATENATE("          ", "7725", " - ", "INV. SHRINKAGE-TEST FORMS")</f>
        <v xml:space="preserve">          7725 - INV. SHRINKAGE-TEST FORMS</v>
      </c>
      <c r="D297" s="2">
        <v>609</v>
      </c>
      <c r="F297" s="2">
        <v>2982</v>
      </c>
      <c r="G297" s="3"/>
      <c r="H297" s="2">
        <v>-2680</v>
      </c>
      <c r="I297" s="3"/>
      <c r="J297" s="2">
        <v>-12037</v>
      </c>
      <c r="K297" s="3"/>
      <c r="L297" s="2">
        <v>95</v>
      </c>
      <c r="M297" s="3"/>
      <c r="N297" s="2">
        <v>3987</v>
      </c>
      <c r="O297" s="3"/>
      <c r="P297" s="2"/>
      <c r="Q297" s="3"/>
      <c r="R297" s="2"/>
    </row>
    <row r="298" spans="2:18" s="16" customFormat="1" hidden="1" outlineLevel="2" x14ac:dyDescent="0.35">
      <c r="B298" s="11" t="str">
        <f>CONCATENATE("          ", "7726", " - ", "INV. SHRINKAGE-WRITING INSTRUM")</f>
        <v xml:space="preserve">          7726 - INV. SHRINKAGE-WRITING INSTRUM</v>
      </c>
      <c r="D298" s="2">
        <v>2161</v>
      </c>
      <c r="F298" s="2">
        <v>1730</v>
      </c>
      <c r="G298" s="3"/>
      <c r="H298" s="2">
        <v>1370</v>
      </c>
      <c r="I298" s="3"/>
      <c r="J298" s="2">
        <v>2389</v>
      </c>
      <c r="K298" s="3"/>
      <c r="L298" s="2">
        <v>1467</v>
      </c>
      <c r="M298" s="3"/>
      <c r="N298" s="2">
        <v>9153</v>
      </c>
      <c r="O298" s="3"/>
      <c r="P298" s="2"/>
      <c r="Q298" s="3"/>
      <c r="R298" s="2"/>
    </row>
    <row r="299" spans="2:18" s="16" customFormat="1" hidden="1" outlineLevel="2" x14ac:dyDescent="0.35">
      <c r="B299" s="11" t="str">
        <f>CONCATENATE("          ", "7727", " - ", "INV. SHRINKAGE-SCHOOL SUPPLIES")</f>
        <v xml:space="preserve">          7727 - INV. SHRINKAGE-SCHOOL SUPPLIES</v>
      </c>
      <c r="D299" s="2">
        <v>1488</v>
      </c>
      <c r="F299" s="2">
        <v>1734</v>
      </c>
      <c r="G299" s="3"/>
      <c r="H299" s="2">
        <v>-5055</v>
      </c>
      <c r="I299" s="3"/>
      <c r="J299" s="2">
        <v>8110</v>
      </c>
      <c r="K299" s="3"/>
      <c r="L299" s="2">
        <v>1404</v>
      </c>
      <c r="M299" s="3"/>
      <c r="N299" s="2">
        <v>9822</v>
      </c>
      <c r="O299" s="3"/>
      <c r="P299" s="2"/>
      <c r="Q299" s="3"/>
      <c r="R299" s="2"/>
    </row>
    <row r="300" spans="2:18" s="16" customFormat="1" hidden="1" outlineLevel="2" x14ac:dyDescent="0.35">
      <c r="B300" s="11" t="str">
        <f>CONCATENATE("          ", "7728", " - ", "INV. SHRINKAGE-ART/TECH")</f>
        <v xml:space="preserve">          7728 - INV. SHRINKAGE-ART/TECH</v>
      </c>
      <c r="D300" s="2">
        <v>2277</v>
      </c>
      <c r="F300" s="2">
        <v>10</v>
      </c>
      <c r="G300" s="3"/>
      <c r="H300" s="2">
        <v>-6930</v>
      </c>
      <c r="I300" s="3"/>
      <c r="J300" s="2">
        <v>3127</v>
      </c>
      <c r="K300" s="3"/>
      <c r="L300" s="2">
        <v>4009</v>
      </c>
      <c r="M300" s="3"/>
      <c r="N300" s="2">
        <v>8990</v>
      </c>
      <c r="O300" s="3"/>
      <c r="P300" s="2"/>
      <c r="Q300" s="3"/>
      <c r="R300" s="2"/>
    </row>
    <row r="301" spans="2:18" s="16" customFormat="1" hidden="1" outlineLevel="2" x14ac:dyDescent="0.35">
      <c r="B301" s="11" t="str">
        <f>CONCATENATE("          ", "7731", " - ", "INV. SHRINKAGE-FOOD")</f>
        <v xml:space="preserve">          7731 - INV. SHRINKAGE-FOOD</v>
      </c>
      <c r="D301" s="2">
        <v>397</v>
      </c>
      <c r="F301" s="2">
        <v>-1970</v>
      </c>
      <c r="G301" s="3"/>
      <c r="H301" s="2">
        <v>1740</v>
      </c>
      <c r="I301" s="3"/>
      <c r="J301" s="2">
        <v>3556</v>
      </c>
      <c r="K301" s="3"/>
      <c r="L301" s="2">
        <v>-237</v>
      </c>
      <c r="M301" s="3"/>
      <c r="N301" s="2">
        <v>6964</v>
      </c>
      <c r="O301" s="3"/>
      <c r="P301" s="2"/>
      <c r="Q301" s="3"/>
      <c r="R301" s="2"/>
    </row>
    <row r="302" spans="2:18" s="16" customFormat="1" hidden="1" outlineLevel="2" x14ac:dyDescent="0.35">
      <c r="B302" s="11" t="str">
        <f>CONCATENATE("          ", "7732", " - ", "INV. SHRINKAGE-JUICE")</f>
        <v xml:space="preserve">          7732 - INV. SHRINKAGE-JUICE</v>
      </c>
      <c r="D302" s="2">
        <v>-1072</v>
      </c>
      <c r="F302" s="2">
        <v>-592</v>
      </c>
      <c r="G302" s="3"/>
      <c r="H302" s="2">
        <v>-221</v>
      </c>
      <c r="I302" s="3"/>
      <c r="J302" s="2">
        <v>-740</v>
      </c>
      <c r="K302" s="3"/>
      <c r="L302" s="2">
        <v>-181</v>
      </c>
      <c r="M302" s="3"/>
      <c r="N302" s="2">
        <v>-1942</v>
      </c>
      <c r="O302" s="3"/>
      <c r="P302" s="2"/>
      <c r="Q302" s="3"/>
      <c r="R302" s="2"/>
    </row>
    <row r="303" spans="2:18" s="16" customFormat="1" hidden="1" outlineLevel="2" x14ac:dyDescent="0.35">
      <c r="B303" s="11" t="str">
        <f>CONCATENATE("          ", "7733", " - ", "INV. SHRINKAGE-CANDY")</f>
        <v xml:space="preserve">          7733 - INV. SHRINKAGE-CANDY</v>
      </c>
      <c r="D303" s="2">
        <v>971</v>
      </c>
      <c r="F303" s="2">
        <v>1694</v>
      </c>
      <c r="G303" s="3"/>
      <c r="H303" s="2">
        <v>72</v>
      </c>
      <c r="I303" s="3"/>
      <c r="J303" s="2">
        <v>-1683</v>
      </c>
      <c r="K303" s="3"/>
      <c r="L303" s="2">
        <v>-289</v>
      </c>
      <c r="M303" s="3"/>
      <c r="N303" s="2">
        <v>2710</v>
      </c>
      <c r="O303" s="3"/>
      <c r="P303" s="2"/>
      <c r="Q303" s="3"/>
      <c r="R303" s="2"/>
    </row>
    <row r="304" spans="2:18" s="16" customFormat="1" hidden="1" outlineLevel="2" x14ac:dyDescent="0.35">
      <c r="B304" s="11" t="str">
        <f>CONCATENATE("          ", "7734", " - ", "INV. SHRINKAGE-SODA")</f>
        <v xml:space="preserve">          7734 - INV. SHRINKAGE-SODA</v>
      </c>
      <c r="D304" s="2">
        <v>13</v>
      </c>
      <c r="F304" s="2">
        <v>-258</v>
      </c>
      <c r="G304" s="3"/>
      <c r="H304" s="2">
        <v>-392</v>
      </c>
      <c r="I304" s="3"/>
      <c r="J304" s="2">
        <v>-302</v>
      </c>
      <c r="K304" s="3"/>
      <c r="L304" s="2">
        <v>478</v>
      </c>
      <c r="M304" s="3"/>
      <c r="N304" s="2">
        <v>1253</v>
      </c>
      <c r="O304" s="3"/>
      <c r="P304" s="2"/>
      <c r="Q304" s="3"/>
      <c r="R304" s="2"/>
    </row>
    <row r="305" spans="2:18" s="16" customFormat="1" hidden="1" outlineLevel="2" x14ac:dyDescent="0.35">
      <c r="B305" s="11" t="str">
        <f>CONCATENATE("          ", "7735", " - ", "INV. SHRINKAGE-HEALTH/BEAUTY")</f>
        <v xml:space="preserve">          7735 - INV. SHRINKAGE-HEALTH/BEAUTY</v>
      </c>
      <c r="D305" s="2">
        <v>-87</v>
      </c>
      <c r="F305" s="2">
        <v>-265</v>
      </c>
      <c r="G305" s="3"/>
      <c r="H305" s="2">
        <v>91</v>
      </c>
      <c r="I305" s="3"/>
      <c r="J305" s="2">
        <v>222</v>
      </c>
      <c r="K305" s="3"/>
      <c r="L305" s="2">
        <v>-288</v>
      </c>
      <c r="M305" s="3"/>
      <c r="N305" s="2">
        <v>369</v>
      </c>
      <c r="O305" s="3"/>
      <c r="P305" s="2"/>
      <c r="Q305" s="3"/>
      <c r="R305" s="2"/>
    </row>
    <row r="306" spans="2:18" s="16" customFormat="1" hidden="1" outlineLevel="2" x14ac:dyDescent="0.35">
      <c r="B306" s="11" t="str">
        <f>CONCATENATE("          ", "7737", " - ", "INV. SHRINKAGE-WATER")</f>
        <v xml:space="preserve">          7737 - INV. SHRINKAGE-WATER</v>
      </c>
      <c r="D306" s="2">
        <v>-148</v>
      </c>
      <c r="F306" s="2">
        <v>-161</v>
      </c>
      <c r="G306" s="3"/>
      <c r="H306" s="2">
        <v>-2570</v>
      </c>
      <c r="I306" s="3"/>
      <c r="J306" s="2">
        <v>-72</v>
      </c>
      <c r="K306" s="3"/>
      <c r="L306" s="2">
        <v>-128</v>
      </c>
      <c r="M306" s="3"/>
      <c r="N306" s="2">
        <v>763</v>
      </c>
      <c r="O306" s="3"/>
      <c r="P306" s="2"/>
      <c r="Q306" s="3"/>
      <c r="R306" s="2"/>
    </row>
    <row r="307" spans="2:18" s="16" customFormat="1" hidden="1" outlineLevel="2" x14ac:dyDescent="0.35">
      <c r="B307" s="11" t="str">
        <f>CONCATENATE("          ", "7740", " - ", "INV. SHRINKAGE-LOGO CLOTHING")</f>
        <v xml:space="preserve">          7740 - INV. SHRINKAGE-LOGO CLOTHING</v>
      </c>
      <c r="D307" s="2">
        <v>1773</v>
      </c>
      <c r="F307" s="2">
        <v>14987</v>
      </c>
      <c r="G307" s="3"/>
      <c r="H307" s="2">
        <v>36874</v>
      </c>
      <c r="I307" s="3"/>
      <c r="J307" s="2">
        <v>39012</v>
      </c>
      <c r="K307" s="3"/>
      <c r="L307" s="2">
        <v>-33861</v>
      </c>
      <c r="M307" s="3"/>
      <c r="N307" s="2">
        <v>62007</v>
      </c>
      <c r="O307" s="3"/>
      <c r="P307" s="2"/>
      <c r="Q307" s="3"/>
      <c r="R307" s="2"/>
    </row>
    <row r="308" spans="2:18" s="16" customFormat="1" hidden="1" outlineLevel="2" x14ac:dyDescent="0.35">
      <c r="B308" s="11" t="str">
        <f>CONCATENATE("          ", "7741", " - ", "INV. SHRINKAGE-LOGO GIFTS")</f>
        <v xml:space="preserve">          7741 - INV. SHRINKAGE-LOGO GIFTS</v>
      </c>
      <c r="D308" s="2">
        <v>-1016</v>
      </c>
      <c r="F308" s="2">
        <v>2224</v>
      </c>
      <c r="G308" s="3"/>
      <c r="H308" s="2">
        <v>-7055</v>
      </c>
      <c r="I308" s="3"/>
      <c r="J308" s="2">
        <v>16045</v>
      </c>
      <c r="K308" s="3"/>
      <c r="L308" s="2">
        <v>-30911</v>
      </c>
      <c r="M308" s="3"/>
      <c r="N308" s="2">
        <v>30707</v>
      </c>
      <c r="O308" s="3"/>
      <c r="P308" s="2"/>
      <c r="Q308" s="3"/>
      <c r="R308" s="2"/>
    </row>
    <row r="309" spans="2:18" s="16" customFormat="1" hidden="1" outlineLevel="2" x14ac:dyDescent="0.35">
      <c r="B309" s="11" t="str">
        <f>CONCATENATE("          ", "7742", " - ", "INV. SHRINKAGE-EVERYDAY GIFTS")</f>
        <v xml:space="preserve">          7742 - INV. SHRINKAGE-EVERYDAY GIFTS</v>
      </c>
      <c r="D309" s="2">
        <v>3772</v>
      </c>
      <c r="F309" s="2">
        <v>-6641</v>
      </c>
      <c r="G309" s="3"/>
      <c r="H309" s="2">
        <v>-3911</v>
      </c>
      <c r="I309" s="3"/>
      <c r="J309" s="2">
        <v>-1081</v>
      </c>
      <c r="K309" s="3"/>
      <c r="L309" s="2">
        <v>10301</v>
      </c>
      <c r="M309" s="3"/>
      <c r="N309" s="2">
        <v>26197</v>
      </c>
      <c r="O309" s="3"/>
      <c r="P309" s="2"/>
      <c r="Q309" s="3"/>
      <c r="R309" s="2"/>
    </row>
    <row r="310" spans="2:18" s="16" customFormat="1" hidden="1" outlineLevel="2" x14ac:dyDescent="0.35">
      <c r="B310" s="11" t="str">
        <f>CONCATENATE("          ", "7743", " - ", "INV. SHRINKAGE-CARDS")</f>
        <v xml:space="preserve">          7743 - INV. SHRINKAGE-CARDS</v>
      </c>
      <c r="D310" s="2">
        <v>1910</v>
      </c>
      <c r="F310" s="2">
        <v>1426</v>
      </c>
      <c r="G310" s="3"/>
      <c r="H310" s="2">
        <v>-13</v>
      </c>
      <c r="I310" s="3"/>
      <c r="J310" s="2">
        <v>384</v>
      </c>
      <c r="K310" s="3"/>
      <c r="L310" s="2">
        <v>-1135</v>
      </c>
      <c r="M310" s="3"/>
      <c r="N310" s="2">
        <v>-12818</v>
      </c>
      <c r="O310" s="3"/>
      <c r="P310" s="2"/>
      <c r="Q310" s="3"/>
      <c r="R310" s="2"/>
    </row>
    <row r="311" spans="2:18" s="16" customFormat="1" hidden="1" outlineLevel="2" x14ac:dyDescent="0.35">
      <c r="B311" s="11" t="str">
        <f>CONCATENATE("          ", "7744", " - ", "INV. SHRINKAGE-ACCESSORIES")</f>
        <v xml:space="preserve">          7744 - INV. SHRINKAGE-ACCESSORIES</v>
      </c>
      <c r="D311" s="2">
        <v>-1141</v>
      </c>
      <c r="F311" s="2">
        <v>-6020</v>
      </c>
      <c r="G311" s="3"/>
      <c r="H311" s="2">
        <v>-1004</v>
      </c>
      <c r="I311" s="3"/>
      <c r="J311" s="2">
        <v>-1443</v>
      </c>
      <c r="K311" s="3"/>
      <c r="L311" s="2">
        <v>-141</v>
      </c>
      <c r="M311" s="3"/>
      <c r="N311" s="2">
        <v>-16780</v>
      </c>
      <c r="O311" s="3"/>
      <c r="P311" s="2"/>
      <c r="Q311" s="3"/>
      <c r="R311" s="2"/>
    </row>
    <row r="312" spans="2:18" s="16" customFormat="1" hidden="1" outlineLevel="2" x14ac:dyDescent="0.35">
      <c r="B312" s="11" t="str">
        <f>CONCATENATE("          ", "7745", " - ", "INV. SHRINKAGE-SPECIAL ORDERS")</f>
        <v xml:space="preserve">          7745 - INV. SHRINKAGE-SPECIAL ORDERS</v>
      </c>
      <c r="D312" s="2">
        <v>-4262</v>
      </c>
      <c r="F312" s="2">
        <v>3639</v>
      </c>
      <c r="G312" s="3"/>
      <c r="H312" s="2">
        <v>4600</v>
      </c>
      <c r="I312" s="3"/>
      <c r="J312" s="2">
        <v>-14224</v>
      </c>
      <c r="K312" s="3"/>
      <c r="L312" s="2">
        <v>-740</v>
      </c>
      <c r="M312" s="3"/>
      <c r="N312" s="2">
        <v>44531</v>
      </c>
      <c r="O312" s="3"/>
      <c r="P312" s="2"/>
      <c r="Q312" s="3"/>
      <c r="R312" s="2"/>
    </row>
    <row r="313" spans="2:18" s="16" customFormat="1" hidden="1" outlineLevel="2" x14ac:dyDescent="0.35">
      <c r="B313" s="11" t="str">
        <f>CONCATENATE("          ", "7781", " - ", "INV. SHRINKAGE-ELECTRONICS")</f>
        <v xml:space="preserve">          7781 - INV. SHRINKAGE-ELECTRONICS</v>
      </c>
      <c r="D313" s="2">
        <v>-435</v>
      </c>
      <c r="F313" s="2">
        <v>1734</v>
      </c>
      <c r="G313" s="3"/>
      <c r="H313" s="2">
        <v>-3870</v>
      </c>
      <c r="I313" s="3"/>
      <c r="J313" s="2">
        <v>3531</v>
      </c>
      <c r="K313" s="3"/>
      <c r="L313" s="2">
        <v>4453</v>
      </c>
      <c r="M313" s="3"/>
      <c r="N313" s="2">
        <v>-18533</v>
      </c>
      <c r="O313" s="3"/>
      <c r="P313" s="2"/>
      <c r="Q313" s="3"/>
      <c r="R313" s="2"/>
    </row>
    <row r="314" spans="2:18" s="16" customFormat="1" hidden="1" outlineLevel="2" x14ac:dyDescent="0.35">
      <c r="B314" s="11" t="str">
        <f>CONCATENATE("          ", "7782", " - ", "INV. SHRINKAGE-COMPUTER HARDWA")</f>
        <v xml:space="preserve">          7782 - INV. SHRINKAGE-COMPUTER HARDWA</v>
      </c>
      <c r="D314" s="2">
        <v>16374</v>
      </c>
      <c r="F314" s="2">
        <v>7058</v>
      </c>
      <c r="G314" s="3"/>
      <c r="H314" s="2">
        <v>48276</v>
      </c>
      <c r="I314" s="3"/>
      <c r="J314" s="2">
        <v>-17325</v>
      </c>
      <c r="K314" s="3"/>
      <c r="L314" s="2">
        <v>-30478</v>
      </c>
      <c r="M314" s="3"/>
      <c r="N314" s="2">
        <v>-30194</v>
      </c>
      <c r="O314" s="3"/>
      <c r="P314" s="2"/>
      <c r="Q314" s="3"/>
      <c r="R314" s="2"/>
    </row>
    <row r="315" spans="2:18" s="16" customFormat="1" hidden="1" outlineLevel="2" x14ac:dyDescent="0.35">
      <c r="B315" s="11" t="str">
        <f>CONCATENATE("          ", "7783", " - ", "INV. SHRINKAGE-COMPUTER EQUIPM")</f>
        <v xml:space="preserve">          7783 - INV. SHRINKAGE-COMPUTER EQUIPM</v>
      </c>
      <c r="D315" s="2">
        <v>-2181</v>
      </c>
      <c r="F315" s="2">
        <v>-8266</v>
      </c>
      <c r="G315" s="3"/>
      <c r="H315" s="2">
        <v>10018</v>
      </c>
      <c r="I315" s="3"/>
      <c r="J315" s="2">
        <v>5218</v>
      </c>
      <c r="K315" s="3"/>
      <c r="L315" s="2">
        <v>9125</v>
      </c>
      <c r="M315" s="3"/>
      <c r="N315" s="2">
        <v>2995</v>
      </c>
      <c r="O315" s="3"/>
      <c r="P315" s="2"/>
      <c r="Q315" s="3"/>
      <c r="R315" s="2"/>
    </row>
    <row r="316" spans="2:18" s="16" customFormat="1" hidden="1" outlineLevel="2" x14ac:dyDescent="0.35">
      <c r="B316" s="11" t="str">
        <f>CONCATENATE("          ", "7784", " - ", "INV. SHRINKAGE-SOFTWARE LICENS")</f>
        <v xml:space="preserve">          7784 - INV. SHRINKAGE-SOFTWARE LICENS</v>
      </c>
      <c r="D316" s="2">
        <v>154</v>
      </c>
      <c r="F316" s="2">
        <v>-1145</v>
      </c>
      <c r="G316" s="3"/>
      <c r="H316" s="2">
        <v>-3591</v>
      </c>
      <c r="I316" s="3"/>
      <c r="J316" s="2">
        <v>-591</v>
      </c>
      <c r="K316" s="3"/>
      <c r="L316" s="2">
        <v>-357</v>
      </c>
      <c r="M316" s="3"/>
      <c r="N316" s="2">
        <v>1394</v>
      </c>
      <c r="O316" s="3"/>
      <c r="P316" s="2"/>
      <c r="Q316" s="3"/>
      <c r="R316" s="2"/>
    </row>
    <row r="317" spans="2:18" s="16" customFormat="1" hidden="1" outlineLevel="2" x14ac:dyDescent="0.35">
      <c r="B317" s="11" t="str">
        <f>CONCATENATE("          ", "7785", " - ", "INV. SHRINKAGE-SOFTWARE")</f>
        <v xml:space="preserve">          7785 - INV. SHRINKAGE-SOFTWARE</v>
      </c>
      <c r="D317" s="2">
        <v>255</v>
      </c>
      <c r="F317" s="2">
        <v>-70</v>
      </c>
      <c r="G317" s="3"/>
      <c r="H317" s="2">
        <v>-15498</v>
      </c>
      <c r="I317" s="3"/>
      <c r="J317" s="2">
        <v>136</v>
      </c>
      <c r="K317" s="3"/>
      <c r="L317" s="2">
        <v>-72</v>
      </c>
      <c r="M317" s="3"/>
      <c r="N317" s="2">
        <v>-3743</v>
      </c>
      <c r="O317" s="3"/>
      <c r="P317" s="2"/>
      <c r="Q317" s="3"/>
      <c r="R317" s="2"/>
    </row>
    <row r="318" spans="2:18" s="16" customFormat="1" hidden="1" outlineLevel="2" x14ac:dyDescent="0.35">
      <c r="B318" s="11" t="str">
        <f>CONCATENATE("          ", "7786", " - ", "INV. SHRINKAGE-COMPUTER SUPPLI")</f>
        <v xml:space="preserve">          7786 - INV. SHRINKAGE-COMPUTER SUPPLI</v>
      </c>
      <c r="D318" s="2">
        <v>-2142</v>
      </c>
      <c r="F318" s="2">
        <v>2675</v>
      </c>
      <c r="G318" s="3"/>
      <c r="H318" s="2">
        <v>-9851</v>
      </c>
      <c r="I318" s="3"/>
      <c r="J318" s="2">
        <v>4230</v>
      </c>
      <c r="K318" s="3"/>
      <c r="L318" s="2">
        <v>248</v>
      </c>
      <c r="M318" s="3"/>
      <c r="N318" s="2">
        <v>5038</v>
      </c>
      <c r="O318" s="3"/>
      <c r="P318" s="2"/>
      <c r="Q318" s="3"/>
      <c r="R318" s="2"/>
    </row>
    <row r="319" spans="2:18" s="16" customFormat="1" hidden="1" outlineLevel="2" x14ac:dyDescent="0.35">
      <c r="B319" s="11" t="str">
        <f>CONCATENATE("          ", "7788", " - ", "INV. SHRINKAGE-MUSIC")</f>
        <v xml:space="preserve">          7788 - INV. SHRINKAGE-MUSIC</v>
      </c>
      <c r="D319" s="2"/>
      <c r="F319" s="2">
        <v>161</v>
      </c>
      <c r="G319" s="3"/>
      <c r="H319" s="2">
        <v>-1381</v>
      </c>
      <c r="I319" s="3"/>
      <c r="J319" s="2">
        <v>498</v>
      </c>
      <c r="K319" s="3"/>
      <c r="L319" s="2">
        <v>-467</v>
      </c>
      <c r="M319" s="3"/>
      <c r="N319" s="2">
        <v>152</v>
      </c>
      <c r="O319" s="3"/>
      <c r="P319" s="2"/>
      <c r="Q319" s="3"/>
      <c r="R319" s="2"/>
    </row>
    <row r="320" spans="2:18" s="16" customFormat="1" hidden="1" outlineLevel="2" x14ac:dyDescent="0.35">
      <c r="B320" s="11" t="str">
        <f>CONCATENATE("          ", "7791", " - ", "INV. SHRINKAGE-GRAD ANNOUNCEME")</f>
        <v xml:space="preserve">          7791 - INV. SHRINKAGE-GRAD ANNOUNCEME</v>
      </c>
      <c r="D320" s="2">
        <v>665</v>
      </c>
      <c r="F320" s="2">
        <v>-54</v>
      </c>
      <c r="G320" s="3"/>
      <c r="H320" s="2">
        <v>-468</v>
      </c>
      <c r="I320" s="3"/>
      <c r="J320" s="2">
        <v>-1014</v>
      </c>
      <c r="K320" s="3"/>
      <c r="L320" s="2"/>
      <c r="M320" s="3"/>
      <c r="N320" s="2"/>
      <c r="O320" s="3"/>
      <c r="P320" s="2"/>
      <c r="Q320" s="3"/>
      <c r="R320" s="2"/>
    </row>
    <row r="321" spans="1:18" s="16" customFormat="1" hidden="1" outlineLevel="2" x14ac:dyDescent="0.35">
      <c r="B321" s="11" t="str">
        <f>CONCATENATE("          ", "7792", " - ", "INV. SHRINKAGE-GRAD MERCH")</f>
        <v xml:space="preserve">          7792 - INV. SHRINKAGE-GRAD MERCH</v>
      </c>
      <c r="D321" s="2">
        <v>-8344</v>
      </c>
      <c r="F321" s="2">
        <v>668</v>
      </c>
      <c r="G321" s="3"/>
      <c r="H321" s="2">
        <v>-8318</v>
      </c>
      <c r="I321" s="3"/>
      <c r="J321" s="2">
        <v>-10227</v>
      </c>
      <c r="K321" s="3"/>
      <c r="L321" s="2">
        <v>-3925</v>
      </c>
      <c r="M321" s="3"/>
      <c r="N321" s="2">
        <v>535</v>
      </c>
      <c r="O321" s="3"/>
      <c r="P321" s="2"/>
      <c r="Q321" s="3"/>
      <c r="R321" s="2"/>
    </row>
    <row r="322" spans="1:18" s="16" customFormat="1" hidden="1" outlineLevel="2" x14ac:dyDescent="0.35">
      <c r="B322" s="11" t="str">
        <f>CONCATENATE("          ", "7795", " - ", "INV. SHRINKAGE-CUSTOMER SERVIC")</f>
        <v xml:space="preserve">          7795 - INV. SHRINKAGE-CUSTOMER SERVIC</v>
      </c>
      <c r="D322" s="2">
        <v>185</v>
      </c>
      <c r="F322" s="2">
        <v>-1730</v>
      </c>
      <c r="G322" s="3"/>
      <c r="H322" s="2">
        <v>-5292</v>
      </c>
      <c r="I322" s="3"/>
      <c r="J322" s="2">
        <v>-45</v>
      </c>
      <c r="K322" s="3"/>
      <c r="L322" s="2">
        <v>-146</v>
      </c>
      <c r="M322" s="3"/>
      <c r="N322" s="2">
        <v>-132</v>
      </c>
      <c r="O322" s="3"/>
      <c r="P322" s="2"/>
      <c r="Q322" s="3"/>
      <c r="R322" s="2"/>
    </row>
    <row r="323" spans="1:18" s="15" customFormat="1" outlineLevel="1" collapsed="1" x14ac:dyDescent="0.35">
      <c r="A323" s="7"/>
      <c r="B323" s="20" t="str">
        <f>CONCATENATE("     ","Professional Services                             ")</f>
        <v xml:space="preserve">     Professional Services                             </v>
      </c>
      <c r="C323" s="7"/>
      <c r="D323" s="1">
        <f>SUM(OSRRefD21_14x_0)</f>
        <v>40662.9</v>
      </c>
      <c r="E323" s="19"/>
      <c r="F323" s="1">
        <f>SUM(OSRRefF21_14x_0)</f>
        <v>24022.54</v>
      </c>
      <c r="G323" s="4"/>
      <c r="H323" s="1">
        <f>SUM(OSRRefH21_14x_0)</f>
        <v>14457.130000000001</v>
      </c>
      <c r="I323" s="4"/>
      <c r="J323" s="1">
        <f>SUM(OSRRefJ21_14x_0)</f>
        <v>10086.200000000001</v>
      </c>
      <c r="K323" s="4"/>
      <c r="L323" s="1">
        <f>SUM(OSRRefL21_14x_0)</f>
        <v>8276.43</v>
      </c>
      <c r="M323" s="4"/>
      <c r="N323" s="1">
        <f>SUM(OSRRefN21_14x_0)</f>
        <v>17571.52</v>
      </c>
      <c r="O323" s="4"/>
      <c r="P323" s="1">
        <f>SUM(OSRRefP21_14x_0)</f>
        <v>7300</v>
      </c>
      <c r="Q323" s="4"/>
      <c r="R323" s="1">
        <f>SUM(OSRRefR21_14x_0)</f>
        <v>1750</v>
      </c>
    </row>
    <row r="324" spans="1:18" s="16" customFormat="1" hidden="1" outlineLevel="2" x14ac:dyDescent="0.35">
      <c r="B324" s="11" t="str">
        <f>CONCATENATE("          ", "6332", " - ", "CONSULTANT FEES")</f>
        <v xml:space="preserve">          6332 - CONSULTANT FEES</v>
      </c>
      <c r="D324" s="2">
        <v>27177.82</v>
      </c>
      <c r="F324" s="2">
        <v>24022.54</v>
      </c>
      <c r="G324" s="3"/>
      <c r="H324" s="2">
        <v>4355.7700000000004</v>
      </c>
      <c r="I324" s="3"/>
      <c r="J324" s="2">
        <v>2204.5</v>
      </c>
      <c r="K324" s="3"/>
      <c r="L324" s="2"/>
      <c r="M324" s="3"/>
      <c r="N324" s="2"/>
      <c r="O324" s="3"/>
      <c r="P324" s="2"/>
      <c r="Q324" s="3"/>
      <c r="R324" s="2"/>
    </row>
    <row r="325" spans="1:18" s="16" customFormat="1" hidden="1" outlineLevel="2" x14ac:dyDescent="0.35">
      <c r="B325" s="11" t="str">
        <f>CONCATENATE("          ", "6336", " - ", "PROFESSIONAL SERVICES")</f>
        <v xml:space="preserve">          6336 - PROFESSIONAL SERVICES</v>
      </c>
      <c r="D325" s="2">
        <v>13485.08</v>
      </c>
      <c r="F325" s="2"/>
      <c r="G325" s="3"/>
      <c r="H325" s="2">
        <v>10101.36</v>
      </c>
      <c r="I325" s="3"/>
      <c r="J325" s="2">
        <v>7881.7</v>
      </c>
      <c r="K325" s="3"/>
      <c r="L325" s="2">
        <v>8276.43</v>
      </c>
      <c r="M325" s="3"/>
      <c r="N325" s="2">
        <v>17571.52</v>
      </c>
      <c r="O325" s="3"/>
      <c r="P325" s="2">
        <v>7300</v>
      </c>
      <c r="Q325" s="3"/>
      <c r="R325" s="2">
        <v>1750</v>
      </c>
    </row>
    <row r="326" spans="1:18" s="15" customFormat="1" outlineLevel="1" collapsed="1" x14ac:dyDescent="0.35">
      <c r="A326" s="7"/>
      <c r="B326" s="20" t="str">
        <f>CONCATENATE("     ","Rent                                              ")</f>
        <v xml:space="preserve">     Rent                                              </v>
      </c>
      <c r="C326" s="7"/>
      <c r="D326" s="1">
        <f>SUM(OSRRefD21_15x_0)</f>
        <v>85900</v>
      </c>
      <c r="E326" s="19"/>
      <c r="F326" s="1">
        <f>SUM(OSRRefF21_15x_0)</f>
        <v>86400</v>
      </c>
      <c r="G326" s="4"/>
      <c r="H326" s="1">
        <f>SUM(OSRRefH21_15x_0)</f>
        <v>89284</v>
      </c>
      <c r="I326" s="4"/>
      <c r="J326" s="1">
        <f>SUM(OSRRefJ21_15x_0)</f>
        <v>87362.38</v>
      </c>
      <c r="K326" s="4"/>
      <c r="L326" s="1">
        <f>SUM(OSRRefL21_15x_0)</f>
        <v>74101.08</v>
      </c>
      <c r="M326" s="4"/>
      <c r="N326" s="1">
        <f>SUM(OSRRefN21_15x_0)</f>
        <v>74800</v>
      </c>
      <c r="O326" s="4"/>
      <c r="P326" s="1">
        <f>SUM(OSRRefP21_15x_0)</f>
        <v>73201</v>
      </c>
      <c r="Q326" s="4"/>
      <c r="R326" s="1">
        <f>SUM(OSRRefR21_15x_0)</f>
        <v>73200</v>
      </c>
    </row>
    <row r="327" spans="1:18" s="16" customFormat="1" hidden="1" outlineLevel="2" x14ac:dyDescent="0.35">
      <c r="B327" s="11" t="str">
        <f>CONCATENATE("          ", "6273", " - ", "RENT")</f>
        <v xml:space="preserve">          6273 - RENT</v>
      </c>
      <c r="D327" s="2">
        <v>85900</v>
      </c>
      <c r="F327" s="2">
        <v>86400</v>
      </c>
      <c r="G327" s="3"/>
      <c r="H327" s="2">
        <v>89284</v>
      </c>
      <c r="I327" s="3"/>
      <c r="J327" s="2">
        <v>87362.38</v>
      </c>
      <c r="K327" s="3"/>
      <c r="L327" s="2">
        <v>74101.08</v>
      </c>
      <c r="M327" s="3"/>
      <c r="N327" s="2">
        <v>74800</v>
      </c>
      <c r="O327" s="3"/>
      <c r="P327" s="2">
        <v>73201</v>
      </c>
      <c r="Q327" s="3"/>
      <c r="R327" s="2">
        <v>73200</v>
      </c>
    </row>
    <row r="328" spans="1:18" s="15" customFormat="1" outlineLevel="1" collapsed="1" x14ac:dyDescent="0.35">
      <c r="A328" s="7"/>
      <c r="B328" s="20" t="str">
        <f>CONCATENATE("     ","Repair and Maintenance                            ")</f>
        <v xml:space="preserve">     Repair and Maintenance                            </v>
      </c>
      <c r="C328" s="7"/>
      <c r="D328" s="1">
        <f>SUM(OSRRefD21_16x_0)</f>
        <v>218882.01</v>
      </c>
      <c r="E328" s="19"/>
      <c r="F328" s="1">
        <f>SUM(OSRRefF21_16x_0)</f>
        <v>230464.69</v>
      </c>
      <c r="G328" s="4"/>
      <c r="H328" s="1">
        <f>SUM(OSRRefH21_16x_0)</f>
        <v>300803.13</v>
      </c>
      <c r="I328" s="4"/>
      <c r="J328" s="1">
        <f>SUM(OSRRefJ21_16x_0)</f>
        <v>172064.15000000002</v>
      </c>
      <c r="K328" s="4"/>
      <c r="L328" s="1">
        <f>SUM(OSRRefL21_16x_0)</f>
        <v>226330.47999999998</v>
      </c>
      <c r="M328" s="4"/>
      <c r="N328" s="1">
        <f>SUM(OSRRefN21_16x_0)</f>
        <v>160130.84</v>
      </c>
      <c r="O328" s="4"/>
      <c r="P328" s="1">
        <f>SUM(OSRRefP21_16x_0)</f>
        <v>235825</v>
      </c>
      <c r="Q328" s="4"/>
      <c r="R328" s="1">
        <f>SUM(OSRRefR21_16x_0)</f>
        <v>179660</v>
      </c>
    </row>
    <row r="329" spans="1:18" s="16" customFormat="1" hidden="1" outlineLevel="2" x14ac:dyDescent="0.35">
      <c r="B329" s="11" t="str">
        <f>CONCATENATE("          ", "6371", " - ", "COMPUTER SOFTWARE MAINTENANCE")</f>
        <v xml:space="preserve">          6371 - COMPUTER SOFTWARE MAINTENANCE</v>
      </c>
      <c r="D329" s="2">
        <v>55703</v>
      </c>
      <c r="F329" s="2">
        <v>56371</v>
      </c>
      <c r="G329" s="3"/>
      <c r="H329" s="2">
        <v>103416.17</v>
      </c>
      <c r="I329" s="3"/>
      <c r="J329" s="2">
        <v>23193.25</v>
      </c>
      <c r="K329" s="3"/>
      <c r="L329" s="2">
        <v>101136.83</v>
      </c>
      <c r="M329" s="3"/>
      <c r="N329" s="2">
        <v>28598.55</v>
      </c>
      <c r="O329" s="3"/>
      <c r="P329" s="2">
        <v>57000</v>
      </c>
      <c r="Q329" s="3"/>
      <c r="R329" s="2">
        <v>51100</v>
      </c>
    </row>
    <row r="330" spans="1:18" s="16" customFormat="1" hidden="1" outlineLevel="2" x14ac:dyDescent="0.35">
      <c r="B330" s="11" t="str">
        <f>CONCATENATE("          ", "6372", " - ", "COMPUTER HARDWARE MAINTENANCE")</f>
        <v xml:space="preserve">          6372 - COMPUTER HARDWARE MAINTENANCE</v>
      </c>
      <c r="D330" s="2">
        <v>174.3</v>
      </c>
      <c r="F330" s="2">
        <v>12.74</v>
      </c>
      <c r="G330" s="3"/>
      <c r="H330" s="2">
        <v>-0.4</v>
      </c>
      <c r="I330" s="3"/>
      <c r="J330" s="2">
        <v>29.05</v>
      </c>
      <c r="K330" s="3"/>
      <c r="L330" s="2">
        <v>51.79</v>
      </c>
      <c r="M330" s="3"/>
      <c r="N330" s="2">
        <v>50.32</v>
      </c>
      <c r="O330" s="3"/>
      <c r="P330" s="2"/>
      <c r="Q330" s="3"/>
      <c r="R330" s="2">
        <v>41620</v>
      </c>
    </row>
    <row r="331" spans="1:18" s="16" customFormat="1" hidden="1" outlineLevel="2" x14ac:dyDescent="0.35">
      <c r="B331" s="11" t="str">
        <f>CONCATENATE("          ", "6373", " - ", "MAINTENANCE CONTRACTS")</f>
        <v xml:space="preserve">          6373 - MAINTENANCE CONTRACTS</v>
      </c>
      <c r="D331" s="2">
        <v>135936.71</v>
      </c>
      <c r="F331" s="2">
        <v>129093.77</v>
      </c>
      <c r="G331" s="3"/>
      <c r="H331" s="2">
        <v>106652.63</v>
      </c>
      <c r="I331" s="3"/>
      <c r="J331" s="2">
        <v>105827.05</v>
      </c>
      <c r="K331" s="3"/>
      <c r="L331" s="2">
        <v>92704.29</v>
      </c>
      <c r="M331" s="3"/>
      <c r="N331" s="2">
        <v>91135.78</v>
      </c>
      <c r="O331" s="3"/>
      <c r="P331" s="2">
        <v>77480</v>
      </c>
      <c r="Q331" s="3"/>
      <c r="R331" s="2">
        <v>85960</v>
      </c>
    </row>
    <row r="332" spans="1:18" s="16" customFormat="1" hidden="1" outlineLevel="2" x14ac:dyDescent="0.35">
      <c r="B332" s="11" t="str">
        <f>CONCATENATE("          ", "6375", " - ", "OUTSIDE REPAIRS &amp; MAINTENANCE")</f>
        <v xml:space="preserve">          6375 - OUTSIDE REPAIRS &amp; MAINTENANCE</v>
      </c>
      <c r="D332" s="2">
        <v>27068</v>
      </c>
      <c r="F332" s="2">
        <v>44987.18</v>
      </c>
      <c r="G332" s="3"/>
      <c r="H332" s="2">
        <v>90734.73</v>
      </c>
      <c r="I332" s="3"/>
      <c r="J332" s="2">
        <v>43014.8</v>
      </c>
      <c r="K332" s="3"/>
      <c r="L332" s="2">
        <v>32437.57</v>
      </c>
      <c r="M332" s="3"/>
      <c r="N332" s="2">
        <v>40346.19</v>
      </c>
      <c r="O332" s="3"/>
      <c r="P332" s="2">
        <v>101345</v>
      </c>
      <c r="Q332" s="3"/>
      <c r="R332" s="2">
        <v>980</v>
      </c>
    </row>
    <row r="333" spans="1:18" s="15" customFormat="1" outlineLevel="1" collapsed="1" x14ac:dyDescent="0.35">
      <c r="A333" s="7"/>
      <c r="B333" s="20" t="str">
        <f>CONCATENATE("     ","Royalty &amp; Commissions                             ")</f>
        <v xml:space="preserve">     Royalty &amp; Commissions                             </v>
      </c>
      <c r="C333" s="7"/>
      <c r="D333" s="1">
        <f>SUM(OSRRefD21_17x_0)</f>
        <v>177806.8</v>
      </c>
      <c r="E333" s="19"/>
      <c r="F333" s="1">
        <f>SUM(OSRRefF21_17x_0)</f>
        <v>216044.5</v>
      </c>
      <c r="G333" s="4"/>
      <c r="H333" s="1">
        <f>SUM(OSRRefH21_17x_0)</f>
        <v>197102.06</v>
      </c>
      <c r="I333" s="4"/>
      <c r="J333" s="1">
        <f>SUM(OSRRefJ21_17x_0)</f>
        <v>174917.03</v>
      </c>
      <c r="K333" s="4"/>
      <c r="L333" s="1">
        <f>SUM(OSRRefL21_17x_0)</f>
        <v>172647.16</v>
      </c>
      <c r="M333" s="4"/>
      <c r="N333" s="1">
        <f>SUM(OSRRefN21_17x_0)</f>
        <v>123449.40000000001</v>
      </c>
      <c r="O333" s="4"/>
      <c r="P333" s="1">
        <f>SUM(OSRRefP21_17x_0)</f>
        <v>111402</v>
      </c>
      <c r="Q333" s="4"/>
      <c r="R333" s="1">
        <f>SUM(OSRRefR21_17x_0)</f>
        <v>109010</v>
      </c>
    </row>
    <row r="334" spans="1:18" s="16" customFormat="1" hidden="1" outlineLevel="2" x14ac:dyDescent="0.35">
      <c r="B334" s="11" t="str">
        <f>CONCATENATE("          ", "6252", " - ", "ROYALTY DUE CSTV")</f>
        <v xml:space="preserve">          6252 - ROYALTY DUE CSTV</v>
      </c>
      <c r="D334" s="2">
        <v>13851.28</v>
      </c>
      <c r="F334" s="2">
        <v>13563.83</v>
      </c>
      <c r="G334" s="3"/>
      <c r="H334" s="2">
        <v>9575.91</v>
      </c>
      <c r="I334" s="3"/>
      <c r="J334" s="2">
        <v>8647.8700000000008</v>
      </c>
      <c r="K334" s="3"/>
      <c r="L334" s="2"/>
      <c r="M334" s="3"/>
      <c r="N334" s="2"/>
      <c r="O334" s="3"/>
      <c r="P334" s="2">
        <v>13020</v>
      </c>
      <c r="Q334" s="3"/>
      <c r="R334" s="2">
        <v>19008</v>
      </c>
    </row>
    <row r="335" spans="1:18" s="16" customFormat="1" hidden="1" outlineLevel="2" x14ac:dyDescent="0.35">
      <c r="B335" s="11" t="str">
        <f>CONCATENATE("          ", "6253", " - ", "ROYALTY DUE ATHLETICS-LRG")</f>
        <v xml:space="preserve">          6253 - ROYALTY DUE ATHLETICS-LRG</v>
      </c>
      <c r="D335" s="2">
        <v>22772.2</v>
      </c>
      <c r="F335" s="2">
        <v>30884.55</v>
      </c>
      <c r="G335" s="3"/>
      <c r="H335" s="2">
        <v>27720.32</v>
      </c>
      <c r="I335" s="3"/>
      <c r="J335" s="2">
        <v>24884.23</v>
      </c>
      <c r="K335" s="3"/>
      <c r="L335" s="2">
        <v>41365.99</v>
      </c>
      <c r="M335" s="3"/>
      <c r="N335" s="2">
        <v>32870.44</v>
      </c>
      <c r="O335" s="3"/>
      <c r="P335" s="2">
        <v>48444</v>
      </c>
      <c r="Q335" s="3"/>
      <c r="R335" s="2">
        <v>38502</v>
      </c>
    </row>
    <row r="336" spans="1:18" s="16" customFormat="1" hidden="1" outlineLevel="2" x14ac:dyDescent="0.35">
      <c r="B336" s="11" t="str">
        <f>CONCATENATE("          ", "6254", " - ", "ROYALTY &amp; COMMISSIONS")</f>
        <v xml:space="preserve">          6254 - ROYALTY &amp; COMMISSIONS</v>
      </c>
      <c r="D336" s="2">
        <v>12609.88</v>
      </c>
      <c r="F336" s="2">
        <v>15383.13</v>
      </c>
      <c r="G336" s="3"/>
      <c r="H336" s="2">
        <v>24014.29</v>
      </c>
      <c r="I336" s="3"/>
      <c r="J336" s="2">
        <v>17858.599999999999</v>
      </c>
      <c r="K336" s="3"/>
      <c r="L336" s="2">
        <v>16509.43</v>
      </c>
      <c r="M336" s="3"/>
      <c r="N336" s="2">
        <v>7971.22</v>
      </c>
      <c r="O336" s="3"/>
      <c r="P336" s="2">
        <v>13788</v>
      </c>
      <c r="Q336" s="3"/>
      <c r="R336" s="2">
        <v>4500</v>
      </c>
    </row>
    <row r="337" spans="1:18" s="16" customFormat="1" hidden="1" outlineLevel="2" x14ac:dyDescent="0.35">
      <c r="B337" s="11" t="str">
        <f>CONCATENATE("          ", "6255", " - ", "COMMISSIONS-PENNY/COPY/UNIPRIN")</f>
        <v xml:space="preserve">          6255 - COMMISSIONS-PENNY/COPY/UNIPRIN</v>
      </c>
      <c r="D337" s="2">
        <v>77184.759999999995</v>
      </c>
      <c r="F337" s="2"/>
      <c r="G337" s="3"/>
      <c r="H337" s="2"/>
      <c r="I337" s="3"/>
      <c r="J337" s="2"/>
      <c r="K337" s="3"/>
      <c r="L337" s="2"/>
      <c r="M337" s="3"/>
      <c r="N337" s="2"/>
      <c r="O337" s="3"/>
      <c r="P337" s="2"/>
      <c r="Q337" s="3"/>
      <c r="R337" s="2"/>
    </row>
    <row r="338" spans="1:18" s="16" customFormat="1" hidden="1" outlineLevel="2" x14ac:dyDescent="0.35">
      <c r="B338" s="11" t="str">
        <f>CONCATENATE("          ", "6259", " - ", "ROYALTY &amp; COMMISSIONS")</f>
        <v xml:space="preserve">          6259 - ROYALTY &amp; COMMISSIONS</v>
      </c>
      <c r="D338" s="2">
        <v>51388.68</v>
      </c>
      <c r="F338" s="2">
        <v>156212.99</v>
      </c>
      <c r="G338" s="3"/>
      <c r="H338" s="2">
        <v>135791.54</v>
      </c>
      <c r="I338" s="3"/>
      <c r="J338" s="2">
        <v>123526.33</v>
      </c>
      <c r="K338" s="3"/>
      <c r="L338" s="2">
        <v>114771.74</v>
      </c>
      <c r="M338" s="3"/>
      <c r="N338" s="2">
        <v>82607.740000000005</v>
      </c>
      <c r="O338" s="3"/>
      <c r="P338" s="2">
        <v>36150</v>
      </c>
      <c r="Q338" s="3"/>
      <c r="R338" s="2">
        <v>47000</v>
      </c>
    </row>
    <row r="339" spans="1:18" s="15" customFormat="1" outlineLevel="1" collapsed="1" x14ac:dyDescent="0.35">
      <c r="A339" s="7"/>
      <c r="B339" s="20" t="str">
        <f>CONCATENATE("     ","Services                                          ")</f>
        <v xml:space="preserve">     Services                                          </v>
      </c>
      <c r="C339" s="7"/>
      <c r="D339" s="1">
        <f>SUM(OSRRefD21_18x_0)</f>
        <v>52105.599999999999</v>
      </c>
      <c r="E339" s="19"/>
      <c r="F339" s="1">
        <f>SUM(OSRRefF21_18x_0)</f>
        <v>53635.49</v>
      </c>
      <c r="G339" s="4"/>
      <c r="H339" s="1">
        <f>SUM(OSRRefH21_18x_0)</f>
        <v>55908.009999999995</v>
      </c>
      <c r="I339" s="4"/>
      <c r="J339" s="1">
        <f>SUM(OSRRefJ21_18x_0)</f>
        <v>46737.84</v>
      </c>
      <c r="K339" s="4"/>
      <c r="L339" s="1">
        <f>SUM(OSRRefL21_18x_0)</f>
        <v>53809.22</v>
      </c>
      <c r="M339" s="4"/>
      <c r="N339" s="1">
        <f>SUM(OSRRefN21_18x_0)</f>
        <v>59006.079999999994</v>
      </c>
      <c r="O339" s="4"/>
      <c r="P339" s="1">
        <f>SUM(OSRRefP21_18x_0)</f>
        <v>57119</v>
      </c>
      <c r="Q339" s="4"/>
      <c r="R339" s="1">
        <f>SUM(OSRRefR21_18x_0)</f>
        <v>52560</v>
      </c>
    </row>
    <row r="340" spans="1:18" s="16" customFormat="1" hidden="1" outlineLevel="2" x14ac:dyDescent="0.35">
      <c r="B340" s="11" t="str">
        <f>CONCATENATE("          ", "6281", " - ", "STORAGE FEE")</f>
        <v xml:space="preserve">          6281 - STORAGE FEE</v>
      </c>
      <c r="D340" s="2"/>
      <c r="F340" s="2"/>
      <c r="G340" s="3"/>
      <c r="H340" s="2">
        <v>40</v>
      </c>
      <c r="I340" s="3"/>
      <c r="J340" s="2"/>
      <c r="K340" s="3"/>
      <c r="L340" s="2"/>
      <c r="M340" s="3"/>
      <c r="N340" s="2"/>
      <c r="O340" s="3"/>
      <c r="P340" s="2"/>
      <c r="Q340" s="3"/>
      <c r="R340" s="2"/>
    </row>
    <row r="341" spans="1:18" s="16" customFormat="1" hidden="1" outlineLevel="2" x14ac:dyDescent="0.35">
      <c r="B341" s="11" t="str">
        <f>CONCATENATE("          ", "6282", " - ", "JANITORIAL/EXTERMINATOR EXPENS")</f>
        <v xml:space="preserve">          6282 - JANITORIAL/EXTERMINATOR EXPENS</v>
      </c>
      <c r="D341" s="2">
        <v>2736.5</v>
      </c>
      <c r="F341" s="2">
        <v>2414.5</v>
      </c>
      <c r="G341" s="3"/>
      <c r="H341" s="2">
        <v>2815.86</v>
      </c>
      <c r="I341" s="3"/>
      <c r="J341" s="2">
        <v>2888.16</v>
      </c>
      <c r="K341" s="3"/>
      <c r="L341" s="2">
        <v>2869.29</v>
      </c>
      <c r="M341" s="3"/>
      <c r="N341" s="2">
        <v>3502.88</v>
      </c>
      <c r="O341" s="3"/>
      <c r="P341" s="2">
        <v>48000</v>
      </c>
      <c r="Q341" s="3"/>
      <c r="R341" s="2">
        <v>51600</v>
      </c>
    </row>
    <row r="342" spans="1:18" s="16" customFormat="1" hidden="1" outlineLevel="2" x14ac:dyDescent="0.35">
      <c r="B342" s="11" t="str">
        <f>CONCATENATE("          ", "6283", " - ", "PLANT SERVICE")</f>
        <v xml:space="preserve">          6283 - PLANT SERVICE</v>
      </c>
      <c r="D342" s="2">
        <v>2990.32</v>
      </c>
      <c r="F342" s="2">
        <v>2076</v>
      </c>
      <c r="G342" s="3"/>
      <c r="H342" s="2">
        <v>2223.3000000000002</v>
      </c>
      <c r="I342" s="3"/>
      <c r="J342" s="2">
        <v>2527.63</v>
      </c>
      <c r="K342" s="3"/>
      <c r="L342" s="2">
        <v>2206.16</v>
      </c>
      <c r="M342" s="3"/>
      <c r="N342" s="2">
        <v>541.98</v>
      </c>
      <c r="O342" s="3"/>
      <c r="P342" s="2">
        <v>0</v>
      </c>
      <c r="Q342" s="3"/>
      <c r="R342" s="2"/>
    </row>
    <row r="343" spans="1:18" s="16" customFormat="1" hidden="1" outlineLevel="2" x14ac:dyDescent="0.35">
      <c r="B343" s="11" t="str">
        <f>CONCATENATE("          ", "6284", " - ", "TRASH REMOVAL EXPENSE")</f>
        <v xml:space="preserve">          6284 - TRASH REMOVAL EXPENSE</v>
      </c>
      <c r="D343" s="2">
        <v>595.89</v>
      </c>
      <c r="F343" s="2">
        <v>621</v>
      </c>
      <c r="G343" s="3"/>
      <c r="H343" s="2">
        <v>662.79</v>
      </c>
      <c r="I343" s="3"/>
      <c r="J343" s="2">
        <v>1075.8399999999999</v>
      </c>
      <c r="K343" s="3"/>
      <c r="L343" s="2">
        <v>1457.52</v>
      </c>
      <c r="M343" s="3"/>
      <c r="N343" s="2">
        <v>1617.84</v>
      </c>
      <c r="O343" s="3"/>
      <c r="P343" s="2">
        <v>880</v>
      </c>
      <c r="Q343" s="3"/>
      <c r="R343" s="2">
        <v>960</v>
      </c>
    </row>
    <row r="344" spans="1:18" s="16" customFormat="1" hidden="1" outlineLevel="2" x14ac:dyDescent="0.35">
      <c r="B344" s="11" t="str">
        <f>CONCATENATE("          ", "6285", " - ", "JANITORIAL SERVICES")</f>
        <v xml:space="preserve">          6285 - JANITORIAL SERVICES</v>
      </c>
      <c r="D344" s="2">
        <v>45782.89</v>
      </c>
      <c r="F344" s="2">
        <v>48523.99</v>
      </c>
      <c r="G344" s="3"/>
      <c r="H344" s="2">
        <v>50166.06</v>
      </c>
      <c r="I344" s="3"/>
      <c r="J344" s="2">
        <v>40246.21</v>
      </c>
      <c r="K344" s="3"/>
      <c r="L344" s="2">
        <v>47276.25</v>
      </c>
      <c r="M344" s="3"/>
      <c r="N344" s="2">
        <v>53343.38</v>
      </c>
      <c r="O344" s="3"/>
      <c r="P344" s="2">
        <v>8239</v>
      </c>
      <c r="Q344" s="3"/>
      <c r="R344" s="2"/>
    </row>
    <row r="345" spans="1:18" s="15" customFormat="1" outlineLevel="1" collapsed="1" x14ac:dyDescent="0.35">
      <c r="A345" s="7"/>
      <c r="B345" s="20" t="str">
        <f>CONCATENATE("     ","Subscriptions &amp; Dues                              ")</f>
        <v xml:space="preserve">     Subscriptions &amp; Dues                              </v>
      </c>
      <c r="C345" s="7"/>
      <c r="D345" s="1">
        <f>SUM(OSRRefD21_19x_0)</f>
        <v>81157.219999999987</v>
      </c>
      <c r="E345" s="19"/>
      <c r="F345" s="1">
        <f>SUM(OSRRefF21_19x_0)</f>
        <v>65978.53</v>
      </c>
      <c r="G345" s="4"/>
      <c r="H345" s="1">
        <f>SUM(OSRRefH21_19x_0)</f>
        <v>48038</v>
      </c>
      <c r="I345" s="4"/>
      <c r="J345" s="1">
        <f>SUM(OSRRefJ21_19x_0)</f>
        <v>59523.91</v>
      </c>
      <c r="K345" s="4"/>
      <c r="L345" s="1">
        <f>SUM(OSRRefL21_19x_0)</f>
        <v>20312.919999999998</v>
      </c>
      <c r="M345" s="4"/>
      <c r="N345" s="1">
        <f>SUM(OSRRefN21_19x_0)</f>
        <v>3573.6</v>
      </c>
      <c r="O345" s="4"/>
      <c r="P345" s="1">
        <f>SUM(OSRRefP21_19x_0)</f>
        <v>16595</v>
      </c>
      <c r="Q345" s="4"/>
      <c r="R345" s="1">
        <f>SUM(OSRRefR21_19x_0)</f>
        <v>13547</v>
      </c>
    </row>
    <row r="346" spans="1:18" s="16" customFormat="1" hidden="1" outlineLevel="2" x14ac:dyDescent="0.35">
      <c r="B346" s="11" t="str">
        <f>CONCATENATE("          ", "6258", " - ", "MEMBERSHIP DUES")</f>
        <v xml:space="preserve">          6258 - MEMBERSHIP DUES</v>
      </c>
      <c r="D346" s="2">
        <v>78004.429999999993</v>
      </c>
      <c r="F346" s="2">
        <v>63034.95</v>
      </c>
      <c r="G346" s="3"/>
      <c r="H346" s="2">
        <v>42404.13</v>
      </c>
      <c r="I346" s="3"/>
      <c r="J346" s="2">
        <v>53807.51</v>
      </c>
      <c r="K346" s="3"/>
      <c r="L346" s="2">
        <v>10730.74</v>
      </c>
      <c r="M346" s="3"/>
      <c r="N346" s="2">
        <v>781.16</v>
      </c>
      <c r="O346" s="3"/>
      <c r="P346" s="2">
        <v>14795</v>
      </c>
      <c r="Q346" s="3"/>
      <c r="R346" s="2">
        <v>10195</v>
      </c>
    </row>
    <row r="347" spans="1:18" s="16" customFormat="1" hidden="1" outlineLevel="2" x14ac:dyDescent="0.35">
      <c r="B347" s="11" t="str">
        <f>CONCATENATE("          ", "6275", " - ", "SUBSCRIPTIONS")</f>
        <v xml:space="preserve">          6275 - SUBSCRIPTIONS</v>
      </c>
      <c r="D347" s="2">
        <v>3152.79</v>
      </c>
      <c r="F347" s="2">
        <v>2943.58</v>
      </c>
      <c r="G347" s="3"/>
      <c r="H347" s="2">
        <v>5633.87</v>
      </c>
      <c r="I347" s="3"/>
      <c r="J347" s="2">
        <v>5716.4</v>
      </c>
      <c r="K347" s="3"/>
      <c r="L347" s="2">
        <v>9582.18</v>
      </c>
      <c r="M347" s="3"/>
      <c r="N347" s="2">
        <v>2792.44</v>
      </c>
      <c r="O347" s="3"/>
      <c r="P347" s="2">
        <v>1800</v>
      </c>
      <c r="Q347" s="3"/>
      <c r="R347" s="2">
        <v>3352</v>
      </c>
    </row>
    <row r="348" spans="1:18" s="15" customFormat="1" outlineLevel="1" collapsed="1" x14ac:dyDescent="0.35">
      <c r="A348" s="7"/>
      <c r="B348" s="20" t="str">
        <f>CONCATENATE("     ","Supplies                                          ")</f>
        <v xml:space="preserve">     Supplies                                          </v>
      </c>
      <c r="C348" s="7"/>
      <c r="D348" s="1">
        <f>SUM(OSRRefD21_20x_0)</f>
        <v>217037.57</v>
      </c>
      <c r="E348" s="19"/>
      <c r="F348" s="1">
        <f>SUM(OSRRefF21_20x_0)</f>
        <v>182944.88</v>
      </c>
      <c r="G348" s="4"/>
      <c r="H348" s="1">
        <f>SUM(OSRRefH21_20x_0)</f>
        <v>214327.63999999998</v>
      </c>
      <c r="I348" s="4"/>
      <c r="J348" s="1">
        <f>SUM(OSRRefJ21_20x_0)</f>
        <v>159755.17000000001</v>
      </c>
      <c r="K348" s="4"/>
      <c r="L348" s="1">
        <f>SUM(OSRRefL21_20x_0)</f>
        <v>166110.72</v>
      </c>
      <c r="M348" s="4"/>
      <c r="N348" s="1">
        <f>SUM(OSRRefN21_20x_0)</f>
        <v>112339.26</v>
      </c>
      <c r="O348" s="4"/>
      <c r="P348" s="1">
        <f>SUM(OSRRefP21_20x_0)</f>
        <v>166790</v>
      </c>
      <c r="Q348" s="4"/>
      <c r="R348" s="1">
        <f>SUM(OSRRefR21_20x_0)</f>
        <v>133700</v>
      </c>
    </row>
    <row r="349" spans="1:18" s="16" customFormat="1" hidden="1" outlineLevel="2" x14ac:dyDescent="0.35">
      <c r="B349" s="11" t="str">
        <f>CONCATENATE("          ", "6234", " - ", "EXPENDABLE SUPPLIES &amp; EQUIPMEN")</f>
        <v xml:space="preserve">          6234 - EXPENDABLE SUPPLIES &amp; EQUIPMEN</v>
      </c>
      <c r="D349" s="2">
        <v>24498.639999999999</v>
      </c>
      <c r="F349" s="2">
        <v>13569.8</v>
      </c>
      <c r="G349" s="3"/>
      <c r="H349" s="2">
        <v>17228.25</v>
      </c>
      <c r="I349" s="3"/>
      <c r="J349" s="2">
        <v>7787.76</v>
      </c>
      <c r="K349" s="3"/>
      <c r="L349" s="2">
        <v>3875.11</v>
      </c>
      <c r="M349" s="3"/>
      <c r="N349" s="2">
        <v>8498.66</v>
      </c>
      <c r="O349" s="3"/>
      <c r="P349" s="2">
        <v>1800</v>
      </c>
      <c r="Q349" s="3"/>
      <c r="R349" s="2">
        <v>3000</v>
      </c>
    </row>
    <row r="350" spans="1:18" s="16" customFormat="1" hidden="1" outlineLevel="2" x14ac:dyDescent="0.35">
      <c r="B350" s="11" t="str">
        <f>CONCATENATE("          ", "6235", " - ", "COVID-19 EXPENSES")</f>
        <v xml:space="preserve">          6235 - COVID-19 EXPENSES</v>
      </c>
      <c r="D350" s="2"/>
      <c r="F350" s="2"/>
      <c r="G350" s="3"/>
      <c r="H350" s="2"/>
      <c r="I350" s="3"/>
      <c r="J350" s="2"/>
      <c r="K350" s="3"/>
      <c r="L350" s="2"/>
      <c r="M350" s="3"/>
      <c r="N350" s="2">
        <v>5061.67</v>
      </c>
      <c r="O350" s="3"/>
      <c r="P350" s="2">
        <v>65600</v>
      </c>
      <c r="Q350" s="3"/>
      <c r="R350" s="2">
        <v>1500</v>
      </c>
    </row>
    <row r="351" spans="1:18" s="16" customFormat="1" hidden="1" outlineLevel="2" x14ac:dyDescent="0.35">
      <c r="B351" s="11" t="str">
        <f>CONCATENATE("          ", "6237", " - ", "JANITORIAL SUPPLIES")</f>
        <v xml:space="preserve">          6237 - JANITORIAL SUPPLIES</v>
      </c>
      <c r="D351" s="2">
        <v>6870.81</v>
      </c>
      <c r="F351" s="2">
        <v>3708.75</v>
      </c>
      <c r="G351" s="3"/>
      <c r="H351" s="2">
        <v>5077.21</v>
      </c>
      <c r="I351" s="3"/>
      <c r="J351" s="2">
        <v>6372.74</v>
      </c>
      <c r="K351" s="3"/>
      <c r="L351" s="2">
        <v>7745.99</v>
      </c>
      <c r="M351" s="3"/>
      <c r="N351" s="2">
        <v>7068.06</v>
      </c>
      <c r="O351" s="3"/>
      <c r="P351" s="2">
        <v>3220</v>
      </c>
      <c r="Q351" s="3"/>
      <c r="R351" s="2">
        <v>240</v>
      </c>
    </row>
    <row r="352" spans="1:18" s="16" customFormat="1" hidden="1" outlineLevel="2" x14ac:dyDescent="0.35">
      <c r="B352" s="11" t="str">
        <f>CONCATENATE("          ", "6241", " - ", "OFFICE EXPENSE")</f>
        <v xml:space="preserve">          6241 - OFFICE EXPENSE</v>
      </c>
      <c r="D352" s="2">
        <v>46476.68</v>
      </c>
      <c r="F352" s="2">
        <v>34503.33</v>
      </c>
      <c r="G352" s="3"/>
      <c r="H352" s="2">
        <v>42645.5</v>
      </c>
      <c r="I352" s="3"/>
      <c r="J352" s="2">
        <v>21933.37</v>
      </c>
      <c r="K352" s="3"/>
      <c r="L352" s="2">
        <v>37725.440000000002</v>
      </c>
      <c r="M352" s="3"/>
      <c r="N352" s="2">
        <v>26283.62</v>
      </c>
      <c r="O352" s="3"/>
      <c r="P352" s="2">
        <v>7520</v>
      </c>
      <c r="Q352" s="3"/>
      <c r="R352" s="2">
        <v>8160</v>
      </c>
    </row>
    <row r="353" spans="1:18" s="16" customFormat="1" hidden="1" outlineLevel="2" x14ac:dyDescent="0.35">
      <c r="B353" s="11" t="str">
        <f>CONCATENATE("          ", "6243", " - ", "PAPER SUPPLIES")</f>
        <v xml:space="preserve">          6243 - PAPER SUPPLIES</v>
      </c>
      <c r="D353" s="2">
        <v>2454.0700000000002</v>
      </c>
      <c r="F353" s="2">
        <v>62923.6</v>
      </c>
      <c r="G353" s="3"/>
      <c r="H353" s="2">
        <v>39889.68</v>
      </c>
      <c r="I353" s="3"/>
      <c r="J353" s="2">
        <v>36853.03</v>
      </c>
      <c r="K353" s="3"/>
      <c r="L353" s="2">
        <v>35477.599999999999</v>
      </c>
      <c r="M353" s="3"/>
      <c r="N353" s="2">
        <v>18447.68</v>
      </c>
      <c r="O353" s="3"/>
      <c r="P353" s="2">
        <v>28300</v>
      </c>
      <c r="Q353" s="3"/>
      <c r="R353" s="2">
        <v>38600</v>
      </c>
    </row>
    <row r="354" spans="1:18" s="16" customFormat="1" hidden="1" outlineLevel="2" x14ac:dyDescent="0.35">
      <c r="B354" s="11" t="str">
        <f>CONCATENATE("          ", "6244", " - ", "SAFETY SUPPLY EXPENSE")</f>
        <v xml:space="preserve">          6244 - SAFETY SUPPLY EXPENSE</v>
      </c>
      <c r="D354" s="2"/>
      <c r="F354" s="2"/>
      <c r="G354" s="3"/>
      <c r="H354" s="2"/>
      <c r="I354" s="3"/>
      <c r="J354" s="2"/>
      <c r="K354" s="3"/>
      <c r="L354" s="2"/>
      <c r="M354" s="3"/>
      <c r="N354" s="2"/>
      <c r="O354" s="3"/>
      <c r="P354" s="2">
        <v>100</v>
      </c>
      <c r="Q354" s="3"/>
      <c r="R354" s="2"/>
    </row>
    <row r="355" spans="1:18" s="16" customFormat="1" hidden="1" outlineLevel="2" x14ac:dyDescent="0.35">
      <c r="B355" s="11" t="str">
        <f>CONCATENATE("          ", "6245", " - ", "PRINTING")</f>
        <v xml:space="preserve">          6245 - PRINTING</v>
      </c>
      <c r="D355" s="2">
        <v>8001.09</v>
      </c>
      <c r="F355" s="2">
        <v>11318.59</v>
      </c>
      <c r="G355" s="3"/>
      <c r="H355" s="2">
        <v>26889.53</v>
      </c>
      <c r="I355" s="3"/>
      <c r="J355" s="2">
        <v>19188.439999999999</v>
      </c>
      <c r="K355" s="3"/>
      <c r="L355" s="2">
        <v>14940.31</v>
      </c>
      <c r="M355" s="3"/>
      <c r="N355" s="2">
        <v>10786.36</v>
      </c>
      <c r="O355" s="3"/>
      <c r="P355" s="2">
        <v>5700</v>
      </c>
      <c r="Q355" s="3"/>
      <c r="R355" s="2">
        <v>10395</v>
      </c>
    </row>
    <row r="356" spans="1:18" s="16" customFormat="1" hidden="1" outlineLevel="2" x14ac:dyDescent="0.35">
      <c r="B356" s="11" t="str">
        <f>CONCATENATE("          ", "6247", " - ", "STORE SUPPLIES")</f>
        <v xml:space="preserve">          6247 - STORE SUPPLIES</v>
      </c>
      <c r="D356" s="2">
        <v>124849.62</v>
      </c>
      <c r="F356" s="2">
        <v>55271.21</v>
      </c>
      <c r="G356" s="3"/>
      <c r="H356" s="2">
        <v>78282.600000000006</v>
      </c>
      <c r="I356" s="3"/>
      <c r="J356" s="2">
        <v>65040.61</v>
      </c>
      <c r="K356" s="3"/>
      <c r="L356" s="2">
        <v>64369.49</v>
      </c>
      <c r="M356" s="3"/>
      <c r="N356" s="2">
        <v>36149.300000000003</v>
      </c>
      <c r="O356" s="3"/>
      <c r="P356" s="2">
        <v>36350</v>
      </c>
      <c r="Q356" s="3"/>
      <c r="R356" s="2">
        <v>71805</v>
      </c>
    </row>
    <row r="357" spans="1:18" s="16" customFormat="1" hidden="1" outlineLevel="2" x14ac:dyDescent="0.35">
      <c r="B357" s="11" t="str">
        <f>CONCATENATE("          ", "6248", " - ", "UNIFORMS")</f>
        <v xml:space="preserve">          6248 - UNIFORMS</v>
      </c>
      <c r="D357" s="2">
        <v>3886.66</v>
      </c>
      <c r="F357" s="2">
        <v>1649.6</v>
      </c>
      <c r="G357" s="3"/>
      <c r="H357" s="2">
        <v>4314.87</v>
      </c>
      <c r="I357" s="3"/>
      <c r="J357" s="2">
        <v>2579.2199999999998</v>
      </c>
      <c r="K357" s="3"/>
      <c r="L357" s="2">
        <v>1976.78</v>
      </c>
      <c r="M357" s="3"/>
      <c r="N357" s="2">
        <v>43.91</v>
      </c>
      <c r="O357" s="3"/>
      <c r="P357" s="2">
        <v>18200</v>
      </c>
      <c r="Q357" s="3"/>
      <c r="R357" s="2"/>
    </row>
    <row r="358" spans="1:18" s="15" customFormat="1" outlineLevel="1" collapsed="1" x14ac:dyDescent="0.35">
      <c r="A358" s="7"/>
      <c r="B358" s="20" t="str">
        <f>CONCATENATE("     ","Telephone/Data Lines                              ")</f>
        <v xml:space="preserve">     Telephone/Data Lines                              </v>
      </c>
      <c r="C358" s="7"/>
      <c r="D358" s="1">
        <f>SUM(OSRRefD21_21x_0)</f>
        <v>35754.119999999995</v>
      </c>
      <c r="E358" s="19"/>
      <c r="F358" s="1">
        <f>SUM(OSRRefF21_21x_0)</f>
        <v>31690.83</v>
      </c>
      <c r="G358" s="4"/>
      <c r="H358" s="1">
        <f>SUM(OSRRefH21_21x_0)</f>
        <v>31291.14</v>
      </c>
      <c r="I358" s="4"/>
      <c r="J358" s="1">
        <f>SUM(OSRRefJ21_21x_0)</f>
        <v>36604.44</v>
      </c>
      <c r="K358" s="4"/>
      <c r="L358" s="1">
        <f>SUM(OSRRefL21_21x_0)</f>
        <v>36894.5</v>
      </c>
      <c r="M358" s="4"/>
      <c r="N358" s="1">
        <f>SUM(OSRRefN21_21x_0)</f>
        <v>31467.66</v>
      </c>
      <c r="O358" s="4"/>
      <c r="P358" s="1">
        <f>SUM(OSRRefP21_21x_0)</f>
        <v>32850</v>
      </c>
      <c r="Q358" s="4"/>
      <c r="R358" s="1">
        <f>SUM(OSRRefR21_21x_0)</f>
        <v>25320</v>
      </c>
    </row>
    <row r="359" spans="1:18" s="16" customFormat="1" hidden="1" outlineLevel="2" x14ac:dyDescent="0.35">
      <c r="B359" s="11" t="str">
        <f>CONCATENATE("          ", "6303", " - ", "DATA PHONE LINES")</f>
        <v xml:space="preserve">          6303 - DATA PHONE LINES</v>
      </c>
      <c r="D359" s="2">
        <v>3490</v>
      </c>
      <c r="F359" s="2">
        <v>4312.5600000000004</v>
      </c>
      <c r="G359" s="3"/>
      <c r="H359" s="2">
        <v>3553.95</v>
      </c>
      <c r="I359" s="3"/>
      <c r="J359" s="2">
        <v>3540</v>
      </c>
      <c r="K359" s="3"/>
      <c r="L359" s="2">
        <v>3540</v>
      </c>
      <c r="M359" s="3"/>
      <c r="N359" s="2">
        <v>2950</v>
      </c>
      <c r="O359" s="3"/>
      <c r="P359" s="2">
        <v>7560</v>
      </c>
      <c r="Q359" s="3"/>
      <c r="R359" s="2">
        <v>0</v>
      </c>
    </row>
    <row r="360" spans="1:18" s="16" customFormat="1" hidden="1" outlineLevel="2" x14ac:dyDescent="0.35">
      <c r="B360" s="11" t="str">
        <f>CONCATENATE("          ", "6309", " - ", "TELEPHONE")</f>
        <v xml:space="preserve">          6309 - TELEPHONE</v>
      </c>
      <c r="D360" s="2">
        <v>32264.12</v>
      </c>
      <c r="F360" s="2">
        <v>27378.27</v>
      </c>
      <c r="G360" s="3"/>
      <c r="H360" s="2">
        <v>27737.19</v>
      </c>
      <c r="I360" s="3"/>
      <c r="J360" s="2">
        <v>33064.44</v>
      </c>
      <c r="K360" s="3"/>
      <c r="L360" s="2">
        <v>33354.5</v>
      </c>
      <c r="M360" s="3"/>
      <c r="N360" s="2">
        <v>28517.66</v>
      </c>
      <c r="O360" s="3"/>
      <c r="P360" s="2">
        <v>25290</v>
      </c>
      <c r="Q360" s="3"/>
      <c r="R360" s="2">
        <v>25320</v>
      </c>
    </row>
    <row r="361" spans="1:18" s="15" customFormat="1" outlineLevel="1" collapsed="1" x14ac:dyDescent="0.35">
      <c r="A361" s="7"/>
      <c r="B361" s="20" t="str">
        <f>CONCATENATE("     ","Training                                          ")</f>
        <v xml:space="preserve">     Training                                          </v>
      </c>
      <c r="C361" s="7"/>
      <c r="D361" s="1">
        <f>SUM(OSRRefD21_22x_0)</f>
        <v>24990.29</v>
      </c>
      <c r="E361" s="19"/>
      <c r="F361" s="1">
        <f>SUM(OSRRefF21_22x_0)</f>
        <v>29919.33</v>
      </c>
      <c r="G361" s="4"/>
      <c r="H361" s="1">
        <f>SUM(OSRRefH21_22x_0)</f>
        <v>31996.62</v>
      </c>
      <c r="I361" s="4"/>
      <c r="J361" s="1">
        <f>SUM(OSRRefJ21_22x_0)</f>
        <v>22729.77</v>
      </c>
      <c r="K361" s="4"/>
      <c r="L361" s="1">
        <f>SUM(OSRRefL21_22x_0)</f>
        <v>21716.63</v>
      </c>
      <c r="M361" s="4"/>
      <c r="N361" s="1">
        <f>SUM(OSRRefN21_22x_0)</f>
        <v>25732.76</v>
      </c>
      <c r="O361" s="4"/>
      <c r="P361" s="1">
        <f>SUM(OSRRefP21_22x_0)</f>
        <v>14470</v>
      </c>
      <c r="Q361" s="4"/>
      <c r="R361" s="1">
        <f>SUM(OSRRefR21_22x_0)</f>
        <v>2000</v>
      </c>
    </row>
    <row r="362" spans="1:18" s="16" customFormat="1" hidden="1" outlineLevel="2" x14ac:dyDescent="0.35">
      <c r="B362" s="11" t="str">
        <f>CONCATENATE("          ", "6376", " - ", "TRAINING")</f>
        <v xml:space="preserve">          6376 - TRAINING</v>
      </c>
      <c r="D362" s="2">
        <v>24990.29</v>
      </c>
      <c r="F362" s="2">
        <v>29919.33</v>
      </c>
      <c r="G362" s="3"/>
      <c r="H362" s="2">
        <v>31996.62</v>
      </c>
      <c r="I362" s="3"/>
      <c r="J362" s="2">
        <v>22729.77</v>
      </c>
      <c r="K362" s="3"/>
      <c r="L362" s="2">
        <v>21716.63</v>
      </c>
      <c r="M362" s="3"/>
      <c r="N362" s="2">
        <v>25732.76</v>
      </c>
      <c r="O362" s="3"/>
      <c r="P362" s="2">
        <v>14470</v>
      </c>
      <c r="Q362" s="3"/>
      <c r="R362" s="2">
        <v>2000</v>
      </c>
    </row>
    <row r="363" spans="1:18" s="15" customFormat="1" outlineLevel="1" collapsed="1" x14ac:dyDescent="0.35">
      <c r="A363" s="7"/>
      <c r="B363" s="20" t="str">
        <f>CONCATENATE("     ","Travel                                            ")</f>
        <v xml:space="preserve">     Travel                                            </v>
      </c>
      <c r="C363" s="7"/>
      <c r="D363" s="1">
        <f>SUM(OSRRefD21_23x_0)</f>
        <v>7213.7699999999995</v>
      </c>
      <c r="E363" s="19"/>
      <c r="F363" s="1">
        <f>SUM(OSRRefF21_23x_0)</f>
        <v>7330.1799999999994</v>
      </c>
      <c r="G363" s="4"/>
      <c r="H363" s="1">
        <f>SUM(OSRRefH21_23x_0)</f>
        <v>4128.3899999999994</v>
      </c>
      <c r="I363" s="4"/>
      <c r="J363" s="1">
        <f>SUM(OSRRefJ21_23x_0)</f>
        <v>5468.05</v>
      </c>
      <c r="K363" s="4"/>
      <c r="L363" s="1">
        <f>SUM(OSRRefL21_23x_0)</f>
        <v>5814.5599999999995</v>
      </c>
      <c r="M363" s="4"/>
      <c r="N363" s="1">
        <f>SUM(OSRRefN21_23x_0)</f>
        <v>1139.73</v>
      </c>
      <c r="O363" s="4"/>
      <c r="P363" s="1">
        <f>SUM(OSRRefP21_23x_0)</f>
        <v>800</v>
      </c>
      <c r="Q363" s="4"/>
      <c r="R363" s="1">
        <f>SUM(OSRRefR21_23x_0)</f>
        <v>2350</v>
      </c>
    </row>
    <row r="364" spans="1:18" s="16" customFormat="1" hidden="1" outlineLevel="2" x14ac:dyDescent="0.35">
      <c r="B364" s="11" t="str">
        <f>CONCATENATE("          ", "6292", " - ", "TRAVEL/CONFERENCE")</f>
        <v xml:space="preserve">          6292 - TRAVEL/CONFERENCE</v>
      </c>
      <c r="D364" s="2">
        <v>4639.3999999999996</v>
      </c>
      <c r="F364" s="2">
        <v>6306.49</v>
      </c>
      <c r="G364" s="3"/>
      <c r="H364" s="2">
        <v>3026.81</v>
      </c>
      <c r="I364" s="3"/>
      <c r="J364" s="2">
        <v>4145.6400000000003</v>
      </c>
      <c r="K364" s="3"/>
      <c r="L364" s="2">
        <v>4121.28</v>
      </c>
      <c r="M364" s="3"/>
      <c r="N364" s="2">
        <v>326.60000000000002</v>
      </c>
      <c r="O364" s="3"/>
      <c r="P364" s="2">
        <v>0</v>
      </c>
      <c r="Q364" s="3"/>
      <c r="R364" s="2">
        <v>1500</v>
      </c>
    </row>
    <row r="365" spans="1:18" s="16" customFormat="1" hidden="1" outlineLevel="2" x14ac:dyDescent="0.35">
      <c r="B365" s="11" t="str">
        <f>CONCATENATE("          ", "6294", " - ", "TRAVEL OPERATIONAL")</f>
        <v xml:space="preserve">          6294 - TRAVEL OPERATIONAL</v>
      </c>
      <c r="D365" s="2">
        <v>1176.17</v>
      </c>
      <c r="F365" s="2">
        <v>588.36</v>
      </c>
      <c r="G365" s="3"/>
      <c r="H365" s="2">
        <v>747.43</v>
      </c>
      <c r="I365" s="3"/>
      <c r="J365" s="2">
        <v>626.29</v>
      </c>
      <c r="K365" s="3"/>
      <c r="L365" s="2">
        <v>1025.69</v>
      </c>
      <c r="M365" s="3"/>
      <c r="N365" s="2">
        <v>361.61</v>
      </c>
      <c r="O365" s="3"/>
      <c r="P365" s="2">
        <v>300</v>
      </c>
      <c r="Q365" s="3"/>
      <c r="R365" s="2">
        <v>300</v>
      </c>
    </row>
    <row r="366" spans="1:18" s="16" customFormat="1" hidden="1" outlineLevel="2" x14ac:dyDescent="0.35">
      <c r="B366" s="11" t="str">
        <f>CONCATENATE("          ", "6298", " - ", "VEHICLE MILEAGE")</f>
        <v xml:space="preserve">          6298 - VEHICLE MILEAGE</v>
      </c>
      <c r="D366" s="2">
        <v>1398.2</v>
      </c>
      <c r="F366" s="2">
        <v>435.33</v>
      </c>
      <c r="G366" s="3"/>
      <c r="H366" s="2">
        <v>354.15</v>
      </c>
      <c r="I366" s="3"/>
      <c r="J366" s="2">
        <v>696.12</v>
      </c>
      <c r="K366" s="3"/>
      <c r="L366" s="2">
        <v>667.59</v>
      </c>
      <c r="M366" s="3"/>
      <c r="N366" s="2">
        <v>451.52</v>
      </c>
      <c r="O366" s="3"/>
      <c r="P366" s="2">
        <v>500</v>
      </c>
      <c r="Q366" s="3"/>
      <c r="R366" s="2">
        <v>550</v>
      </c>
    </row>
    <row r="367" spans="1:18" s="15" customFormat="1" outlineLevel="1" collapsed="1" x14ac:dyDescent="0.35">
      <c r="A367" s="7"/>
      <c r="B367" s="20" t="str">
        <f>CONCATENATE("     ","Utilities                                         ")</f>
        <v xml:space="preserve">     Utilities                                         </v>
      </c>
      <c r="C367" s="7"/>
      <c r="D367" s="1">
        <f>SUM(OSRRefD21_24x_0)</f>
        <v>74404.429999999993</v>
      </c>
      <c r="E367" s="19"/>
      <c r="F367" s="1">
        <f>SUM(OSRRefF21_24x_0)</f>
        <v>75239.039999999994</v>
      </c>
      <c r="G367" s="4"/>
      <c r="H367" s="1">
        <f>SUM(OSRRefH21_24x_0)</f>
        <v>56339.69</v>
      </c>
      <c r="I367" s="4"/>
      <c r="J367" s="1">
        <f>SUM(OSRRefJ21_24x_0)</f>
        <v>80986.38</v>
      </c>
      <c r="K367" s="4"/>
      <c r="L367" s="1">
        <f>SUM(OSRRefL21_24x_0)</f>
        <v>57715.56</v>
      </c>
      <c r="M367" s="4"/>
      <c r="N367" s="1">
        <f>SUM(OSRRefN21_24x_0)</f>
        <v>78211.58</v>
      </c>
      <c r="O367" s="4"/>
      <c r="P367" s="1">
        <f>SUM(OSRRefP21_24x_0)</f>
        <v>76240</v>
      </c>
      <c r="Q367" s="4"/>
      <c r="R367" s="1">
        <f>SUM(OSRRefR21_24x_0)</f>
        <v>76120</v>
      </c>
    </row>
    <row r="368" spans="1:18" s="16" customFormat="1" hidden="1" outlineLevel="2" x14ac:dyDescent="0.35">
      <c r="B368" s="11" t="str">
        <f>CONCATENATE("          ", "6274", " - ", "UTILITIES")</f>
        <v xml:space="preserve">          6274 - UTILITIES</v>
      </c>
      <c r="D368" s="2">
        <v>74404.429999999993</v>
      </c>
      <c r="F368" s="2">
        <v>75239.039999999994</v>
      </c>
      <c r="G368" s="3"/>
      <c r="H368" s="2">
        <v>56339.69</v>
      </c>
      <c r="I368" s="3"/>
      <c r="J368" s="2">
        <v>80986.38</v>
      </c>
      <c r="K368" s="3"/>
      <c r="L368" s="2">
        <v>57715.56</v>
      </c>
      <c r="M368" s="3"/>
      <c r="N368" s="2">
        <v>78211.58</v>
      </c>
      <c r="O368" s="3"/>
      <c r="P368" s="2">
        <v>76240</v>
      </c>
      <c r="Q368" s="3"/>
      <c r="R368" s="2">
        <v>76120</v>
      </c>
    </row>
    <row r="369" spans="1:18" x14ac:dyDescent="0.35">
      <c r="A369" s="12"/>
      <c r="B369" s="12"/>
      <c r="C369" s="12"/>
      <c r="D369" s="1"/>
      <c r="F369" s="1"/>
      <c r="H369" s="1"/>
      <c r="J369" s="1"/>
      <c r="L369" s="1"/>
      <c r="N369" s="1"/>
      <c r="P369" s="1"/>
      <c r="R369" s="1"/>
    </row>
    <row r="370" spans="1:18" s="7" customFormat="1" collapsed="1" x14ac:dyDescent="0.35">
      <c r="A370" s="36"/>
      <c r="B370" s="34" t="s">
        <v>295</v>
      </c>
      <c r="D370" s="6">
        <f>SUM(OSRRefD24x_0)</f>
        <v>674130.16000000015</v>
      </c>
      <c r="E370" s="12"/>
      <c r="F370" s="6">
        <f>SUM(OSRRefF24x_0)</f>
        <v>633655.79</v>
      </c>
      <c r="G370" s="5"/>
      <c r="H370" s="6">
        <f>SUM(OSRRefH24x_0)</f>
        <v>972123.13</v>
      </c>
      <c r="I370" s="5"/>
      <c r="J370" s="6">
        <f>SUM(OSRRefJ24x_0)</f>
        <v>1044139.5900000001</v>
      </c>
      <c r="K370" s="5"/>
      <c r="L370" s="6">
        <f>SUM(OSRRefL24x_0)</f>
        <v>1357097.96</v>
      </c>
      <c r="M370" s="5"/>
      <c r="N370" s="6">
        <f>SUM(OSRRefN24x_0)</f>
        <v>1221255.24</v>
      </c>
      <c r="O370" s="5"/>
      <c r="P370" s="6">
        <f>SUM(OSRRefP24x_0)</f>
        <v>1180740</v>
      </c>
      <c r="Q370" s="5"/>
      <c r="R370" s="6">
        <f>SUM(OSRRefR24x_0)</f>
        <v>1279728.23</v>
      </c>
    </row>
    <row r="371" spans="1:18" s="7" customFormat="1" hidden="1" outlineLevel="1" x14ac:dyDescent="0.35">
      <c r="A371" s="36"/>
      <c r="B371" s="11" t="str">
        <f>CONCATENATE("          ", "4096", " - ", "TAXABLE SALES-CUSTOMER SERVICE")</f>
        <v xml:space="preserve">          4096 - TAXABLE SALES-CUSTOMER SERVICE</v>
      </c>
      <c r="D371" s="11">
        <f>--810</f>
        <v>810</v>
      </c>
      <c r="E371" s="16"/>
      <c r="F371" s="11">
        <f>--4.95</f>
        <v>4.95</v>
      </c>
      <c r="G371" s="3"/>
      <c r="H371" s="11">
        <f>0</f>
        <v>0</v>
      </c>
      <c r="I371" s="3"/>
      <c r="J371" s="11">
        <f>0</f>
        <v>0</v>
      </c>
      <c r="K371" s="3"/>
      <c r="L371" s="11">
        <f>0</f>
        <v>0</v>
      </c>
      <c r="M371" s="3"/>
      <c r="N371" s="11">
        <f>0</f>
        <v>0</v>
      </c>
      <c r="O371" s="3"/>
      <c r="P371" s="11"/>
      <c r="Q371" s="3"/>
      <c r="R371" s="11"/>
    </row>
    <row r="372" spans="1:18" s="7" customFormat="1" hidden="1" outlineLevel="1" x14ac:dyDescent="0.35">
      <c r="A372" s="36"/>
      <c r="B372" s="11" t="str">
        <f>CONCATENATE("          ", "4098", " - ", "TAXABLE SALES-GRAD RENTALS")</f>
        <v xml:space="preserve">          4098 - TAXABLE SALES-GRAD RENTALS</v>
      </c>
      <c r="D372" s="11">
        <f>--244356.74</f>
        <v>244356.74</v>
      </c>
      <c r="E372" s="16"/>
      <c r="F372" s="11">
        <f>--178590.88</f>
        <v>178590.88</v>
      </c>
      <c r="G372" s="3"/>
      <c r="H372" s="11">
        <f>--122982.11</f>
        <v>122982.11</v>
      </c>
      <c r="I372" s="3"/>
      <c r="J372" s="11">
        <f>--103080.07</f>
        <v>103080.07</v>
      </c>
      <c r="K372" s="3"/>
      <c r="L372" s="11">
        <f>--86267.28</f>
        <v>86267.28</v>
      </c>
      <c r="M372" s="3"/>
      <c r="N372" s="11">
        <f>--1946.85</f>
        <v>1946.85</v>
      </c>
      <c r="O372" s="3"/>
      <c r="P372" s="11"/>
      <c r="Q372" s="3"/>
      <c r="R372" s="11"/>
    </row>
    <row r="373" spans="1:18" s="7" customFormat="1" hidden="1" outlineLevel="1" x14ac:dyDescent="0.35">
      <c r="A373" s="36"/>
      <c r="B373" s="11" t="str">
        <f>CONCATENATE("          ", "4187", " - ", "NON-TAXABLE SALES-COMPUTER REP")</f>
        <v xml:space="preserve">          4187 - NON-TAXABLE SALES-COMPUTER REP</v>
      </c>
      <c r="D373" s="11">
        <f>--10541.05</f>
        <v>10541.05</v>
      </c>
      <c r="E373" s="16"/>
      <c r="F373" s="11">
        <f>--6439.41</f>
        <v>6439.41</v>
      </c>
      <c r="G373" s="3"/>
      <c r="H373" s="11">
        <f>-482.68</f>
        <v>-482.68</v>
      </c>
      <c r="I373" s="3"/>
      <c r="J373" s="11">
        <f>--12235.17</f>
        <v>12235.17</v>
      </c>
      <c r="K373" s="3"/>
      <c r="L373" s="11">
        <f>--7817.04</f>
        <v>7817.04</v>
      </c>
      <c r="M373" s="3"/>
      <c r="N373" s="11">
        <f>--16449.71</f>
        <v>16449.71</v>
      </c>
      <c r="O373" s="3"/>
      <c r="P373" s="11"/>
      <c r="Q373" s="3"/>
      <c r="R373" s="11"/>
    </row>
    <row r="374" spans="1:18" s="7" customFormat="1" hidden="1" outlineLevel="1" x14ac:dyDescent="0.35">
      <c r="A374" s="36"/>
      <c r="B374" s="11" t="str">
        <f>CONCATENATE("          ", "4196", " - ", "NON-TAXABLE SALES-CUSTOMER SER")</f>
        <v xml:space="preserve">          4196 - NON-TAXABLE SALES-CUSTOMER SER</v>
      </c>
      <c r="D374" s="11">
        <f>--125</f>
        <v>125</v>
      </c>
      <c r="E374" s="16"/>
      <c r="F374" s="11">
        <f>0</f>
        <v>0</v>
      </c>
      <c r="G374" s="3"/>
      <c r="H374" s="11">
        <f t="shared" ref="H374:H375" si="28">0</f>
        <v>0</v>
      </c>
      <c r="I374" s="3"/>
      <c r="J374" s="11">
        <f>0</f>
        <v>0</v>
      </c>
      <c r="K374" s="3"/>
      <c r="L374" s="11">
        <f>0</f>
        <v>0</v>
      </c>
      <c r="M374" s="3"/>
      <c r="N374" s="11">
        <f>0</f>
        <v>0</v>
      </c>
      <c r="O374" s="3"/>
      <c r="P374" s="11"/>
      <c r="Q374" s="3"/>
      <c r="R374" s="11"/>
    </row>
    <row r="375" spans="1:18" s="7" customFormat="1" hidden="1" outlineLevel="1" x14ac:dyDescent="0.35">
      <c r="A375" s="36"/>
      <c r="B375" s="11" t="str">
        <f>CONCATENATE("          ", "4197", " - ", "NON-TAXABLE SALES-RETURNED CHE")</f>
        <v xml:space="preserve">          4197 - NON-TAXABLE SALES-RETURNED CHE</v>
      </c>
      <c r="D375" s="11">
        <f>--20</f>
        <v>20</v>
      </c>
      <c r="E375" s="16"/>
      <c r="F375" s="11">
        <f>--70</f>
        <v>70</v>
      </c>
      <c r="G375" s="3"/>
      <c r="H375" s="11">
        <f t="shared" si="28"/>
        <v>0</v>
      </c>
      <c r="I375" s="3"/>
      <c r="J375" s="11">
        <f>--227.5</f>
        <v>227.5</v>
      </c>
      <c r="K375" s="3"/>
      <c r="L375" s="11">
        <f>--335</f>
        <v>335</v>
      </c>
      <c r="M375" s="3"/>
      <c r="N375" s="11">
        <f>--30</f>
        <v>30</v>
      </c>
      <c r="O375" s="3"/>
      <c r="P375" s="11"/>
      <c r="Q375" s="3"/>
      <c r="R375" s="11"/>
    </row>
    <row r="376" spans="1:18" s="7" customFormat="1" hidden="1" outlineLevel="1" x14ac:dyDescent="0.35">
      <c r="A376" s="36"/>
      <c r="B376" s="11" t="str">
        <f>CONCATENATE("          ", "4198", " - ", "NON-TAXABLE SALES-GRAD RENTALS")</f>
        <v xml:space="preserve">          4198 - NON-TAXABLE SALES-GRAD RENTALS</v>
      </c>
      <c r="D376" s="11">
        <f>--740</f>
        <v>740</v>
      </c>
      <c r="E376" s="16"/>
      <c r="F376" s="11">
        <f>--79118.7</f>
        <v>79118.7</v>
      </c>
      <c r="G376" s="3"/>
      <c r="H376" s="11">
        <f>--182844.41</f>
        <v>182844.41</v>
      </c>
      <c r="I376" s="3"/>
      <c r="J376" s="11">
        <f>--192651.25</f>
        <v>192651.25</v>
      </c>
      <c r="K376" s="3"/>
      <c r="L376" s="11">
        <f>--449104.41</f>
        <v>449104.41</v>
      </c>
      <c r="M376" s="3"/>
      <c r="N376" s="11">
        <f>--163.76</f>
        <v>163.76</v>
      </c>
      <c r="O376" s="3"/>
      <c r="P376" s="11"/>
      <c r="Q376" s="3"/>
      <c r="R376" s="11"/>
    </row>
    <row r="377" spans="1:18" s="7" customFormat="1" hidden="1" outlineLevel="1" x14ac:dyDescent="0.35">
      <c r="A377" s="36"/>
      <c r="B377" s="11" t="str">
        <f>CONCATENATE("          ", "4287", " - ", "SALES RETURN TAXABLE-COMPUTER")</f>
        <v xml:space="preserve">          4287 - SALES RETURN TAXABLE-COMPUTER</v>
      </c>
      <c r="D377" s="11">
        <f>0</f>
        <v>0</v>
      </c>
      <c r="E377" s="16"/>
      <c r="F377" s="11">
        <f t="shared" ref="F377:F378" si="29">0</f>
        <v>0</v>
      </c>
      <c r="G377" s="3"/>
      <c r="H377" s="11">
        <f>-30</f>
        <v>-30</v>
      </c>
      <c r="I377" s="3"/>
      <c r="J377" s="11">
        <f t="shared" ref="J377:J378" si="30">0</f>
        <v>0</v>
      </c>
      <c r="K377" s="3"/>
      <c r="L377" s="11">
        <f t="shared" ref="L377:L379" si="31">0</f>
        <v>0</v>
      </c>
      <c r="M377" s="3"/>
      <c r="N377" s="11">
        <f t="shared" ref="N377:N379" si="32">0</f>
        <v>0</v>
      </c>
      <c r="O377" s="3"/>
      <c r="P377" s="11"/>
      <c r="Q377" s="3"/>
      <c r="R377" s="11"/>
    </row>
    <row r="378" spans="1:18" s="7" customFormat="1" hidden="1" outlineLevel="1" x14ac:dyDescent="0.35">
      <c r="A378" s="36"/>
      <c r="B378" s="11" t="str">
        <f>CONCATENATE("          ", "4296", " - ", "SALES RETURN TAXABLE-CUSTOMER")</f>
        <v xml:space="preserve">          4296 - SALES RETURN TAXABLE-CUSTOMER</v>
      </c>
      <c r="D378" s="11">
        <f>-810</f>
        <v>-810</v>
      </c>
      <c r="E378" s="16"/>
      <c r="F378" s="11">
        <f t="shared" si="29"/>
        <v>0</v>
      </c>
      <c r="G378" s="3"/>
      <c r="H378" s="11">
        <f>0</f>
        <v>0</v>
      </c>
      <c r="I378" s="3"/>
      <c r="J378" s="11">
        <f t="shared" si="30"/>
        <v>0</v>
      </c>
      <c r="K378" s="3"/>
      <c r="L378" s="11">
        <f t="shared" si="31"/>
        <v>0</v>
      </c>
      <c r="M378" s="3"/>
      <c r="N378" s="11">
        <f t="shared" si="32"/>
        <v>0</v>
      </c>
      <c r="O378" s="3"/>
      <c r="P378" s="11"/>
      <c r="Q378" s="3"/>
      <c r="R378" s="11"/>
    </row>
    <row r="379" spans="1:18" s="7" customFormat="1" hidden="1" outlineLevel="1" x14ac:dyDescent="0.35">
      <c r="A379" s="36"/>
      <c r="B379" s="11" t="str">
        <f>CONCATENATE("          ", "4298", " - ", "SALES RETURN TAXABLE-GRAD RENT")</f>
        <v xml:space="preserve">          4298 - SALES RETURN TAXABLE-GRAD RENT</v>
      </c>
      <c r="D379" s="11">
        <f>-3554</f>
        <v>-3554</v>
      </c>
      <c r="E379" s="16"/>
      <c r="F379" s="11">
        <f>-646.95</f>
        <v>-646.95000000000005</v>
      </c>
      <c r="G379" s="3"/>
      <c r="H379" s="11">
        <f>-1223.7</f>
        <v>-1223.7</v>
      </c>
      <c r="I379" s="3"/>
      <c r="J379" s="11">
        <f>-196</f>
        <v>-196</v>
      </c>
      <c r="K379" s="3"/>
      <c r="L379" s="11">
        <f t="shared" si="31"/>
        <v>0</v>
      </c>
      <c r="M379" s="3"/>
      <c r="N379" s="11">
        <f t="shared" si="32"/>
        <v>0</v>
      </c>
      <c r="O379" s="3"/>
      <c r="P379" s="11"/>
      <c r="Q379" s="3"/>
      <c r="R379" s="11"/>
    </row>
    <row r="380" spans="1:18" s="7" customFormat="1" hidden="1" outlineLevel="1" x14ac:dyDescent="0.35">
      <c r="A380" s="36"/>
      <c r="B380" s="11" t="str">
        <f>CONCATENATE("          ", "4387", " - ", "SALES RETURN NON TAXABLE-COMPU")</f>
        <v xml:space="preserve">          4387 - SALES RETURN NON TAXABLE-COMPU</v>
      </c>
      <c r="D380" s="11">
        <f>-839</f>
        <v>-839</v>
      </c>
      <c r="E380" s="16"/>
      <c r="F380" s="11">
        <f t="shared" ref="F380:F383" si="33">0</f>
        <v>0</v>
      </c>
      <c r="G380" s="3"/>
      <c r="H380" s="11">
        <f t="shared" ref="H380:H383" si="34">0</f>
        <v>0</v>
      </c>
      <c r="I380" s="3"/>
      <c r="J380" s="11">
        <f>-184.33</f>
        <v>-184.33</v>
      </c>
      <c r="K380" s="3"/>
      <c r="L380" s="11">
        <f>--95.44</f>
        <v>95.44</v>
      </c>
      <c r="M380" s="3"/>
      <c r="N380" s="11">
        <f>-7889</f>
        <v>-7889</v>
      </c>
      <c r="O380" s="3"/>
      <c r="P380" s="11"/>
      <c r="Q380" s="3"/>
      <c r="R380" s="11"/>
    </row>
    <row r="381" spans="1:18" s="7" customFormat="1" hidden="1" outlineLevel="1" x14ac:dyDescent="0.35">
      <c r="A381" s="36"/>
      <c r="B381" s="11" t="str">
        <f>CONCATENATE("          ", "4396", " - ", "SALES RETURN NON TAXABLE-CUSTO")</f>
        <v xml:space="preserve">          4396 - SALES RETURN NON TAXABLE-CUSTO</v>
      </c>
      <c r="D381" s="11">
        <f>-100</f>
        <v>-100</v>
      </c>
      <c r="E381" s="16"/>
      <c r="F381" s="11">
        <f t="shared" si="33"/>
        <v>0</v>
      </c>
      <c r="G381" s="3"/>
      <c r="H381" s="11">
        <f t="shared" si="34"/>
        <v>0</v>
      </c>
      <c r="I381" s="3"/>
      <c r="J381" s="11">
        <f t="shared" ref="J381:J382" si="35">0</f>
        <v>0</v>
      </c>
      <c r="K381" s="3"/>
      <c r="L381" s="11">
        <f t="shared" ref="L381:L382" si="36">0</f>
        <v>0</v>
      </c>
      <c r="M381" s="3"/>
      <c r="N381" s="11">
        <f t="shared" ref="N381:N382" si="37">0</f>
        <v>0</v>
      </c>
      <c r="O381" s="3"/>
      <c r="P381" s="11"/>
      <c r="Q381" s="3"/>
      <c r="R381" s="11"/>
    </row>
    <row r="382" spans="1:18" s="7" customFormat="1" hidden="1" outlineLevel="1" x14ac:dyDescent="0.35">
      <c r="A382" s="36"/>
      <c r="B382" s="11" t="str">
        <f>CONCATENATE("          ", "4398", " - ", "SALES RETURN NON TAXABLE-GRAD")</f>
        <v xml:space="preserve">          4398 - SALES RETURN NON TAXABLE-GRAD</v>
      </c>
      <c r="D382" s="11">
        <f>-374</f>
        <v>-374</v>
      </c>
      <c r="E382" s="16"/>
      <c r="F382" s="11">
        <f t="shared" si="33"/>
        <v>0</v>
      </c>
      <c r="G382" s="3"/>
      <c r="H382" s="11">
        <f t="shared" si="34"/>
        <v>0</v>
      </c>
      <c r="I382" s="3"/>
      <c r="J382" s="11">
        <f t="shared" si="35"/>
        <v>0</v>
      </c>
      <c r="K382" s="3"/>
      <c r="L382" s="11">
        <f t="shared" si="36"/>
        <v>0</v>
      </c>
      <c r="M382" s="3"/>
      <c r="N382" s="11">
        <f t="shared" si="37"/>
        <v>0</v>
      </c>
      <c r="O382" s="3"/>
      <c r="P382" s="11"/>
      <c r="Q382" s="3"/>
      <c r="R382" s="11"/>
    </row>
    <row r="383" spans="1:18" s="7" customFormat="1" hidden="1" outlineLevel="1" x14ac:dyDescent="0.35">
      <c r="A383" s="36"/>
      <c r="B383" s="11" t="str">
        <f>CONCATENATE("          ", "5087", " - ", "PURCHASES @ COST-COMPUTER REPA")</f>
        <v xml:space="preserve">          5087 - PURCHASES @ COST-COMPUTER REPA</v>
      </c>
      <c r="D383" s="11">
        <f>0</f>
        <v>0</v>
      </c>
      <c r="E383" s="16"/>
      <c r="F383" s="11">
        <f t="shared" si="33"/>
        <v>0</v>
      </c>
      <c r="G383" s="3"/>
      <c r="H383" s="11">
        <f t="shared" si="34"/>
        <v>0</v>
      </c>
      <c r="I383" s="3"/>
      <c r="J383" s="11">
        <f>-138.63</f>
        <v>-138.63</v>
      </c>
      <c r="K383" s="3"/>
      <c r="L383" s="11">
        <f>-312.26</f>
        <v>-312.26</v>
      </c>
      <c r="M383" s="3"/>
      <c r="N383" s="11">
        <f>-72.06</f>
        <v>-72.06</v>
      </c>
      <c r="O383" s="3"/>
      <c r="P383" s="11"/>
      <c r="Q383" s="3"/>
      <c r="R383" s="11"/>
    </row>
    <row r="384" spans="1:18" s="7" customFormat="1" hidden="1" outlineLevel="1" x14ac:dyDescent="0.35">
      <c r="A384" s="36"/>
      <c r="B384" s="11" t="str">
        <f>CONCATENATE("          ", "5096", " - ", "PURCHASES @ COST-CUSTOMER SERV")</f>
        <v xml:space="preserve">          5096 - PURCHASES @ COST-CUSTOMER SERV</v>
      </c>
      <c r="D384" s="11">
        <f>-2437.5</f>
        <v>-2437.5</v>
      </c>
      <c r="E384" s="16"/>
      <c r="F384" s="11">
        <f>-4043.75</f>
        <v>-4043.75</v>
      </c>
      <c r="G384" s="3"/>
      <c r="H384" s="11">
        <f>-2337.5</f>
        <v>-2337.5</v>
      </c>
      <c r="I384" s="3"/>
      <c r="J384" s="11">
        <f>0</f>
        <v>0</v>
      </c>
      <c r="K384" s="3"/>
      <c r="L384" s="11">
        <f>0</f>
        <v>0</v>
      </c>
      <c r="M384" s="3"/>
      <c r="N384" s="11">
        <f>0</f>
        <v>0</v>
      </c>
      <c r="O384" s="3"/>
      <c r="P384" s="11"/>
      <c r="Q384" s="3"/>
      <c r="R384" s="11"/>
    </row>
    <row r="385" spans="1:18" s="7" customFormat="1" hidden="1" outlineLevel="1" x14ac:dyDescent="0.35">
      <c r="A385" s="36"/>
      <c r="B385" s="11" t="str">
        <f>CONCATENATE("          ", "9150", " - ", "MISC. INCOME")</f>
        <v xml:space="preserve">          9150 - MISC. INCOME</v>
      </c>
      <c r="D385" s="11">
        <f>--282391.5</f>
        <v>282391.5</v>
      </c>
      <c r="E385" s="16"/>
      <c r="F385" s="11">
        <f>--233363.1</f>
        <v>233363.1</v>
      </c>
      <c r="G385" s="3"/>
      <c r="H385" s="11">
        <f>--528604.24</f>
        <v>528604.24</v>
      </c>
      <c r="I385" s="3"/>
      <c r="J385" s="11">
        <f>--622600.29</f>
        <v>622600.29</v>
      </c>
      <c r="K385" s="3"/>
      <c r="L385" s="11">
        <f>--690951.7</f>
        <v>690951.7</v>
      </c>
      <c r="M385" s="3"/>
      <c r="N385" s="11">
        <f>--537634.91</f>
        <v>537634.91</v>
      </c>
      <c r="O385" s="3"/>
      <c r="P385" s="11">
        <v>263700</v>
      </c>
      <c r="Q385" s="3"/>
      <c r="R385" s="11">
        <v>199749</v>
      </c>
    </row>
    <row r="386" spans="1:18" s="7" customFormat="1" hidden="1" outlineLevel="1" x14ac:dyDescent="0.35">
      <c r="A386" s="36"/>
      <c r="B386" s="11" t="str">
        <f>CONCATENATE("          ", "9151", " - ", "MISC. INCOME")</f>
        <v xml:space="preserve">          9151 - MISC. INCOME</v>
      </c>
      <c r="D386" s="11">
        <f>0</f>
        <v>0</v>
      </c>
      <c r="E386" s="16"/>
      <c r="F386" s="11">
        <f>0</f>
        <v>0</v>
      </c>
      <c r="G386" s="3"/>
      <c r="H386" s="11">
        <f>-1631.14</f>
        <v>-1631.14</v>
      </c>
      <c r="I386" s="3"/>
      <c r="J386" s="11">
        <f>--896.01</f>
        <v>896.01</v>
      </c>
      <c r="K386" s="3"/>
      <c r="L386" s="11">
        <f>--498.26</f>
        <v>498.26</v>
      </c>
      <c r="M386" s="3"/>
      <c r="N386" s="11">
        <f>--150694.63</f>
        <v>150694.63</v>
      </c>
      <c r="O386" s="3"/>
      <c r="P386" s="11">
        <v>917040</v>
      </c>
      <c r="Q386" s="3"/>
      <c r="R386" s="11">
        <v>904979.23</v>
      </c>
    </row>
    <row r="387" spans="1:18" s="7" customFormat="1" hidden="1" outlineLevel="1" x14ac:dyDescent="0.35">
      <c r="A387" s="36"/>
      <c r="B387" s="11" t="str">
        <f>CONCATENATE("          ", "9152", " - ", "MISC. INCOME")</f>
        <v xml:space="preserve">          9152 - MISC. INCOME</v>
      </c>
      <c r="D387" s="11">
        <f>--22409.17</f>
        <v>22409.17</v>
      </c>
      <c r="E387" s="16"/>
      <c r="F387" s="11">
        <f>--19372.95</f>
        <v>19372.95</v>
      </c>
      <c r="G387" s="3"/>
      <c r="H387" s="11">
        <f>--12546.55</f>
        <v>12546.55</v>
      </c>
      <c r="I387" s="3"/>
      <c r="J387" s="11">
        <f>--10296.66</f>
        <v>10296.66</v>
      </c>
      <c r="K387" s="3"/>
      <c r="L387" s="11">
        <f>--13830.34</f>
        <v>13830.34</v>
      </c>
      <c r="M387" s="3"/>
      <c r="N387" s="11">
        <f>--10637.6</f>
        <v>10637.6</v>
      </c>
      <c r="O387" s="3"/>
      <c r="P387" s="11"/>
      <c r="Q387" s="3"/>
      <c r="R387" s="11"/>
    </row>
    <row r="388" spans="1:18" s="7" customFormat="1" hidden="1" outlineLevel="1" x14ac:dyDescent="0.35">
      <c r="A388" s="36"/>
      <c r="B388" s="11" t="str">
        <f>CONCATENATE("          ", "9153", " - ", "MISC. INCOME")</f>
        <v xml:space="preserve">          9153 - MISC. INCOME</v>
      </c>
      <c r="D388" s="11">
        <f>0</f>
        <v>0</v>
      </c>
      <c r="E388" s="16"/>
      <c r="F388" s="11">
        <f>0</f>
        <v>0</v>
      </c>
      <c r="G388" s="3"/>
      <c r="H388" s="11">
        <f>0</f>
        <v>0</v>
      </c>
      <c r="I388" s="3"/>
      <c r="J388" s="11">
        <f>0</f>
        <v>0</v>
      </c>
      <c r="K388" s="3"/>
      <c r="L388" s="11">
        <f>--180</f>
        <v>180</v>
      </c>
      <c r="M388" s="3"/>
      <c r="N388" s="11">
        <f>--450</f>
        <v>450</v>
      </c>
      <c r="O388" s="3"/>
      <c r="P388" s="11"/>
      <c r="Q388" s="3"/>
      <c r="R388" s="11"/>
    </row>
    <row r="389" spans="1:18" s="7" customFormat="1" hidden="1" outlineLevel="1" x14ac:dyDescent="0.35">
      <c r="A389" s="36"/>
      <c r="B389" s="11" t="str">
        <f>CONCATENATE("          ", "9160", " - ", "MISC. INCOME")</f>
        <v xml:space="preserve">          9160 - MISC. INCOME</v>
      </c>
      <c r="D389" s="11">
        <f>--35678.3</f>
        <v>35678.300000000003</v>
      </c>
      <c r="E389" s="16"/>
      <c r="F389" s="11">
        <f>--36250</f>
        <v>36250</v>
      </c>
      <c r="G389" s="3"/>
      <c r="H389" s="11">
        <f>--47850</f>
        <v>47850</v>
      </c>
      <c r="I389" s="3"/>
      <c r="J389" s="11">
        <f>--34795</f>
        <v>34795</v>
      </c>
      <c r="K389" s="3"/>
      <c r="L389" s="11">
        <f>--40000</f>
        <v>40000</v>
      </c>
      <c r="M389" s="3"/>
      <c r="N389" s="11">
        <f>--22475</f>
        <v>22475</v>
      </c>
      <c r="O389" s="3"/>
      <c r="P389" s="11"/>
      <c r="Q389" s="3"/>
      <c r="R389" s="11">
        <v>175000</v>
      </c>
    </row>
    <row r="390" spans="1:18" s="7" customFormat="1" hidden="1" outlineLevel="1" x14ac:dyDescent="0.35">
      <c r="A390" s="36"/>
      <c r="B390" s="11" t="str">
        <f>CONCATENATE("          ", "9163", " - ", "MISC. INCOME")</f>
        <v xml:space="preserve">          9163 - MISC. INCOME</v>
      </c>
      <c r="D390" s="11">
        <f>--85172.9</f>
        <v>85172.9</v>
      </c>
      <c r="E390" s="16"/>
      <c r="F390" s="11">
        <f>--85136.5</f>
        <v>85136.5</v>
      </c>
      <c r="G390" s="3"/>
      <c r="H390" s="11">
        <f>--83000.84</f>
        <v>83000.84</v>
      </c>
      <c r="I390" s="3"/>
      <c r="J390" s="11">
        <f>--67876.6</f>
        <v>67876.600000000006</v>
      </c>
      <c r="K390" s="3"/>
      <c r="L390" s="11">
        <f>--68330.75</f>
        <v>68330.75</v>
      </c>
      <c r="M390" s="3"/>
      <c r="N390" s="11">
        <f>--488733.84</f>
        <v>488733.84</v>
      </c>
      <c r="O390" s="3"/>
      <c r="P390" s="11"/>
      <c r="Q390" s="3"/>
      <c r="R390" s="11"/>
    </row>
    <row r="391" spans="1:18" x14ac:dyDescent="0.35">
      <c r="A391" s="12"/>
      <c r="B391" s="7"/>
      <c r="C391" s="7"/>
      <c r="D391" s="6"/>
      <c r="F391" s="6"/>
      <c r="H391" s="6"/>
      <c r="J391" s="6"/>
      <c r="L391" s="6"/>
      <c r="N391" s="6"/>
      <c r="P391" s="6"/>
      <c r="R391" s="6"/>
    </row>
    <row r="392" spans="1:18" s="15" customFormat="1" x14ac:dyDescent="0.35">
      <c r="A392" s="7"/>
      <c r="B392" s="22" t="s">
        <v>279</v>
      </c>
      <c r="C392" s="22"/>
      <c r="D392" s="10">
        <f>+D224-D227+D370</f>
        <v>1708167.1300000148</v>
      </c>
      <c r="E392" s="12"/>
      <c r="F392" s="10">
        <f>+F224-F227+F370</f>
        <v>1890875.9100000011</v>
      </c>
      <c r="G392" s="5"/>
      <c r="H392" s="10">
        <f>+H224-H227+H370</f>
        <v>1892043.0099999979</v>
      </c>
      <c r="I392" s="5"/>
      <c r="J392" s="10">
        <f>+J224-J227+J370</f>
        <v>1916109.0400000031</v>
      </c>
      <c r="K392" s="5"/>
      <c r="L392" s="10">
        <f>+L224-L227+L370</f>
        <v>1835840.579999988</v>
      </c>
      <c r="M392" s="5"/>
      <c r="N392" s="10">
        <f>+N224-N227+N370</f>
        <v>1010789.6400000004</v>
      </c>
      <c r="O392" s="5"/>
      <c r="P392" s="10">
        <f>+P224-P227+P370</f>
        <v>874880.29725615494</v>
      </c>
      <c r="Q392" s="5"/>
      <c r="R392" s="10">
        <f>+R224-R227+R370</f>
        <v>903901.92382158199</v>
      </c>
    </row>
    <row r="393" spans="1:18" s="27" customFormat="1" x14ac:dyDescent="0.35">
      <c r="A393" s="18"/>
      <c r="B393" s="31"/>
      <c r="C393" s="18"/>
      <c r="D393" s="9">
        <f>IFERROR(D392/D10, 0)</f>
        <v>0.10580932035387383</v>
      </c>
      <c r="E393" s="18"/>
      <c r="F393" s="9">
        <f>IFERROR(F392/F10, 0)</f>
        <v>0.11824160158205567</v>
      </c>
      <c r="G393" s="14"/>
      <c r="H393" s="9">
        <f>IFERROR(H392/H10, 0)</f>
        <v>0.12087597417495721</v>
      </c>
      <c r="I393" s="14"/>
      <c r="J393" s="9">
        <f>IFERROR(J392/J10, 0)</f>
        <v>0.13009998886228238</v>
      </c>
      <c r="K393" s="14"/>
      <c r="L393" s="9">
        <f>IFERROR(L392/L10, 0)</f>
        <v>0.12720746374867942</v>
      </c>
      <c r="M393" s="14"/>
      <c r="N393" s="9">
        <f>IFERROR(N392/N10, 0)</f>
        <v>8.337820663306468E-2</v>
      </c>
      <c r="O393" s="14"/>
      <c r="P393" s="9">
        <f>IFERROR(P392/P10, 0)</f>
        <v>7.5050753883413243E-2</v>
      </c>
      <c r="Q393" s="14"/>
      <c r="R393" s="9">
        <f>IFERROR(R392/R10, 0)</f>
        <v>8.0990615880540753E-2</v>
      </c>
    </row>
    <row r="394" spans="1:18" s="27" customFormat="1" x14ac:dyDescent="0.35">
      <c r="A394" s="18"/>
      <c r="B394" s="31"/>
      <c r="C394" s="18"/>
      <c r="D394" s="13"/>
      <c r="E394" s="18"/>
      <c r="F394" s="13"/>
      <c r="G394" s="14"/>
      <c r="H394" s="13"/>
      <c r="I394" s="14"/>
      <c r="J394" s="13"/>
      <c r="K394" s="14"/>
      <c r="L394" s="13"/>
      <c r="M394" s="14"/>
      <c r="N394" s="13"/>
      <c r="O394" s="14"/>
      <c r="P394" s="13"/>
      <c r="Q394" s="14"/>
      <c r="R394" s="13"/>
    </row>
    <row r="395" spans="1:18" s="15" customFormat="1" x14ac:dyDescent="0.35">
      <c r="A395" s="37"/>
      <c r="B395" s="7" t="s">
        <v>127</v>
      </c>
      <c r="C395" s="7"/>
      <c r="D395" s="6">
        <v>3508175.3</v>
      </c>
      <c r="E395" s="12"/>
      <c r="F395" s="6">
        <v>2276519.31</v>
      </c>
      <c r="G395" s="5"/>
      <c r="H395" s="6">
        <v>2092864.49</v>
      </c>
      <c r="I395" s="5"/>
      <c r="J395" s="6">
        <v>1976692.32</v>
      </c>
      <c r="K395" s="5"/>
      <c r="L395" s="6">
        <v>1028661.15</v>
      </c>
      <c r="M395" s="5"/>
      <c r="N395" s="6">
        <v>1835688.54</v>
      </c>
      <c r="O395" s="5"/>
      <c r="P395" s="6">
        <v>1969808</v>
      </c>
      <c r="Q395" s="5"/>
      <c r="R395" s="6">
        <v>1265547</v>
      </c>
    </row>
    <row r="396" spans="1:18" x14ac:dyDescent="0.35">
      <c r="A396" s="12"/>
      <c r="B396" s="7"/>
      <c r="C396" s="7"/>
      <c r="D396" s="6"/>
      <c r="F396" s="6"/>
      <c r="H396" s="6"/>
      <c r="J396" s="6"/>
      <c r="L396" s="6"/>
      <c r="N396" s="6"/>
      <c r="P396" s="6"/>
      <c r="R396" s="6"/>
    </row>
    <row r="397" spans="1:18" s="15" customFormat="1" x14ac:dyDescent="0.35">
      <c r="A397" s="7"/>
      <c r="B397" s="22" t="s">
        <v>126</v>
      </c>
      <c r="C397" s="22"/>
      <c r="D397" s="10">
        <f>+D392-D395</f>
        <v>-1800008.169999985</v>
      </c>
      <c r="E397" s="12"/>
      <c r="F397" s="10">
        <f>+F392-F395</f>
        <v>-385643.39999999898</v>
      </c>
      <c r="G397" s="5"/>
      <c r="H397" s="10">
        <f>+H392-H395</f>
        <v>-200821.48000000208</v>
      </c>
      <c r="I397" s="5"/>
      <c r="J397" s="10">
        <f>+J392-J395</f>
        <v>-60583.279999997001</v>
      </c>
      <c r="K397" s="5"/>
      <c r="L397" s="10">
        <f>+L392-L395</f>
        <v>807179.42999998794</v>
      </c>
      <c r="M397" s="5"/>
      <c r="N397" s="10">
        <f>+N392-N395</f>
        <v>-824898.89999999967</v>
      </c>
      <c r="O397" s="5"/>
      <c r="P397" s="10">
        <f>+P392-P395</f>
        <v>-1094927.7027438451</v>
      </c>
      <c r="Q397" s="5"/>
      <c r="R397" s="10">
        <f>+R392-R395</f>
        <v>-361645.07617841801</v>
      </c>
    </row>
    <row r="398" spans="1:18" s="27" customFormat="1" x14ac:dyDescent="0.35">
      <c r="A398" s="18"/>
      <c r="B398" s="18"/>
      <c r="C398" s="18"/>
      <c r="D398" s="9">
        <f>IFERROR(D397/D10, 0)</f>
        <v>-0.11149824730506139</v>
      </c>
      <c r="E398" s="18"/>
      <c r="F398" s="9">
        <f>IFERROR(F397/F10, 0)</f>
        <v>-2.4115328253110583E-2</v>
      </c>
      <c r="G398" s="14"/>
      <c r="H398" s="9">
        <f>IFERROR(H397/H10, 0)</f>
        <v>-1.282977812975666E-2</v>
      </c>
      <c r="I398" s="14"/>
      <c r="J398" s="9">
        <f>IFERROR(J397/J10, 0)</f>
        <v>-4.1134840913020958E-3</v>
      </c>
      <c r="K398" s="14"/>
      <c r="L398" s="9">
        <f>IFERROR(L397/L10, 0)</f>
        <v>5.5930372821589913E-2</v>
      </c>
      <c r="M398" s="14"/>
      <c r="N398" s="9">
        <f>IFERROR(N397/N10, 0)</f>
        <v>-6.804441618098471E-2</v>
      </c>
      <c r="O398" s="14"/>
      <c r="P398" s="9">
        <f>IFERROR(P397/P10, 0)</f>
        <v>-9.3927306165747862E-2</v>
      </c>
      <c r="Q398" s="14"/>
      <c r="R398" s="9">
        <f>IFERROR(R397/R10, 0)</f>
        <v>-3.2403800321633758E-2</v>
      </c>
    </row>
    <row r="399" spans="1:18" s="27" customFormat="1" x14ac:dyDescent="0.35">
      <c r="A399" s="18"/>
      <c r="B399" s="18"/>
      <c r="C399" s="18"/>
      <c r="D399" s="13"/>
      <c r="E399" s="18"/>
      <c r="F399" s="13"/>
      <c r="G399" s="14"/>
      <c r="H399" s="13"/>
      <c r="I399" s="14"/>
      <c r="J399" s="13"/>
      <c r="K399" s="14"/>
      <c r="L399" s="13"/>
      <c r="M399" s="14"/>
      <c r="N399" s="13"/>
      <c r="O399" s="14"/>
      <c r="P399" s="13"/>
      <c r="Q399" s="14"/>
      <c r="R399" s="13"/>
    </row>
    <row r="400" spans="1:18" x14ac:dyDescent="0.35">
      <c r="A400" s="12"/>
      <c r="B400" s="12"/>
      <c r="C400" s="12"/>
      <c r="D400" s="6"/>
      <c r="F400" s="6"/>
      <c r="H400" s="6"/>
      <c r="J400" s="6"/>
      <c r="L400" s="6"/>
      <c r="N400" s="6"/>
      <c r="P400" s="6"/>
      <c r="R400" s="6"/>
    </row>
    <row r="401" spans="1:18" s="15" customFormat="1" x14ac:dyDescent="0.35">
      <c r="A401" s="7"/>
      <c r="B401" s="22" t="s">
        <v>296</v>
      </c>
      <c r="C401" s="22"/>
      <c r="D401" s="10">
        <f>SUM(D397:D400)</f>
        <v>-1800008.2814982324</v>
      </c>
      <c r="E401" s="12"/>
      <c r="F401" s="10">
        <f>SUM(F397:F400)</f>
        <v>-385643.42411532725</v>
      </c>
      <c r="G401" s="5"/>
      <c r="H401" s="10">
        <f>SUM(H397:H400)</f>
        <v>-200821.49282978021</v>
      </c>
      <c r="I401" s="5"/>
      <c r="J401" s="10">
        <f>SUM(J397:J400)</f>
        <v>-60583.284113481095</v>
      </c>
      <c r="K401" s="5"/>
      <c r="L401" s="10">
        <f>SUM(L397:L400)</f>
        <v>807179.48593036074</v>
      </c>
      <c r="M401" s="5"/>
      <c r="N401" s="10">
        <f>SUM(N397:N400)</f>
        <v>-824898.96804441581</v>
      </c>
      <c r="O401" s="5"/>
      <c r="P401" s="10">
        <f>SUM(P397:P400)</f>
        <v>-1094927.7966711512</v>
      </c>
      <c r="Q401" s="5"/>
      <c r="R401" s="10">
        <f>SUM(R397:R400)</f>
        <v>-361645.10858221835</v>
      </c>
    </row>
    <row r="402" spans="1:18" s="27" customFormat="1" x14ac:dyDescent="0.35">
      <c r="A402" s="18"/>
      <c r="B402" s="41"/>
      <c r="C402" s="18"/>
      <c r="D402" s="9">
        <f>IFERROR(D401/D10, 0)</f>
        <v>-0.11149825421161846</v>
      </c>
      <c r="E402" s="18"/>
      <c r="F402" s="9">
        <f>IFERROR(F401/F10, 0)</f>
        <v>-2.4115329761107498E-2</v>
      </c>
      <c r="G402" s="14"/>
      <c r="H402" s="9">
        <f>IFERROR(H401/H10, 0)</f>
        <v>-1.2829778949406068E-2</v>
      </c>
      <c r="I402" s="14"/>
      <c r="J402" s="9">
        <f>IFERROR(J401/J10, 0)</f>
        <v>-4.1134843705994762E-3</v>
      </c>
      <c r="K402" s="14"/>
      <c r="L402" s="9">
        <f>IFERROR(L401/L10, 0)</f>
        <v>5.5930376697068504E-2</v>
      </c>
      <c r="M402" s="14"/>
      <c r="N402" s="9">
        <f>IFERROR(N401/N10, 0)</f>
        <v>-6.8044421793845344E-2</v>
      </c>
      <c r="O402" s="14"/>
      <c r="P402" s="9">
        <f>IFERROR(P401/P10, 0)</f>
        <v>-9.3927314223210309E-2</v>
      </c>
      <c r="Q402" s="14"/>
      <c r="R402" s="9">
        <f>IFERROR(R401/R10, 0)</f>
        <v>-3.2403803225050244E-2</v>
      </c>
    </row>
    <row r="403" spans="1:18" x14ac:dyDescent="0.35">
      <c r="A403" s="12"/>
      <c r="B403" s="40">
        <v>44319.883418483798</v>
      </c>
      <c r="D403" s="24"/>
      <c r="F403" s="24"/>
      <c r="H403" s="24"/>
      <c r="J403" s="24"/>
      <c r="L403" s="24"/>
      <c r="N403" s="24"/>
      <c r="P403" s="24"/>
      <c r="R403" s="24"/>
    </row>
    <row r="404" spans="1:18" x14ac:dyDescent="0.35">
      <c r="A404" s="12"/>
      <c r="B404" s="39" t="s">
        <v>23</v>
      </c>
      <c r="D404" s="24"/>
      <c r="F404" s="24"/>
      <c r="H404" s="24"/>
      <c r="J404" s="24"/>
      <c r="L404" s="24"/>
      <c r="N404" s="24"/>
      <c r="P404" s="24"/>
      <c r="R404" s="24"/>
    </row>
    <row r="405" spans="1:18" x14ac:dyDescent="0.35">
      <c r="A405" s="12"/>
      <c r="D405" s="24"/>
      <c r="F405" s="24"/>
      <c r="H405" s="24"/>
      <c r="J405" s="24"/>
      <c r="L405" s="24"/>
      <c r="N405" s="24"/>
      <c r="P405" s="24"/>
      <c r="R405" s="24"/>
    </row>
    <row r="406" spans="1:18" x14ac:dyDescent="0.35">
      <c r="D406" s="24"/>
      <c r="F406" s="24"/>
      <c r="H406" s="24"/>
      <c r="J406" s="24"/>
      <c r="L406" s="24"/>
      <c r="N406" s="24"/>
      <c r="P406" s="24"/>
      <c r="R406" s="24"/>
    </row>
  </sheetData>
  <pageMargins left="0.5" right="0.5" top="0.5" bottom="0.5" header="0.3" footer="0.3"/>
  <pageSetup scale="5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315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315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14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3055102.67</v>
      </c>
      <c r="F10" s="8">
        <f>SUM(OSRRefF11x_0)</f>
        <v>3061397.45</v>
      </c>
      <c r="G10" s="8"/>
      <c r="H10" s="8">
        <f>SUM(OSRRefH11x_0)</f>
        <v>3348708.2399999998</v>
      </c>
      <c r="I10" s="8"/>
      <c r="J10" s="8">
        <f>SUM(OSRRefJ11x_0)</f>
        <v>3083951.13</v>
      </c>
      <c r="K10" s="8"/>
      <c r="L10" s="8">
        <f>SUM(OSRRefL11x_0)</f>
        <v>3028129.24</v>
      </c>
      <c r="M10" s="8"/>
      <c r="N10" s="8">
        <f>SUM(OSRRefN11x_0)</f>
        <v>2364728.7199999997</v>
      </c>
      <c r="O10" s="8"/>
      <c r="P10" s="8">
        <f>SUM(OSRRefP11x_0)</f>
        <v>612469</v>
      </c>
      <c r="Q10" s="8"/>
      <c r="R10" s="8">
        <f>SUM(OSRRefR11x_0)</f>
        <v>517909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49912</v>
      </c>
      <c r="Q11" s="3"/>
      <c r="R11" s="11">
        <v>101271</v>
      </c>
    </row>
    <row r="12" spans="1:18" s="16" customFormat="1" hidden="1" outlineLevel="1" x14ac:dyDescent="0.35">
      <c r="B12" s="35" t="str">
        <f>CONCATENATE("          ", "4032", " - ", "TAXABLE SALES-JUICE")</f>
        <v xml:space="preserve">          4032 - TAXABLE SALES-JUICE</v>
      </c>
      <c r="D12" s="11">
        <f>-374555.96*-1</f>
        <v>374555.96</v>
      </c>
      <c r="F12" s="11">
        <f>-321254.19*-1</f>
        <v>321254.19</v>
      </c>
      <c r="G12" s="3"/>
      <c r="H12" s="11">
        <f>-328598.81*-1</f>
        <v>328598.81</v>
      </c>
      <c r="I12" s="3"/>
      <c r="J12" s="11">
        <f>--366950.78</f>
        <v>366950.78</v>
      </c>
      <c r="K12" s="3"/>
      <c r="L12" s="11">
        <f>--370158.89</f>
        <v>370158.89</v>
      </c>
      <c r="M12" s="3"/>
      <c r="N12" s="11">
        <f>--275749.46</f>
        <v>275749.46000000002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"4033", " - ", "TAXABLE SALES-CANDY")</f>
        <v xml:space="preserve">          4033 - TAXABLE SALES-CANDY</v>
      </c>
      <c r="D13" s="11">
        <f t="shared" ref="D13:D15" si="0">0*-1</f>
        <v>0</v>
      </c>
      <c r="F13" s="11">
        <f>-194.27*-1</f>
        <v>194.27</v>
      </c>
      <c r="G13" s="3"/>
      <c r="H13" s="11">
        <f>-27.04*-1</f>
        <v>27.04</v>
      </c>
      <c r="I13" s="3"/>
      <c r="J13" s="11">
        <f>--1.39</f>
        <v>1.39</v>
      </c>
      <c r="K13" s="3"/>
      <c r="L13" s="11">
        <f>--19.99</f>
        <v>19.989999999999998</v>
      </c>
      <c r="M13" s="3"/>
      <c r="N13" s="11">
        <f>0</f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"4034", " - ", "TAXABLE SALES-SODA")</f>
        <v xml:space="preserve">          4034 - TAXABLE SALES-SODA</v>
      </c>
      <c r="D14" s="11">
        <f t="shared" si="0"/>
        <v>0</v>
      </c>
      <c r="F14" s="11">
        <f>-1749.11*-1</f>
        <v>1749.11</v>
      </c>
      <c r="G14" s="3"/>
      <c r="H14" s="11">
        <f>-2660.29*-1</f>
        <v>2660.29</v>
      </c>
      <c r="I14" s="3"/>
      <c r="J14" s="11">
        <f>--2920.24</f>
        <v>2920.24</v>
      </c>
      <c r="K14" s="3"/>
      <c r="L14" s="11">
        <f>--2843.76</f>
        <v>2843.76</v>
      </c>
      <c r="M14" s="3"/>
      <c r="N14" s="11">
        <f>--3121.95</f>
        <v>3121.95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"4035", " - ", "TAXABLE SALES-HEALTH &amp; BEAUTY")</f>
        <v xml:space="preserve">          4035 - TAXABLE SALES-HEALTH &amp; BEAUTY</v>
      </c>
      <c r="D15" s="11">
        <f t="shared" si="0"/>
        <v>0</v>
      </c>
      <c r="F15" s="11">
        <f>-31.95*-1</f>
        <v>31.95</v>
      </c>
      <c r="G15" s="3"/>
      <c r="H15" s="11">
        <f>-11.31*-1</f>
        <v>11.31</v>
      </c>
      <c r="I15" s="3"/>
      <c r="J15" s="11">
        <f>--9.85</f>
        <v>9.85</v>
      </c>
      <c r="K15" s="3"/>
      <c r="L15" s="11">
        <f>0</f>
        <v>0</v>
      </c>
      <c r="M15" s="3"/>
      <c r="N15" s="11">
        <f>0</f>
        <v>0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"4051", " - ", "TAXABLE SALES-FOOD")</f>
        <v xml:space="preserve">          4051 - TAXABLE SALES-FOOD</v>
      </c>
      <c r="D16" s="11">
        <f>-184573.18*-1</f>
        <v>184573.18</v>
      </c>
      <c r="F16" s="11">
        <f>-163643.19*-1</f>
        <v>163643.19</v>
      </c>
      <c r="G16" s="3"/>
      <c r="H16" s="11">
        <f>-222337.93*-1</f>
        <v>222337.93</v>
      </c>
      <c r="I16" s="3"/>
      <c r="J16" s="11">
        <f>--285696.46</f>
        <v>285696.46000000002</v>
      </c>
      <c r="K16" s="3"/>
      <c r="L16" s="11">
        <f>--238608.7</f>
        <v>238608.7</v>
      </c>
      <c r="M16" s="3"/>
      <c r="N16" s="11">
        <f>--149404.53</f>
        <v>149404.53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"4100", " - ", "NON-TAXABLE SALES")</f>
        <v xml:space="preserve">          4100 - NON-TAXABLE SALES</v>
      </c>
      <c r="D17" s="11">
        <f>0*-1</f>
        <v>0</v>
      </c>
      <c r="F17" s="11">
        <f>0*-1</f>
        <v>0</v>
      </c>
      <c r="G17" s="3"/>
      <c r="H17" s="11">
        <f>0*-1</f>
        <v>0</v>
      </c>
      <c r="I17" s="3"/>
      <c r="J17" s="11">
        <f t="shared" ref="J17:J18" si="1">0</f>
        <v>0</v>
      </c>
      <c r="K17" s="3"/>
      <c r="L17" s="11">
        <f t="shared" ref="L17:L18" si="2">0</f>
        <v>0</v>
      </c>
      <c r="M17" s="3"/>
      <c r="N17" s="11">
        <f>0</f>
        <v>0</v>
      </c>
      <c r="O17" s="3"/>
      <c r="P17" s="11">
        <v>562557</v>
      </c>
      <c r="Q17" s="3"/>
      <c r="R17" s="11">
        <v>416638</v>
      </c>
    </row>
    <row r="18" spans="1:18" s="16" customFormat="1" hidden="1" outlineLevel="1" x14ac:dyDescent="0.35">
      <c r="B18" s="35" t="str">
        <f>CONCATENATE("          ", "4131", " - ", "NON-TAXABLE SALES-FOOD")</f>
        <v xml:space="preserve">          4131 - NON-TAXABLE SALES-FOOD</v>
      </c>
      <c r="D18" s="11">
        <f>-22.6*-1</f>
        <v>22.6</v>
      </c>
      <c r="F18" s="11">
        <f>-1083.06*-1</f>
        <v>1083.06</v>
      </c>
      <c r="G18" s="3"/>
      <c r="H18" s="11">
        <f>-69.99*-1</f>
        <v>69.989999999999995</v>
      </c>
      <c r="I18" s="3"/>
      <c r="J18" s="11">
        <f t="shared" si="1"/>
        <v>0</v>
      </c>
      <c r="K18" s="3"/>
      <c r="L18" s="11">
        <f t="shared" si="2"/>
        <v>0</v>
      </c>
      <c r="M18" s="3"/>
      <c r="N18" s="11">
        <f>--2.48</f>
        <v>2.48</v>
      </c>
      <c r="O18" s="3"/>
      <c r="P18" s="11"/>
      <c r="Q18" s="3"/>
      <c r="R18" s="11"/>
    </row>
    <row r="19" spans="1:18" s="16" customFormat="1" hidden="1" outlineLevel="1" x14ac:dyDescent="0.35">
      <c r="B19" s="35" t="str">
        <f>CONCATENATE("          ", "4132", " - ", "NON-TAXABLE SALES-JUICE")</f>
        <v xml:space="preserve">          4132 - NON-TAXABLE SALES-JUICE</v>
      </c>
      <c r="D19" s="11">
        <f>-1271886.16*-1</f>
        <v>1271886.1599999999</v>
      </c>
      <c r="F19" s="11">
        <f>-1367204.25*-1</f>
        <v>1367204.25</v>
      </c>
      <c r="G19" s="3"/>
      <c r="H19" s="11">
        <f>-1494524.97*-1</f>
        <v>1494524.97</v>
      </c>
      <c r="I19" s="3"/>
      <c r="J19" s="11">
        <f>--1282905.21</f>
        <v>1282905.21</v>
      </c>
      <c r="K19" s="3"/>
      <c r="L19" s="11">
        <f>--1305186.95</f>
        <v>1305186.95</v>
      </c>
      <c r="M19" s="3"/>
      <c r="N19" s="11">
        <f>--1093892.63</f>
        <v>1093892.6299999999</v>
      </c>
      <c r="O19" s="3"/>
      <c r="P19" s="11"/>
      <c r="Q19" s="3"/>
      <c r="R19" s="11"/>
    </row>
    <row r="20" spans="1:18" s="16" customFormat="1" hidden="1" outlineLevel="1" x14ac:dyDescent="0.35">
      <c r="B20" s="35" t="str">
        <f>CONCATENATE("          ", "4133", " - ", "NON-TAXABLE SALES-CANDY")</f>
        <v xml:space="preserve">          4133 - NON-TAXABLE SALES-CANDY</v>
      </c>
      <c r="D20" s="11">
        <f t="shared" ref="D20:D21" si="3">0*-1</f>
        <v>0</v>
      </c>
      <c r="F20" s="11">
        <f>-5779.71*-1</f>
        <v>5779.71</v>
      </c>
      <c r="G20" s="3"/>
      <c r="H20" s="11">
        <f>-53.63*-1</f>
        <v>53.63</v>
      </c>
      <c r="I20" s="3"/>
      <c r="J20" s="11">
        <f>--7.25</f>
        <v>7.25</v>
      </c>
      <c r="K20" s="3"/>
      <c r="L20" s="11">
        <f>0</f>
        <v>0</v>
      </c>
      <c r="M20" s="3"/>
      <c r="N20" s="11">
        <f>--1.59</f>
        <v>1.59</v>
      </c>
      <c r="O20" s="3"/>
      <c r="P20" s="11"/>
      <c r="Q20" s="3"/>
      <c r="R20" s="11"/>
    </row>
    <row r="21" spans="1:18" s="16" customFormat="1" hidden="1" outlineLevel="1" x14ac:dyDescent="0.35">
      <c r="B21" s="35" t="str">
        <f>CONCATENATE("          ", "4134", " - ", "NON-TAXABLE SALES-SODA")</f>
        <v xml:space="preserve">          4134 - NON-TAXABLE SALES-SODA</v>
      </c>
      <c r="D21" s="11">
        <f t="shared" si="3"/>
        <v>0</v>
      </c>
      <c r="F21" s="11">
        <f>-298.62*-1</f>
        <v>298.62</v>
      </c>
      <c r="G21" s="3"/>
      <c r="H21" s="11">
        <f>-66.31*-1</f>
        <v>66.31</v>
      </c>
      <c r="I21" s="3"/>
      <c r="J21" s="11">
        <f>--36.01</f>
        <v>36.01</v>
      </c>
      <c r="K21" s="3"/>
      <c r="L21" s="11">
        <f>--55.83</f>
        <v>55.83</v>
      </c>
      <c r="M21" s="3"/>
      <c r="N21" s="11">
        <f>--99.83</f>
        <v>99.83</v>
      </c>
      <c r="O21" s="3"/>
      <c r="P21" s="11"/>
      <c r="Q21" s="3"/>
      <c r="R21" s="11"/>
    </row>
    <row r="22" spans="1:18" s="16" customFormat="1" hidden="1" outlineLevel="1" x14ac:dyDescent="0.35">
      <c r="B22" s="35" t="str">
        <f>CONCATENATE("          ", "4137", " - ", "NON-TAXABLE SALES-WATER")</f>
        <v xml:space="preserve">          4137 - NON-TAXABLE SALES-WATER</v>
      </c>
      <c r="D22" s="11">
        <f>-4.48*-1</f>
        <v>4.4800000000000004</v>
      </c>
      <c r="F22" s="11">
        <f>-2418.94*-1</f>
        <v>2418.94</v>
      </c>
      <c r="G22" s="3"/>
      <c r="H22" s="11">
        <f>-3356.89*-1</f>
        <v>3356.89</v>
      </c>
      <c r="I22" s="3"/>
      <c r="J22" s="11">
        <f>--3230.99</f>
        <v>3230.99</v>
      </c>
      <c r="K22" s="3"/>
      <c r="L22" s="11">
        <f>--2318.79</f>
        <v>2318.79</v>
      </c>
      <c r="M22" s="3"/>
      <c r="N22" s="11">
        <f>--1575.68</f>
        <v>1575.68</v>
      </c>
      <c r="O22" s="3"/>
      <c r="P22" s="11"/>
      <c r="Q22" s="3"/>
      <c r="R22" s="11"/>
    </row>
    <row r="23" spans="1:18" s="16" customFormat="1" hidden="1" outlineLevel="1" x14ac:dyDescent="0.35">
      <c r="B23" s="35" t="str">
        <f>CONCATENATE("          ", "4151", " - ", "NON-TAXABLE SALES-FOOD")</f>
        <v xml:space="preserve">          4151 - NON-TAXABLE SALES-FOOD</v>
      </c>
      <c r="D23" s="11">
        <f>-1216496.87*-1</f>
        <v>1216496.8700000001</v>
      </c>
      <c r="F23" s="11">
        <f>-1188377.46*-1</f>
        <v>1188377.46</v>
      </c>
      <c r="G23" s="3"/>
      <c r="H23" s="11">
        <f>-1282369.7*-1</f>
        <v>1282369.7</v>
      </c>
      <c r="I23" s="3"/>
      <c r="J23" s="11">
        <f>--1129477.44</f>
        <v>1129477.44</v>
      </c>
      <c r="K23" s="3"/>
      <c r="L23" s="11">
        <f>--1094407.35</f>
        <v>1094407.3500000001</v>
      </c>
      <c r="M23" s="3"/>
      <c r="N23" s="11">
        <f>--828068.07</f>
        <v>828068.07</v>
      </c>
      <c r="O23" s="3"/>
      <c r="P23" s="11"/>
      <c r="Q23" s="3"/>
      <c r="R23" s="11"/>
    </row>
    <row r="24" spans="1:18" s="16" customFormat="1" hidden="1" outlineLevel="1" x14ac:dyDescent="0.35">
      <c r="B24" s="35" t="str">
        <f>CONCATENATE("          ", "4153", " - ", "NON-TAXABLE SALES-FOOD")</f>
        <v xml:space="preserve">          4153 - NON-TAXABLE SALES-FOOD</v>
      </c>
      <c r="D24" s="11">
        <f>-7563.42*-1</f>
        <v>7563.42</v>
      </c>
      <c r="F24" s="11">
        <f>-9645*-1</f>
        <v>9645</v>
      </c>
      <c r="G24" s="3"/>
      <c r="H24" s="11">
        <f>-14634.25*-1</f>
        <v>14634.25</v>
      </c>
      <c r="I24" s="3"/>
      <c r="J24" s="11">
        <f>--12715.51</f>
        <v>12715.51</v>
      </c>
      <c r="K24" s="3"/>
      <c r="L24" s="11">
        <f>--14530.67</f>
        <v>14530.67</v>
      </c>
      <c r="M24" s="3"/>
      <c r="N24" s="11">
        <f>--12812.5</f>
        <v>12812.5</v>
      </c>
      <c r="O24" s="3"/>
      <c r="P24" s="11"/>
      <c r="Q24" s="3"/>
      <c r="R24" s="11"/>
    </row>
    <row r="25" spans="1:18" s="16" customFormat="1" hidden="1" outlineLevel="1" x14ac:dyDescent="0.35">
      <c r="B25" s="35" t="str">
        <f>CONCATENATE("          ", "4233", " - ", "SALES RETURN TAXABLE-CANDY")</f>
        <v xml:space="preserve">          4233 - SALES RETURN TAXABLE-CANDY</v>
      </c>
      <c r="D25" s="11">
        <f t="shared" ref="D25:D27" si="4">0*-1</f>
        <v>0</v>
      </c>
      <c r="F25" s="11">
        <f>12.04*-1</f>
        <v>-12.04</v>
      </c>
      <c r="G25" s="3"/>
      <c r="H25" s="11">
        <f>2.88*-1</f>
        <v>-2.88</v>
      </c>
      <c r="I25" s="3"/>
      <c r="J25" s="11">
        <f t="shared" ref="J25:J27" si="5">0</f>
        <v>0</v>
      </c>
      <c r="K25" s="3"/>
      <c r="L25" s="11">
        <f>-1.69</f>
        <v>-1.69</v>
      </c>
      <c r="M25" s="3"/>
      <c r="N25" s="11">
        <f t="shared" ref="N25:N27" si="6">0</f>
        <v>0</v>
      </c>
      <c r="O25" s="3"/>
      <c r="P25" s="11"/>
      <c r="Q25" s="3"/>
      <c r="R25" s="11"/>
    </row>
    <row r="26" spans="1:18" s="16" customFormat="1" hidden="1" outlineLevel="1" x14ac:dyDescent="0.35">
      <c r="B26" s="35" t="str">
        <f>CONCATENATE("          ", "4332", " - ", "SALES RETURN NON TAXABLE-JUICE")</f>
        <v xml:space="preserve">          4332 - SALES RETURN NON TAXABLE-JUICE</v>
      </c>
      <c r="D26" s="11">
        <f t="shared" si="4"/>
        <v>0</v>
      </c>
      <c r="F26" s="11">
        <f>268.26*-1</f>
        <v>-268.26</v>
      </c>
      <c r="G26" s="3"/>
      <c r="H26" s="11">
        <f t="shared" ref="H26:H27" si="7">0*-1</f>
        <v>0</v>
      </c>
      <c r="I26" s="3"/>
      <c r="J26" s="11">
        <f t="shared" si="5"/>
        <v>0</v>
      </c>
      <c r="K26" s="3"/>
      <c r="L26" s="11">
        <f t="shared" ref="L26:L27" si="8">0</f>
        <v>0</v>
      </c>
      <c r="M26" s="3"/>
      <c r="N26" s="11">
        <f t="shared" si="6"/>
        <v>0</v>
      </c>
      <c r="O26" s="3"/>
      <c r="P26" s="11"/>
      <c r="Q26" s="3"/>
      <c r="R26" s="11"/>
    </row>
    <row r="27" spans="1:18" s="16" customFormat="1" hidden="1" outlineLevel="1" x14ac:dyDescent="0.35">
      <c r="B27" s="35" t="str">
        <f>CONCATENATE("          ", "4333", " - ", "SALES RETURN NON TAXABLE-CANDY")</f>
        <v xml:space="preserve">          4333 - SALES RETURN NON TAXABLE-CANDY</v>
      </c>
      <c r="D27" s="11">
        <f t="shared" si="4"/>
        <v>0</v>
      </c>
      <c r="F27" s="11">
        <f>2*-1</f>
        <v>-2</v>
      </c>
      <c r="G27" s="3"/>
      <c r="H27" s="11">
        <f t="shared" si="7"/>
        <v>0</v>
      </c>
      <c r="I27" s="3"/>
      <c r="J27" s="11">
        <f t="shared" si="5"/>
        <v>0</v>
      </c>
      <c r="K27" s="3"/>
      <c r="L27" s="11">
        <f t="shared" si="8"/>
        <v>0</v>
      </c>
      <c r="M27" s="3"/>
      <c r="N27" s="11">
        <f t="shared" si="6"/>
        <v>0</v>
      </c>
      <c r="O27" s="3"/>
      <c r="P27" s="11"/>
      <c r="Q27" s="3"/>
      <c r="R27" s="11"/>
    </row>
    <row r="28" spans="1:18" s="12" customFormat="1" x14ac:dyDescent="0.35">
      <c r="B28" s="7"/>
      <c r="D28" s="6"/>
      <c r="F28" s="6"/>
      <c r="G28" s="5"/>
      <c r="H28" s="6"/>
      <c r="I28" s="5"/>
      <c r="J28" s="6"/>
      <c r="K28" s="5"/>
      <c r="L28" s="6"/>
      <c r="M28" s="5"/>
      <c r="N28" s="6"/>
      <c r="O28" s="5"/>
      <c r="P28" s="6"/>
      <c r="Q28" s="5"/>
      <c r="R28" s="6"/>
    </row>
    <row r="29" spans="1:18" s="12" customFormat="1" collapsed="1" x14ac:dyDescent="0.35">
      <c r="B29" s="7" t="s">
        <v>278</v>
      </c>
      <c r="D29" s="8">
        <f>SUM(OSRRefD14x_0)</f>
        <v>1565420.17</v>
      </c>
      <c r="E29" s="8"/>
      <c r="F29" s="8">
        <f>SUM(OSRRefF14x_0)</f>
        <v>1597188.1900000002</v>
      </c>
      <c r="G29" s="8"/>
      <c r="H29" s="8">
        <f>SUM(OSRRefH14x_0)</f>
        <v>1639649.5899999999</v>
      </c>
      <c r="I29" s="8"/>
      <c r="J29" s="8">
        <f>SUM(OSRRefJ14x_0)</f>
        <v>1616578.4500000002</v>
      </c>
      <c r="K29" s="8"/>
      <c r="L29" s="8">
        <f>SUM(OSRRefL14x_0)</f>
        <v>1481578.4700000002</v>
      </c>
      <c r="M29" s="8"/>
      <c r="N29" s="8">
        <f>SUM(OSRRefN14x_0)</f>
        <v>1235919.9000000001</v>
      </c>
      <c r="O29" s="8"/>
      <c r="P29" s="8">
        <f>SUM(OSRRefP14x_0)</f>
        <v>285885</v>
      </c>
      <c r="Q29" s="8"/>
      <c r="R29" s="8">
        <f>SUM(OSRRefR14x_0)</f>
        <v>253951</v>
      </c>
    </row>
    <row r="30" spans="1:18" s="44" customFormat="1" hidden="1" outlineLevel="1" x14ac:dyDescent="0.35">
      <c r="A30" s="16"/>
      <c r="B30" s="35" t="str">
        <f>CONCATENATE("          ", "5000", " - ", "PURCHASES @ COST")</f>
        <v xml:space="preserve">          5000 - PURCHASES @ COST</v>
      </c>
      <c r="C30" s="16"/>
      <c r="D30" s="11"/>
      <c r="E30" s="16"/>
      <c r="F30" s="11"/>
      <c r="G30" s="3"/>
      <c r="H30" s="11"/>
      <c r="I30" s="3"/>
      <c r="J30" s="11"/>
      <c r="K30" s="3"/>
      <c r="L30" s="11"/>
      <c r="M30" s="3"/>
      <c r="N30" s="11"/>
      <c r="O30" s="3"/>
      <c r="P30" s="11">
        <v>285885</v>
      </c>
      <c r="Q30" s="3"/>
      <c r="R30" s="11">
        <v>253951</v>
      </c>
    </row>
    <row r="31" spans="1:18" s="44" customFormat="1" hidden="1" outlineLevel="1" x14ac:dyDescent="0.35">
      <c r="A31" s="16"/>
      <c r="B31" s="35" t="str">
        <f>CONCATENATE("          ", "5053", " - ", "PURCHASES @ COST-FOOD")</f>
        <v xml:space="preserve">          5053 - PURCHASES @ COST-FOOD</v>
      </c>
      <c r="C31" s="16"/>
      <c r="D31" s="11">
        <v>1351718.29</v>
      </c>
      <c r="E31" s="16"/>
      <c r="F31" s="11">
        <v>1434752.6</v>
      </c>
      <c r="G31" s="3"/>
      <c r="H31" s="11">
        <v>1528100.42</v>
      </c>
      <c r="I31" s="3"/>
      <c r="J31" s="11">
        <v>1408208.59</v>
      </c>
      <c r="K31" s="3"/>
      <c r="L31" s="11">
        <v>1367213.59</v>
      </c>
      <c r="M31" s="3"/>
      <c r="N31" s="11">
        <v>1155614.1000000001</v>
      </c>
      <c r="O31" s="3"/>
      <c r="P31" s="11"/>
      <c r="Q31" s="3"/>
      <c r="R31" s="11"/>
    </row>
    <row r="32" spans="1:18" s="44" customFormat="1" hidden="1" outlineLevel="1" x14ac:dyDescent="0.35">
      <c r="A32" s="16"/>
      <c r="B32" s="35" t="str">
        <f>CONCATENATE("          ", "5059", " - ", "PURCHASES @ COST-FOOD")</f>
        <v xml:space="preserve">          5059 - PURCHASES @ COST-FOOD</v>
      </c>
      <c r="C32" s="16"/>
      <c r="D32" s="11">
        <v>213701.88</v>
      </c>
      <c r="E32" s="16"/>
      <c r="F32" s="11">
        <v>162435.59</v>
      </c>
      <c r="G32" s="3"/>
      <c r="H32" s="11">
        <v>111549.17</v>
      </c>
      <c r="I32" s="3"/>
      <c r="J32" s="11">
        <v>208369.86</v>
      </c>
      <c r="K32" s="3"/>
      <c r="L32" s="11">
        <v>114364.88</v>
      </c>
      <c r="M32" s="3"/>
      <c r="N32" s="11">
        <v>80305.8</v>
      </c>
      <c r="O32" s="3"/>
      <c r="P32" s="11"/>
      <c r="Q32" s="3"/>
      <c r="R32" s="11"/>
    </row>
    <row r="33" spans="1:18" x14ac:dyDescent="0.35">
      <c r="A33" s="12"/>
      <c r="B33" s="7"/>
      <c r="C33" s="7"/>
      <c r="D33" s="6"/>
      <c r="F33" s="6"/>
      <c r="H33" s="6"/>
      <c r="J33" s="6"/>
      <c r="L33" s="6"/>
      <c r="N33" s="6"/>
      <c r="P33" s="6"/>
      <c r="R33" s="6"/>
    </row>
    <row r="34" spans="1:18" s="15" customFormat="1" x14ac:dyDescent="0.35">
      <c r="A34" s="7"/>
      <c r="B34" s="22" t="s">
        <v>107</v>
      </c>
      <c r="C34" s="22"/>
      <c r="D34" s="10">
        <f>+D10-D29</f>
        <v>1489682.5</v>
      </c>
      <c r="E34" s="12"/>
      <c r="F34" s="10">
        <f>+F10-F29</f>
        <v>1464209.26</v>
      </c>
      <c r="G34" s="5"/>
      <c r="H34" s="10">
        <f>+H10-H29</f>
        <v>1709058.65</v>
      </c>
      <c r="I34" s="5"/>
      <c r="J34" s="10">
        <f>+J10-J29</f>
        <v>1467372.6799999997</v>
      </c>
      <c r="K34" s="5"/>
      <c r="L34" s="10">
        <f>+L10-L29</f>
        <v>1546550.77</v>
      </c>
      <c r="M34" s="5"/>
      <c r="N34" s="10">
        <f>+N10-N29</f>
        <v>1128808.8199999996</v>
      </c>
      <c r="O34" s="5"/>
      <c r="P34" s="10">
        <f>+P10-P29</f>
        <v>326584</v>
      </c>
      <c r="Q34" s="5"/>
      <c r="R34" s="10">
        <f>+R10-R29</f>
        <v>263958</v>
      </c>
    </row>
    <row r="35" spans="1:18" s="27" customFormat="1" x14ac:dyDescent="0.35">
      <c r="A35" s="18"/>
      <c r="B35" s="31"/>
      <c r="C35" s="18"/>
      <c r="D35" s="9">
        <f>IFERROR(D34/D10, 0)</f>
        <v>0.48760472589944087</v>
      </c>
      <c r="E35" s="13"/>
      <c r="F35" s="9">
        <f>IFERROR(F34/F10, 0)</f>
        <v>0.47828133521180005</v>
      </c>
      <c r="G35" s="26"/>
      <c r="H35" s="9">
        <f>IFERROR(H34/H10, 0)</f>
        <v>0.51036355738175632</v>
      </c>
      <c r="I35" s="26"/>
      <c r="J35" s="9">
        <f>IFERROR(J34/J10, 0)</f>
        <v>0.47580931673194177</v>
      </c>
      <c r="K35" s="26"/>
      <c r="L35" s="9">
        <f>IFERROR(L34/L10, 0)</f>
        <v>0.51072812532928746</v>
      </c>
      <c r="M35" s="26"/>
      <c r="N35" s="9">
        <f>IFERROR(N34/N10, 0)</f>
        <v>0.47735235355030481</v>
      </c>
      <c r="O35" s="26"/>
      <c r="P35" s="9">
        <f>IFERROR(P34/P10, 0)</f>
        <v>0.53322535507919588</v>
      </c>
      <c r="Q35" s="26"/>
      <c r="R35" s="9">
        <f>IFERROR(R34/R10, 0)</f>
        <v>0.50966096360557545</v>
      </c>
    </row>
    <row r="36" spans="1:18" s="27" customFormat="1" x14ac:dyDescent="0.35">
      <c r="A36" s="18"/>
      <c r="B36" s="31"/>
      <c r="C36" s="18"/>
      <c r="D36" s="13"/>
      <c r="E36" s="13"/>
      <c r="F36" s="13"/>
      <c r="G36" s="26"/>
      <c r="H36" s="13"/>
      <c r="I36" s="26"/>
      <c r="J36" s="13"/>
      <c r="K36" s="26"/>
      <c r="L36" s="13"/>
      <c r="M36" s="26"/>
      <c r="N36" s="13"/>
      <c r="O36" s="26"/>
      <c r="P36" s="13"/>
      <c r="Q36" s="26"/>
      <c r="R36" s="13"/>
    </row>
    <row r="37" spans="1:18" s="15" customFormat="1" x14ac:dyDescent="0.35">
      <c r="A37" s="7"/>
      <c r="B37" s="34" t="s">
        <v>314</v>
      </c>
      <c r="C37" s="7"/>
      <c r="D37" s="8">
        <f>SUM(OSRRefD21x_0)</f>
        <v>1002244.5900000002</v>
      </c>
      <c r="E37" s="19"/>
      <c r="F37" s="8">
        <f>SUM(OSRRefF21x_0)</f>
        <v>1088240.54</v>
      </c>
      <c r="G37" s="4"/>
      <c r="H37" s="8">
        <f>SUM(OSRRefH21x_0)</f>
        <v>1123988.22</v>
      </c>
      <c r="I37" s="4"/>
      <c r="J37" s="8">
        <f>SUM(OSRRefJ21x_0)</f>
        <v>1169935.99</v>
      </c>
      <c r="K37" s="4"/>
      <c r="L37" s="8">
        <f>SUM(OSRRefL21x_0)</f>
        <v>1227461.7199999997</v>
      </c>
      <c r="M37" s="4"/>
      <c r="N37" s="8">
        <f>SUM(OSRRefN21x_0)</f>
        <v>1073659.1599999999</v>
      </c>
      <c r="O37" s="4"/>
      <c r="P37" s="8">
        <f>SUM(OSRRefP21x_0)</f>
        <v>657404.5706944</v>
      </c>
      <c r="Q37" s="4"/>
      <c r="R37" s="8">
        <f>SUM(OSRRefR21x_0)</f>
        <v>436427.20735474996</v>
      </c>
    </row>
    <row r="38" spans="1:18" s="15" customFormat="1" outlineLevel="1" collapsed="1" x14ac:dyDescent="0.35">
      <c r="A38" s="7"/>
      <c r="B38" s="20" t="str">
        <f>CONCATENATE("     ","*Benefits                                         ")</f>
        <v xml:space="preserve">     *Benefits                                         </v>
      </c>
      <c r="C38" s="7"/>
      <c r="D38" s="1">
        <f>SUM(OSRRefD21_0x_0)</f>
        <v>105806.17</v>
      </c>
      <c r="E38" s="19"/>
      <c r="F38" s="1">
        <f>SUM(OSRRefF21_0x_0)</f>
        <v>122507.15000000001</v>
      </c>
      <c r="G38" s="4"/>
      <c r="H38" s="1">
        <f>SUM(OSRRefH21_0x_0)</f>
        <v>113424.26</v>
      </c>
      <c r="I38" s="4"/>
      <c r="J38" s="1">
        <f>SUM(OSRRefJ21_0x_0)</f>
        <v>132157.50999999998</v>
      </c>
      <c r="K38" s="4"/>
      <c r="L38" s="1">
        <f>SUM(OSRRefL21_0x_0)</f>
        <v>160813.88999999998</v>
      </c>
      <c r="M38" s="4"/>
      <c r="N38" s="1">
        <f>SUM(OSRRefN21_0x_0)</f>
        <v>144729.35999999999</v>
      </c>
      <c r="O38" s="4"/>
      <c r="P38" s="1">
        <f>SUM(OSRRefP21_0x_0)</f>
        <v>92796.387494399998</v>
      </c>
      <c r="Q38" s="4"/>
      <c r="R38" s="1">
        <f>SUM(OSRRefR21_0x_0)</f>
        <v>53694.857204749998</v>
      </c>
    </row>
    <row r="39" spans="1:18" s="16" customFormat="1" hidden="1" outlineLevel="2" x14ac:dyDescent="0.35">
      <c r="B39" s="11" t="str">
        <f>CONCATENATE("          ", "6111", " - ", "F.I.C.A.")</f>
        <v xml:space="preserve">          6111 - F.I.C.A.</v>
      </c>
      <c r="D39" s="2">
        <v>16176.57</v>
      </c>
      <c r="F39" s="2">
        <v>22006.83</v>
      </c>
      <c r="G39" s="3"/>
      <c r="H39" s="2">
        <v>19858.09</v>
      </c>
      <c r="I39" s="3"/>
      <c r="J39" s="2">
        <v>24788.39</v>
      </c>
      <c r="K39" s="3"/>
      <c r="L39" s="2">
        <v>27804.959999999999</v>
      </c>
      <c r="M39" s="3"/>
      <c r="N39" s="2">
        <v>24045.040000000001</v>
      </c>
      <c r="O39" s="3"/>
      <c r="P39" s="2">
        <v>13422.618128399999</v>
      </c>
      <c r="Q39" s="3"/>
      <c r="R39" s="2">
        <v>7472.0505547499997</v>
      </c>
    </row>
    <row r="40" spans="1:18" s="16" customFormat="1" hidden="1" outlineLevel="2" x14ac:dyDescent="0.35">
      <c r="B40" s="11" t="str">
        <f>CONCATENATE("          ", "6112", " - ", "COMPENSATION INSURANCE")</f>
        <v xml:space="preserve">          6112 - COMPENSATION INSURANCE</v>
      </c>
      <c r="D40" s="2">
        <v>7284.14</v>
      </c>
      <c r="F40" s="2">
        <v>14119.6</v>
      </c>
      <c r="G40" s="3"/>
      <c r="H40" s="2">
        <v>9089.23</v>
      </c>
      <c r="I40" s="3"/>
      <c r="J40" s="2">
        <v>5787.6</v>
      </c>
      <c r="K40" s="3"/>
      <c r="L40" s="2">
        <v>8318.6</v>
      </c>
      <c r="M40" s="3"/>
      <c r="N40" s="2">
        <v>9516.2099999999991</v>
      </c>
      <c r="O40" s="3"/>
      <c r="P40" s="2">
        <v>5481.7176099999997</v>
      </c>
      <c r="Q40" s="3"/>
      <c r="R40" s="2">
        <v>7100.8869605</v>
      </c>
    </row>
    <row r="41" spans="1:18" s="16" customFormat="1" hidden="1" outlineLevel="2" x14ac:dyDescent="0.35">
      <c r="B41" s="11" t="str">
        <f>CONCATENATE("          ", "6113", " - ", "GROUP INSURANCE")</f>
        <v xml:space="preserve">          6113 - GROUP INSURANCE</v>
      </c>
      <c r="D41" s="2">
        <v>42165.33</v>
      </c>
      <c r="F41" s="2">
        <v>46716.42</v>
      </c>
      <c r="G41" s="3"/>
      <c r="H41" s="2">
        <v>44906.23</v>
      </c>
      <c r="I41" s="3"/>
      <c r="J41" s="2">
        <v>60238.06</v>
      </c>
      <c r="K41" s="3"/>
      <c r="L41" s="2">
        <v>74378.039999999994</v>
      </c>
      <c r="M41" s="3"/>
      <c r="N41" s="2">
        <v>64558.85</v>
      </c>
      <c r="O41" s="3"/>
      <c r="P41" s="2">
        <v>47520</v>
      </c>
      <c r="Q41" s="3"/>
      <c r="R41" s="2">
        <v>23724</v>
      </c>
    </row>
    <row r="42" spans="1:18" s="16" customFormat="1" hidden="1" outlineLevel="2" x14ac:dyDescent="0.35">
      <c r="B42" s="11" t="str">
        <f>CONCATENATE("          ", "6114", " - ", "STATE UNEMPLOYMENT INSURANCE")</f>
        <v xml:space="preserve">          6114 - STATE UNEMPLOYMENT INSURANCE</v>
      </c>
      <c r="D42" s="2">
        <v>2932.45</v>
      </c>
      <c r="F42" s="2">
        <v>3413.04</v>
      </c>
      <c r="G42" s="3"/>
      <c r="H42" s="2">
        <v>1748.45</v>
      </c>
      <c r="I42" s="3"/>
      <c r="J42" s="2">
        <v>1876.23</v>
      </c>
      <c r="K42" s="3"/>
      <c r="L42" s="2">
        <v>1785.44</v>
      </c>
      <c r="M42" s="3"/>
      <c r="N42" s="2">
        <v>0</v>
      </c>
      <c r="O42" s="3"/>
      <c r="P42" s="2">
        <v>770.40355599999998</v>
      </c>
      <c r="Q42" s="3"/>
      <c r="R42" s="2">
        <v>393.45283949999998</v>
      </c>
    </row>
    <row r="43" spans="1:18" s="16" customFormat="1" hidden="1" outlineLevel="2" x14ac:dyDescent="0.35">
      <c r="B43" s="11" t="str">
        <f>CONCATENATE("          ", "6115", " - ", "P.E.R.S.")</f>
        <v xml:space="preserve">          6115 - P.E.R.S.</v>
      </c>
      <c r="D43" s="2">
        <v>13591.69</v>
      </c>
      <c r="F43" s="2">
        <v>11102.62</v>
      </c>
      <c r="G43" s="3"/>
      <c r="H43" s="2">
        <v>12188.23</v>
      </c>
      <c r="I43" s="3"/>
      <c r="J43" s="2">
        <v>15237.15</v>
      </c>
      <c r="K43" s="3"/>
      <c r="L43" s="2">
        <v>17155.57</v>
      </c>
      <c r="M43" s="3"/>
      <c r="N43" s="2">
        <v>17974.95</v>
      </c>
      <c r="O43" s="3"/>
      <c r="P43" s="2">
        <v>11059.7032</v>
      </c>
      <c r="Q43" s="3"/>
      <c r="R43" s="2">
        <v>5173.0720000000001</v>
      </c>
    </row>
    <row r="44" spans="1:18" s="16" customFormat="1" hidden="1" outlineLevel="2" x14ac:dyDescent="0.35">
      <c r="B44" s="11" t="str">
        <f>CONCATENATE("          ", "6116", " - ", "EDUCATIONAL BENEFITS")</f>
        <v xml:space="preserve">          6116 - EDUCATIONAL BENEFITS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>
        <v>0</v>
      </c>
    </row>
    <row r="45" spans="1:18" s="16" customFormat="1" hidden="1" outlineLevel="2" x14ac:dyDescent="0.35">
      <c r="B45" s="11" t="str">
        <f>CONCATENATE("          ", "6118", " - ", "VACATION")</f>
        <v xml:space="preserve">          6118 - VACATION</v>
      </c>
      <c r="D45" s="2">
        <v>10060.06</v>
      </c>
      <c r="F45" s="2">
        <v>10181.799999999999</v>
      </c>
      <c r="G45" s="3"/>
      <c r="H45" s="2">
        <v>10123.459999999999</v>
      </c>
      <c r="I45" s="3"/>
      <c r="J45" s="2">
        <v>11460.97</v>
      </c>
      <c r="K45" s="3"/>
      <c r="L45" s="2">
        <v>13806.63</v>
      </c>
      <c r="M45" s="3"/>
      <c r="N45" s="2">
        <v>13978.95</v>
      </c>
      <c r="O45" s="3"/>
      <c r="P45" s="2">
        <v>4982.8999999999996</v>
      </c>
      <c r="Q45" s="3"/>
      <c r="R45" s="2">
        <v>3007.6</v>
      </c>
    </row>
    <row r="46" spans="1:18" s="16" customFormat="1" hidden="1" outlineLevel="2" x14ac:dyDescent="0.35">
      <c r="B46" s="11" t="str">
        <f>CONCATENATE("          ", "6119", " - ", "SICK LEAVE")</f>
        <v xml:space="preserve">          6119 - SICK LEAVE</v>
      </c>
      <c r="D46" s="2">
        <v>7269.42</v>
      </c>
      <c r="F46" s="2">
        <v>8204.74</v>
      </c>
      <c r="G46" s="3"/>
      <c r="H46" s="2">
        <v>8290.4599999999991</v>
      </c>
      <c r="I46" s="3"/>
      <c r="J46" s="2">
        <v>6419.23</v>
      </c>
      <c r="K46" s="3"/>
      <c r="L46" s="2">
        <v>11177.18</v>
      </c>
      <c r="M46" s="3"/>
      <c r="N46" s="2">
        <v>9513.4599999999991</v>
      </c>
      <c r="O46" s="3"/>
      <c r="P46" s="2">
        <v>7459.0450000000001</v>
      </c>
      <c r="Q46" s="3"/>
      <c r="R46" s="2">
        <v>6823.7948500000002</v>
      </c>
    </row>
    <row r="47" spans="1:18" s="16" customFormat="1" hidden="1" outlineLevel="2" x14ac:dyDescent="0.35">
      <c r="B47" s="11" t="str">
        <f>CONCATENATE("          ", "6156", " - ", "EMPLOYEE MEALS")</f>
        <v xml:space="preserve">          6156 - EMPLOYEE MEALS</v>
      </c>
      <c r="D47" s="2">
        <v>6326.51</v>
      </c>
      <c r="F47" s="2">
        <v>6762.1</v>
      </c>
      <c r="G47" s="3"/>
      <c r="H47" s="2">
        <v>7220.11</v>
      </c>
      <c r="I47" s="3"/>
      <c r="J47" s="2">
        <v>6349.88</v>
      </c>
      <c r="K47" s="3"/>
      <c r="L47" s="2">
        <v>6387.47</v>
      </c>
      <c r="M47" s="3"/>
      <c r="N47" s="2">
        <v>5141.8999999999996</v>
      </c>
      <c r="O47" s="3"/>
      <c r="P47" s="2">
        <v>2100</v>
      </c>
      <c r="Q47" s="3"/>
      <c r="R47" s="2"/>
    </row>
    <row r="48" spans="1:18" s="15" customFormat="1" outlineLevel="1" collapsed="1" x14ac:dyDescent="0.35">
      <c r="A48" s="7"/>
      <c r="B48" s="20" t="str">
        <f>CONCATENATE("     ","*Payroll                                          ")</f>
        <v xml:space="preserve">     *Payroll                                          </v>
      </c>
      <c r="C48" s="7"/>
      <c r="D48" s="1">
        <f>SUM(OSRRefD21_1x_0)</f>
        <v>464651.49</v>
      </c>
      <c r="E48" s="19"/>
      <c r="F48" s="1">
        <f>SUM(OSRRefF21_1x_0)</f>
        <v>535155.16999999993</v>
      </c>
      <c r="G48" s="4"/>
      <c r="H48" s="1">
        <f>SUM(OSRRefH21_1x_0)</f>
        <v>558308.68000000005</v>
      </c>
      <c r="I48" s="4"/>
      <c r="J48" s="1">
        <f>SUM(OSRRefJ21_1x_0)</f>
        <v>611870.14999999991</v>
      </c>
      <c r="K48" s="4"/>
      <c r="L48" s="1">
        <f>SUM(OSRRefL21_1x_0)</f>
        <v>654458.0199999999</v>
      </c>
      <c r="M48" s="4"/>
      <c r="N48" s="1">
        <f>SUM(OSRRefN21_1x_0)</f>
        <v>517542.45</v>
      </c>
      <c r="O48" s="4"/>
      <c r="P48" s="1">
        <f>SUM(OSRRefP21_1x_0)</f>
        <v>285429.18320000003</v>
      </c>
      <c r="Q48" s="4"/>
      <c r="R48" s="1">
        <f>SUM(OSRRefR21_1x_0)</f>
        <v>177527.10015000001</v>
      </c>
    </row>
    <row r="49" spans="1:18" s="16" customFormat="1" hidden="1" outlineLevel="2" x14ac:dyDescent="0.35">
      <c r="B49" s="11" t="str">
        <f>CONCATENATE("          ", "6001", " - ", "ADMINISTRATIVE SALARIES")</f>
        <v xml:space="preserve">          6001 - ADMINISTRATIVE SALARIES</v>
      </c>
      <c r="D49" s="2"/>
      <c r="F49" s="2"/>
      <c r="G49" s="3"/>
      <c r="H49" s="2"/>
      <c r="I49" s="3"/>
      <c r="J49" s="2"/>
      <c r="K49" s="3"/>
      <c r="L49" s="2"/>
      <c r="M49" s="3"/>
      <c r="N49" s="2"/>
      <c r="O49" s="3"/>
      <c r="P49" s="2">
        <v>68740.100000000006</v>
      </c>
      <c r="Q49" s="3"/>
      <c r="R49" s="2">
        <v>0</v>
      </c>
    </row>
    <row r="50" spans="1:18" s="16" customFormat="1" hidden="1" outlineLevel="2" x14ac:dyDescent="0.35">
      <c r="B50" s="11" t="str">
        <f>CONCATENATE("          ", "6002", " - ", "STAFF SALARIES")</f>
        <v xml:space="preserve">          6002 - STAFF SALARIES</v>
      </c>
      <c r="D50" s="2">
        <v>107542.3</v>
      </c>
      <c r="F50" s="2">
        <v>141212.66</v>
      </c>
      <c r="G50" s="3"/>
      <c r="H50" s="2">
        <v>144779.45000000001</v>
      </c>
      <c r="I50" s="3"/>
      <c r="J50" s="2">
        <v>185384.11</v>
      </c>
      <c r="K50" s="3"/>
      <c r="L50" s="2">
        <v>201379.7</v>
      </c>
      <c r="M50" s="3"/>
      <c r="N50" s="2">
        <v>170946.37</v>
      </c>
      <c r="O50" s="3"/>
      <c r="P50" s="2">
        <v>50618.879999999997</v>
      </c>
      <c r="Q50" s="3"/>
      <c r="R50" s="2">
        <v>54136.800000000003</v>
      </c>
    </row>
    <row r="51" spans="1:18" s="16" customFormat="1" hidden="1" outlineLevel="2" x14ac:dyDescent="0.35">
      <c r="B51" s="11" t="str">
        <f>CONCATENATE("          ", "6003", " - ", "STAFF HOURLY-9 MONTH")</f>
        <v xml:space="preserve">          6003 - STAFF HOURLY-9 MONTH</v>
      </c>
      <c r="D51" s="2"/>
      <c r="F51" s="2"/>
      <c r="G51" s="3"/>
      <c r="H51" s="2"/>
      <c r="I51" s="3"/>
      <c r="J51" s="2"/>
      <c r="K51" s="3"/>
      <c r="L51" s="2"/>
      <c r="M51" s="3"/>
      <c r="N51" s="2"/>
      <c r="O51" s="3"/>
      <c r="P51" s="2">
        <v>0</v>
      </c>
      <c r="Q51" s="3"/>
      <c r="R51" s="2">
        <v>0</v>
      </c>
    </row>
    <row r="52" spans="1:18" s="16" customFormat="1" hidden="1" outlineLevel="2" x14ac:dyDescent="0.35">
      <c r="B52" s="11" t="str">
        <f>CONCATENATE("          ", "6004", " - ", "STAFF HOURLY")</f>
        <v xml:space="preserve">          6004 - STAFF HOURLY</v>
      </c>
      <c r="D52" s="2">
        <v>26409.200000000001</v>
      </c>
      <c r="F52" s="2">
        <v>18076.150000000001</v>
      </c>
      <c r="G52" s="3"/>
      <c r="H52" s="2">
        <v>21948.240000000002</v>
      </c>
      <c r="I52" s="3"/>
      <c r="J52" s="2">
        <v>1865.02</v>
      </c>
      <c r="K52" s="3"/>
      <c r="L52" s="2"/>
      <c r="M52" s="3"/>
      <c r="N52" s="2">
        <v>-3363.69</v>
      </c>
      <c r="O52" s="3"/>
      <c r="P52" s="2">
        <v>43987.32</v>
      </c>
      <c r="Q52" s="3"/>
      <c r="R52" s="2">
        <v>36359.067750000002</v>
      </c>
    </row>
    <row r="53" spans="1:18" s="16" customFormat="1" hidden="1" outlineLevel="2" x14ac:dyDescent="0.35">
      <c r="B53" s="11" t="str">
        <f>CONCATENATE("          ", "6005", " - ", "TEMPORARY WAGES-HOURLY")</f>
        <v xml:space="preserve">          6005 - TEMPORARY WAGES-HOURLY</v>
      </c>
      <c r="D53" s="2">
        <v>14672.71</v>
      </c>
      <c r="F53" s="2">
        <v>52303.95</v>
      </c>
      <c r="G53" s="3"/>
      <c r="H53" s="2">
        <v>47227.12</v>
      </c>
      <c r="I53" s="3"/>
      <c r="J53" s="2">
        <v>49985.65</v>
      </c>
      <c r="K53" s="3"/>
      <c r="L53" s="2">
        <v>73866.289999999994</v>
      </c>
      <c r="M53" s="3"/>
      <c r="N53" s="2">
        <v>67287.22</v>
      </c>
      <c r="O53" s="3"/>
      <c r="P53" s="2">
        <v>51988.421999999999</v>
      </c>
      <c r="Q53" s="3"/>
      <c r="R53" s="2">
        <v>0</v>
      </c>
    </row>
    <row r="54" spans="1:18" s="16" customFormat="1" hidden="1" outlineLevel="2" x14ac:dyDescent="0.35">
      <c r="B54" s="11" t="str">
        <f>CONCATENATE("          ", "6006", " - ", "TEMPORARY PART TIME")</f>
        <v xml:space="preserve">          6006 - TEMPORARY PART TIME</v>
      </c>
      <c r="D54" s="2">
        <v>1550.63</v>
      </c>
      <c r="F54" s="2">
        <v>42614.8</v>
      </c>
      <c r="G54" s="3"/>
      <c r="H54" s="2">
        <v>16524.14</v>
      </c>
      <c r="I54" s="3"/>
      <c r="J54" s="2">
        <v>29530.69</v>
      </c>
      <c r="K54" s="3"/>
      <c r="L54" s="2">
        <v>35478.879999999997</v>
      </c>
      <c r="M54" s="3"/>
      <c r="N54" s="2">
        <v>21785.59</v>
      </c>
      <c r="O54" s="3"/>
      <c r="P54" s="2">
        <v>0</v>
      </c>
      <c r="Q54" s="3"/>
      <c r="R54" s="2">
        <v>0</v>
      </c>
    </row>
    <row r="55" spans="1:18" s="16" customFormat="1" hidden="1" outlineLevel="2" x14ac:dyDescent="0.35">
      <c r="B55" s="11" t="str">
        <f>CONCATENATE("          ", "6007", " - ", "STUDENT HOURLY")</f>
        <v xml:space="preserve">          6007 - STUDENT HOURLY</v>
      </c>
      <c r="D55" s="2">
        <v>310414.27</v>
      </c>
      <c r="F55" s="2">
        <v>274037.09999999998</v>
      </c>
      <c r="G55" s="3"/>
      <c r="H55" s="2">
        <v>313394.61</v>
      </c>
      <c r="I55" s="3"/>
      <c r="J55" s="2">
        <v>326656.36</v>
      </c>
      <c r="K55" s="3"/>
      <c r="L55" s="2">
        <v>314376.03999999998</v>
      </c>
      <c r="M55" s="3"/>
      <c r="N55" s="2">
        <v>250050.07</v>
      </c>
      <c r="O55" s="3"/>
      <c r="P55" s="2">
        <v>2717.7071999999998</v>
      </c>
      <c r="Q55" s="3"/>
      <c r="R55" s="2">
        <v>0</v>
      </c>
    </row>
    <row r="56" spans="1:18" s="16" customFormat="1" hidden="1" outlineLevel="2" x14ac:dyDescent="0.35">
      <c r="B56" s="11" t="str">
        <f>CONCATENATE("          ", "6008", " - ", "STUDENT HOURLY-FICA EXEMPT")</f>
        <v xml:space="preserve">          6008 - STUDENT HOURLY-FICA EXEMPT</v>
      </c>
      <c r="D56" s="2">
        <v>4062.38</v>
      </c>
      <c r="F56" s="2">
        <v>6910.51</v>
      </c>
      <c r="G56" s="3"/>
      <c r="H56" s="2">
        <v>14435.12</v>
      </c>
      <c r="I56" s="3"/>
      <c r="J56" s="2">
        <v>18448.32</v>
      </c>
      <c r="K56" s="3"/>
      <c r="L56" s="2">
        <v>29357.11</v>
      </c>
      <c r="M56" s="3"/>
      <c r="N56" s="2">
        <v>10836.89</v>
      </c>
      <c r="O56" s="3"/>
      <c r="P56" s="2">
        <v>67376.754000000001</v>
      </c>
      <c r="Q56" s="3"/>
      <c r="R56" s="2">
        <v>87031.232399999994</v>
      </c>
    </row>
    <row r="57" spans="1:18" s="16" customFormat="1" hidden="1" outlineLevel="2" x14ac:dyDescent="0.35">
      <c r="B57" s="11" t="str">
        <f>CONCATENATE("          ", "6009", " - ", "TEMPORARY-SEASONAL")</f>
        <v xml:space="preserve">          6009 - TEMPORARY-SEASONAL</v>
      </c>
      <c r="D57" s="2"/>
      <c r="F57" s="2"/>
      <c r="G57" s="3"/>
      <c r="H57" s="2"/>
      <c r="I57" s="3"/>
      <c r="J57" s="2"/>
      <c r="K57" s="3"/>
      <c r="L57" s="2"/>
      <c r="M57" s="3"/>
      <c r="N57" s="2"/>
      <c r="O57" s="3"/>
      <c r="P57" s="2">
        <v>0</v>
      </c>
      <c r="Q57" s="3"/>
      <c r="R57" s="2">
        <v>0</v>
      </c>
    </row>
    <row r="58" spans="1:18" s="16" customFormat="1" hidden="1" outlineLevel="2" x14ac:dyDescent="0.35">
      <c r="B58" s="11" t="str">
        <f>CONCATENATE("          ", "6010", " - ", "GRATUITY")</f>
        <v xml:space="preserve">          6010 - GRATUITY</v>
      </c>
      <c r="D58" s="2"/>
      <c r="F58" s="2"/>
      <c r="G58" s="3"/>
      <c r="H58" s="2"/>
      <c r="I58" s="3"/>
      <c r="J58" s="2"/>
      <c r="K58" s="3"/>
      <c r="L58" s="2"/>
      <c r="M58" s="3"/>
      <c r="N58" s="2"/>
      <c r="O58" s="3"/>
      <c r="P58" s="2">
        <v>0</v>
      </c>
      <c r="Q58" s="3"/>
      <c r="R58" s="2">
        <v>0</v>
      </c>
    </row>
    <row r="59" spans="1:18" s="15" customFormat="1" outlineLevel="1" collapsed="1" x14ac:dyDescent="0.35">
      <c r="A59" s="7"/>
      <c r="B59" s="20" t="str">
        <f>CONCATENATE("     ","Advertising/Promo                                 ")</f>
        <v xml:space="preserve">     Advertising/Promo                                 </v>
      </c>
      <c r="C59" s="7"/>
      <c r="D59" s="1">
        <f>SUM(OSRRefD21_2x_0)</f>
        <v>8061.6</v>
      </c>
      <c r="E59" s="19"/>
      <c r="F59" s="1">
        <f>SUM(OSRRefF21_2x_0)</f>
        <v>6072.2</v>
      </c>
      <c r="G59" s="4"/>
      <c r="H59" s="1">
        <f>SUM(OSRRefH21_2x_0)</f>
        <v>2614.64</v>
      </c>
      <c r="I59" s="4"/>
      <c r="J59" s="1">
        <f>SUM(OSRRefJ21_2x_0)</f>
        <v>2673.81</v>
      </c>
      <c r="K59" s="4"/>
      <c r="L59" s="1">
        <f>SUM(OSRRefL21_2x_0)</f>
        <v>5580.66</v>
      </c>
      <c r="M59" s="4"/>
      <c r="N59" s="1">
        <f>SUM(OSRRefN21_2x_0)</f>
        <v>3607.19</v>
      </c>
      <c r="O59" s="4"/>
      <c r="P59" s="1">
        <f>SUM(OSRRefP21_2x_0)</f>
        <v>3649</v>
      </c>
      <c r="Q59" s="4"/>
      <c r="R59" s="1">
        <f>SUM(OSRRefR21_2x_0)</f>
        <v>0</v>
      </c>
    </row>
    <row r="60" spans="1:18" s="16" customFormat="1" hidden="1" outlineLevel="2" x14ac:dyDescent="0.35">
      <c r="B60" s="11" t="str">
        <f>CONCATENATE("          ", "6362", " - ", "ADVERTISING EXPENSE")</f>
        <v xml:space="preserve">          6362 - ADVERTISING EXPENSE</v>
      </c>
      <c r="D60" s="2">
        <v>8061.6</v>
      </c>
      <c r="F60" s="2">
        <v>6072.2</v>
      </c>
      <c r="G60" s="3"/>
      <c r="H60" s="2">
        <v>2614.64</v>
      </c>
      <c r="I60" s="3"/>
      <c r="J60" s="2">
        <v>2673.81</v>
      </c>
      <c r="K60" s="3"/>
      <c r="L60" s="2">
        <v>5580.66</v>
      </c>
      <c r="M60" s="3"/>
      <c r="N60" s="2">
        <v>3607.19</v>
      </c>
      <c r="O60" s="3"/>
      <c r="P60" s="2">
        <v>3649</v>
      </c>
      <c r="Q60" s="3"/>
      <c r="R60" s="2">
        <v>0</v>
      </c>
    </row>
    <row r="61" spans="1:18" s="15" customFormat="1" outlineLevel="1" collapsed="1" x14ac:dyDescent="0.35">
      <c r="A61" s="7"/>
      <c r="B61" s="20" t="str">
        <f>CONCATENATE("     ","Bad Debts/Over/Short                              ")</f>
        <v xml:space="preserve">     Bad Debts/Over/Short                              </v>
      </c>
      <c r="C61" s="7"/>
      <c r="D61" s="1">
        <f>SUM(OSRRefD21_3x_0)</f>
        <v>1752.21</v>
      </c>
      <c r="E61" s="19"/>
      <c r="F61" s="1">
        <f>SUM(OSRRefF21_3x_0)</f>
        <v>767.48</v>
      </c>
      <c r="G61" s="4"/>
      <c r="H61" s="1">
        <f>SUM(OSRRefH21_3x_0)</f>
        <v>-1758.1</v>
      </c>
      <c r="I61" s="4"/>
      <c r="J61" s="1">
        <f>SUM(OSRRefJ21_3x_0)</f>
        <v>-1050.48</v>
      </c>
      <c r="K61" s="4"/>
      <c r="L61" s="1">
        <f>SUM(OSRRefL21_3x_0)</f>
        <v>3995.1</v>
      </c>
      <c r="M61" s="4"/>
      <c r="N61" s="1">
        <f>SUM(OSRRefN21_3x_0)</f>
        <v>-428.92</v>
      </c>
      <c r="O61" s="4"/>
      <c r="P61" s="1">
        <f>SUM(OSRRefP21_3x_0)</f>
        <v>89</v>
      </c>
      <c r="Q61" s="4"/>
      <c r="R61" s="1">
        <f>SUM(OSRRefR21_3x_0)</f>
        <v>0</v>
      </c>
    </row>
    <row r="62" spans="1:18" s="16" customFormat="1" hidden="1" outlineLevel="2" x14ac:dyDescent="0.35">
      <c r="B62" s="11" t="str">
        <f>CONCATENATE("          ", "6272", " - ", "CASH (OVER/SHORT)")</f>
        <v xml:space="preserve">          6272 - CASH (OVER/SHORT)</v>
      </c>
      <c r="D62" s="2">
        <v>1752.21</v>
      </c>
      <c r="F62" s="2">
        <v>767.48</v>
      </c>
      <c r="G62" s="3"/>
      <c r="H62" s="2">
        <v>-1758.1</v>
      </c>
      <c r="I62" s="3"/>
      <c r="J62" s="2">
        <v>-1050.48</v>
      </c>
      <c r="K62" s="3"/>
      <c r="L62" s="2">
        <v>3995.1</v>
      </c>
      <c r="M62" s="3"/>
      <c r="N62" s="2">
        <v>-428.92</v>
      </c>
      <c r="O62" s="3"/>
      <c r="P62" s="2">
        <v>89</v>
      </c>
      <c r="Q62" s="3"/>
      <c r="R62" s="2">
        <v>0</v>
      </c>
    </row>
    <row r="63" spans="1:18" s="15" customFormat="1" outlineLevel="1" collapsed="1" x14ac:dyDescent="0.35">
      <c r="A63" s="7"/>
      <c r="B63" s="20" t="str">
        <f>CONCATENATE("     ","Bank/card Fees                                    ")</f>
        <v xml:space="preserve">     Bank/card Fees                                    </v>
      </c>
      <c r="C63" s="7"/>
      <c r="D63" s="1">
        <f>SUM(OSRRefD21_4x_0)</f>
        <v>96436.3</v>
      </c>
      <c r="E63" s="19"/>
      <c r="F63" s="1">
        <f>SUM(OSRRefF21_4x_0)</f>
        <v>114950.69</v>
      </c>
      <c r="G63" s="4"/>
      <c r="H63" s="1">
        <f>SUM(OSRRefH21_4x_0)</f>
        <v>100631.99</v>
      </c>
      <c r="I63" s="4"/>
      <c r="J63" s="1">
        <f>SUM(OSRRefJ21_4x_0)</f>
        <v>98456.22</v>
      </c>
      <c r="K63" s="4"/>
      <c r="L63" s="1">
        <f>SUM(OSRRefL21_4x_0)</f>
        <v>99661.94</v>
      </c>
      <c r="M63" s="4"/>
      <c r="N63" s="1">
        <f>SUM(OSRRefN21_4x_0)</f>
        <v>89280.63</v>
      </c>
      <c r="O63" s="4"/>
      <c r="P63" s="1">
        <f>SUM(OSRRefP21_4x_0)</f>
        <v>48144</v>
      </c>
      <c r="Q63" s="4"/>
      <c r="R63" s="1">
        <f>SUM(OSRRefR21_4x_0)</f>
        <v>24459.25</v>
      </c>
    </row>
    <row r="64" spans="1:18" s="16" customFormat="1" hidden="1" outlineLevel="2" x14ac:dyDescent="0.35">
      <c r="B64" s="11" t="str">
        <f>CONCATENATE("          ", "6381", " - ", "BANK/CREDIT CARD FEES")</f>
        <v xml:space="preserve">          6381 - BANK/CREDIT CARD FEES</v>
      </c>
      <c r="D64" s="2">
        <v>96436.3</v>
      </c>
      <c r="F64" s="2">
        <v>114950.69</v>
      </c>
      <c r="G64" s="3"/>
      <c r="H64" s="2">
        <v>100631.99</v>
      </c>
      <c r="I64" s="3"/>
      <c r="J64" s="2">
        <v>98456.22</v>
      </c>
      <c r="K64" s="3"/>
      <c r="L64" s="2">
        <v>99661.94</v>
      </c>
      <c r="M64" s="3"/>
      <c r="N64" s="2">
        <v>89280.63</v>
      </c>
      <c r="O64" s="3"/>
      <c r="P64" s="2">
        <v>48144</v>
      </c>
      <c r="Q64" s="3"/>
      <c r="R64" s="2">
        <v>24459.25</v>
      </c>
    </row>
    <row r="65" spans="1:18" s="15" customFormat="1" outlineLevel="1" collapsed="1" x14ac:dyDescent="0.35">
      <c r="A65" s="7"/>
      <c r="B65" s="20" t="str">
        <f>CONCATENATE("     ","Depreciation                                      ")</f>
        <v xml:space="preserve">     Depreciation                                      </v>
      </c>
      <c r="C65" s="7"/>
      <c r="D65" s="1">
        <f>SUM(OSRRefD21_5x_0)</f>
        <v>94071.89</v>
      </c>
      <c r="E65" s="19"/>
      <c r="F65" s="1">
        <f>SUM(OSRRefF21_5x_0)</f>
        <v>91396.709999999992</v>
      </c>
      <c r="G65" s="4"/>
      <c r="H65" s="1">
        <f>SUM(OSRRefH21_5x_0)</f>
        <v>81999.599999999991</v>
      </c>
      <c r="I65" s="4"/>
      <c r="J65" s="1">
        <f>SUM(OSRRefJ21_5x_0)</f>
        <v>100782.32999999999</v>
      </c>
      <c r="K65" s="4"/>
      <c r="L65" s="1">
        <f>SUM(OSRRefL21_5x_0)</f>
        <v>101297.57</v>
      </c>
      <c r="M65" s="4"/>
      <c r="N65" s="1">
        <f>SUM(OSRRefN21_5x_0)</f>
        <v>103709.66</v>
      </c>
      <c r="O65" s="4"/>
      <c r="P65" s="1">
        <f>SUM(OSRRefP21_5x_0)</f>
        <v>103204</v>
      </c>
      <c r="Q65" s="4"/>
      <c r="R65" s="1">
        <f>SUM(OSRRefR21_5x_0)</f>
        <v>78160</v>
      </c>
    </row>
    <row r="66" spans="1:18" s="16" customFormat="1" hidden="1" outlineLevel="2" x14ac:dyDescent="0.35">
      <c r="B66" s="11" t="str">
        <f>CONCATENATE("          ", "6321", " - ", "BUILDING DEPRECIATION")</f>
        <v xml:space="preserve">          6321 - BUILDING DEPRECIATION</v>
      </c>
      <c r="D66" s="2">
        <v>60966.09</v>
      </c>
      <c r="F66" s="2">
        <v>60966.09</v>
      </c>
      <c r="G66" s="3"/>
      <c r="H66" s="2">
        <v>60966.09</v>
      </c>
      <c r="I66" s="3"/>
      <c r="J66" s="2">
        <v>60966.09</v>
      </c>
      <c r="K66" s="3"/>
      <c r="L66" s="2">
        <v>60966.09</v>
      </c>
      <c r="M66" s="3"/>
      <c r="N66" s="2">
        <v>60966.09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"6322", " - ", "EQUIPMENT DEPRECIATION EXPENSE")</f>
        <v xml:space="preserve">          6322 - EQUIPMENT DEPRECIATION EXPENSE</v>
      </c>
      <c r="D67" s="2">
        <v>33105.800000000003</v>
      </c>
      <c r="F67" s="2">
        <v>30430.62</v>
      </c>
      <c r="G67" s="3"/>
      <c r="H67" s="2">
        <v>21033.51</v>
      </c>
      <c r="I67" s="3"/>
      <c r="J67" s="2">
        <v>39816.239999999998</v>
      </c>
      <c r="K67" s="3"/>
      <c r="L67" s="2">
        <v>40331.480000000003</v>
      </c>
      <c r="M67" s="3"/>
      <c r="N67" s="2">
        <v>42743.57</v>
      </c>
      <c r="O67" s="3"/>
      <c r="P67" s="2">
        <v>103204</v>
      </c>
      <c r="Q67" s="3"/>
      <c r="R67" s="2">
        <v>78160</v>
      </c>
    </row>
    <row r="68" spans="1:18" s="15" customFormat="1" outlineLevel="1" collapsed="1" x14ac:dyDescent="0.35">
      <c r="A68" s="7"/>
      <c r="B68" s="20" t="str">
        <f>CONCATENATE("     ","Discounts and Markdowns                           ")</f>
        <v xml:space="preserve">     Discounts and Markdowns                           </v>
      </c>
      <c r="C68" s="7"/>
      <c r="D68" s="1">
        <f>SUM(OSRRefD21_6x_0)</f>
        <v>2.96</v>
      </c>
      <c r="E68" s="19"/>
      <c r="F68" s="1">
        <f>SUM(OSRRefF21_6x_0)</f>
        <v>837.47</v>
      </c>
      <c r="G68" s="4"/>
      <c r="H68" s="1">
        <f>SUM(OSRRefH21_6x_0)</f>
        <v>184.62</v>
      </c>
      <c r="I68" s="4"/>
      <c r="J68" s="1">
        <f>SUM(OSRRefJ21_6x_0)</f>
        <v>209.29</v>
      </c>
      <c r="K68" s="4"/>
      <c r="L68" s="1">
        <f>SUM(OSRRefL21_6x_0)</f>
        <v>142.36000000000001</v>
      </c>
      <c r="M68" s="4"/>
      <c r="N68" s="1">
        <f>SUM(OSRRefN21_6x_0)</f>
        <v>125.87</v>
      </c>
      <c r="O68" s="4"/>
      <c r="P68" s="1">
        <f>SUM(OSRRefP21_6x_0)</f>
        <v>0</v>
      </c>
      <c r="Q68" s="4"/>
      <c r="R68" s="1">
        <f>SUM(OSRRefR21_6x_0)</f>
        <v>0</v>
      </c>
    </row>
    <row r="69" spans="1:18" s="16" customFormat="1" hidden="1" outlineLevel="2" x14ac:dyDescent="0.35">
      <c r="B69" s="11" t="str">
        <f>CONCATENATE("          ", "6382", " - ", "DISCOUNTS/MARK DOWNS")</f>
        <v xml:space="preserve">          6382 - DISCOUNTS/MARK DOWNS</v>
      </c>
      <c r="D69" s="2">
        <v>2.96</v>
      </c>
      <c r="F69" s="2">
        <v>837.47</v>
      </c>
      <c r="G69" s="3"/>
      <c r="H69" s="2">
        <v>184.62</v>
      </c>
      <c r="I69" s="3"/>
      <c r="J69" s="2">
        <v>209.29</v>
      </c>
      <c r="K69" s="3"/>
      <c r="L69" s="2">
        <v>142.36000000000001</v>
      </c>
      <c r="M69" s="3"/>
      <c r="N69" s="2">
        <v>125.87</v>
      </c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","Employees' Appreciation                           ")</f>
        <v xml:space="preserve">     Employees' Appreciation                           </v>
      </c>
      <c r="C70" s="7"/>
      <c r="D70" s="1">
        <f>SUM(OSRRefD21_7x_0)</f>
        <v>247.13</v>
      </c>
      <c r="E70" s="19"/>
      <c r="F70" s="1">
        <f>SUM(OSRRefF21_7x_0)</f>
        <v>450.31</v>
      </c>
      <c r="G70" s="4"/>
      <c r="H70" s="1">
        <f>SUM(OSRRefH21_7x_0)</f>
        <v>281.67</v>
      </c>
      <c r="I70" s="4"/>
      <c r="J70" s="1">
        <f>SUM(OSRRefJ21_7x_0)</f>
        <v>826.22</v>
      </c>
      <c r="K70" s="4"/>
      <c r="L70" s="1">
        <f>SUM(OSRRefL21_7x_0)</f>
        <v>417.84</v>
      </c>
      <c r="M70" s="4"/>
      <c r="N70" s="1">
        <f>SUM(OSRRefN21_7x_0)</f>
        <v>163.84</v>
      </c>
      <c r="O70" s="4"/>
      <c r="P70" s="1">
        <f>SUM(OSRRefP21_7x_0)</f>
        <v>150</v>
      </c>
      <c r="Q70" s="4"/>
      <c r="R70" s="1">
        <f>SUM(OSRRefR21_7x_0)</f>
        <v>100</v>
      </c>
    </row>
    <row r="71" spans="1:18" s="16" customFormat="1" hidden="1" outlineLevel="2" x14ac:dyDescent="0.35">
      <c r="B71" s="11" t="str">
        <f>CONCATENATE("          ", "6277", " - ", "EMPLOYEE APPRECIATION")</f>
        <v xml:space="preserve">          6277 - EMPLOYEE APPRECIATION</v>
      </c>
      <c r="D71" s="2">
        <v>247.13</v>
      </c>
      <c r="F71" s="2">
        <v>450.31</v>
      </c>
      <c r="G71" s="3"/>
      <c r="H71" s="2">
        <v>281.67</v>
      </c>
      <c r="I71" s="3"/>
      <c r="J71" s="2">
        <v>826.22</v>
      </c>
      <c r="K71" s="3"/>
      <c r="L71" s="2">
        <v>417.84</v>
      </c>
      <c r="M71" s="3"/>
      <c r="N71" s="2">
        <v>163.84</v>
      </c>
      <c r="O71" s="3"/>
      <c r="P71" s="2">
        <v>150</v>
      </c>
      <c r="Q71" s="3"/>
      <c r="R71" s="2">
        <v>100</v>
      </c>
    </row>
    <row r="72" spans="1:18" s="15" customFormat="1" outlineLevel="1" collapsed="1" x14ac:dyDescent="0.35">
      <c r="A72" s="7"/>
      <c r="B72" s="20" t="str">
        <f>CONCATENATE("     ","Equipment Rental                                  ")</f>
        <v xml:space="preserve">     Equipment Rental                                  </v>
      </c>
      <c r="C72" s="7"/>
      <c r="D72" s="1">
        <f>SUM(OSRRefD21_8x_0)</f>
        <v>42.91</v>
      </c>
      <c r="E72" s="19"/>
      <c r="F72" s="1">
        <f>SUM(OSRRefF21_8x_0)</f>
        <v>60.65</v>
      </c>
      <c r="G72" s="4"/>
      <c r="H72" s="1">
        <f>SUM(OSRRefH21_8x_0)</f>
        <v>944.4</v>
      </c>
      <c r="I72" s="4"/>
      <c r="J72" s="1">
        <f>SUM(OSRRefJ21_8x_0)</f>
        <v>1156.29</v>
      </c>
      <c r="K72" s="4"/>
      <c r="L72" s="1">
        <f>SUM(OSRRefL21_8x_0)</f>
        <v>1444.21</v>
      </c>
      <c r="M72" s="4"/>
      <c r="N72" s="1">
        <f>SUM(OSRRefN21_8x_0)</f>
        <v>1022.39</v>
      </c>
      <c r="O72" s="4"/>
      <c r="P72" s="1">
        <f>SUM(OSRRefP21_8x_0)</f>
        <v>1314</v>
      </c>
      <c r="Q72" s="4"/>
      <c r="R72" s="1">
        <f>SUM(OSRRefR21_8x_0)</f>
        <v>2112</v>
      </c>
    </row>
    <row r="73" spans="1:18" s="16" customFormat="1" hidden="1" outlineLevel="2" x14ac:dyDescent="0.35">
      <c r="B73" s="11" t="str">
        <f>CONCATENATE("          ", "6351", " - ", "EQUIPMENT RENTAL")</f>
        <v xml:space="preserve">          6351 - EQUIPMENT RENTAL</v>
      </c>
      <c r="D73" s="2">
        <v>42.91</v>
      </c>
      <c r="F73" s="2">
        <v>60.65</v>
      </c>
      <c r="G73" s="3"/>
      <c r="H73" s="2">
        <v>944.4</v>
      </c>
      <c r="I73" s="3"/>
      <c r="J73" s="2">
        <v>1156.29</v>
      </c>
      <c r="K73" s="3"/>
      <c r="L73" s="2">
        <v>1444.21</v>
      </c>
      <c r="M73" s="3"/>
      <c r="N73" s="2">
        <v>1022.39</v>
      </c>
      <c r="O73" s="3"/>
      <c r="P73" s="2">
        <v>1314</v>
      </c>
      <c r="Q73" s="3"/>
      <c r="R73" s="2">
        <v>2112</v>
      </c>
    </row>
    <row r="74" spans="1:18" s="15" customFormat="1" outlineLevel="1" collapsed="1" x14ac:dyDescent="0.35">
      <c r="A74" s="7"/>
      <c r="B74" s="20" t="str">
        <f>CONCATENATE("     ","Freight out/Postage                               ")</f>
        <v xml:space="preserve">     Freight out/Postage                               </v>
      </c>
      <c r="C74" s="7"/>
      <c r="D74" s="1">
        <f>SUM(OSRRefD21_9x_0)</f>
        <v>306.14999999999998</v>
      </c>
      <c r="E74" s="19"/>
      <c r="F74" s="1">
        <f>SUM(OSRRefF21_9x_0)</f>
        <v>1612.14</v>
      </c>
      <c r="G74" s="4"/>
      <c r="H74" s="1">
        <f>SUM(OSRRefH21_9x_0)</f>
        <v>317.74</v>
      </c>
      <c r="I74" s="4"/>
      <c r="J74" s="1">
        <f>SUM(OSRRefJ21_9x_0)</f>
        <v>318.67</v>
      </c>
      <c r="K74" s="4"/>
      <c r="L74" s="1">
        <f>SUM(OSRRefL21_9x_0)</f>
        <v>720.43000000000006</v>
      </c>
      <c r="M74" s="4"/>
      <c r="N74" s="1">
        <f>SUM(OSRRefN21_9x_0)</f>
        <v>331.18</v>
      </c>
      <c r="O74" s="4"/>
      <c r="P74" s="1">
        <f>SUM(OSRRefP21_9x_0)</f>
        <v>0</v>
      </c>
      <c r="Q74" s="4"/>
      <c r="R74" s="1">
        <f>SUM(OSRRefR21_9x_0)</f>
        <v>0</v>
      </c>
    </row>
    <row r="75" spans="1:18" s="16" customFormat="1" hidden="1" outlineLevel="2" x14ac:dyDescent="0.35">
      <c r="B75" s="11" t="str">
        <f>CONCATENATE("          ", "6305", " - ", "FREIGHT OUT")</f>
        <v xml:space="preserve">          6305 - FREIGHT OUT</v>
      </c>
      <c r="D75" s="2">
        <v>96.98</v>
      </c>
      <c r="F75" s="2">
        <v>121.97</v>
      </c>
      <c r="G75" s="3"/>
      <c r="H75" s="2">
        <v>286.79000000000002</v>
      </c>
      <c r="I75" s="3"/>
      <c r="J75" s="2">
        <v>318.67</v>
      </c>
      <c r="K75" s="3"/>
      <c r="L75" s="2">
        <v>728.36</v>
      </c>
      <c r="M75" s="3"/>
      <c r="N75" s="2">
        <v>331.18</v>
      </c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"6307", " - ", "POSTAGE")</f>
        <v xml:space="preserve">          6307 - POSTAGE</v>
      </c>
      <c r="D76" s="2">
        <v>209.17</v>
      </c>
      <c r="F76" s="2">
        <v>1490.17</v>
      </c>
      <c r="G76" s="3"/>
      <c r="H76" s="2">
        <v>30.95</v>
      </c>
      <c r="I76" s="3"/>
      <c r="J76" s="2"/>
      <c r="K76" s="3"/>
      <c r="L76" s="2">
        <v>-7.93</v>
      </c>
      <c r="M76" s="3"/>
      <c r="N76" s="2"/>
      <c r="O76" s="3"/>
      <c r="P76" s="2"/>
      <c r="Q76" s="3"/>
      <c r="R76" s="2"/>
    </row>
    <row r="77" spans="1:18" s="15" customFormat="1" outlineLevel="1" collapsed="1" x14ac:dyDescent="0.35">
      <c r="A77" s="7"/>
      <c r="B77" s="20" t="str">
        <f>CONCATENATE("     ","General                                           ")</f>
        <v xml:space="preserve">     General                                           </v>
      </c>
      <c r="C77" s="7"/>
      <c r="D77" s="1">
        <f>SUM(OSRRefD21_10x_0)</f>
        <v>19033.560000000001</v>
      </c>
      <c r="E77" s="19"/>
      <c r="F77" s="1">
        <f>SUM(OSRRefF21_10x_0)</f>
        <v>7121.9000000000005</v>
      </c>
      <c r="G77" s="4"/>
      <c r="H77" s="1">
        <f>SUM(OSRRefH21_10x_0)</f>
        <v>7242.98</v>
      </c>
      <c r="I77" s="4"/>
      <c r="J77" s="1">
        <f>SUM(OSRRefJ21_10x_0)</f>
        <v>6053.26</v>
      </c>
      <c r="K77" s="4"/>
      <c r="L77" s="1">
        <f>SUM(OSRRefL21_10x_0)</f>
        <v>8282.42</v>
      </c>
      <c r="M77" s="4"/>
      <c r="N77" s="1">
        <f>SUM(OSRRefN21_10x_0)</f>
        <v>10781.14</v>
      </c>
      <c r="O77" s="4"/>
      <c r="P77" s="1">
        <f>SUM(OSRRefP21_10x_0)</f>
        <v>3150</v>
      </c>
      <c r="Q77" s="4"/>
      <c r="R77" s="1">
        <f>SUM(OSRRefR21_10x_0)</f>
        <v>1210</v>
      </c>
    </row>
    <row r="78" spans="1:18" s="16" customFormat="1" hidden="1" outlineLevel="2" x14ac:dyDescent="0.35">
      <c r="B78" s="11" t="str">
        <f>CONCATENATE("          ", "6276", " - ", "PROPERTY TAX")</f>
        <v xml:space="preserve">          6276 - PROPERTY TAX</v>
      </c>
      <c r="D78" s="2">
        <v>213.38</v>
      </c>
      <c r="F78" s="2">
        <v>211.84</v>
      </c>
      <c r="G78" s="3"/>
      <c r="H78" s="2"/>
      <c r="I78" s="3"/>
      <c r="J78" s="2"/>
      <c r="K78" s="3"/>
      <c r="L78" s="2"/>
      <c r="M78" s="3"/>
      <c r="N78" s="2"/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"6279", " - ", "GENERAL EXPENSE")</f>
        <v xml:space="preserve">          6279 - GENERAL EXPENSE</v>
      </c>
      <c r="D79" s="2">
        <v>18820.18</v>
      </c>
      <c r="F79" s="2">
        <v>6910.06</v>
      </c>
      <c r="G79" s="3"/>
      <c r="H79" s="2">
        <v>7242.98</v>
      </c>
      <c r="I79" s="3"/>
      <c r="J79" s="2">
        <v>6053.26</v>
      </c>
      <c r="K79" s="3"/>
      <c r="L79" s="2">
        <v>8282.42</v>
      </c>
      <c r="M79" s="3"/>
      <c r="N79" s="2">
        <v>10781.14</v>
      </c>
      <c r="O79" s="3"/>
      <c r="P79" s="2">
        <v>3150</v>
      </c>
      <c r="Q79" s="3"/>
      <c r="R79" s="2">
        <v>1210</v>
      </c>
    </row>
    <row r="80" spans="1:18" s="15" customFormat="1" outlineLevel="1" collapsed="1" x14ac:dyDescent="0.35">
      <c r="A80" s="7"/>
      <c r="B80" s="20" t="str">
        <f>CONCATENATE("     ","Insurance                                         ")</f>
        <v xml:space="preserve">     Insurance                                         </v>
      </c>
      <c r="C80" s="7"/>
      <c r="D80" s="1">
        <f>SUM(OSRRefD21_11x_0)</f>
        <v>2022.26</v>
      </c>
      <c r="E80" s="19"/>
      <c r="F80" s="1">
        <f>SUM(OSRRefF21_11x_0)</f>
        <v>2448</v>
      </c>
      <c r="G80" s="4"/>
      <c r="H80" s="1">
        <f>SUM(OSRRefH21_11x_0)</f>
        <v>2159.2199999999998</v>
      </c>
      <c r="I80" s="4"/>
      <c r="J80" s="1">
        <f>SUM(OSRRefJ21_11x_0)</f>
        <v>2413.09</v>
      </c>
      <c r="K80" s="4"/>
      <c r="L80" s="1">
        <f>SUM(OSRRefL21_11x_0)</f>
        <v>2343.89</v>
      </c>
      <c r="M80" s="4"/>
      <c r="N80" s="1">
        <f>SUM(OSRRefN21_11x_0)</f>
        <v>2922.48</v>
      </c>
      <c r="O80" s="4"/>
      <c r="P80" s="1">
        <f>SUM(OSRRefP21_11x_0)</f>
        <v>3240</v>
      </c>
      <c r="Q80" s="4"/>
      <c r="R80" s="1">
        <f>SUM(OSRRefR21_11x_0)</f>
        <v>3960</v>
      </c>
    </row>
    <row r="81" spans="1:18" s="16" customFormat="1" hidden="1" outlineLevel="2" x14ac:dyDescent="0.35">
      <c r="B81" s="11" t="str">
        <f>CONCATENATE("          ", "6314", " - ", "LIABILITY INSURANCE")</f>
        <v xml:space="preserve">          6314 - LIABILITY INSURANCE</v>
      </c>
      <c r="D81" s="2">
        <v>2022.26</v>
      </c>
      <c r="F81" s="2">
        <v>2448</v>
      </c>
      <c r="G81" s="3"/>
      <c r="H81" s="2">
        <v>2159.2199999999998</v>
      </c>
      <c r="I81" s="3"/>
      <c r="J81" s="2">
        <v>2413.09</v>
      </c>
      <c r="K81" s="3"/>
      <c r="L81" s="2">
        <v>2343.89</v>
      </c>
      <c r="M81" s="3"/>
      <c r="N81" s="2">
        <v>2922.48</v>
      </c>
      <c r="O81" s="3"/>
      <c r="P81" s="2">
        <v>3240</v>
      </c>
      <c r="Q81" s="3"/>
      <c r="R81" s="2">
        <v>3960</v>
      </c>
    </row>
    <row r="82" spans="1:18" s="15" customFormat="1" outlineLevel="1" collapsed="1" x14ac:dyDescent="0.35">
      <c r="A82" s="7"/>
      <c r="B82" s="20" t="str">
        <f>CONCATENATE("     ","Interest                                          ")</f>
        <v xml:space="preserve">     Interest                                          </v>
      </c>
      <c r="C82" s="7"/>
      <c r="D82" s="1">
        <f>SUM(OSRRefD21_12x_0)</f>
        <v>63548.57</v>
      </c>
      <c r="E82" s="19"/>
      <c r="F82" s="1">
        <f>SUM(OSRRefF21_12x_0)</f>
        <v>59412.67</v>
      </c>
      <c r="G82" s="4"/>
      <c r="H82" s="1">
        <f>SUM(OSRRefH21_12x_0)</f>
        <v>48946.21</v>
      </c>
      <c r="I82" s="4"/>
      <c r="J82" s="1">
        <f>SUM(OSRRefJ21_12x_0)</f>
        <v>46754.09</v>
      </c>
      <c r="K82" s="4"/>
      <c r="L82" s="1">
        <f>SUM(OSRRefL21_12x_0)</f>
        <v>46032.33</v>
      </c>
      <c r="M82" s="4"/>
      <c r="N82" s="1">
        <f>SUM(OSRRefN21_12x_0)</f>
        <v>44360.7</v>
      </c>
      <c r="O82" s="4"/>
      <c r="P82" s="1">
        <f>SUM(OSRRefP21_12x_0)</f>
        <v>48250</v>
      </c>
      <c r="Q82" s="4"/>
      <c r="R82" s="1">
        <f>SUM(OSRRefR21_12x_0)</f>
        <v>46570</v>
      </c>
    </row>
    <row r="83" spans="1:18" s="16" customFormat="1" hidden="1" outlineLevel="2" x14ac:dyDescent="0.35">
      <c r="B83" s="11" t="str">
        <f>CONCATENATE("          ", "6401", " - ", "INTEREST EXPENSE")</f>
        <v xml:space="preserve">          6401 - INTEREST EXPENSE</v>
      </c>
      <c r="D83" s="2">
        <v>63548.57</v>
      </c>
      <c r="F83" s="2">
        <v>59412.67</v>
      </c>
      <c r="G83" s="3"/>
      <c r="H83" s="2">
        <v>48946.21</v>
      </c>
      <c r="I83" s="3"/>
      <c r="J83" s="2">
        <v>46754.09</v>
      </c>
      <c r="K83" s="3"/>
      <c r="L83" s="2">
        <v>46032.33</v>
      </c>
      <c r="M83" s="3"/>
      <c r="N83" s="2">
        <v>44360.7</v>
      </c>
      <c r="O83" s="3"/>
      <c r="P83" s="2">
        <v>48250</v>
      </c>
      <c r="Q83" s="3"/>
      <c r="R83" s="2">
        <v>46570</v>
      </c>
    </row>
    <row r="84" spans="1:18" s="15" customFormat="1" outlineLevel="1" collapsed="1" x14ac:dyDescent="0.35">
      <c r="A84" s="7"/>
      <c r="B84" s="20" t="str">
        <f>CONCATENATE("     ","Professional Services                             ")</f>
        <v xml:space="preserve">     Professional Services                             </v>
      </c>
      <c r="C84" s="7"/>
      <c r="D84" s="1">
        <f>SUM(OSRRefD21_13x_0)</f>
        <v>3750</v>
      </c>
      <c r="E84" s="19"/>
      <c r="F84" s="1">
        <f>SUM(OSRRefF21_13x_0)</f>
        <v>0</v>
      </c>
      <c r="G84" s="4"/>
      <c r="H84" s="1">
        <f>SUM(OSRRefH21_13x_0)</f>
        <v>30480.42</v>
      </c>
      <c r="I84" s="4"/>
      <c r="J84" s="1">
        <f>SUM(OSRRefJ21_13x_0)</f>
        <v>21209.759999999998</v>
      </c>
      <c r="K84" s="4"/>
      <c r="L84" s="1">
        <f>SUM(OSRRefL21_13x_0)</f>
        <v>0</v>
      </c>
      <c r="M84" s="4"/>
      <c r="N84" s="1">
        <f>SUM(OSRRefN21_13x_0)</f>
        <v>0</v>
      </c>
      <c r="O84" s="4"/>
      <c r="P84" s="1">
        <f>SUM(OSRRefP21_13x_0)</f>
        <v>0</v>
      </c>
      <c r="Q84" s="4"/>
      <c r="R84" s="1">
        <f>SUM(OSRRefR21_13x_0)</f>
        <v>0</v>
      </c>
    </row>
    <row r="85" spans="1:18" s="16" customFormat="1" hidden="1" outlineLevel="2" x14ac:dyDescent="0.35">
      <c r="B85" s="11" t="str">
        <f>CONCATENATE("          ", "6336", " - ", "PROFESSIONAL SERVICES")</f>
        <v xml:space="preserve">          6336 - PROFESSIONAL SERVICES</v>
      </c>
      <c r="D85" s="2">
        <v>3750</v>
      </c>
      <c r="F85" s="2"/>
      <c r="G85" s="3"/>
      <c r="H85" s="2">
        <v>30480.42</v>
      </c>
      <c r="I85" s="3"/>
      <c r="J85" s="2">
        <v>21209.759999999998</v>
      </c>
      <c r="K85" s="3"/>
      <c r="L85" s="2"/>
      <c r="M85" s="3"/>
      <c r="N85" s="2"/>
      <c r="O85" s="3"/>
      <c r="P85" s="2"/>
      <c r="Q85" s="3"/>
      <c r="R85" s="2"/>
    </row>
    <row r="86" spans="1:18" s="15" customFormat="1" outlineLevel="1" collapsed="1" x14ac:dyDescent="0.35">
      <c r="A86" s="7"/>
      <c r="B86" s="20" t="str">
        <f>CONCATENATE("     ","Rent                                              ")</f>
        <v xml:space="preserve">     Rent                                              </v>
      </c>
      <c r="C86" s="7"/>
      <c r="D86" s="1">
        <f>SUM(OSRRefD21_14x_0)</f>
        <v>6000</v>
      </c>
      <c r="E86" s="19"/>
      <c r="F86" s="1">
        <f>SUM(OSRRefF21_14x_0)</f>
        <v>6000</v>
      </c>
      <c r="G86" s="4"/>
      <c r="H86" s="1">
        <f>SUM(OSRRefH21_14x_0)</f>
        <v>6000</v>
      </c>
      <c r="I86" s="4"/>
      <c r="J86" s="1">
        <f>SUM(OSRRefJ21_14x_0)</f>
        <v>6000</v>
      </c>
      <c r="K86" s="4"/>
      <c r="L86" s="1">
        <f>SUM(OSRRefL21_14x_0)</f>
        <v>13800</v>
      </c>
      <c r="M86" s="4"/>
      <c r="N86" s="1">
        <f>SUM(OSRRefN21_14x_0)</f>
        <v>13800</v>
      </c>
      <c r="O86" s="4"/>
      <c r="P86" s="1">
        <f>SUM(OSRRefP21_14x_0)</f>
        <v>0</v>
      </c>
      <c r="Q86" s="4"/>
      <c r="R86" s="1">
        <f>SUM(OSRRefR21_14x_0)</f>
        <v>0</v>
      </c>
    </row>
    <row r="87" spans="1:18" s="16" customFormat="1" hidden="1" outlineLevel="2" x14ac:dyDescent="0.35">
      <c r="B87" s="11" t="str">
        <f>CONCATENATE("          ", "6273", " - ", "RENT")</f>
        <v xml:space="preserve">          6273 - RENT</v>
      </c>
      <c r="D87" s="2">
        <v>6000</v>
      </c>
      <c r="F87" s="2">
        <v>6000</v>
      </c>
      <c r="G87" s="3"/>
      <c r="H87" s="2">
        <v>6000</v>
      </c>
      <c r="I87" s="3"/>
      <c r="J87" s="2">
        <v>6000</v>
      </c>
      <c r="K87" s="3"/>
      <c r="L87" s="2">
        <v>13800</v>
      </c>
      <c r="M87" s="3"/>
      <c r="N87" s="2">
        <v>13800</v>
      </c>
      <c r="O87" s="3"/>
      <c r="P87" s="2">
        <v>0</v>
      </c>
      <c r="Q87" s="3"/>
      <c r="R87" s="2"/>
    </row>
    <row r="88" spans="1:18" s="15" customFormat="1" outlineLevel="1" collapsed="1" x14ac:dyDescent="0.35">
      <c r="A88" s="7"/>
      <c r="B88" s="20" t="str">
        <f>CONCATENATE("     ","Repair and Maintenance                            ")</f>
        <v xml:space="preserve">     Repair and Maintenance                            </v>
      </c>
      <c r="C88" s="7"/>
      <c r="D88" s="1">
        <f>SUM(OSRRefD21_15x_0)</f>
        <v>24270.52</v>
      </c>
      <c r="E88" s="19"/>
      <c r="F88" s="1">
        <f>SUM(OSRRefF21_15x_0)</f>
        <v>18845.54</v>
      </c>
      <c r="G88" s="4"/>
      <c r="H88" s="1">
        <f>SUM(OSRRefH21_15x_0)</f>
        <v>19161.850000000002</v>
      </c>
      <c r="I88" s="4"/>
      <c r="J88" s="1">
        <f>SUM(OSRRefJ21_15x_0)</f>
        <v>24334.42</v>
      </c>
      <c r="K88" s="4"/>
      <c r="L88" s="1">
        <f>SUM(OSRRefL21_15x_0)</f>
        <v>15422.49</v>
      </c>
      <c r="M88" s="4"/>
      <c r="N88" s="1">
        <f>SUM(OSRRefN21_15x_0)</f>
        <v>17916.86</v>
      </c>
      <c r="O88" s="4"/>
      <c r="P88" s="1">
        <f>SUM(OSRRefP21_15x_0)</f>
        <v>4382</v>
      </c>
      <c r="Q88" s="4"/>
      <c r="R88" s="1">
        <f>SUM(OSRRefR21_15x_0)</f>
        <v>8107</v>
      </c>
    </row>
    <row r="89" spans="1:18" s="16" customFormat="1" hidden="1" outlineLevel="2" x14ac:dyDescent="0.35">
      <c r="B89" s="11" t="str">
        <f>CONCATENATE("          ", "6371", " - ", "COMPUTER SOFTWARE MAINTENANCE")</f>
        <v xml:space="preserve">          6371 - COMPUTER SOFTWARE MAINTENANCE</v>
      </c>
      <c r="D89" s="2"/>
      <c r="F89" s="2"/>
      <c r="G89" s="3"/>
      <c r="H89" s="2"/>
      <c r="I89" s="3"/>
      <c r="J89" s="2"/>
      <c r="K89" s="3"/>
      <c r="L89" s="2"/>
      <c r="M89" s="3"/>
      <c r="N89" s="2">
        <v>1311.93</v>
      </c>
      <c r="O89" s="3"/>
      <c r="P89" s="2">
        <v>43</v>
      </c>
      <c r="Q89" s="3"/>
      <c r="R89" s="2">
        <v>2623</v>
      </c>
    </row>
    <row r="90" spans="1:18" s="16" customFormat="1" hidden="1" outlineLevel="2" x14ac:dyDescent="0.35">
      <c r="B90" s="11" t="str">
        <f>CONCATENATE("          ", "6372", " - ", "COMPUTER HARDWARE MAINTENANCE")</f>
        <v xml:space="preserve">          6372 - COMPUTER HARDWARE MAINTENANCE</v>
      </c>
      <c r="D90" s="2"/>
      <c r="F90" s="2"/>
      <c r="G90" s="3"/>
      <c r="H90" s="2"/>
      <c r="I90" s="3"/>
      <c r="J90" s="2"/>
      <c r="K90" s="3"/>
      <c r="L90" s="2"/>
      <c r="M90" s="3"/>
      <c r="N90" s="2"/>
      <c r="O90" s="3"/>
      <c r="P90" s="2">
        <v>437</v>
      </c>
      <c r="Q90" s="3"/>
      <c r="R90" s="2"/>
    </row>
    <row r="91" spans="1:18" s="16" customFormat="1" hidden="1" outlineLevel="2" x14ac:dyDescent="0.35">
      <c r="B91" s="11" t="str">
        <f>CONCATENATE("          ", "6373", " - ", "MAINTENANCE CONTRACTS")</f>
        <v xml:space="preserve">          6373 - MAINTENANCE CONTRACTS</v>
      </c>
      <c r="D91" s="2">
        <v>11570.23</v>
      </c>
      <c r="F91" s="2">
        <v>5887.67</v>
      </c>
      <c r="G91" s="3"/>
      <c r="H91" s="2">
        <v>249.58</v>
      </c>
      <c r="I91" s="3"/>
      <c r="J91" s="2">
        <v>4562.5</v>
      </c>
      <c r="K91" s="3"/>
      <c r="L91" s="2">
        <v>1367.6</v>
      </c>
      <c r="M91" s="3"/>
      <c r="N91" s="2">
        <v>1185.52</v>
      </c>
      <c r="O91" s="3"/>
      <c r="P91" s="2">
        <v>231</v>
      </c>
      <c r="Q91" s="3"/>
      <c r="R91" s="2">
        <v>1274</v>
      </c>
    </row>
    <row r="92" spans="1:18" s="16" customFormat="1" hidden="1" outlineLevel="2" x14ac:dyDescent="0.35">
      <c r="B92" s="11" t="str">
        <f>CONCATENATE("          ", "6375", " - ", "OUTSIDE REPAIRS &amp; MAINTENANCE")</f>
        <v xml:space="preserve">          6375 - OUTSIDE REPAIRS &amp; MAINTENANCE</v>
      </c>
      <c r="D92" s="2">
        <v>12700.29</v>
      </c>
      <c r="F92" s="2">
        <v>12957.87</v>
      </c>
      <c r="G92" s="3"/>
      <c r="H92" s="2">
        <v>18912.27</v>
      </c>
      <c r="I92" s="3"/>
      <c r="J92" s="2">
        <v>19771.919999999998</v>
      </c>
      <c r="K92" s="3"/>
      <c r="L92" s="2">
        <v>14054.89</v>
      </c>
      <c r="M92" s="3"/>
      <c r="N92" s="2">
        <v>15419.41</v>
      </c>
      <c r="O92" s="3"/>
      <c r="P92" s="2">
        <v>3671</v>
      </c>
      <c r="Q92" s="3"/>
      <c r="R92" s="2">
        <v>4210</v>
      </c>
    </row>
    <row r="93" spans="1:18" s="15" customFormat="1" outlineLevel="1" collapsed="1" x14ac:dyDescent="0.35">
      <c r="A93" s="7"/>
      <c r="B93" s="20" t="str">
        <f>CONCATENATE("     ","Royalty &amp; Commissions                             ")</f>
        <v xml:space="preserve">     Royalty &amp; Commissions                             </v>
      </c>
      <c r="C93" s="7"/>
      <c r="D93" s="1">
        <f>SUM(OSRRefD21_16x_0)</f>
        <v>18280</v>
      </c>
      <c r="E93" s="19"/>
      <c r="F93" s="1">
        <f>SUM(OSRRefF21_16x_0)</f>
        <v>19654.46</v>
      </c>
      <c r="G93" s="4"/>
      <c r="H93" s="1">
        <f>SUM(OSRRefH21_16x_0)</f>
        <v>33316.86</v>
      </c>
      <c r="I93" s="4"/>
      <c r="J93" s="1">
        <f>SUM(OSRRefJ21_16x_0)</f>
        <v>26803.119999999999</v>
      </c>
      <c r="K93" s="4"/>
      <c r="L93" s="1">
        <f>SUM(OSRRefL21_16x_0)</f>
        <v>29123.13</v>
      </c>
      <c r="M93" s="4"/>
      <c r="N93" s="1">
        <f>SUM(OSRRefN21_16x_0)</f>
        <v>24556.14</v>
      </c>
      <c r="O93" s="4"/>
      <c r="P93" s="1">
        <f>SUM(OSRRefP21_16x_0)</f>
        <v>10320</v>
      </c>
      <c r="Q93" s="4"/>
      <c r="R93" s="1">
        <f>SUM(OSRRefR21_16x_0)</f>
        <v>14170</v>
      </c>
    </row>
    <row r="94" spans="1:18" s="16" customFormat="1" hidden="1" outlineLevel="2" x14ac:dyDescent="0.35">
      <c r="B94" s="11" t="str">
        <f>CONCATENATE("          ", "6254", " - ", "ROYALTY &amp; COMMISSIONS")</f>
        <v xml:space="preserve">          6254 - ROYALTY &amp; COMMISSIONS</v>
      </c>
      <c r="D94" s="2">
        <v>18280</v>
      </c>
      <c r="F94" s="2">
        <v>19654.46</v>
      </c>
      <c r="G94" s="3"/>
      <c r="H94" s="2">
        <v>33316.86</v>
      </c>
      <c r="I94" s="3"/>
      <c r="J94" s="2">
        <v>26803.119999999999</v>
      </c>
      <c r="K94" s="3"/>
      <c r="L94" s="2">
        <v>29123.13</v>
      </c>
      <c r="M94" s="3"/>
      <c r="N94" s="2">
        <v>24556.14</v>
      </c>
      <c r="O94" s="3"/>
      <c r="P94" s="2"/>
      <c r="Q94" s="3"/>
      <c r="R94" s="2"/>
    </row>
    <row r="95" spans="1:18" s="16" customFormat="1" hidden="1" outlineLevel="2" x14ac:dyDescent="0.35">
      <c r="B95" s="11" t="str">
        <f>CONCATENATE("          ", "6259", " - ", "ROYALTY &amp; COMMISSIONS")</f>
        <v xml:space="preserve">          6259 - ROYALTY &amp; COMMISSIONS</v>
      </c>
      <c r="D95" s="2"/>
      <c r="F95" s="2"/>
      <c r="G95" s="3"/>
      <c r="H95" s="2"/>
      <c r="I95" s="3"/>
      <c r="J95" s="2"/>
      <c r="K95" s="3"/>
      <c r="L95" s="2"/>
      <c r="M95" s="3"/>
      <c r="N95" s="2"/>
      <c r="O95" s="3"/>
      <c r="P95" s="2">
        <v>10320</v>
      </c>
      <c r="Q95" s="3"/>
      <c r="R95" s="2">
        <v>14170</v>
      </c>
    </row>
    <row r="96" spans="1:18" s="15" customFormat="1" outlineLevel="1" collapsed="1" x14ac:dyDescent="0.35">
      <c r="A96" s="7"/>
      <c r="B96" s="20" t="str">
        <f>CONCATENATE("     ","Services                                          ")</f>
        <v xml:space="preserve">     Services                                          </v>
      </c>
      <c r="C96" s="7"/>
      <c r="D96" s="1">
        <f>SUM(OSRRefD21_17x_0)</f>
        <v>21778.74</v>
      </c>
      <c r="E96" s="19"/>
      <c r="F96" s="1">
        <f>SUM(OSRRefF21_17x_0)</f>
        <v>19547.010000000002</v>
      </c>
      <c r="G96" s="4"/>
      <c r="H96" s="1">
        <f>SUM(OSRRefH21_17x_0)</f>
        <v>19553.850000000002</v>
      </c>
      <c r="I96" s="4"/>
      <c r="J96" s="1">
        <f>SUM(OSRRefJ21_17x_0)</f>
        <v>18879.510000000002</v>
      </c>
      <c r="K96" s="4"/>
      <c r="L96" s="1">
        <f>SUM(OSRRefL21_17x_0)</f>
        <v>19598.259999999998</v>
      </c>
      <c r="M96" s="4"/>
      <c r="N96" s="1">
        <f>SUM(OSRRefN21_17x_0)</f>
        <v>28470.010000000002</v>
      </c>
      <c r="O96" s="4"/>
      <c r="P96" s="1">
        <f>SUM(OSRRefP21_17x_0)</f>
        <v>11333</v>
      </c>
      <c r="Q96" s="4"/>
      <c r="R96" s="1">
        <f>SUM(OSRRefR21_17x_0)</f>
        <v>3221</v>
      </c>
    </row>
    <row r="97" spans="1:18" s="16" customFormat="1" hidden="1" outlineLevel="2" x14ac:dyDescent="0.35">
      <c r="B97" s="11" t="str">
        <f>CONCATENATE("          ", "6282", " - ", "JANITORIAL/EXTERMINATOR EXPENS")</f>
        <v xml:space="preserve">          6282 - JANITORIAL/EXTERMINATOR EXPENS</v>
      </c>
      <c r="D97" s="2">
        <v>5859.55</v>
      </c>
      <c r="F97" s="2">
        <v>5384.69</v>
      </c>
      <c r="G97" s="3"/>
      <c r="H97" s="2">
        <v>7960.36</v>
      </c>
      <c r="I97" s="3"/>
      <c r="J97" s="2">
        <v>8296.8700000000008</v>
      </c>
      <c r="K97" s="3"/>
      <c r="L97" s="2">
        <v>7007.58</v>
      </c>
      <c r="M97" s="3"/>
      <c r="N97" s="2">
        <v>7000.79</v>
      </c>
      <c r="O97" s="3"/>
      <c r="P97" s="2">
        <v>1616</v>
      </c>
      <c r="Q97" s="3"/>
      <c r="R97" s="2">
        <v>2838</v>
      </c>
    </row>
    <row r="98" spans="1:18" s="16" customFormat="1" hidden="1" outlineLevel="2" x14ac:dyDescent="0.35">
      <c r="B98" s="11" t="str">
        <f>CONCATENATE("          ", "6284", " - ", "TRASH REMOVAL EXPENSE")</f>
        <v xml:space="preserve">          6284 - TRASH REMOVAL EXPENSE</v>
      </c>
      <c r="D98" s="2">
        <v>1636.49</v>
      </c>
      <c r="F98" s="2">
        <v>1935.97</v>
      </c>
      <c r="G98" s="3"/>
      <c r="H98" s="2">
        <v>1391.49</v>
      </c>
      <c r="I98" s="3"/>
      <c r="J98" s="2">
        <v>2382.3200000000002</v>
      </c>
      <c r="K98" s="3"/>
      <c r="L98" s="2">
        <v>3414.73</v>
      </c>
      <c r="M98" s="3"/>
      <c r="N98" s="2">
        <v>5916</v>
      </c>
      <c r="O98" s="3"/>
      <c r="P98" s="2">
        <v>3363</v>
      </c>
      <c r="Q98" s="3"/>
      <c r="R98" s="2"/>
    </row>
    <row r="99" spans="1:18" s="16" customFormat="1" hidden="1" outlineLevel="2" x14ac:dyDescent="0.35">
      <c r="B99" s="11" t="str">
        <f>CONCATENATE("          ", "6285", " - ", "JANITORIAL SERVICES")</f>
        <v xml:space="preserve">          6285 - JANITORIAL SERVICES</v>
      </c>
      <c r="D99" s="2">
        <v>14209.25</v>
      </c>
      <c r="F99" s="2">
        <v>12226.35</v>
      </c>
      <c r="G99" s="3"/>
      <c r="H99" s="2">
        <v>10155.66</v>
      </c>
      <c r="I99" s="3"/>
      <c r="J99" s="2">
        <v>6469.65</v>
      </c>
      <c r="K99" s="3"/>
      <c r="L99" s="2">
        <v>1448.88</v>
      </c>
      <c r="M99" s="3"/>
      <c r="N99" s="2">
        <v>9366.0499999999993</v>
      </c>
      <c r="O99" s="3"/>
      <c r="P99" s="2">
        <v>5113</v>
      </c>
      <c r="Q99" s="3"/>
      <c r="R99" s="2"/>
    </row>
    <row r="100" spans="1:18" s="16" customFormat="1" hidden="1" outlineLevel="2" x14ac:dyDescent="0.35">
      <c r="B100" s="11" t="str">
        <f>CONCATENATE("          ", "6286", " - ", "LAUNDRY EXPENSE")</f>
        <v xml:space="preserve">          6286 - LAUNDRY EXPENSE</v>
      </c>
      <c r="D100" s="2">
        <v>73.45</v>
      </c>
      <c r="F100" s="2"/>
      <c r="G100" s="3"/>
      <c r="H100" s="2">
        <v>46.34</v>
      </c>
      <c r="I100" s="3"/>
      <c r="J100" s="2">
        <v>1730.67</v>
      </c>
      <c r="K100" s="3"/>
      <c r="L100" s="2">
        <v>7727.07</v>
      </c>
      <c r="M100" s="3"/>
      <c r="N100" s="2">
        <v>6187.17</v>
      </c>
      <c r="O100" s="3"/>
      <c r="P100" s="2">
        <v>1241</v>
      </c>
      <c r="Q100" s="3"/>
      <c r="R100" s="2">
        <v>383</v>
      </c>
    </row>
    <row r="101" spans="1:18" s="15" customFormat="1" outlineLevel="1" collapsed="1" x14ac:dyDescent="0.35">
      <c r="A101" s="7"/>
      <c r="B101" s="20" t="str">
        <f>CONCATENATE("     ","Subscriptions &amp; Dues                              ")</f>
        <v xml:space="preserve">     Subscriptions &amp; Dues                              </v>
      </c>
      <c r="C101" s="7"/>
      <c r="D101" s="1">
        <f>SUM(OSRRefD21_18x_0)</f>
        <v>1215</v>
      </c>
      <c r="E101" s="19"/>
      <c r="F101" s="1">
        <f>SUM(OSRRefF21_18x_0)</f>
        <v>7402.5</v>
      </c>
      <c r="G101" s="4"/>
      <c r="H101" s="1">
        <f>SUM(OSRRefH21_18x_0)</f>
        <v>-204.96</v>
      </c>
      <c r="I101" s="4"/>
      <c r="J101" s="1">
        <f>SUM(OSRRefJ21_18x_0)</f>
        <v>733.85</v>
      </c>
      <c r="K101" s="4"/>
      <c r="L101" s="1">
        <f>SUM(OSRRefL21_18x_0)</f>
        <v>1787.5800000000002</v>
      </c>
      <c r="M101" s="4"/>
      <c r="N101" s="1">
        <f>SUM(OSRRefN21_18x_0)</f>
        <v>1411.2</v>
      </c>
      <c r="O101" s="4"/>
      <c r="P101" s="1">
        <f>SUM(OSRRefP21_18x_0)</f>
        <v>2112</v>
      </c>
      <c r="Q101" s="4"/>
      <c r="R101" s="1">
        <f>SUM(OSRRefR21_18x_0)</f>
        <v>0</v>
      </c>
    </row>
    <row r="102" spans="1:18" s="16" customFormat="1" hidden="1" outlineLevel="2" x14ac:dyDescent="0.35">
      <c r="B102" s="11" t="str">
        <f>CONCATENATE("          ", "6258", " - ", "MEMBERSHIP DUES")</f>
        <v xml:space="preserve">          6258 - MEMBERSHIP DUES</v>
      </c>
      <c r="D102" s="2">
        <v>165</v>
      </c>
      <c r="F102" s="2">
        <v>202.5</v>
      </c>
      <c r="G102" s="3"/>
      <c r="H102" s="2">
        <v>33.75</v>
      </c>
      <c r="I102" s="3"/>
      <c r="J102" s="2">
        <v>204.65</v>
      </c>
      <c r="K102" s="3"/>
      <c r="L102" s="2">
        <v>383.2</v>
      </c>
      <c r="M102" s="3"/>
      <c r="N102" s="2"/>
      <c r="O102" s="3"/>
      <c r="P102" s="2"/>
      <c r="Q102" s="3"/>
      <c r="R102" s="2"/>
    </row>
    <row r="103" spans="1:18" s="16" customFormat="1" hidden="1" outlineLevel="2" x14ac:dyDescent="0.35">
      <c r="B103" s="11" t="str">
        <f>CONCATENATE("          ", "6275", " - ", "SUBSCRIPTIONS")</f>
        <v xml:space="preserve">          6275 - SUBSCRIPTIONS</v>
      </c>
      <c r="D103" s="2">
        <v>1050</v>
      </c>
      <c r="F103" s="2">
        <v>7200</v>
      </c>
      <c r="G103" s="3"/>
      <c r="H103" s="2">
        <v>-238.71</v>
      </c>
      <c r="I103" s="3"/>
      <c r="J103" s="2">
        <v>529.20000000000005</v>
      </c>
      <c r="K103" s="3"/>
      <c r="L103" s="2">
        <v>1404.38</v>
      </c>
      <c r="M103" s="3"/>
      <c r="N103" s="2">
        <v>1411.2</v>
      </c>
      <c r="O103" s="3"/>
      <c r="P103" s="2">
        <v>2112</v>
      </c>
      <c r="Q103" s="3"/>
      <c r="R103" s="2"/>
    </row>
    <row r="104" spans="1:18" s="15" customFormat="1" outlineLevel="1" collapsed="1" x14ac:dyDescent="0.35">
      <c r="A104" s="7"/>
      <c r="B104" s="20" t="str">
        <f>CONCATENATE("     ","Supplies                                          ")</f>
        <v xml:space="preserve">     Supplies                                          </v>
      </c>
      <c r="C104" s="7"/>
      <c r="D104" s="1">
        <f>SUM(OSRRefD21_19x_0)</f>
        <v>50393.259999999995</v>
      </c>
      <c r="E104" s="19"/>
      <c r="F104" s="1">
        <f>SUM(OSRRefF21_19x_0)</f>
        <v>46789.270000000004</v>
      </c>
      <c r="G104" s="4"/>
      <c r="H104" s="1">
        <f>SUM(OSRRefH21_19x_0)</f>
        <v>75904.63</v>
      </c>
      <c r="I104" s="4"/>
      <c r="J104" s="1">
        <f>SUM(OSRRefJ21_19x_0)</f>
        <v>52943.58</v>
      </c>
      <c r="K104" s="4"/>
      <c r="L104" s="1">
        <f>SUM(OSRRefL21_19x_0)</f>
        <v>47512.22</v>
      </c>
      <c r="M104" s="4"/>
      <c r="N104" s="1">
        <f>SUM(OSRRefN21_19x_0)</f>
        <v>50142.16</v>
      </c>
      <c r="O104" s="4"/>
      <c r="P104" s="1">
        <f>SUM(OSRRefP21_19x_0)</f>
        <v>24193</v>
      </c>
      <c r="Q104" s="4"/>
      <c r="R104" s="1">
        <f>SUM(OSRRefR21_19x_0)</f>
        <v>20850</v>
      </c>
    </row>
    <row r="105" spans="1:18" s="16" customFormat="1" hidden="1" outlineLevel="2" x14ac:dyDescent="0.35">
      <c r="B105" s="11" t="str">
        <f>CONCATENATE("          ", "6234", " - ", "EXPENDABLE SUPPLIES &amp; EQUIPMEN")</f>
        <v xml:space="preserve">          6234 - EXPENDABLE SUPPLIES &amp; EQUIPMEN</v>
      </c>
      <c r="D105" s="2">
        <v>13071.3</v>
      </c>
      <c r="F105" s="2">
        <v>3843.83</v>
      </c>
      <c r="G105" s="3"/>
      <c r="H105" s="2">
        <v>47.79</v>
      </c>
      <c r="I105" s="3"/>
      <c r="J105" s="2">
        <v>1162.3</v>
      </c>
      <c r="K105" s="3"/>
      <c r="L105" s="2">
        <v>939.33</v>
      </c>
      <c r="M105" s="3"/>
      <c r="N105" s="2">
        <v>1092.46</v>
      </c>
      <c r="O105" s="3"/>
      <c r="P105" s="2">
        <v>28</v>
      </c>
      <c r="Q105" s="3"/>
      <c r="R105" s="2">
        <v>850</v>
      </c>
    </row>
    <row r="106" spans="1:18" s="16" customFormat="1" hidden="1" outlineLevel="2" x14ac:dyDescent="0.35">
      <c r="B106" s="11" t="str">
        <f>CONCATENATE("          ", "6235", " - ", "COVID-19 EXPENSES")</f>
        <v xml:space="preserve">          6235 - COVID-19 EXPENSES</v>
      </c>
      <c r="D106" s="2"/>
      <c r="F106" s="2"/>
      <c r="G106" s="3"/>
      <c r="H106" s="2"/>
      <c r="I106" s="3"/>
      <c r="J106" s="2"/>
      <c r="K106" s="3"/>
      <c r="L106" s="2"/>
      <c r="M106" s="3"/>
      <c r="N106" s="2"/>
      <c r="O106" s="3"/>
      <c r="P106" s="2">
        <v>5100</v>
      </c>
      <c r="Q106" s="3"/>
      <c r="R106" s="2"/>
    </row>
    <row r="107" spans="1:18" s="16" customFormat="1" hidden="1" outlineLevel="2" x14ac:dyDescent="0.35">
      <c r="B107" s="11" t="str">
        <f>CONCATENATE("          ", "6237", " - ", "JANITORIAL SUPPLIES")</f>
        <v xml:space="preserve">          6237 - JANITORIAL SUPPLIES</v>
      </c>
      <c r="D107" s="2">
        <v>2918.9</v>
      </c>
      <c r="F107" s="2">
        <v>45.91</v>
      </c>
      <c r="G107" s="3"/>
      <c r="H107" s="2">
        <v>783.4</v>
      </c>
      <c r="I107" s="3"/>
      <c r="J107" s="2">
        <v>1376.43</v>
      </c>
      <c r="K107" s="3"/>
      <c r="L107" s="2">
        <v>8208.11</v>
      </c>
      <c r="M107" s="3"/>
      <c r="N107" s="2">
        <v>4418.97</v>
      </c>
      <c r="O107" s="3"/>
      <c r="P107" s="2">
        <v>1774</v>
      </c>
      <c r="Q107" s="3"/>
      <c r="R107" s="2">
        <v>250</v>
      </c>
    </row>
    <row r="108" spans="1:18" s="16" customFormat="1" hidden="1" outlineLevel="2" x14ac:dyDescent="0.35">
      <c r="B108" s="11" t="str">
        <f>CONCATENATE("          ", "6239", " - ", "KITCHEN SUPPLIES")</f>
        <v xml:space="preserve">          6239 - KITCHEN SUPPLIES</v>
      </c>
      <c r="D108" s="2"/>
      <c r="F108" s="2"/>
      <c r="G108" s="3"/>
      <c r="H108" s="2">
        <v>109.73</v>
      </c>
      <c r="I108" s="3"/>
      <c r="J108" s="2"/>
      <c r="K108" s="3"/>
      <c r="L108" s="2">
        <v>61.06</v>
      </c>
      <c r="M108" s="3"/>
      <c r="N108" s="2">
        <v>441.2</v>
      </c>
      <c r="O108" s="3"/>
      <c r="P108" s="2"/>
      <c r="Q108" s="3"/>
      <c r="R108" s="2"/>
    </row>
    <row r="109" spans="1:18" s="16" customFormat="1" hidden="1" outlineLevel="2" x14ac:dyDescent="0.35">
      <c r="B109" s="11" t="str">
        <f>CONCATENATE("          ", "6241", " - ", "OFFICE EXPENSE")</f>
        <v xml:space="preserve">          6241 - OFFICE EXPENSE</v>
      </c>
      <c r="D109" s="2">
        <v>4740.8999999999996</v>
      </c>
      <c r="F109" s="2">
        <v>8336.77</v>
      </c>
      <c r="G109" s="3"/>
      <c r="H109" s="2">
        <v>6293.56</v>
      </c>
      <c r="I109" s="3"/>
      <c r="J109" s="2">
        <v>11882.11</v>
      </c>
      <c r="K109" s="3"/>
      <c r="L109" s="2">
        <v>7941.09</v>
      </c>
      <c r="M109" s="3"/>
      <c r="N109" s="2">
        <v>2377.21</v>
      </c>
      <c r="O109" s="3"/>
      <c r="P109" s="2"/>
      <c r="Q109" s="3"/>
      <c r="R109" s="2"/>
    </row>
    <row r="110" spans="1:18" s="16" customFormat="1" hidden="1" outlineLevel="2" x14ac:dyDescent="0.35">
      <c r="B110" s="11" t="str">
        <f>CONCATENATE("          ", "6243", " - ", "PAPER SUPPLIES")</f>
        <v xml:space="preserve">          6243 - PAPER SUPPLIES</v>
      </c>
      <c r="D110" s="2"/>
      <c r="F110" s="2"/>
      <c r="G110" s="3"/>
      <c r="H110" s="2">
        <v>137.78</v>
      </c>
      <c r="I110" s="3"/>
      <c r="J110" s="2">
        <v>3681.02</v>
      </c>
      <c r="K110" s="3"/>
      <c r="L110" s="2">
        <v>9328.98</v>
      </c>
      <c r="M110" s="3"/>
      <c r="N110" s="2">
        <v>4964.92</v>
      </c>
      <c r="O110" s="3"/>
      <c r="P110" s="2">
        <v>1507</v>
      </c>
      <c r="Q110" s="3"/>
      <c r="R110" s="2">
        <v>2200</v>
      </c>
    </row>
    <row r="111" spans="1:18" s="16" customFormat="1" hidden="1" outlineLevel="2" x14ac:dyDescent="0.35">
      <c r="B111" s="11" t="str">
        <f>CONCATENATE("          ", "6245", " - ", "PRINTING")</f>
        <v xml:space="preserve">          6245 - PRINTING</v>
      </c>
      <c r="D111" s="2">
        <v>1333.49</v>
      </c>
      <c r="F111" s="2">
        <v>268.93</v>
      </c>
      <c r="G111" s="3"/>
      <c r="H111" s="2">
        <v>329.95</v>
      </c>
      <c r="I111" s="3"/>
      <c r="J111" s="2">
        <v>17.82</v>
      </c>
      <c r="K111" s="3"/>
      <c r="L111" s="2">
        <v>51.82</v>
      </c>
      <c r="M111" s="3"/>
      <c r="N111" s="2">
        <v>81.739999999999995</v>
      </c>
      <c r="O111" s="3"/>
      <c r="P111" s="2"/>
      <c r="Q111" s="3"/>
      <c r="R111" s="2"/>
    </row>
    <row r="112" spans="1:18" s="16" customFormat="1" hidden="1" outlineLevel="2" x14ac:dyDescent="0.35">
      <c r="B112" s="11" t="str">
        <f>CONCATENATE("          ", "6247", " - ", "STORE SUPPLIES")</f>
        <v xml:space="preserve">          6247 - STORE SUPPLIES</v>
      </c>
      <c r="D112" s="2">
        <v>27408.17</v>
      </c>
      <c r="F112" s="2">
        <v>33735.47</v>
      </c>
      <c r="G112" s="3"/>
      <c r="H112" s="2">
        <v>68202.42</v>
      </c>
      <c r="I112" s="3"/>
      <c r="J112" s="2">
        <v>34823.9</v>
      </c>
      <c r="K112" s="3"/>
      <c r="L112" s="2">
        <v>19830.650000000001</v>
      </c>
      <c r="M112" s="3"/>
      <c r="N112" s="2">
        <v>36571.480000000003</v>
      </c>
      <c r="O112" s="3"/>
      <c r="P112" s="2">
        <v>15584</v>
      </c>
      <c r="Q112" s="3"/>
      <c r="R112" s="2">
        <v>17550</v>
      </c>
    </row>
    <row r="113" spans="1:18" s="16" customFormat="1" hidden="1" outlineLevel="2" x14ac:dyDescent="0.35">
      <c r="B113" s="11" t="str">
        <f>CONCATENATE("          ", "6248", " - ", "UNIFORMS")</f>
        <v xml:space="preserve">          6248 - UNIFORMS</v>
      </c>
      <c r="D113" s="2">
        <v>920.5</v>
      </c>
      <c r="F113" s="2">
        <v>558.36</v>
      </c>
      <c r="G113" s="3"/>
      <c r="H113" s="2"/>
      <c r="I113" s="3"/>
      <c r="J113" s="2"/>
      <c r="K113" s="3"/>
      <c r="L113" s="2">
        <v>1151.18</v>
      </c>
      <c r="M113" s="3"/>
      <c r="N113" s="2">
        <v>194.18</v>
      </c>
      <c r="O113" s="3"/>
      <c r="P113" s="2">
        <v>200</v>
      </c>
      <c r="Q113" s="3"/>
      <c r="R113" s="2"/>
    </row>
    <row r="114" spans="1:18" s="15" customFormat="1" outlineLevel="1" collapsed="1" x14ac:dyDescent="0.35">
      <c r="A114" s="7"/>
      <c r="B114" s="20" t="str">
        <f>CONCATENATE("     ","Telephone/Data Lines                              ")</f>
        <v xml:space="preserve">     Telephone/Data Lines                              </v>
      </c>
      <c r="C114" s="7"/>
      <c r="D114" s="1">
        <f>SUM(OSRRefD21_20x_0)</f>
        <v>3539.47</v>
      </c>
      <c r="E114" s="19"/>
      <c r="F114" s="1">
        <f>SUM(OSRRefF21_20x_0)</f>
        <v>5851.59</v>
      </c>
      <c r="G114" s="4"/>
      <c r="H114" s="1">
        <f>SUM(OSRRefH21_20x_0)</f>
        <v>5597.2</v>
      </c>
      <c r="I114" s="4"/>
      <c r="J114" s="1">
        <f>SUM(OSRRefJ21_20x_0)</f>
        <v>4212.42</v>
      </c>
      <c r="K114" s="4"/>
      <c r="L114" s="1">
        <f>SUM(OSRRefL21_20x_0)</f>
        <v>4224.07</v>
      </c>
      <c r="M114" s="4"/>
      <c r="N114" s="1">
        <f>SUM(OSRRefN21_20x_0)</f>
        <v>4727.08</v>
      </c>
      <c r="O114" s="4"/>
      <c r="P114" s="1">
        <f>SUM(OSRRefP21_20x_0)</f>
        <v>3415</v>
      </c>
      <c r="Q114" s="4"/>
      <c r="R114" s="1">
        <f>SUM(OSRRefR21_20x_0)</f>
        <v>2136</v>
      </c>
    </row>
    <row r="115" spans="1:18" s="16" customFormat="1" hidden="1" outlineLevel="2" x14ac:dyDescent="0.35">
      <c r="B115" s="11" t="str">
        <f>CONCATENATE("          ", "6303", " - ", "DATA PHONE LINES")</f>
        <v xml:space="preserve">          6303 - DATA PHONE LINES</v>
      </c>
      <c r="D115" s="2"/>
      <c r="F115" s="2"/>
      <c r="G115" s="3"/>
      <c r="H115" s="2"/>
      <c r="I115" s="3"/>
      <c r="J115" s="2"/>
      <c r="K115" s="3"/>
      <c r="L115" s="2"/>
      <c r="M115" s="3"/>
      <c r="N115" s="2"/>
      <c r="O115" s="3"/>
      <c r="P115" s="2">
        <v>2815</v>
      </c>
      <c r="Q115" s="3"/>
      <c r="R115" s="2">
        <v>600</v>
      </c>
    </row>
    <row r="116" spans="1:18" s="16" customFormat="1" hidden="1" outlineLevel="2" x14ac:dyDescent="0.35">
      <c r="B116" s="11" t="str">
        <f>CONCATENATE("          ", "6309", " - ", "TELEPHONE")</f>
        <v xml:space="preserve">          6309 - TELEPHONE</v>
      </c>
      <c r="D116" s="2">
        <v>3539.47</v>
      </c>
      <c r="F116" s="2">
        <v>5851.59</v>
      </c>
      <c r="G116" s="3"/>
      <c r="H116" s="2">
        <v>5597.2</v>
      </c>
      <c r="I116" s="3"/>
      <c r="J116" s="2">
        <v>4212.42</v>
      </c>
      <c r="K116" s="3"/>
      <c r="L116" s="2">
        <v>4224.07</v>
      </c>
      <c r="M116" s="3"/>
      <c r="N116" s="2">
        <v>4727.08</v>
      </c>
      <c r="O116" s="3"/>
      <c r="P116" s="2">
        <v>600</v>
      </c>
      <c r="Q116" s="3"/>
      <c r="R116" s="2">
        <v>1536</v>
      </c>
    </row>
    <row r="117" spans="1:18" s="15" customFormat="1" outlineLevel="1" collapsed="1" x14ac:dyDescent="0.35">
      <c r="A117" s="7"/>
      <c r="B117" s="20" t="str">
        <f>CONCATENATE("     ","Training                                          ")</f>
        <v xml:space="preserve">     Training                                          </v>
      </c>
      <c r="C117" s="7"/>
      <c r="D117" s="1">
        <f>SUM(OSRRefD21_21x_0)</f>
        <v>1783.49</v>
      </c>
      <c r="E117" s="19"/>
      <c r="F117" s="1">
        <f>SUM(OSRRefF21_21x_0)</f>
        <v>1025</v>
      </c>
      <c r="G117" s="4"/>
      <c r="H117" s="1">
        <f>SUM(OSRRefH21_21x_0)</f>
        <v>630</v>
      </c>
      <c r="I117" s="4"/>
      <c r="J117" s="1">
        <f>SUM(OSRRefJ21_21x_0)</f>
        <v>1050</v>
      </c>
      <c r="K117" s="4"/>
      <c r="L117" s="1">
        <f>SUM(OSRRefL21_21x_0)</f>
        <v>297.82</v>
      </c>
      <c r="M117" s="4"/>
      <c r="N117" s="1">
        <f>SUM(OSRRefN21_21x_0)</f>
        <v>110</v>
      </c>
      <c r="O117" s="4"/>
      <c r="P117" s="1">
        <f>SUM(OSRRefP21_21x_0)</f>
        <v>240</v>
      </c>
      <c r="Q117" s="4"/>
      <c r="R117" s="1">
        <f>SUM(OSRRefR21_21x_0)</f>
        <v>150</v>
      </c>
    </row>
    <row r="118" spans="1:18" s="16" customFormat="1" hidden="1" outlineLevel="2" x14ac:dyDescent="0.35">
      <c r="B118" s="11" t="str">
        <f>CONCATENATE("          ", "6376", " - ", "TRAINING")</f>
        <v xml:space="preserve">          6376 - TRAINING</v>
      </c>
      <c r="D118" s="2">
        <v>1783.49</v>
      </c>
      <c r="F118" s="2">
        <v>1025</v>
      </c>
      <c r="G118" s="3"/>
      <c r="H118" s="2">
        <v>630</v>
      </c>
      <c r="I118" s="3"/>
      <c r="J118" s="2">
        <v>1050</v>
      </c>
      <c r="K118" s="3"/>
      <c r="L118" s="2">
        <v>297.82</v>
      </c>
      <c r="M118" s="3"/>
      <c r="N118" s="2">
        <v>110</v>
      </c>
      <c r="O118" s="3"/>
      <c r="P118" s="2">
        <v>240</v>
      </c>
      <c r="Q118" s="3"/>
      <c r="R118" s="2">
        <v>150</v>
      </c>
    </row>
    <row r="119" spans="1:18" s="15" customFormat="1" outlineLevel="1" collapsed="1" x14ac:dyDescent="0.35">
      <c r="A119" s="7"/>
      <c r="B119" s="20" t="str">
        <f>CONCATENATE("     ","Travel                                            ")</f>
        <v xml:space="preserve">     Travel                                            </v>
      </c>
      <c r="C119" s="7"/>
      <c r="D119" s="1">
        <f>SUM(OSRRefD21_22x_0)</f>
        <v>112.65</v>
      </c>
      <c r="E119" s="19"/>
      <c r="F119" s="1">
        <f>SUM(OSRRefF21_22x_0)</f>
        <v>0</v>
      </c>
      <c r="G119" s="4"/>
      <c r="H119" s="1">
        <f>SUM(OSRRefH21_22x_0)</f>
        <v>1602.88</v>
      </c>
      <c r="I119" s="4"/>
      <c r="J119" s="1">
        <f>SUM(OSRRefJ21_22x_0)</f>
        <v>0</v>
      </c>
      <c r="K119" s="4"/>
      <c r="L119" s="1">
        <f>SUM(OSRRefL21_22x_0)</f>
        <v>0</v>
      </c>
      <c r="M119" s="4"/>
      <c r="N119" s="1">
        <f>SUM(OSRRefN21_22x_0)</f>
        <v>66</v>
      </c>
      <c r="O119" s="4"/>
      <c r="P119" s="1">
        <f>SUM(OSRRefP21_22x_0)</f>
        <v>1500</v>
      </c>
      <c r="Q119" s="4"/>
      <c r="R119" s="1">
        <f>SUM(OSRRefR21_22x_0)</f>
        <v>0</v>
      </c>
    </row>
    <row r="120" spans="1:18" s="16" customFormat="1" hidden="1" outlineLevel="2" x14ac:dyDescent="0.35">
      <c r="B120" s="11" t="str">
        <f>CONCATENATE("          ", "6292", " - ", "TRAVEL/CONFERENCE")</f>
        <v xml:space="preserve">          6292 - TRAVEL/CONFERENCE</v>
      </c>
      <c r="D120" s="2">
        <v>112.65</v>
      </c>
      <c r="F120" s="2"/>
      <c r="G120" s="3"/>
      <c r="H120" s="2">
        <v>1088.99</v>
      </c>
      <c r="I120" s="3"/>
      <c r="J120" s="2"/>
      <c r="K120" s="3"/>
      <c r="L120" s="2"/>
      <c r="M120" s="3"/>
      <c r="N120" s="2"/>
      <c r="O120" s="3"/>
      <c r="P120" s="2">
        <v>1500</v>
      </c>
      <c r="Q120" s="3"/>
      <c r="R120" s="2"/>
    </row>
    <row r="121" spans="1:18" s="16" customFormat="1" hidden="1" outlineLevel="2" x14ac:dyDescent="0.35">
      <c r="B121" s="11" t="str">
        <f>CONCATENATE("          ", "6294", " - ", "TRAVEL OPERATIONAL")</f>
        <v xml:space="preserve">          6294 - TRAVEL OPERATIONAL</v>
      </c>
      <c r="D121" s="2"/>
      <c r="F121" s="2"/>
      <c r="G121" s="3"/>
      <c r="H121" s="2">
        <v>513.89</v>
      </c>
      <c r="I121" s="3"/>
      <c r="J121" s="2"/>
      <c r="K121" s="3"/>
      <c r="L121" s="2"/>
      <c r="M121" s="3"/>
      <c r="N121" s="2"/>
      <c r="O121" s="3"/>
      <c r="P121" s="2"/>
      <c r="Q121" s="3"/>
      <c r="R121" s="2"/>
    </row>
    <row r="122" spans="1:18" s="16" customFormat="1" hidden="1" outlineLevel="2" x14ac:dyDescent="0.35">
      <c r="B122" s="11" t="str">
        <f>CONCATENATE("          ", "6298", " - ", "VEHICLE MILEAGE")</f>
        <v xml:space="preserve">          6298 - VEHICLE MILEAGE</v>
      </c>
      <c r="D122" s="2"/>
      <c r="F122" s="2"/>
      <c r="G122" s="3"/>
      <c r="H122" s="2"/>
      <c r="I122" s="3"/>
      <c r="J122" s="2"/>
      <c r="K122" s="3"/>
      <c r="L122" s="2"/>
      <c r="M122" s="3"/>
      <c r="N122" s="2">
        <v>66</v>
      </c>
      <c r="O122" s="3"/>
      <c r="P122" s="2"/>
      <c r="Q122" s="3"/>
      <c r="R122" s="2"/>
    </row>
    <row r="123" spans="1:18" s="15" customFormat="1" outlineLevel="1" collapsed="1" x14ac:dyDescent="0.35">
      <c r="A123" s="7"/>
      <c r="B123" s="20" t="str">
        <f>CONCATENATE("     ","Utilities                                         ")</f>
        <v xml:space="preserve">     Utilities                                         </v>
      </c>
      <c r="C123" s="7"/>
      <c r="D123" s="1">
        <f>SUM(OSRRefD21_23x_0)</f>
        <v>15138.26</v>
      </c>
      <c r="E123" s="19"/>
      <c r="F123" s="1">
        <f>SUM(OSRRefF21_23x_0)</f>
        <v>20332.63</v>
      </c>
      <c r="G123" s="4"/>
      <c r="H123" s="1">
        <f>SUM(OSRRefH21_23x_0)</f>
        <v>16647.580000000002</v>
      </c>
      <c r="I123" s="4"/>
      <c r="J123" s="1">
        <f>SUM(OSRRefJ21_23x_0)</f>
        <v>11148.88</v>
      </c>
      <c r="K123" s="4"/>
      <c r="L123" s="1">
        <f>SUM(OSRRefL21_23x_0)</f>
        <v>10505.49</v>
      </c>
      <c r="M123" s="4"/>
      <c r="N123" s="1">
        <f>SUM(OSRRefN21_23x_0)</f>
        <v>14311.74</v>
      </c>
      <c r="O123" s="4"/>
      <c r="P123" s="1">
        <f>SUM(OSRRefP21_23x_0)</f>
        <v>10494</v>
      </c>
      <c r="Q123" s="4"/>
      <c r="R123" s="1">
        <f>SUM(OSRRefR21_23x_0)</f>
        <v>0</v>
      </c>
    </row>
    <row r="124" spans="1:18" s="16" customFormat="1" hidden="1" outlineLevel="2" x14ac:dyDescent="0.35">
      <c r="B124" s="11" t="str">
        <f>CONCATENATE("          ", "6274", " - ", "UTILITIES")</f>
        <v xml:space="preserve">          6274 - UTILITIES</v>
      </c>
      <c r="D124" s="2">
        <v>15138.26</v>
      </c>
      <c r="F124" s="2">
        <v>20332.63</v>
      </c>
      <c r="G124" s="3"/>
      <c r="H124" s="2">
        <v>16647.580000000002</v>
      </c>
      <c r="I124" s="3"/>
      <c r="J124" s="2">
        <v>11148.88</v>
      </c>
      <c r="K124" s="3"/>
      <c r="L124" s="2">
        <v>10505.49</v>
      </c>
      <c r="M124" s="3"/>
      <c r="N124" s="2">
        <v>14311.74</v>
      </c>
      <c r="O124" s="3"/>
      <c r="P124" s="2">
        <v>10494</v>
      </c>
      <c r="Q124" s="3"/>
      <c r="R124" s="2">
        <v>0</v>
      </c>
    </row>
    <row r="125" spans="1:18" x14ac:dyDescent="0.35">
      <c r="A125" s="12"/>
      <c r="B125" s="12"/>
      <c r="C125" s="12"/>
      <c r="D125" s="1"/>
      <c r="F125" s="1"/>
      <c r="H125" s="1"/>
      <c r="J125" s="1"/>
      <c r="L125" s="1"/>
      <c r="N125" s="1"/>
      <c r="P125" s="1"/>
      <c r="R125" s="1"/>
    </row>
    <row r="126" spans="1:18" s="7" customFormat="1" collapsed="1" x14ac:dyDescent="0.35">
      <c r="A126" s="36"/>
      <c r="B126" s="34" t="s">
        <v>295</v>
      </c>
      <c r="D126" s="6">
        <f>SUM(OSRRefD24x_0)</f>
        <v>225</v>
      </c>
      <c r="E126" s="12"/>
      <c r="F126" s="6">
        <f>SUM(OSRRefF24x_0)</f>
        <v>0</v>
      </c>
      <c r="G126" s="5"/>
      <c r="H126" s="6">
        <f>SUM(OSRRefH24x_0)</f>
        <v>-449</v>
      </c>
      <c r="I126" s="5"/>
      <c r="J126" s="6">
        <f>SUM(OSRRefJ24x_0)</f>
        <v>0</v>
      </c>
      <c r="K126" s="5"/>
      <c r="L126" s="6">
        <f>SUM(OSRRefL24x_0)</f>
        <v>0</v>
      </c>
      <c r="M126" s="5"/>
      <c r="N126" s="6">
        <f>SUM(OSRRefN24x_0)</f>
        <v>0</v>
      </c>
      <c r="O126" s="5"/>
      <c r="P126" s="6">
        <f>SUM(OSRRefP24x_0)</f>
        <v>0</v>
      </c>
      <c r="Q126" s="5"/>
      <c r="R126" s="6">
        <f>SUM(OSRRefR24x_0)</f>
        <v>0</v>
      </c>
    </row>
    <row r="127" spans="1:18" s="7" customFormat="1" hidden="1" outlineLevel="1" x14ac:dyDescent="0.35">
      <c r="A127" s="36"/>
      <c r="B127" s="11" t="str">
        <f>CONCATENATE("          ", "9150", " - ", "MISC. INCOME")</f>
        <v xml:space="preserve">          9150 - MISC. INCOME</v>
      </c>
      <c r="D127" s="11">
        <f>--225</f>
        <v>225</v>
      </c>
      <c r="E127" s="16"/>
      <c r="F127" s="11">
        <f>0</f>
        <v>0</v>
      </c>
      <c r="G127" s="3"/>
      <c r="H127" s="11">
        <f>-449</f>
        <v>-449</v>
      </c>
      <c r="I127" s="3"/>
      <c r="J127" s="11">
        <f>0</f>
        <v>0</v>
      </c>
      <c r="K127" s="3"/>
      <c r="L127" s="11">
        <f>0</f>
        <v>0</v>
      </c>
      <c r="M127" s="3"/>
      <c r="N127" s="11">
        <f>0</f>
        <v>0</v>
      </c>
      <c r="O127" s="3"/>
      <c r="P127" s="11"/>
      <c r="Q127" s="3"/>
      <c r="R127" s="11"/>
    </row>
    <row r="128" spans="1:18" x14ac:dyDescent="0.35">
      <c r="A128" s="12"/>
      <c r="B128" s="7"/>
      <c r="C128" s="7"/>
      <c r="D128" s="6"/>
      <c r="F128" s="6"/>
      <c r="H128" s="6"/>
      <c r="J128" s="6"/>
      <c r="L128" s="6"/>
      <c r="N128" s="6"/>
      <c r="P128" s="6"/>
      <c r="R128" s="6"/>
    </row>
    <row r="129" spans="1:18" s="15" customFormat="1" x14ac:dyDescent="0.35">
      <c r="A129" s="7"/>
      <c r="B129" s="22" t="s">
        <v>279</v>
      </c>
      <c r="C129" s="22"/>
      <c r="D129" s="10">
        <f>+D34-D37+D126</f>
        <v>487662.9099999998</v>
      </c>
      <c r="E129" s="12"/>
      <c r="F129" s="10">
        <f>+F34-F37+F126</f>
        <v>375968.72</v>
      </c>
      <c r="G129" s="5"/>
      <c r="H129" s="10">
        <f>+H34-H37+H126</f>
        <v>584621.42999999993</v>
      </c>
      <c r="I129" s="5"/>
      <c r="J129" s="10">
        <f>+J34-J37+J126</f>
        <v>297436.68999999971</v>
      </c>
      <c r="K129" s="5"/>
      <c r="L129" s="10">
        <f>+L34-L37+L126</f>
        <v>319089.05000000028</v>
      </c>
      <c r="M129" s="5"/>
      <c r="N129" s="10">
        <f>+N34-N37+N126</f>
        <v>55149.659999999683</v>
      </c>
      <c r="O129" s="5"/>
      <c r="P129" s="10">
        <f>+P34-P37+P126</f>
        <v>-330820.5706944</v>
      </c>
      <c r="Q129" s="5"/>
      <c r="R129" s="10">
        <f>+R34-R37+R126</f>
        <v>-172469.20735474996</v>
      </c>
    </row>
    <row r="130" spans="1:18" s="27" customFormat="1" x14ac:dyDescent="0.35">
      <c r="A130" s="18"/>
      <c r="B130" s="31"/>
      <c r="C130" s="18"/>
      <c r="D130" s="9">
        <f>IFERROR(D129/D10, 0)</f>
        <v>0.15962242931757178</v>
      </c>
      <c r="E130" s="18"/>
      <c r="F130" s="9">
        <f>IFERROR(F129/F10, 0)</f>
        <v>0.12280950975509565</v>
      </c>
      <c r="G130" s="14"/>
      <c r="H130" s="9">
        <f>IFERROR(H129/H10, 0)</f>
        <v>0.17458117820380792</v>
      </c>
      <c r="I130" s="14"/>
      <c r="J130" s="9">
        <f>IFERROR(J129/J10, 0)</f>
        <v>9.6446628841359017E-2</v>
      </c>
      <c r="K130" s="14"/>
      <c r="L130" s="9">
        <f>IFERROR(L129/L10, 0)</f>
        <v>0.10537497732428364</v>
      </c>
      <c r="M130" s="14"/>
      <c r="N130" s="9">
        <f>IFERROR(N129/N10, 0)</f>
        <v>2.3321770287460158E-2</v>
      </c>
      <c r="O130" s="14"/>
      <c r="P130" s="9">
        <f>IFERROR(P129/P10, 0)</f>
        <v>-0.54014255528753297</v>
      </c>
      <c r="Q130" s="14"/>
      <c r="R130" s="9">
        <f>IFERROR(R129/R10, 0)</f>
        <v>-0.33301063961960492</v>
      </c>
    </row>
    <row r="131" spans="1:18" s="27" customFormat="1" x14ac:dyDescent="0.35">
      <c r="A131" s="18"/>
      <c r="B131" s="31"/>
      <c r="C131" s="18"/>
      <c r="D131" s="13"/>
      <c r="E131" s="18"/>
      <c r="F131" s="13"/>
      <c r="G131" s="14"/>
      <c r="H131" s="13"/>
      <c r="I131" s="14"/>
      <c r="J131" s="13"/>
      <c r="K131" s="14"/>
      <c r="L131" s="13"/>
      <c r="M131" s="14"/>
      <c r="N131" s="13"/>
      <c r="O131" s="14"/>
      <c r="P131" s="13"/>
      <c r="Q131" s="14"/>
      <c r="R131" s="13"/>
    </row>
    <row r="132" spans="1:18" s="15" customFormat="1" x14ac:dyDescent="0.35">
      <c r="A132" s="37"/>
      <c r="B132" s="7" t="s">
        <v>127</v>
      </c>
      <c r="C132" s="7"/>
      <c r="D132" s="6">
        <v>663896.93999999994</v>
      </c>
      <c r="E132" s="12"/>
      <c r="F132" s="6">
        <v>435811.15</v>
      </c>
      <c r="G132" s="5"/>
      <c r="H132" s="6">
        <v>447741.55</v>
      </c>
      <c r="I132" s="5"/>
      <c r="J132" s="6">
        <v>413907.78</v>
      </c>
      <c r="K132" s="5"/>
      <c r="L132" s="6">
        <v>215836.24</v>
      </c>
      <c r="M132" s="5"/>
      <c r="N132" s="6">
        <v>358073.41</v>
      </c>
      <c r="O132" s="5"/>
      <c r="P132" s="6">
        <v>103492</v>
      </c>
      <c r="Q132" s="5"/>
      <c r="R132" s="6">
        <v>58728</v>
      </c>
    </row>
    <row r="133" spans="1:18" x14ac:dyDescent="0.35">
      <c r="A133" s="12"/>
      <c r="B133" s="7"/>
      <c r="C133" s="7"/>
      <c r="D133" s="6"/>
      <c r="F133" s="6"/>
      <c r="H133" s="6"/>
      <c r="J133" s="6"/>
      <c r="L133" s="6"/>
      <c r="N133" s="6"/>
      <c r="P133" s="6"/>
      <c r="R133" s="6"/>
    </row>
    <row r="134" spans="1:18" s="15" customFormat="1" x14ac:dyDescent="0.35">
      <c r="A134" s="7"/>
      <c r="B134" s="22" t="s">
        <v>126</v>
      </c>
      <c r="C134" s="22"/>
      <c r="D134" s="10">
        <f>+D129-D132</f>
        <v>-176234.03000000014</v>
      </c>
      <c r="E134" s="12"/>
      <c r="F134" s="10">
        <f>+F129-F132</f>
        <v>-59842.430000000051</v>
      </c>
      <c r="G134" s="5"/>
      <c r="H134" s="10">
        <f>+H129-H132</f>
        <v>136879.87999999995</v>
      </c>
      <c r="I134" s="5"/>
      <c r="J134" s="10">
        <f>+J129-J132</f>
        <v>-116471.09000000032</v>
      </c>
      <c r="K134" s="5"/>
      <c r="L134" s="10">
        <f>+L129-L132</f>
        <v>103252.81000000029</v>
      </c>
      <c r="M134" s="5"/>
      <c r="N134" s="10">
        <f>+N129-N132</f>
        <v>-302923.75000000029</v>
      </c>
      <c r="O134" s="5"/>
      <c r="P134" s="10">
        <f>+P129-P132</f>
        <v>-434312.5706944</v>
      </c>
      <c r="Q134" s="5"/>
      <c r="R134" s="10">
        <f>+R129-R132</f>
        <v>-231197.20735474996</v>
      </c>
    </row>
    <row r="135" spans="1:18" s="27" customFormat="1" x14ac:dyDescent="0.35">
      <c r="A135" s="18"/>
      <c r="B135" s="18"/>
      <c r="C135" s="18"/>
      <c r="D135" s="9">
        <f>IFERROR(D134/D10, 0)</f>
        <v>-5.7685141560234424E-2</v>
      </c>
      <c r="E135" s="18"/>
      <c r="F135" s="9">
        <f>IFERROR(F134/F10, 0)</f>
        <v>-1.9547422697435136E-2</v>
      </c>
      <c r="G135" s="14"/>
      <c r="H135" s="9">
        <f>IFERROR(H134/H10, 0)</f>
        <v>4.0875427236384126E-2</v>
      </c>
      <c r="I135" s="14"/>
      <c r="J135" s="9">
        <f>IFERROR(J134/J10, 0)</f>
        <v>-3.7766840358459348E-2</v>
      </c>
      <c r="K135" s="14"/>
      <c r="L135" s="9">
        <f>IFERROR(L134/L10, 0)</f>
        <v>3.4097887446838393E-2</v>
      </c>
      <c r="M135" s="14"/>
      <c r="N135" s="9">
        <f>IFERROR(N134/N10, 0)</f>
        <v>-0.12810084617232556</v>
      </c>
      <c r="O135" s="14"/>
      <c r="P135" s="9">
        <f>IFERROR(P134/P10, 0)</f>
        <v>-0.70911763810805117</v>
      </c>
      <c r="Q135" s="14"/>
      <c r="R135" s="9">
        <f>IFERROR(R134/R10, 0)</f>
        <v>-0.44640507763863913</v>
      </c>
    </row>
    <row r="136" spans="1:18" s="27" customFormat="1" x14ac:dyDescent="0.35">
      <c r="A136" s="18"/>
      <c r="B136" s="18"/>
      <c r="C136" s="18"/>
      <c r="D136" s="13"/>
      <c r="E136" s="18"/>
      <c r="F136" s="13"/>
      <c r="G136" s="14"/>
      <c r="H136" s="13"/>
      <c r="I136" s="14"/>
      <c r="J136" s="13"/>
      <c r="K136" s="14"/>
      <c r="L136" s="13"/>
      <c r="M136" s="14"/>
      <c r="N136" s="13"/>
      <c r="O136" s="14"/>
      <c r="P136" s="13"/>
      <c r="Q136" s="14"/>
      <c r="R136" s="13"/>
    </row>
    <row r="137" spans="1:18" x14ac:dyDescent="0.35">
      <c r="A137" s="12"/>
      <c r="B137" s="12"/>
      <c r="C137" s="12"/>
      <c r="D137" s="6"/>
      <c r="F137" s="6"/>
      <c r="H137" s="6"/>
      <c r="J137" s="6"/>
      <c r="L137" s="6"/>
      <c r="N137" s="6"/>
      <c r="P137" s="6"/>
      <c r="R137" s="6"/>
    </row>
    <row r="138" spans="1:18" s="15" customFormat="1" x14ac:dyDescent="0.35">
      <c r="A138" s="7"/>
      <c r="B138" s="22" t="s">
        <v>296</v>
      </c>
      <c r="C138" s="22"/>
      <c r="D138" s="10">
        <f>SUM(D134:D137)</f>
        <v>-176234.08768514171</v>
      </c>
      <c r="E138" s="12"/>
      <c r="F138" s="10">
        <f>SUM(F134:F137)</f>
        <v>-59842.449547422751</v>
      </c>
      <c r="G138" s="5"/>
      <c r="H138" s="10">
        <f>SUM(H134:H137)</f>
        <v>136879.9208754272</v>
      </c>
      <c r="I138" s="5"/>
      <c r="J138" s="10">
        <f>SUM(J134:J137)</f>
        <v>-116471.12776684067</v>
      </c>
      <c r="K138" s="5"/>
      <c r="L138" s="10">
        <f>SUM(L134:L137)</f>
        <v>103252.84409788773</v>
      </c>
      <c r="M138" s="5"/>
      <c r="N138" s="10">
        <f>SUM(N134:N137)</f>
        <v>-302923.87810084649</v>
      </c>
      <c r="O138" s="5"/>
      <c r="P138" s="10">
        <f>SUM(P134:P137)</f>
        <v>-434313.27981203812</v>
      </c>
      <c r="Q138" s="5"/>
      <c r="R138" s="10">
        <f>SUM(R134:R137)</f>
        <v>-231197.6537598276</v>
      </c>
    </row>
    <row r="139" spans="1:18" s="27" customFormat="1" x14ac:dyDescent="0.35">
      <c r="A139" s="18"/>
      <c r="B139" s="41"/>
      <c r="C139" s="18"/>
      <c r="D139" s="9">
        <f>IFERROR(D138/D10, 0)</f>
        <v>-5.7685160441806597E-2</v>
      </c>
      <c r="E139" s="18"/>
      <c r="F139" s="9">
        <f>IFERROR(F138/F10, 0)</f>
        <v>-1.9547429082565789E-2</v>
      </c>
      <c r="G139" s="14"/>
      <c r="H139" s="9">
        <f>IFERROR(H138/H10, 0)</f>
        <v>4.0875439442710965E-2</v>
      </c>
      <c r="I139" s="14"/>
      <c r="J139" s="9">
        <f>IFERROR(J138/J10, 0)</f>
        <v>-3.7766852604710591E-2</v>
      </c>
      <c r="K139" s="14"/>
      <c r="L139" s="9">
        <f>IFERROR(L138/L10, 0)</f>
        <v>3.4097898707218889E-2</v>
      </c>
      <c r="M139" s="14"/>
      <c r="N139" s="9">
        <f>IFERROR(N138/N10, 0)</f>
        <v>-0.12810090034380203</v>
      </c>
      <c r="O139" s="14"/>
      <c r="P139" s="9">
        <f>IFERROR(P138/P10, 0)</f>
        <v>-0.70911879590973281</v>
      </c>
      <c r="Q139" s="14"/>
      <c r="R139" s="9">
        <f>IFERROR(R138/R10, 0)</f>
        <v>-0.44640593957592473</v>
      </c>
    </row>
    <row r="140" spans="1:18" x14ac:dyDescent="0.35">
      <c r="A140" s="12"/>
      <c r="B140" s="40">
        <v>44319.883547916666</v>
      </c>
      <c r="D140" s="24"/>
      <c r="F140" s="24"/>
      <c r="H140" s="24"/>
      <c r="J140" s="24"/>
      <c r="L140" s="24"/>
      <c r="N140" s="24"/>
      <c r="P140" s="24"/>
      <c r="R140" s="24"/>
    </row>
    <row r="141" spans="1:18" x14ac:dyDescent="0.35">
      <c r="A141" s="12"/>
      <c r="B141" s="39" t="s">
        <v>23</v>
      </c>
      <c r="D141" s="24"/>
      <c r="F141" s="24"/>
      <c r="H141" s="24"/>
      <c r="J141" s="24"/>
      <c r="L141" s="24"/>
      <c r="N141" s="24"/>
      <c r="P141" s="24"/>
      <c r="R141" s="24"/>
    </row>
    <row r="142" spans="1:18" x14ac:dyDescent="0.35">
      <c r="A142" s="12"/>
      <c r="D142" s="24"/>
      <c r="F142" s="24"/>
      <c r="H142" s="24"/>
      <c r="J142" s="24"/>
      <c r="L142" s="24"/>
      <c r="N142" s="24"/>
      <c r="P142" s="24"/>
      <c r="R142" s="24"/>
    </row>
    <row r="143" spans="1:18" x14ac:dyDescent="0.35">
      <c r="D143" s="24"/>
      <c r="F143" s="24"/>
      <c r="H143" s="24"/>
      <c r="J143" s="24"/>
      <c r="L143" s="24"/>
      <c r="N143" s="24"/>
      <c r="P143" s="24"/>
      <c r="R143" s="24"/>
    </row>
  </sheetData>
  <pageMargins left="0.5" right="0.5" top="0.5" bottom="0.5" header="0.3" footer="0.3"/>
  <pageSetup scale="59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203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21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79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908102.94000000018</v>
      </c>
      <c r="F10" s="8">
        <f>SUM(OSRRefF11x_0)</f>
        <v>983975.77000000014</v>
      </c>
      <c r="G10" s="8"/>
      <c r="H10" s="8">
        <f>SUM(OSRRefH11x_0)</f>
        <v>972281.14999999956</v>
      </c>
      <c r="I10" s="8"/>
      <c r="J10" s="8">
        <f>SUM(OSRRefJ11x_0)</f>
        <v>944688.77999999991</v>
      </c>
      <c r="K10" s="8"/>
      <c r="L10" s="8">
        <f>SUM(OSRRefL11x_0)</f>
        <v>954544.68000000017</v>
      </c>
      <c r="M10" s="8"/>
      <c r="N10" s="8">
        <f>SUM(OSRRefN11x_0)</f>
        <v>832217.70999999985</v>
      </c>
      <c r="O10" s="8"/>
      <c r="P10" s="8">
        <f>SUM(OSRRefP11x_0)</f>
        <v>161549</v>
      </c>
      <c r="Q10" s="8"/>
      <c r="R10" s="8">
        <f>SUM(OSRRefR11x_0)</f>
        <v>477817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 t="shared" ref="D11:D12" si="0">0*-1</f>
        <v>0</v>
      </c>
      <c r="F11" s="11">
        <f>0*-1</f>
        <v>0</v>
      </c>
      <c r="G11" s="3"/>
      <c r="H11" s="11">
        <f>0*-1</f>
        <v>0</v>
      </c>
      <c r="I11" s="3"/>
      <c r="J11" s="11">
        <f t="shared" ref="J11:J12" si="1">0</f>
        <v>0</v>
      </c>
      <c r="K11" s="3"/>
      <c r="L11" s="11">
        <f t="shared" ref="L11:L12" si="2">0</f>
        <v>0</v>
      </c>
      <c r="M11" s="3"/>
      <c r="N11" s="11">
        <f t="shared" ref="N11:N14" si="3">0</f>
        <v>0</v>
      </c>
      <c r="O11" s="3"/>
      <c r="P11" s="11"/>
      <c r="Q11" s="3"/>
      <c r="R11" s="11">
        <v>308717</v>
      </c>
    </row>
    <row r="12" spans="1:18" s="16" customFormat="1" hidden="1" outlineLevel="1" x14ac:dyDescent="0.35">
      <c r="B12" s="35" t="str">
        <f>CONCATENATE("          ", "4012", " - ", "TAXABLE SALES-MAGAZINES")</f>
        <v xml:space="preserve">          4012 - TAXABLE SALES-MAGAZINES</v>
      </c>
      <c r="D12" s="11">
        <f t="shared" si="0"/>
        <v>0</v>
      </c>
      <c r="F12" s="11">
        <f>-114.3*-1</f>
        <v>114.3</v>
      </c>
      <c r="G12" s="3"/>
      <c r="H12" s="11">
        <f>-8.95*-1</f>
        <v>8.9499999999999993</v>
      </c>
      <c r="I12" s="3"/>
      <c r="J12" s="11">
        <f t="shared" si="1"/>
        <v>0</v>
      </c>
      <c r="K12" s="3"/>
      <c r="L12" s="11">
        <f t="shared" si="2"/>
        <v>0</v>
      </c>
      <c r="M12" s="3"/>
      <c r="N12" s="11">
        <f t="shared" si="3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"4013", " - ", "TAXABLE SALES-TRADE BOOKS")</f>
        <v xml:space="preserve">          4013 - TAXABLE SALES-TRADE BOOKS</v>
      </c>
      <c r="D13" s="11">
        <f>-3084.56*-1</f>
        <v>3084.56</v>
      </c>
      <c r="F13" s="11">
        <f>-1273.17*-1</f>
        <v>1273.17</v>
      </c>
      <c r="G13" s="3"/>
      <c r="H13" s="11">
        <f>-734.76*-1</f>
        <v>734.76</v>
      </c>
      <c r="I13" s="3"/>
      <c r="J13" s="11">
        <f>--148.93</f>
        <v>148.93</v>
      </c>
      <c r="K13" s="3"/>
      <c r="L13" s="11">
        <f>--109.2</f>
        <v>109.2</v>
      </c>
      <c r="M13" s="3"/>
      <c r="N13" s="11">
        <f t="shared" si="3"/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"4014", " - ", "TAXABLE SALES-REMAINDERS")</f>
        <v xml:space="preserve">          4014 - TAXABLE SALES-REMAINDERS</v>
      </c>
      <c r="D14" s="11">
        <f>0*-1</f>
        <v>0</v>
      </c>
      <c r="F14" s="11">
        <f>-35.92*-1</f>
        <v>35.92</v>
      </c>
      <c r="G14" s="3"/>
      <c r="H14" s="11">
        <f>-17.48*-1</f>
        <v>17.48</v>
      </c>
      <c r="I14" s="3"/>
      <c r="J14" s="11">
        <f>0</f>
        <v>0</v>
      </c>
      <c r="K14" s="3"/>
      <c r="L14" s="11">
        <f>0</f>
        <v>0</v>
      </c>
      <c r="M14" s="3"/>
      <c r="N14" s="11">
        <f t="shared" si="3"/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"4017", " - ", "TAXABLE SALES-DORM/HOUSEWARES")</f>
        <v xml:space="preserve">          4017 - TAXABLE SALES-DORM/HOUSEWARES</v>
      </c>
      <c r="D15" s="11">
        <f>-28.98*-1</f>
        <v>28.98</v>
      </c>
      <c r="F15" s="11">
        <f>0*-1</f>
        <v>0</v>
      </c>
      <c r="G15" s="3"/>
      <c r="H15" s="11">
        <f>0*-1</f>
        <v>0</v>
      </c>
      <c r="I15" s="3"/>
      <c r="J15" s="11">
        <f>--524.99</f>
        <v>524.99</v>
      </c>
      <c r="K15" s="3"/>
      <c r="L15" s="11">
        <f>--1055.55</f>
        <v>1055.55</v>
      </c>
      <c r="M15" s="3"/>
      <c r="N15" s="11">
        <f>--347.52</f>
        <v>347.52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"4019", " - ", "TAXABLE SALES-BOOK RELATED")</f>
        <v xml:space="preserve">          4019 - TAXABLE SALES-BOOK RELATED</v>
      </c>
      <c r="D16" s="11">
        <f>0*-1</f>
        <v>0</v>
      </c>
      <c r="F16" s="11">
        <f>-277.11*-1</f>
        <v>277.11</v>
      </c>
      <c r="G16" s="3"/>
      <c r="H16" s="11">
        <f>-811.14*-1</f>
        <v>811.14</v>
      </c>
      <c r="I16" s="3"/>
      <c r="J16" s="11">
        <f>--584.61</f>
        <v>584.61</v>
      </c>
      <c r="K16" s="3"/>
      <c r="L16" s="11">
        <f>--81.89</f>
        <v>81.89</v>
      </c>
      <c r="M16" s="3"/>
      <c r="N16" s="11">
        <f>--42.85</f>
        <v>42.85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"4025", " - ", "TAXABLE SALES-TEST FORMS")</f>
        <v xml:space="preserve">          4025 - TAXABLE SALES-TEST FORMS</v>
      </c>
      <c r="D17" s="11">
        <f>-51885.6*-1</f>
        <v>51885.599999999999</v>
      </c>
      <c r="F17" s="11">
        <f>-49291.27*-1</f>
        <v>49291.27</v>
      </c>
      <c r="G17" s="3"/>
      <c r="H17" s="11">
        <f>-54922.42*-1</f>
        <v>54922.42</v>
      </c>
      <c r="I17" s="3"/>
      <c r="J17" s="11">
        <f>--61475.85</f>
        <v>61475.85</v>
      </c>
      <c r="K17" s="3"/>
      <c r="L17" s="11">
        <f>--61206.57</f>
        <v>61206.57</v>
      </c>
      <c r="M17" s="3"/>
      <c r="N17" s="11">
        <f>--57806.23</f>
        <v>57806.23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"4026", " - ", "TAXABLE SALES-WRITING INSTRUME")</f>
        <v xml:space="preserve">          4026 - TAXABLE SALES-WRITING INSTRUME</v>
      </c>
      <c r="D18" s="11">
        <f>-83063.09*-1</f>
        <v>83063.09</v>
      </c>
      <c r="F18" s="11">
        <f>-97319.66*-1</f>
        <v>97319.66</v>
      </c>
      <c r="G18" s="3"/>
      <c r="H18" s="11">
        <f>-95023.84*-1</f>
        <v>95023.84</v>
      </c>
      <c r="I18" s="3"/>
      <c r="J18" s="11">
        <f>--83956.92</f>
        <v>83956.92</v>
      </c>
      <c r="K18" s="3"/>
      <c r="L18" s="11">
        <f>--83996.03</f>
        <v>83996.03</v>
      </c>
      <c r="M18" s="3"/>
      <c r="N18" s="11">
        <f>--83111.97</f>
        <v>83111.97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"4027", " - ", "TAXABLE SALES-SCHOOL SUPPLIES")</f>
        <v xml:space="preserve">          4027 - TAXABLE SALES-SCHOOL SUPPLIES</v>
      </c>
      <c r="D19" s="11">
        <f>-319115.29*-1</f>
        <v>319115.28999999998</v>
      </c>
      <c r="F19" s="11">
        <f>-334870.38*-1</f>
        <v>334870.38</v>
      </c>
      <c r="G19" s="3"/>
      <c r="H19" s="11">
        <f>-306713.68*-1</f>
        <v>306713.68</v>
      </c>
      <c r="I19" s="3"/>
      <c r="J19" s="11">
        <f>--290825.19</f>
        <v>290825.19</v>
      </c>
      <c r="K19" s="3"/>
      <c r="L19" s="11">
        <f>--308687</f>
        <v>308687</v>
      </c>
      <c r="M19" s="3"/>
      <c r="N19" s="11">
        <f>--280688.54</f>
        <v>280688.53999999998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"4028", " - ", "TAXABLE SALES-ART/TECH")</f>
        <v xml:space="preserve">          4028 - TAXABLE SALES-ART/TECH</v>
      </c>
      <c r="D20" s="11">
        <f>-333796.97*-1</f>
        <v>333796.96999999997</v>
      </c>
      <c r="F20" s="11">
        <f>-358576.17*-1</f>
        <v>358576.17</v>
      </c>
      <c r="G20" s="3"/>
      <c r="H20" s="11">
        <f>-349330.18*-1</f>
        <v>349330.18</v>
      </c>
      <c r="I20" s="3"/>
      <c r="J20" s="11">
        <f>--343797.3</f>
        <v>343797.3</v>
      </c>
      <c r="K20" s="3"/>
      <c r="L20" s="11">
        <f>--346880.65</f>
        <v>346880.65</v>
      </c>
      <c r="M20" s="3"/>
      <c r="N20" s="11">
        <f>--293577.64</f>
        <v>293577.64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"4031", " - ", "TAXABLE SALES-FOOD")</f>
        <v xml:space="preserve">          4031 - TAXABLE SALES-FOOD</v>
      </c>
      <c r="D21" s="11">
        <f>-1019.28*-1</f>
        <v>1019.28</v>
      </c>
      <c r="F21" s="11">
        <f>-2622.63*-1</f>
        <v>2622.63</v>
      </c>
      <c r="G21" s="3"/>
      <c r="H21" s="11">
        <f>-1003.58*-1</f>
        <v>1003.58</v>
      </c>
      <c r="I21" s="3"/>
      <c r="J21" s="11">
        <f>--992.43</f>
        <v>992.43</v>
      </c>
      <c r="K21" s="3"/>
      <c r="L21" s="11">
        <f>--834.06</f>
        <v>834.06</v>
      </c>
      <c r="M21" s="3"/>
      <c r="N21" s="11">
        <f>--486.34</f>
        <v>486.34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"4032", " - ", "TAXABLE SALES-JUICE")</f>
        <v xml:space="preserve">          4032 - TAXABLE SALES-JUICE</v>
      </c>
      <c r="D22" s="11">
        <f>-4149.87*-1</f>
        <v>4149.87</v>
      </c>
      <c r="F22" s="11">
        <f>-2826.33*-1</f>
        <v>2826.33</v>
      </c>
      <c r="G22" s="3"/>
      <c r="H22" s="11">
        <f>-207.03*-1</f>
        <v>207.03</v>
      </c>
      <c r="I22" s="3"/>
      <c r="J22" s="11">
        <f>--151.11</f>
        <v>151.11000000000001</v>
      </c>
      <c r="K22" s="3"/>
      <c r="L22" s="11">
        <f>--498.84</f>
        <v>498.84</v>
      </c>
      <c r="M22" s="3"/>
      <c r="N22" s="11">
        <f>--1905.06</f>
        <v>1905.06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"4033", " - ", "TAXABLE SALES-CANDY")</f>
        <v xml:space="preserve">          4033 - TAXABLE SALES-CANDY</v>
      </c>
      <c r="D23" s="11">
        <f>-0.89*-1</f>
        <v>0.89</v>
      </c>
      <c r="F23" s="11">
        <f>-140.65*-1</f>
        <v>140.65</v>
      </c>
      <c r="G23" s="3"/>
      <c r="H23" s="11">
        <f>-208.91*-1</f>
        <v>208.91</v>
      </c>
      <c r="I23" s="3"/>
      <c r="J23" s="11">
        <f>--202.55</f>
        <v>202.55</v>
      </c>
      <c r="K23" s="3"/>
      <c r="L23" s="11">
        <f>--264.15</f>
        <v>264.14999999999998</v>
      </c>
      <c r="M23" s="3"/>
      <c r="N23" s="11">
        <f>--205.53</f>
        <v>205.53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"4034", " - ", "TAXABLE SALES-SODA")</f>
        <v xml:space="preserve">          4034 - TAXABLE SALES-SODA</v>
      </c>
      <c r="D24" s="11">
        <f>-7787.4*-1</f>
        <v>7787.4</v>
      </c>
      <c r="F24" s="11">
        <f>-5835.87*-1</f>
        <v>5835.87</v>
      </c>
      <c r="G24" s="3"/>
      <c r="H24" s="11">
        <f>-9518.75*-1</f>
        <v>9518.75</v>
      </c>
      <c r="I24" s="3"/>
      <c r="J24" s="11">
        <f>--9826.08</f>
        <v>9826.08</v>
      </c>
      <c r="K24" s="3"/>
      <c r="L24" s="11">
        <f>--9229.07</f>
        <v>9229.07</v>
      </c>
      <c r="M24" s="3"/>
      <c r="N24" s="11">
        <f>--7803.51</f>
        <v>7803.51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"4035", " - ", "TAXABLE SALES-HEALTH &amp; BEAUTY")</f>
        <v xml:space="preserve">          4035 - TAXABLE SALES-HEALTH &amp; BEAUTY</v>
      </c>
      <c r="D25" s="11">
        <f>-1445.9*-1</f>
        <v>1445.9</v>
      </c>
      <c r="F25" s="11">
        <f>-2162.84*-1</f>
        <v>2162.84</v>
      </c>
      <c r="G25" s="3"/>
      <c r="H25" s="11">
        <f>-2572.19*-1</f>
        <v>2572.19</v>
      </c>
      <c r="I25" s="3"/>
      <c r="J25" s="11">
        <f>--2732.89</f>
        <v>2732.89</v>
      </c>
      <c r="K25" s="3"/>
      <c r="L25" s="11">
        <f>--2675.56</f>
        <v>2675.56</v>
      </c>
      <c r="M25" s="3"/>
      <c r="N25" s="11">
        <f>--1981.84</f>
        <v>1981.84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"4037", " - ", "TAXABLE SALES-WATER")</f>
        <v xml:space="preserve">          4037 - TAXABLE SALES-WATER</v>
      </c>
      <c r="D26" s="11">
        <f t="shared" ref="D26:D29" si="4">0*-1</f>
        <v>0</v>
      </c>
      <c r="F26" s="11">
        <f>-165.87*-1</f>
        <v>165.87</v>
      </c>
      <c r="G26" s="3"/>
      <c r="H26" s="11">
        <f>-797.05*-1</f>
        <v>797.05</v>
      </c>
      <c r="I26" s="3"/>
      <c r="J26" s="11">
        <f>--705.4</f>
        <v>705.4</v>
      </c>
      <c r="K26" s="3"/>
      <c r="L26" s="11">
        <f>--881.19</f>
        <v>881.19</v>
      </c>
      <c r="M26" s="3"/>
      <c r="N26" s="11">
        <f>--513.51</f>
        <v>513.51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"4041", " - ", "TAXABLE SALES-LOGO GIFTS")</f>
        <v xml:space="preserve">          4041 - TAXABLE SALES-LOGO GIFTS</v>
      </c>
      <c r="D27" s="11">
        <f t="shared" si="4"/>
        <v>0</v>
      </c>
      <c r="F27" s="11">
        <f t="shared" ref="F27:F29" si="5">0*-1</f>
        <v>0</v>
      </c>
      <c r="G27" s="3"/>
      <c r="H27" s="11">
        <f>-283.19*-1</f>
        <v>283.19</v>
      </c>
      <c r="I27" s="3"/>
      <c r="J27" s="11">
        <f>0</f>
        <v>0</v>
      </c>
      <c r="K27" s="3"/>
      <c r="L27" s="11">
        <f>0</f>
        <v>0</v>
      </c>
      <c r="M27" s="3"/>
      <c r="N27" s="11">
        <f>--494.2</f>
        <v>494.2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"4042", " - ", "TAXABLE SALES-EVERYDAY GIFTS")</f>
        <v xml:space="preserve">          4042 - TAXABLE SALES-EVERYDAY GIFTS</v>
      </c>
      <c r="D28" s="11">
        <f t="shared" si="4"/>
        <v>0</v>
      </c>
      <c r="F28" s="11">
        <f t="shared" si="5"/>
        <v>0</v>
      </c>
      <c r="G28" s="3"/>
      <c r="H28" s="11">
        <f>0*-1</f>
        <v>0</v>
      </c>
      <c r="I28" s="3"/>
      <c r="J28" s="11">
        <f>--1358.1</f>
        <v>1358.1</v>
      </c>
      <c r="K28" s="3"/>
      <c r="L28" s="11">
        <f>--736.93</f>
        <v>736.93</v>
      </c>
      <c r="M28" s="3"/>
      <c r="N28" s="11">
        <f>--583.7</f>
        <v>583.70000000000005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"4044", " - ", "TAXABLE SALES-ACCESSORIES")</f>
        <v xml:space="preserve">          4044 - TAXABLE SALES-ACCESSORIES</v>
      </c>
      <c r="D29" s="11">
        <f t="shared" si="4"/>
        <v>0</v>
      </c>
      <c r="F29" s="11">
        <f t="shared" si="5"/>
        <v>0</v>
      </c>
      <c r="G29" s="3"/>
      <c r="H29" s="11">
        <f>-116.55*-1</f>
        <v>116.55</v>
      </c>
      <c r="I29" s="3"/>
      <c r="J29" s="11">
        <f>--12.95</f>
        <v>12.95</v>
      </c>
      <c r="K29" s="3"/>
      <c r="L29" s="11">
        <f>0</f>
        <v>0</v>
      </c>
      <c r="M29" s="3"/>
      <c r="N29" s="11">
        <f>--179.5</f>
        <v>179.5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"4081", " - ", "TAXABLE SALES-ELECTRONICS")</f>
        <v xml:space="preserve">          4081 - TAXABLE SALES-ELECTRONICS</v>
      </c>
      <c r="D30" s="11">
        <f>-1300.97*-1</f>
        <v>1300.97</v>
      </c>
      <c r="F30" s="11">
        <f>-1294.61*-1</f>
        <v>1294.6099999999999</v>
      </c>
      <c r="G30" s="3"/>
      <c r="H30" s="11">
        <f>-3498.1*-1</f>
        <v>3498.1</v>
      </c>
      <c r="I30" s="3"/>
      <c r="J30" s="11">
        <f>--5235.06</f>
        <v>5235.0600000000004</v>
      </c>
      <c r="K30" s="3"/>
      <c r="L30" s="11">
        <f>--4426.51</f>
        <v>4426.51</v>
      </c>
      <c r="M30" s="3"/>
      <c r="N30" s="11">
        <f>--3174.93</f>
        <v>3174.93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"4082", " - ", "TAXABLE SALES-COMPUTER HARDWAR")</f>
        <v xml:space="preserve">          4082 - TAXABLE SALES-COMPUTER HARDWAR</v>
      </c>
      <c r="D31" s="11">
        <f>0*-1</f>
        <v>0</v>
      </c>
      <c r="F31" s="11">
        <f>0*-1</f>
        <v>0</v>
      </c>
      <c r="G31" s="3"/>
      <c r="H31" s="11">
        <f>-775.83*-1</f>
        <v>775.83</v>
      </c>
      <c r="I31" s="3"/>
      <c r="J31" s="11">
        <f>--1439.96</f>
        <v>1439.96</v>
      </c>
      <c r="K31" s="3"/>
      <c r="L31" s="11">
        <f>--1650</f>
        <v>1650</v>
      </c>
      <c r="M31" s="3"/>
      <c r="N31" s="11">
        <f>--363.94</f>
        <v>363.94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"4083", " - ", "TAXABLE SALES-COMPUTER EQUIPME")</f>
        <v xml:space="preserve">          4083 - TAXABLE SALES-COMPUTER EQUIPME</v>
      </c>
      <c r="D32" s="11">
        <f>-357.65*-1</f>
        <v>357.65</v>
      </c>
      <c r="F32" s="11">
        <f>-810.29*-1</f>
        <v>810.29</v>
      </c>
      <c r="G32" s="3"/>
      <c r="H32" s="11">
        <f>-987.12*-1</f>
        <v>987.12</v>
      </c>
      <c r="I32" s="3"/>
      <c r="J32" s="11">
        <f>--1491.86</f>
        <v>1491.86</v>
      </c>
      <c r="K32" s="3"/>
      <c r="L32" s="11">
        <f>--1403.83</f>
        <v>1403.83</v>
      </c>
      <c r="M32" s="3"/>
      <c r="N32" s="11">
        <f>--914.33</f>
        <v>914.33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"4086", " - ", "TAXABLE SALES-COMPUTER SUPPLIE")</f>
        <v xml:space="preserve">          4086 - TAXABLE SALES-COMPUTER SUPPLIE</v>
      </c>
      <c r="D33" s="11">
        <f>-178.09*-1</f>
        <v>178.09</v>
      </c>
      <c r="F33" s="11">
        <f>-419.92*-1</f>
        <v>419.92</v>
      </c>
      <c r="G33" s="3"/>
      <c r="H33" s="11">
        <f>-1488.26*-1</f>
        <v>1488.26</v>
      </c>
      <c r="I33" s="3"/>
      <c r="J33" s="11">
        <f>--2714.01</f>
        <v>2714.01</v>
      </c>
      <c r="K33" s="3"/>
      <c r="L33" s="11">
        <f>--2115.11</f>
        <v>2115.11</v>
      </c>
      <c r="M33" s="3"/>
      <c r="N33" s="11">
        <f>--813.74</f>
        <v>813.74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"4092", " - ", "TAXABLE SALES-GRAD MERCH")</f>
        <v xml:space="preserve">          4092 - TAXABLE SALES-GRAD MERCH</v>
      </c>
      <c r="D34" s="11">
        <f>0*-1</f>
        <v>0</v>
      </c>
      <c r="F34" s="11">
        <f>0*-1</f>
        <v>0</v>
      </c>
      <c r="G34" s="3"/>
      <c r="H34" s="11">
        <f>-36.95*-1</f>
        <v>36.950000000000003</v>
      </c>
      <c r="I34" s="3"/>
      <c r="J34" s="11">
        <f t="shared" ref="J34:J36" si="6">0</f>
        <v>0</v>
      </c>
      <c r="K34" s="3"/>
      <c r="L34" s="11">
        <f t="shared" ref="L34:L36" si="7">0</f>
        <v>0</v>
      </c>
      <c r="M34" s="3"/>
      <c r="N34" s="11">
        <f t="shared" ref="N34:N36" si="8">0</f>
        <v>0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"4095", " - ", "TAXABLE SALES-CUSTOMER SERVICE")</f>
        <v xml:space="preserve">          4095 - TAXABLE SALES-CUSTOMER SERVICE</v>
      </c>
      <c r="D35" s="11">
        <f>-127.41*-1</f>
        <v>127.41</v>
      </c>
      <c r="F35" s="11">
        <f>-68.88*-1</f>
        <v>68.88</v>
      </c>
      <c r="G35" s="3"/>
      <c r="H35" s="11">
        <f>-67.36*-1</f>
        <v>67.36</v>
      </c>
      <c r="I35" s="3"/>
      <c r="J35" s="11">
        <f t="shared" si="6"/>
        <v>0</v>
      </c>
      <c r="K35" s="3"/>
      <c r="L35" s="11">
        <f t="shared" si="7"/>
        <v>0</v>
      </c>
      <c r="M35" s="3"/>
      <c r="N35" s="11">
        <f t="shared" si="8"/>
        <v>0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"4100", " - ", "NON-TAXABLE SALES")</f>
        <v xml:space="preserve">          4100 - NON-TAXABLE SALES</v>
      </c>
      <c r="D36" s="11">
        <f>0*-1</f>
        <v>0</v>
      </c>
      <c r="F36" s="11">
        <f>0*-1</f>
        <v>0</v>
      </c>
      <c r="G36" s="3"/>
      <c r="H36" s="11">
        <f>0*-1</f>
        <v>0</v>
      </c>
      <c r="I36" s="3"/>
      <c r="J36" s="11">
        <f t="shared" si="6"/>
        <v>0</v>
      </c>
      <c r="K36" s="3"/>
      <c r="L36" s="11">
        <f t="shared" si="7"/>
        <v>0</v>
      </c>
      <c r="M36" s="3"/>
      <c r="N36" s="11">
        <f t="shared" si="8"/>
        <v>0</v>
      </c>
      <c r="O36" s="3"/>
      <c r="P36" s="11">
        <v>161549</v>
      </c>
      <c r="Q36" s="3"/>
      <c r="R36" s="11">
        <v>169100</v>
      </c>
    </row>
    <row r="37" spans="2:18" s="16" customFormat="1" hidden="1" outlineLevel="1" x14ac:dyDescent="0.35">
      <c r="B37" s="35" t="str">
        <f>CONCATENATE("          ", "4125", " - ", "NON-TAXABLE SALES-TEST FORMS")</f>
        <v xml:space="preserve">          4125 - NON-TAXABLE SALES-TEST FORMS</v>
      </c>
      <c r="D37" s="11">
        <f>-224.26*-1</f>
        <v>224.26</v>
      </c>
      <c r="F37" s="11">
        <f>-235.54*-1</f>
        <v>235.54</v>
      </c>
      <c r="G37" s="3"/>
      <c r="H37" s="11">
        <f>-283.63*-1</f>
        <v>283.63</v>
      </c>
      <c r="I37" s="3"/>
      <c r="J37" s="11">
        <f>--349.35</f>
        <v>349.35</v>
      </c>
      <c r="K37" s="3"/>
      <c r="L37" s="11">
        <f>--331.15</f>
        <v>331.15</v>
      </c>
      <c r="M37" s="3"/>
      <c r="N37" s="11">
        <f>--452.61</f>
        <v>452.61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"4126", " - ", "NON-TAXABLE SALES-WRITING INST")</f>
        <v xml:space="preserve">          4126 - NON-TAXABLE SALES-WRITING INST</v>
      </c>
      <c r="D38" s="11">
        <f>-1895.22*-1</f>
        <v>1895.22</v>
      </c>
      <c r="F38" s="11">
        <f>-2640.93*-1</f>
        <v>2640.93</v>
      </c>
      <c r="G38" s="3"/>
      <c r="H38" s="11">
        <f>-3637.23*-1</f>
        <v>3637.23</v>
      </c>
      <c r="I38" s="3"/>
      <c r="J38" s="11">
        <f>--3799.86</f>
        <v>3799.86</v>
      </c>
      <c r="K38" s="3"/>
      <c r="L38" s="11">
        <f>--4171.98</f>
        <v>4171.9799999999996</v>
      </c>
      <c r="M38" s="3"/>
      <c r="N38" s="11">
        <f>--3301.44</f>
        <v>3301.44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"4127", " - ", "NON-TAXABLE SALES-SCHOOL SUPPL")</f>
        <v xml:space="preserve">          4127 - NON-TAXABLE SALES-SCHOOL SUPPL</v>
      </c>
      <c r="D39" s="11">
        <f>-5369.89*-1</f>
        <v>5369.89</v>
      </c>
      <c r="F39" s="11">
        <f>-5919.43*-1</f>
        <v>5919.43</v>
      </c>
      <c r="G39" s="3"/>
      <c r="H39" s="11">
        <f>-14303.61*-1</f>
        <v>14303.61</v>
      </c>
      <c r="I39" s="3"/>
      <c r="J39" s="11">
        <f>--6297.47</f>
        <v>6297.47</v>
      </c>
      <c r="K39" s="3"/>
      <c r="L39" s="11">
        <f>--12627.65</f>
        <v>12627.65</v>
      </c>
      <c r="M39" s="3"/>
      <c r="N39" s="11">
        <f>--6471.33</f>
        <v>6471.33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"4128", " - ", "NON-TAXABLE SALES-ART/TECH")</f>
        <v xml:space="preserve">          4128 - NON-TAXABLE SALES-ART/TECH</v>
      </c>
      <c r="D40" s="11">
        <f>-2829.75*-1</f>
        <v>2829.75</v>
      </c>
      <c r="F40" s="11">
        <f>-942.73*-1</f>
        <v>942.73</v>
      </c>
      <c r="G40" s="3"/>
      <c r="H40" s="11">
        <f>-1352.73*-1</f>
        <v>1352.73</v>
      </c>
      <c r="I40" s="3"/>
      <c r="J40" s="11">
        <f>--947.46</f>
        <v>947.46</v>
      </c>
      <c r="K40" s="3"/>
      <c r="L40" s="11">
        <f>--894.51</f>
        <v>894.51</v>
      </c>
      <c r="M40" s="3"/>
      <c r="N40" s="11">
        <f>--731.36</f>
        <v>731.36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"4131", " - ", "NON-TAXABLE SALES-FOOD")</f>
        <v xml:space="preserve">          4131 - NON-TAXABLE SALES-FOOD</v>
      </c>
      <c r="D41" s="11">
        <f>-50207.84*-1</f>
        <v>50207.839999999997</v>
      </c>
      <c r="F41" s="11">
        <f>-63237.13*-1</f>
        <v>63237.13</v>
      </c>
      <c r="G41" s="3"/>
      <c r="H41" s="11">
        <f>-85090.59*-1</f>
        <v>85090.59</v>
      </c>
      <c r="I41" s="3"/>
      <c r="J41" s="11">
        <f>--84177.89</f>
        <v>84177.89</v>
      </c>
      <c r="K41" s="3"/>
      <c r="L41" s="11">
        <f>--74222.68</f>
        <v>74222.679999999993</v>
      </c>
      <c r="M41" s="3"/>
      <c r="N41" s="11">
        <f>--57957.84</f>
        <v>57957.84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"4132", " - ", "NON-TAXABLE SALES-JUICE")</f>
        <v xml:space="preserve">          4132 - NON-TAXABLE SALES-JUICE</v>
      </c>
      <c r="D42" s="11">
        <f>-17244.1*-1</f>
        <v>17244.099999999999</v>
      </c>
      <c r="F42" s="11">
        <f>-20468.27*-1</f>
        <v>20468.27</v>
      </c>
      <c r="G42" s="3"/>
      <c r="H42" s="11">
        <f>-22043.96*-1</f>
        <v>22043.96</v>
      </c>
      <c r="I42" s="3"/>
      <c r="J42" s="11">
        <f>--19560.69</f>
        <v>19560.689999999999</v>
      </c>
      <c r="K42" s="3"/>
      <c r="L42" s="11">
        <f>--18307.55</f>
        <v>18307.55</v>
      </c>
      <c r="M42" s="3"/>
      <c r="N42" s="11">
        <f>--16199.63</f>
        <v>16199.63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"4133", " - ", "NON-TAXABLE SALES-CANDY")</f>
        <v xml:space="preserve">          4133 - NON-TAXABLE SALES-CANDY</v>
      </c>
      <c r="D43" s="11">
        <f>-32529.65*-1</f>
        <v>32529.65</v>
      </c>
      <c r="F43" s="11">
        <f>-35804.71*-1</f>
        <v>35804.71</v>
      </c>
      <c r="G43" s="3"/>
      <c r="H43" s="11">
        <f>-26514.34*-1</f>
        <v>26514.34</v>
      </c>
      <c r="I43" s="3"/>
      <c r="J43" s="11">
        <f>--23853.15</f>
        <v>23853.15</v>
      </c>
      <c r="K43" s="3"/>
      <c r="L43" s="11">
        <f>--23768.73</f>
        <v>23768.73</v>
      </c>
      <c r="M43" s="3"/>
      <c r="N43" s="11">
        <f>--18150.2</f>
        <v>18150.2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"4134", " - ", "NON-TAXABLE SALES-SODA")</f>
        <v xml:space="preserve">          4134 - NON-TAXABLE SALES-SODA</v>
      </c>
      <c r="D44" s="11">
        <f>-786.93*-1</f>
        <v>786.93</v>
      </c>
      <c r="F44" s="11">
        <f>-2400.56*-1</f>
        <v>2400.56</v>
      </c>
      <c r="G44" s="3"/>
      <c r="H44" s="11">
        <f>-293.45*-1</f>
        <v>293.45</v>
      </c>
      <c r="I44" s="3"/>
      <c r="J44" s="11">
        <f>--698.84</f>
        <v>698.84</v>
      </c>
      <c r="K44" s="3"/>
      <c r="L44" s="11">
        <f>--111.36</f>
        <v>111.36</v>
      </c>
      <c r="M44" s="3"/>
      <c r="N44" s="11">
        <f>--1.89</f>
        <v>1.89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"4135", " - ", "NON-TAXABLE SALES")</f>
        <v xml:space="preserve">          4135 - NON-TAXABLE SALES</v>
      </c>
      <c r="D45" s="11">
        <f>0*-1</f>
        <v>0</v>
      </c>
      <c r="F45" s="11">
        <f>0*-1</f>
        <v>0</v>
      </c>
      <c r="G45" s="3"/>
      <c r="H45" s="11">
        <f>-429.05*-1</f>
        <v>429.05</v>
      </c>
      <c r="I45" s="3"/>
      <c r="J45" s="11">
        <f>--469.36</f>
        <v>469.36</v>
      </c>
      <c r="K45" s="3"/>
      <c r="L45" s="11">
        <f>--383.81</f>
        <v>383.81</v>
      </c>
      <c r="M45" s="3"/>
      <c r="N45" s="11">
        <f>--161.4</f>
        <v>161.4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"4137", " - ", "NON-TAXABLE SALES-WATER")</f>
        <v xml:space="preserve">          4137 - NON-TAXABLE SALES-WATER</v>
      </c>
      <c r="D46" s="11">
        <f>-13255.47*-1</f>
        <v>13255.47</v>
      </c>
      <c r="F46" s="11">
        <f>-13435.8*-1</f>
        <v>13435.8</v>
      </c>
      <c r="G46" s="3"/>
      <c r="H46" s="11">
        <f>-11805.07*-1</f>
        <v>11805.07</v>
      </c>
      <c r="I46" s="3"/>
      <c r="J46" s="11">
        <f>--10396.6</f>
        <v>10396.6</v>
      </c>
      <c r="K46" s="3"/>
      <c r="L46" s="11">
        <f>--10056.76</f>
        <v>10056.76</v>
      </c>
      <c r="M46" s="3"/>
      <c r="N46" s="11">
        <f>--8396.06</f>
        <v>8396.06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"4186", " - ", "NON-TAXABLE SALES-COMPUTER SUP")</f>
        <v xml:space="preserve">          4186 - NON-TAXABLE SALES-COMPUTER SUP</v>
      </c>
      <c r="D47" s="11">
        <f t="shared" ref="D47:D48" si="9">0*-1</f>
        <v>0</v>
      </c>
      <c r="F47" s="11">
        <f t="shared" ref="F47:F48" si="10">0*-1</f>
        <v>0</v>
      </c>
      <c r="G47" s="3"/>
      <c r="H47" s="11">
        <f>-4.99*-1</f>
        <v>4.99</v>
      </c>
      <c r="I47" s="3"/>
      <c r="J47" s="11">
        <f>-52.98</f>
        <v>-52.98</v>
      </c>
      <c r="K47" s="3"/>
      <c r="L47" s="11">
        <f>-174.68</f>
        <v>-174.68</v>
      </c>
      <c r="M47" s="3"/>
      <c r="N47" s="11">
        <f>-30.97</f>
        <v>-30.97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"4212", " - ", "SALES RETURN TAXABLE-MAGAZINES")</f>
        <v xml:space="preserve">          4212 - SALES RETURN TAXABLE-MAGAZINES</v>
      </c>
      <c r="D48" s="11">
        <f t="shared" si="9"/>
        <v>0</v>
      </c>
      <c r="F48" s="11">
        <f t="shared" si="10"/>
        <v>0</v>
      </c>
      <c r="G48" s="3"/>
      <c r="H48" s="11">
        <f>8.95*-1</f>
        <v>-8.9499999999999993</v>
      </c>
      <c r="I48" s="3"/>
      <c r="J48" s="11">
        <f t="shared" ref="J48:J49" si="11">0</f>
        <v>0</v>
      </c>
      <c r="K48" s="3"/>
      <c r="L48" s="11">
        <f t="shared" ref="L48:L49" si="12">0</f>
        <v>0</v>
      </c>
      <c r="M48" s="3"/>
      <c r="N48" s="11">
        <f t="shared" ref="N48:N49" si="13">0</f>
        <v>0</v>
      </c>
      <c r="O48" s="3"/>
      <c r="P48" s="11"/>
      <c r="Q48" s="3"/>
      <c r="R48" s="11"/>
    </row>
    <row r="49" spans="2:18" s="16" customFormat="1" hidden="1" outlineLevel="1" x14ac:dyDescent="0.35">
      <c r="B49" s="35" t="str">
        <f>CONCATENATE("          ", "4213", " - ", "NON-TAXABLE SALES-TRADE BOOKS")</f>
        <v xml:space="preserve">          4213 - NON-TAXABLE SALES-TRADE BOOKS</v>
      </c>
      <c r="D49" s="11">
        <f>191.73*-1</f>
        <v>-191.73</v>
      </c>
      <c r="F49" s="11">
        <f>74.93*-1</f>
        <v>-74.930000000000007</v>
      </c>
      <c r="G49" s="3"/>
      <c r="H49" s="11">
        <f>24.99*-1</f>
        <v>-24.99</v>
      </c>
      <c r="I49" s="3"/>
      <c r="J49" s="11">
        <f t="shared" si="11"/>
        <v>0</v>
      </c>
      <c r="K49" s="3"/>
      <c r="L49" s="11">
        <f t="shared" si="12"/>
        <v>0</v>
      </c>
      <c r="M49" s="3"/>
      <c r="N49" s="11">
        <f t="shared" si="13"/>
        <v>0</v>
      </c>
      <c r="O49" s="3"/>
      <c r="P49" s="11"/>
      <c r="Q49" s="3"/>
      <c r="R49" s="11"/>
    </row>
    <row r="50" spans="2:18" s="16" customFormat="1" hidden="1" outlineLevel="1" x14ac:dyDescent="0.35">
      <c r="B50" s="35" t="str">
        <f>CONCATENATE("          ", "4217", " - ", "NON-TAXABLE SALES-DORM/HOUSEWA")</f>
        <v xml:space="preserve">          4217 - NON-TAXABLE SALES-DORM/HOUSEWA</v>
      </c>
      <c r="D50" s="11">
        <f t="shared" ref="D50:D51" si="14">0*-1</f>
        <v>0</v>
      </c>
      <c r="F50" s="11">
        <f t="shared" ref="F50:F51" si="15">0*-1</f>
        <v>0</v>
      </c>
      <c r="G50" s="3"/>
      <c r="H50" s="11">
        <f>0*-1</f>
        <v>0</v>
      </c>
      <c r="I50" s="3"/>
      <c r="J50" s="11">
        <f>-5.96</f>
        <v>-5.96</v>
      </c>
      <c r="K50" s="3"/>
      <c r="L50" s="11">
        <f>-2.99</f>
        <v>-2.99</v>
      </c>
      <c r="M50" s="3"/>
      <c r="N50" s="11">
        <f>-2.98</f>
        <v>-2.98</v>
      </c>
      <c r="O50" s="3"/>
      <c r="P50" s="11"/>
      <c r="Q50" s="3"/>
      <c r="R50" s="11"/>
    </row>
    <row r="51" spans="2:18" s="16" customFormat="1" hidden="1" outlineLevel="1" x14ac:dyDescent="0.35">
      <c r="B51" s="35" t="str">
        <f>CONCATENATE("          ", "4219", " - ", "SALES RETURN TAXABLE-BOOK RELA")</f>
        <v xml:space="preserve">          4219 - SALES RETURN TAXABLE-BOOK RELA</v>
      </c>
      <c r="D51" s="11">
        <f t="shared" si="14"/>
        <v>0</v>
      </c>
      <c r="F51" s="11">
        <f t="shared" si="15"/>
        <v>0</v>
      </c>
      <c r="G51" s="3"/>
      <c r="H51" s="11">
        <f>55.86*-1</f>
        <v>-55.86</v>
      </c>
      <c r="I51" s="3"/>
      <c r="J51" s="11">
        <f>-42.59</f>
        <v>-42.59</v>
      </c>
      <c r="K51" s="3"/>
      <c r="L51" s="11">
        <f>0</f>
        <v>0</v>
      </c>
      <c r="M51" s="3"/>
      <c r="N51" s="11">
        <f>0</f>
        <v>0</v>
      </c>
      <c r="O51" s="3"/>
      <c r="P51" s="11"/>
      <c r="Q51" s="3"/>
      <c r="R51" s="11"/>
    </row>
    <row r="52" spans="2:18" s="16" customFormat="1" hidden="1" outlineLevel="1" x14ac:dyDescent="0.35">
      <c r="B52" s="35" t="str">
        <f>CONCATENATE("          ", "4225", " - ", "SALES RETURN TAXABLE-TEST FORM")</f>
        <v xml:space="preserve">          4225 - SALES RETURN TAXABLE-TEST FORM</v>
      </c>
      <c r="D52" s="11">
        <f>4449.52*-1</f>
        <v>-4449.5200000000004</v>
      </c>
      <c r="F52" s="11">
        <f>375.44*-1</f>
        <v>-375.44</v>
      </c>
      <c r="G52" s="3"/>
      <c r="H52" s="11">
        <f>242.59*-1</f>
        <v>-242.59</v>
      </c>
      <c r="I52" s="3"/>
      <c r="J52" s="11">
        <f>-667.94</f>
        <v>-667.94</v>
      </c>
      <c r="K52" s="3"/>
      <c r="L52" s="11">
        <f>-191.21</f>
        <v>-191.21</v>
      </c>
      <c r="M52" s="3"/>
      <c r="N52" s="11">
        <f>-205.91</f>
        <v>-205.91</v>
      </c>
      <c r="O52" s="3"/>
      <c r="P52" s="11"/>
      <c r="Q52" s="3"/>
      <c r="R52" s="11"/>
    </row>
    <row r="53" spans="2:18" s="16" customFormat="1" hidden="1" outlineLevel="1" x14ac:dyDescent="0.35">
      <c r="B53" s="35" t="str">
        <f>CONCATENATE("          ", "4226", " - ", "SALES RETURN TAXABLE-WRITING I")</f>
        <v xml:space="preserve">          4226 - SALES RETURN TAXABLE-WRITING I</v>
      </c>
      <c r="D53" s="11">
        <f>445.19*-1</f>
        <v>-445.19</v>
      </c>
      <c r="F53" s="11">
        <f>912.62*-1</f>
        <v>-912.62</v>
      </c>
      <c r="G53" s="3"/>
      <c r="H53" s="11">
        <f>1356.06*-1</f>
        <v>-1356.06</v>
      </c>
      <c r="I53" s="3"/>
      <c r="J53" s="11">
        <f>-540.77</f>
        <v>-540.77</v>
      </c>
      <c r="K53" s="3"/>
      <c r="L53" s="11">
        <f>-760.66</f>
        <v>-760.66</v>
      </c>
      <c r="M53" s="3"/>
      <c r="N53" s="11">
        <f>-789.64</f>
        <v>-789.64</v>
      </c>
      <c r="O53" s="3"/>
      <c r="P53" s="11"/>
      <c r="Q53" s="3"/>
      <c r="R53" s="11"/>
    </row>
    <row r="54" spans="2:18" s="16" customFormat="1" hidden="1" outlineLevel="1" x14ac:dyDescent="0.35">
      <c r="B54" s="35" t="str">
        <f>CONCATENATE("          ", "4227", " - ", "SALES RETURN TAXABLE-SCHOOL SU")</f>
        <v xml:space="preserve">          4227 - SALES RETURN TAXABLE-SCHOOL SU</v>
      </c>
      <c r="D54" s="11">
        <f>11131.77*-1</f>
        <v>-11131.77</v>
      </c>
      <c r="F54" s="11">
        <f>8167.43*-1</f>
        <v>-8167.43</v>
      </c>
      <c r="G54" s="3"/>
      <c r="H54" s="11">
        <f>11163.54*-1</f>
        <v>-11163.54</v>
      </c>
      <c r="I54" s="3"/>
      <c r="J54" s="11">
        <f>-5098.75</f>
        <v>-5098.75</v>
      </c>
      <c r="K54" s="3"/>
      <c r="L54" s="11">
        <f>-6981.54</f>
        <v>-6981.54</v>
      </c>
      <c r="M54" s="3"/>
      <c r="N54" s="11">
        <f>-8728.9</f>
        <v>-8728.9</v>
      </c>
      <c r="O54" s="3"/>
      <c r="P54" s="11"/>
      <c r="Q54" s="3"/>
      <c r="R54" s="11"/>
    </row>
    <row r="55" spans="2:18" s="16" customFormat="1" hidden="1" outlineLevel="1" x14ac:dyDescent="0.35">
      <c r="B55" s="35" t="str">
        <f>CONCATENATE("          ", "4228", " - ", "SALES RETURN TAXABLE-ART/TECH")</f>
        <v xml:space="preserve">          4228 - SALES RETURN TAXABLE-ART/TECH</v>
      </c>
      <c r="D55" s="11">
        <f>7205.97*-1</f>
        <v>-7205.97</v>
      </c>
      <c r="F55" s="11">
        <f>9466.39*-1</f>
        <v>-9466.39</v>
      </c>
      <c r="G55" s="3"/>
      <c r="H55" s="11">
        <f>9563.97*-1</f>
        <v>-9563.9699999999993</v>
      </c>
      <c r="I55" s="3"/>
      <c r="J55" s="11">
        <f>-7513.66</f>
        <v>-7513.66</v>
      </c>
      <c r="K55" s="3"/>
      <c r="L55" s="11">
        <f>-8342.73</f>
        <v>-8342.73</v>
      </c>
      <c r="M55" s="3"/>
      <c r="N55" s="11">
        <f>-4739.1</f>
        <v>-4739.1000000000004</v>
      </c>
      <c r="O55" s="3"/>
      <c r="P55" s="11"/>
      <c r="Q55" s="3"/>
      <c r="R55" s="11"/>
    </row>
    <row r="56" spans="2:18" s="16" customFormat="1" hidden="1" outlineLevel="1" x14ac:dyDescent="0.35">
      <c r="B56" s="35" t="str">
        <f>CONCATENATE("          ", "4233", " - ", "SALES RETURN TAXABLE-CANDY")</f>
        <v xml:space="preserve">          4233 - SALES RETURN TAXABLE-CANDY</v>
      </c>
      <c r="D56" s="11">
        <f>4.97*-1</f>
        <v>-4.97</v>
      </c>
      <c r="F56" s="11">
        <f>71.15*-1</f>
        <v>-71.150000000000006</v>
      </c>
      <c r="G56" s="3"/>
      <c r="H56" s="11">
        <f>56.39*-1</f>
        <v>-56.39</v>
      </c>
      <c r="I56" s="3"/>
      <c r="J56" s="11">
        <f>-2.91</f>
        <v>-2.91</v>
      </c>
      <c r="K56" s="3"/>
      <c r="L56" s="11">
        <f>-143.5</f>
        <v>-143.5</v>
      </c>
      <c r="M56" s="3"/>
      <c r="N56" s="11">
        <f>-8.25</f>
        <v>-8.25</v>
      </c>
      <c r="O56" s="3"/>
      <c r="P56" s="11"/>
      <c r="Q56" s="3"/>
      <c r="R56" s="11"/>
    </row>
    <row r="57" spans="2:18" s="16" customFormat="1" hidden="1" outlineLevel="1" x14ac:dyDescent="0.35">
      <c r="B57" s="35" t="str">
        <f>CONCATENATE("          ", "4234", " - ", "SALES RETURN TAXABLE-SODA")</f>
        <v xml:space="preserve">          4234 - SALES RETURN TAXABLE-SODA</v>
      </c>
      <c r="D57" s="11">
        <f>5.25*-1</f>
        <v>-5.25</v>
      </c>
      <c r="F57" s="11">
        <f>10.78*-1</f>
        <v>-10.78</v>
      </c>
      <c r="G57" s="3"/>
      <c r="H57" s="11">
        <f>21*-1</f>
        <v>-21</v>
      </c>
      <c r="I57" s="3"/>
      <c r="J57" s="11">
        <f>0</f>
        <v>0</v>
      </c>
      <c r="K57" s="3"/>
      <c r="L57" s="11">
        <f>-368.16</f>
        <v>-368.16</v>
      </c>
      <c r="M57" s="3"/>
      <c r="N57" s="11">
        <f>0</f>
        <v>0</v>
      </c>
      <c r="O57" s="3"/>
      <c r="P57" s="11"/>
      <c r="Q57" s="3"/>
      <c r="R57" s="11"/>
    </row>
    <row r="58" spans="2:18" s="16" customFormat="1" hidden="1" outlineLevel="1" x14ac:dyDescent="0.35">
      <c r="B58" s="35" t="str">
        <f>CONCATENATE("          ", "4281", " - ", "SALES RETURN TAXABLE-ELECTRONI")</f>
        <v xml:space="preserve">          4281 - SALES RETURN TAXABLE-ELECTRONI</v>
      </c>
      <c r="D58" s="11">
        <f>19.98*-1</f>
        <v>-19.98</v>
      </c>
      <c r="F58" s="11">
        <f>14.99*-1</f>
        <v>-14.99</v>
      </c>
      <c r="G58" s="3"/>
      <c r="H58" s="11">
        <f>19.99*-1</f>
        <v>-19.989999999999998</v>
      </c>
      <c r="I58" s="3"/>
      <c r="J58" s="11">
        <f>-97.96</f>
        <v>-97.96</v>
      </c>
      <c r="K58" s="3"/>
      <c r="L58" s="11">
        <f>-64.95</f>
        <v>-64.95</v>
      </c>
      <c r="M58" s="3"/>
      <c r="N58" s="11">
        <f>-54.97</f>
        <v>-54.97</v>
      </c>
      <c r="O58" s="3"/>
      <c r="P58" s="11"/>
      <c r="Q58" s="3"/>
      <c r="R58" s="11"/>
    </row>
    <row r="59" spans="2:18" s="16" customFormat="1" hidden="1" outlineLevel="1" x14ac:dyDescent="0.35">
      <c r="B59" s="35" t="str">
        <f>CONCATENATE("          ", "4325", " - ", "SALES RETURN NON TAXABLE-TEST")</f>
        <v xml:space="preserve">          4325 - SALES RETURN NON TAXABLE-TEST</v>
      </c>
      <c r="D59" s="11">
        <f t="shared" ref="D59:D60" si="16">0*-1</f>
        <v>0</v>
      </c>
      <c r="F59" s="11">
        <f>3.33*-1</f>
        <v>-3.33</v>
      </c>
      <c r="G59" s="3"/>
      <c r="H59" s="11">
        <f>0*-1</f>
        <v>0</v>
      </c>
      <c r="I59" s="3"/>
      <c r="J59" s="11">
        <f>0</f>
        <v>0</v>
      </c>
      <c r="K59" s="3"/>
      <c r="L59" s="11">
        <f>0</f>
        <v>0</v>
      </c>
      <c r="M59" s="3"/>
      <c r="N59" s="11">
        <f>0</f>
        <v>0</v>
      </c>
      <c r="O59" s="3"/>
      <c r="P59" s="11"/>
      <c r="Q59" s="3"/>
      <c r="R59" s="11"/>
    </row>
    <row r="60" spans="2:18" s="16" customFormat="1" hidden="1" outlineLevel="1" x14ac:dyDescent="0.35">
      <c r="B60" s="35" t="str">
        <f>CONCATENATE("          ", "4326", " - ", "SALES RETURN NON TAXABLE-WRITI")</f>
        <v xml:space="preserve">          4326 - SALES RETURN NON TAXABLE-WRITI</v>
      </c>
      <c r="D60" s="11">
        <f t="shared" si="16"/>
        <v>0</v>
      </c>
      <c r="F60" s="11">
        <f t="shared" ref="F60:F62" si="17">0*-1</f>
        <v>0</v>
      </c>
      <c r="G60" s="3"/>
      <c r="H60" s="11">
        <f>3.38*-1</f>
        <v>-3.38</v>
      </c>
      <c r="I60" s="3"/>
      <c r="J60" s="11">
        <f>-3.78</f>
        <v>-3.78</v>
      </c>
      <c r="K60" s="3"/>
      <c r="L60" s="11">
        <f>-28.23</f>
        <v>-28.23</v>
      </c>
      <c r="M60" s="3"/>
      <c r="N60" s="11">
        <f>-2.98</f>
        <v>-2.98</v>
      </c>
      <c r="O60" s="3"/>
      <c r="P60" s="11"/>
      <c r="Q60" s="3"/>
      <c r="R60" s="11"/>
    </row>
    <row r="61" spans="2:18" s="16" customFormat="1" hidden="1" outlineLevel="1" x14ac:dyDescent="0.35">
      <c r="B61" s="35" t="str">
        <f>CONCATENATE("          ", "4327", " - ", "SALES RETURN NON TAXABLE-SCHOO")</f>
        <v xml:space="preserve">          4327 - SALES RETURN NON TAXABLE-SCHOO</v>
      </c>
      <c r="D61" s="11">
        <f>30.57*-1</f>
        <v>-30.57</v>
      </c>
      <c r="F61" s="11">
        <f t="shared" si="17"/>
        <v>0</v>
      </c>
      <c r="G61" s="3"/>
      <c r="H61" s="11">
        <f>81.8*-1</f>
        <v>-81.8</v>
      </c>
      <c r="I61" s="3"/>
      <c r="J61" s="11">
        <f>-10.78</f>
        <v>-10.78</v>
      </c>
      <c r="K61" s="3"/>
      <c r="L61" s="11">
        <f>-4.99</f>
        <v>-4.99</v>
      </c>
      <c r="M61" s="3"/>
      <c r="N61" s="11">
        <f>-21.87</f>
        <v>-21.87</v>
      </c>
      <c r="O61" s="3"/>
      <c r="P61" s="11"/>
      <c r="Q61" s="3"/>
      <c r="R61" s="11"/>
    </row>
    <row r="62" spans="2:18" s="16" customFormat="1" hidden="1" outlineLevel="1" x14ac:dyDescent="0.35">
      <c r="B62" s="35" t="str">
        <f>CONCATENATE("          ", "4328", " - ", "SALES RETURN NON TAXABLE-ART/T")</f>
        <v xml:space="preserve">          4328 - SALES RETURN NON TAXABLE-ART/T</v>
      </c>
      <c r="D62" s="11">
        <f>11.29*-1</f>
        <v>-11.29</v>
      </c>
      <c r="F62" s="11">
        <f t="shared" si="17"/>
        <v>0</v>
      </c>
      <c r="G62" s="3"/>
      <c r="H62" s="11">
        <f t="shared" ref="H62:H63" si="18">0*-1</f>
        <v>0</v>
      </c>
      <c r="I62" s="3"/>
      <c r="J62" s="11">
        <f t="shared" ref="J62:J66" si="19">0</f>
        <v>0</v>
      </c>
      <c r="K62" s="3"/>
      <c r="L62" s="11">
        <f t="shared" ref="L62:L66" si="20">0</f>
        <v>0</v>
      </c>
      <c r="M62" s="3"/>
      <c r="N62" s="11">
        <f>0</f>
        <v>0</v>
      </c>
      <c r="O62" s="3"/>
      <c r="P62" s="11"/>
      <c r="Q62" s="3"/>
      <c r="R62" s="11"/>
    </row>
    <row r="63" spans="2:18" s="16" customFormat="1" hidden="1" outlineLevel="1" x14ac:dyDescent="0.35">
      <c r="B63" s="35" t="str">
        <f>CONCATENATE("          ", "4331", " - ", "SALES RETURN NON TAXABLE-FOOD")</f>
        <v xml:space="preserve">          4331 - SALES RETURN NON TAXABLE-FOOD</v>
      </c>
      <c r="D63" s="11">
        <f>40.61*-1</f>
        <v>-40.61</v>
      </c>
      <c r="F63" s="11">
        <f>57.11*-1</f>
        <v>-57.11</v>
      </c>
      <c r="G63" s="3"/>
      <c r="H63" s="11">
        <f t="shared" si="18"/>
        <v>0</v>
      </c>
      <c r="I63" s="3"/>
      <c r="J63" s="11">
        <f t="shared" si="19"/>
        <v>0</v>
      </c>
      <c r="K63" s="3"/>
      <c r="L63" s="11">
        <f t="shared" si="20"/>
        <v>0</v>
      </c>
      <c r="M63" s="3"/>
      <c r="N63" s="11">
        <f>-12.57</f>
        <v>-12.57</v>
      </c>
      <c r="O63" s="3"/>
      <c r="P63" s="11"/>
      <c r="Q63" s="3"/>
      <c r="R63" s="11"/>
    </row>
    <row r="64" spans="2:18" s="16" customFormat="1" hidden="1" outlineLevel="1" x14ac:dyDescent="0.35">
      <c r="B64" s="35" t="str">
        <f>CONCATENATE("          ", "4332", " - ", "SALES RETURN NON TAXABLE-JUICE")</f>
        <v xml:space="preserve">          4332 - SALES RETURN NON TAXABLE-JUICE</v>
      </c>
      <c r="D64" s="11">
        <f>4.29*-1</f>
        <v>-4.29</v>
      </c>
      <c r="F64" s="11">
        <f>47.49*-1</f>
        <v>-47.49</v>
      </c>
      <c r="G64" s="3"/>
      <c r="H64" s="11">
        <f>2.3*-1</f>
        <v>-2.2999999999999998</v>
      </c>
      <c r="I64" s="3"/>
      <c r="J64" s="11">
        <f t="shared" si="19"/>
        <v>0</v>
      </c>
      <c r="K64" s="3"/>
      <c r="L64" s="11">
        <f t="shared" si="20"/>
        <v>0</v>
      </c>
      <c r="M64" s="3"/>
      <c r="N64" s="11">
        <f>-2.79</f>
        <v>-2.79</v>
      </c>
      <c r="O64" s="3"/>
      <c r="P64" s="11"/>
      <c r="Q64" s="3"/>
      <c r="R64" s="11"/>
    </row>
    <row r="65" spans="1:18" s="16" customFormat="1" hidden="1" outlineLevel="1" x14ac:dyDescent="0.35">
      <c r="B65" s="35" t="str">
        <f>CONCATENATE("          ", "4333", " - ", "SALES RETURN NON TAXABLE-CANDY")</f>
        <v xml:space="preserve">          4333 - SALES RETURN NON TAXABLE-CANDY</v>
      </c>
      <c r="D65" s="11">
        <f>19.2*-1</f>
        <v>-19.2</v>
      </c>
      <c r="F65" s="11">
        <f>13.54*-1</f>
        <v>-13.54</v>
      </c>
      <c r="G65" s="3"/>
      <c r="H65" s="11">
        <f t="shared" ref="H65:H66" si="21">0*-1</f>
        <v>0</v>
      </c>
      <c r="I65" s="3"/>
      <c r="J65" s="11">
        <f t="shared" si="19"/>
        <v>0</v>
      </c>
      <c r="K65" s="3"/>
      <c r="L65" s="11">
        <f t="shared" si="20"/>
        <v>0</v>
      </c>
      <c r="M65" s="3"/>
      <c r="N65" s="11">
        <f t="shared" ref="N65:N66" si="22">0</f>
        <v>0</v>
      </c>
      <c r="O65" s="3"/>
      <c r="P65" s="11"/>
      <c r="Q65" s="3"/>
      <c r="R65" s="11"/>
    </row>
    <row r="66" spans="1:18" s="16" customFormat="1" hidden="1" outlineLevel="1" x14ac:dyDescent="0.35">
      <c r="B66" s="35" t="str">
        <f>CONCATENATE("          ", "4337", " - ", "SALES RETURN NON TAXABLE-WATER")</f>
        <v xml:space="preserve">          4337 - SALES RETURN NON TAXABLE-WATER</v>
      </c>
      <c r="D66" s="11">
        <f>21.78*-1</f>
        <v>-21.78</v>
      </c>
      <c r="F66" s="11">
        <f>0*-1</f>
        <v>0</v>
      </c>
      <c r="G66" s="3"/>
      <c r="H66" s="11">
        <f t="shared" si="21"/>
        <v>0</v>
      </c>
      <c r="I66" s="3"/>
      <c r="J66" s="11">
        <f t="shared" si="19"/>
        <v>0</v>
      </c>
      <c r="K66" s="3"/>
      <c r="L66" s="11">
        <f t="shared" si="20"/>
        <v>0</v>
      </c>
      <c r="M66" s="3"/>
      <c r="N66" s="11">
        <f t="shared" si="22"/>
        <v>0</v>
      </c>
      <c r="O66" s="3"/>
      <c r="P66" s="11"/>
      <c r="Q66" s="3"/>
      <c r="R66" s="11"/>
    </row>
    <row r="67" spans="1:18" s="12" customFormat="1" x14ac:dyDescent="0.35">
      <c r="B67" s="7"/>
      <c r="D67" s="6"/>
      <c r="F67" s="6"/>
      <c r="G67" s="5"/>
      <c r="H67" s="6"/>
      <c r="I67" s="5"/>
      <c r="J67" s="6"/>
      <c r="K67" s="5"/>
      <c r="L67" s="6"/>
      <c r="M67" s="5"/>
      <c r="N67" s="6"/>
      <c r="O67" s="5"/>
      <c r="P67" s="6"/>
      <c r="Q67" s="5"/>
      <c r="R67" s="6"/>
    </row>
    <row r="68" spans="1:18" s="12" customFormat="1" collapsed="1" x14ac:dyDescent="0.35">
      <c r="B68" s="7" t="s">
        <v>278</v>
      </c>
      <c r="D68" s="8">
        <f>SUM(OSRRefD14x_0)</f>
        <v>486982.65999999992</v>
      </c>
      <c r="E68" s="8"/>
      <c r="F68" s="8">
        <f>SUM(OSRRefF14x_0)</f>
        <v>529676.92999999993</v>
      </c>
      <c r="G68" s="8"/>
      <c r="H68" s="8">
        <f>SUM(OSRRefH14x_0)</f>
        <v>519831.05000000016</v>
      </c>
      <c r="I68" s="8"/>
      <c r="J68" s="8">
        <f>SUM(OSRRefJ14x_0)</f>
        <v>495093.05</v>
      </c>
      <c r="K68" s="8"/>
      <c r="L68" s="8">
        <f>SUM(OSRRefL14x_0)</f>
        <v>496429.59000000008</v>
      </c>
      <c r="M68" s="8"/>
      <c r="N68" s="8">
        <f>SUM(OSRRefN14x_0)</f>
        <v>457478.95000000007</v>
      </c>
      <c r="O68" s="8"/>
      <c r="P68" s="8">
        <f>SUM(OSRRefP14x_0)</f>
        <v>82136</v>
      </c>
      <c r="Q68" s="8"/>
      <c r="R68" s="8">
        <f>SUM(OSRRefR14x_0)</f>
        <v>266313</v>
      </c>
    </row>
    <row r="69" spans="1:18" s="44" customFormat="1" hidden="1" outlineLevel="1" x14ac:dyDescent="0.35">
      <c r="A69" s="16"/>
      <c r="B69" s="35" t="str">
        <f>CONCATENATE("          ", "5000", " - ", "PURCHASES @ COST")</f>
        <v xml:space="preserve">          5000 - PURCHASES @ COST</v>
      </c>
      <c r="C69" s="16"/>
      <c r="D69" s="11"/>
      <c r="E69" s="16"/>
      <c r="F69" s="11"/>
      <c r="G69" s="3"/>
      <c r="H69" s="11"/>
      <c r="I69" s="3"/>
      <c r="J69" s="11"/>
      <c r="K69" s="3"/>
      <c r="L69" s="11"/>
      <c r="M69" s="3"/>
      <c r="N69" s="11">
        <v>0</v>
      </c>
      <c r="O69" s="3"/>
      <c r="P69" s="11">
        <v>82136</v>
      </c>
      <c r="Q69" s="3"/>
      <c r="R69" s="11">
        <v>266313</v>
      </c>
    </row>
    <row r="70" spans="1:18" s="44" customFormat="1" hidden="1" outlineLevel="1" x14ac:dyDescent="0.35">
      <c r="A70" s="16"/>
      <c r="B70" s="35" t="str">
        <f>CONCATENATE("          ", "5012", " - ", "PURCHASES @ COST-MAGAZINES")</f>
        <v xml:space="preserve">          5012 - PURCHASES @ COST-MAGAZINES</v>
      </c>
      <c r="C70" s="16"/>
      <c r="D70" s="11"/>
      <c r="E70" s="16"/>
      <c r="F70" s="11">
        <v>48.61</v>
      </c>
      <c r="G70" s="3"/>
      <c r="H70" s="11"/>
      <c r="I70" s="3"/>
      <c r="J70" s="11"/>
      <c r="K70" s="3"/>
      <c r="L70" s="11"/>
      <c r="M70" s="3"/>
      <c r="N70" s="11"/>
      <c r="O70" s="3"/>
      <c r="P70" s="11"/>
      <c r="Q70" s="3"/>
      <c r="R70" s="11"/>
    </row>
    <row r="71" spans="1:18" s="44" customFormat="1" hidden="1" outlineLevel="1" x14ac:dyDescent="0.35">
      <c r="A71" s="16"/>
      <c r="B71" s="35" t="str">
        <f>CONCATENATE("          ", "5013", " - ", "PURCHASES @ COST-TRADE BOOKS")</f>
        <v xml:space="preserve">          5013 - PURCHASES @ COST-TRADE BOOKS</v>
      </c>
      <c r="C71" s="16"/>
      <c r="D71" s="11">
        <v>998.63</v>
      </c>
      <c r="E71" s="16"/>
      <c r="F71" s="11">
        <v>132.18</v>
      </c>
      <c r="G71" s="3"/>
      <c r="H71" s="11">
        <v>92.28</v>
      </c>
      <c r="I71" s="3"/>
      <c r="J71" s="11"/>
      <c r="K71" s="3"/>
      <c r="L71" s="11"/>
      <c r="M71" s="3"/>
      <c r="N71" s="11"/>
      <c r="O71" s="3"/>
      <c r="P71" s="11"/>
      <c r="Q71" s="3"/>
      <c r="R71" s="11"/>
    </row>
    <row r="72" spans="1:18" s="44" customFormat="1" hidden="1" outlineLevel="1" x14ac:dyDescent="0.35">
      <c r="A72" s="16"/>
      <c r="B72" s="35" t="str">
        <f>CONCATENATE("          ", "5014", " - ", "PURCHASES @ COST-REMAINDERS")</f>
        <v xml:space="preserve">          5014 - PURCHASES @ COST-REMAINDERS</v>
      </c>
      <c r="C72" s="16"/>
      <c r="D72" s="11"/>
      <c r="E72" s="16"/>
      <c r="F72" s="11">
        <v>25.55</v>
      </c>
      <c r="G72" s="3"/>
      <c r="H72" s="11"/>
      <c r="I72" s="3"/>
      <c r="J72" s="11"/>
      <c r="K72" s="3"/>
      <c r="L72" s="11"/>
      <c r="M72" s="3"/>
      <c r="N72" s="11">
        <v>14.46</v>
      </c>
      <c r="O72" s="3"/>
      <c r="P72" s="11"/>
      <c r="Q72" s="3"/>
      <c r="R72" s="11"/>
    </row>
    <row r="73" spans="1:18" s="44" customFormat="1" hidden="1" outlineLevel="1" x14ac:dyDescent="0.35">
      <c r="A73" s="16"/>
      <c r="B73" s="35" t="str">
        <f>CONCATENATE("          ", "5017", " - ", "PURCHASES @ COST-DORM/HOUSEWAR")</f>
        <v xml:space="preserve">          5017 - PURCHASES @ COST-DORM/HOUSEWAR</v>
      </c>
      <c r="C73" s="16"/>
      <c r="D73" s="11">
        <v>15.7</v>
      </c>
      <c r="E73" s="16"/>
      <c r="F73" s="11"/>
      <c r="G73" s="3"/>
      <c r="H73" s="11"/>
      <c r="I73" s="3"/>
      <c r="J73" s="11">
        <v>3451.82</v>
      </c>
      <c r="K73" s="3"/>
      <c r="L73" s="11">
        <v>239.9</v>
      </c>
      <c r="M73" s="3"/>
      <c r="N73" s="11">
        <v>14.46</v>
      </c>
      <c r="O73" s="3"/>
      <c r="P73" s="11"/>
      <c r="Q73" s="3"/>
      <c r="R73" s="11"/>
    </row>
    <row r="74" spans="1:18" s="44" customFormat="1" hidden="1" outlineLevel="1" x14ac:dyDescent="0.35">
      <c r="A74" s="16"/>
      <c r="B74" s="35" t="str">
        <f>CONCATENATE("          ", "5019", " - ", "PURCHASES @ COST-BOOK RELATED")</f>
        <v xml:space="preserve">          5019 - PURCHASES @ COST-BOOK RELATED</v>
      </c>
      <c r="C74" s="16"/>
      <c r="D74" s="11"/>
      <c r="E74" s="16"/>
      <c r="F74" s="11">
        <v>0</v>
      </c>
      <c r="G74" s="3"/>
      <c r="H74" s="11">
        <v>330.18</v>
      </c>
      <c r="I74" s="3"/>
      <c r="J74" s="11">
        <v>148.38</v>
      </c>
      <c r="K74" s="3"/>
      <c r="L74" s="11"/>
      <c r="M74" s="3"/>
      <c r="N74" s="11"/>
      <c r="O74" s="3"/>
      <c r="P74" s="11"/>
      <c r="Q74" s="3"/>
      <c r="R74" s="11"/>
    </row>
    <row r="75" spans="1:18" s="44" customFormat="1" hidden="1" outlineLevel="1" x14ac:dyDescent="0.35">
      <c r="A75" s="16"/>
      <c r="B75" s="35" t="str">
        <f>CONCATENATE("          ", "5025", " - ", "PURCHASES @ COST-TEST FORMS")</f>
        <v xml:space="preserve">          5025 - PURCHASES @ COST-TEST FORMS</v>
      </c>
      <c r="C75" s="16"/>
      <c r="D75" s="11">
        <v>21030.57</v>
      </c>
      <c r="E75" s="16"/>
      <c r="F75" s="11">
        <v>27805.4</v>
      </c>
      <c r="G75" s="3"/>
      <c r="H75" s="11">
        <v>26554.35</v>
      </c>
      <c r="I75" s="3"/>
      <c r="J75" s="11">
        <v>27877.89</v>
      </c>
      <c r="K75" s="3"/>
      <c r="L75" s="11">
        <v>21276.45</v>
      </c>
      <c r="M75" s="3"/>
      <c r="N75" s="11">
        <v>26394.33</v>
      </c>
      <c r="O75" s="3"/>
      <c r="P75" s="11"/>
      <c r="Q75" s="3"/>
      <c r="R75" s="11"/>
    </row>
    <row r="76" spans="1:18" s="44" customFormat="1" hidden="1" outlineLevel="1" x14ac:dyDescent="0.35">
      <c r="A76" s="16"/>
      <c r="B76" s="35" t="str">
        <f>CONCATENATE("          ", "5026", " - ", "PURCHASES @ COST-WRITING INSTR")</f>
        <v xml:space="preserve">          5026 - PURCHASES @ COST-WRITING INSTR</v>
      </c>
      <c r="C76" s="16"/>
      <c r="D76" s="11">
        <v>45767.54</v>
      </c>
      <c r="E76" s="16"/>
      <c r="F76" s="11">
        <v>51545.14</v>
      </c>
      <c r="G76" s="3"/>
      <c r="H76" s="11">
        <v>54958.47</v>
      </c>
      <c r="I76" s="3"/>
      <c r="J76" s="11">
        <v>44531.33</v>
      </c>
      <c r="K76" s="3"/>
      <c r="L76" s="11">
        <v>54394.04</v>
      </c>
      <c r="M76" s="3"/>
      <c r="N76" s="11">
        <v>42992.76</v>
      </c>
      <c r="O76" s="3"/>
      <c r="P76" s="11"/>
      <c r="Q76" s="3"/>
      <c r="R76" s="11"/>
    </row>
    <row r="77" spans="1:18" s="44" customFormat="1" hidden="1" outlineLevel="1" x14ac:dyDescent="0.35">
      <c r="A77" s="16"/>
      <c r="B77" s="35" t="str">
        <f>CONCATENATE("          ", "5027", " - ", "PURCHASES @ COST-SCHOOL SUPPLI")</f>
        <v xml:space="preserve">          5027 - PURCHASES @ COST-SCHOOL SUPPLI</v>
      </c>
      <c r="C77" s="16"/>
      <c r="D77" s="11">
        <v>164667.96</v>
      </c>
      <c r="E77" s="16"/>
      <c r="F77" s="11">
        <v>178144.02</v>
      </c>
      <c r="G77" s="3"/>
      <c r="H77" s="11">
        <v>155046.39999999999</v>
      </c>
      <c r="I77" s="3"/>
      <c r="J77" s="11">
        <v>172337.13</v>
      </c>
      <c r="K77" s="3"/>
      <c r="L77" s="11">
        <v>168298.71</v>
      </c>
      <c r="M77" s="3"/>
      <c r="N77" s="11">
        <v>152856.47</v>
      </c>
      <c r="O77" s="3"/>
      <c r="P77" s="11"/>
      <c r="Q77" s="3"/>
      <c r="R77" s="11"/>
    </row>
    <row r="78" spans="1:18" s="44" customFormat="1" hidden="1" outlineLevel="1" x14ac:dyDescent="0.35">
      <c r="A78" s="16"/>
      <c r="B78" s="35" t="str">
        <f>CONCATENATE("          ", "5028", " - ", "PURCHASES @ COST-ART/TECH")</f>
        <v xml:space="preserve">          5028 - PURCHASES @ COST-ART/TECH</v>
      </c>
      <c r="C78" s="16"/>
      <c r="D78" s="11">
        <v>183333.92</v>
      </c>
      <c r="E78" s="16"/>
      <c r="F78" s="11">
        <v>197619.55</v>
      </c>
      <c r="G78" s="3"/>
      <c r="H78" s="11">
        <v>186438.47</v>
      </c>
      <c r="I78" s="3"/>
      <c r="J78" s="11">
        <v>196119.28</v>
      </c>
      <c r="K78" s="3"/>
      <c r="L78" s="11">
        <v>178081.3</v>
      </c>
      <c r="M78" s="3"/>
      <c r="N78" s="11">
        <v>158554.31</v>
      </c>
      <c r="O78" s="3"/>
      <c r="P78" s="11"/>
      <c r="Q78" s="3"/>
      <c r="R78" s="11"/>
    </row>
    <row r="79" spans="1:18" s="44" customFormat="1" hidden="1" outlineLevel="1" x14ac:dyDescent="0.35">
      <c r="A79" s="16"/>
      <c r="B79" s="35" t="str">
        <f>CONCATENATE("          ", "5031", " - ", "PURCHASES @ COST-FOOD")</f>
        <v xml:space="preserve">          5031 - PURCHASES @ COST-FOOD</v>
      </c>
      <c r="C79" s="16"/>
      <c r="D79" s="11">
        <v>27168.41</v>
      </c>
      <c r="E79" s="16"/>
      <c r="F79" s="11">
        <v>33416.9</v>
      </c>
      <c r="G79" s="3"/>
      <c r="H79" s="11">
        <v>45602.26</v>
      </c>
      <c r="I79" s="3"/>
      <c r="J79" s="11">
        <v>42979.55</v>
      </c>
      <c r="K79" s="3"/>
      <c r="L79" s="11">
        <v>39394.629999999997</v>
      </c>
      <c r="M79" s="3"/>
      <c r="N79" s="11">
        <v>33239.879999999997</v>
      </c>
      <c r="O79" s="3"/>
      <c r="P79" s="11"/>
      <c r="Q79" s="3"/>
      <c r="R79" s="11"/>
    </row>
    <row r="80" spans="1:18" s="44" customFormat="1" hidden="1" outlineLevel="1" x14ac:dyDescent="0.35">
      <c r="A80" s="16"/>
      <c r="B80" s="35" t="str">
        <f>CONCATENATE("          ", "5032", " - ", "PURCHASES @ COST-JUICE")</f>
        <v xml:space="preserve">          5032 - PURCHASES @ COST-JUICE</v>
      </c>
      <c r="C80" s="16"/>
      <c r="D80" s="11">
        <v>11186.97</v>
      </c>
      <c r="E80" s="16"/>
      <c r="F80" s="11">
        <v>12546.04</v>
      </c>
      <c r="G80" s="3"/>
      <c r="H80" s="11">
        <v>12180.65</v>
      </c>
      <c r="I80" s="3"/>
      <c r="J80" s="11">
        <v>10408.11</v>
      </c>
      <c r="K80" s="3"/>
      <c r="L80" s="11">
        <v>10038.59</v>
      </c>
      <c r="M80" s="3"/>
      <c r="N80" s="11">
        <v>7802.45</v>
      </c>
      <c r="O80" s="3"/>
      <c r="P80" s="11"/>
      <c r="Q80" s="3"/>
      <c r="R80" s="11"/>
    </row>
    <row r="81" spans="1:18" s="44" customFormat="1" hidden="1" outlineLevel="1" x14ac:dyDescent="0.35">
      <c r="A81" s="16"/>
      <c r="B81" s="35" t="str">
        <f>CONCATENATE("          ", "5033", " - ", "PURCHASES @ COST-CANDY")</f>
        <v xml:space="preserve">          5033 - PURCHASES @ COST-CANDY</v>
      </c>
      <c r="C81" s="16"/>
      <c r="D81" s="11">
        <v>15944.82</v>
      </c>
      <c r="E81" s="16"/>
      <c r="F81" s="11">
        <v>18911.07</v>
      </c>
      <c r="G81" s="3"/>
      <c r="H81" s="11">
        <v>13983.2</v>
      </c>
      <c r="I81" s="3"/>
      <c r="J81" s="11">
        <v>9927</v>
      </c>
      <c r="K81" s="3"/>
      <c r="L81" s="11">
        <v>10043.27</v>
      </c>
      <c r="M81" s="3"/>
      <c r="N81" s="11">
        <v>9998.41</v>
      </c>
      <c r="O81" s="3"/>
      <c r="P81" s="11"/>
      <c r="Q81" s="3"/>
      <c r="R81" s="11"/>
    </row>
    <row r="82" spans="1:18" s="44" customFormat="1" hidden="1" outlineLevel="1" x14ac:dyDescent="0.35">
      <c r="A82" s="16"/>
      <c r="B82" s="35" t="str">
        <f>CONCATENATE("          ", "5034", " - ", "PURCHASES @ COST-SODA")</f>
        <v xml:space="preserve">          5034 - PURCHASES @ COST-SODA</v>
      </c>
      <c r="C82" s="16"/>
      <c r="D82" s="11">
        <v>3990.6</v>
      </c>
      <c r="E82" s="16"/>
      <c r="F82" s="11">
        <v>3831.77</v>
      </c>
      <c r="G82" s="3"/>
      <c r="H82" s="11">
        <v>5050.7</v>
      </c>
      <c r="I82" s="3"/>
      <c r="J82" s="11">
        <v>5363.78</v>
      </c>
      <c r="K82" s="3"/>
      <c r="L82" s="11">
        <v>3978.33</v>
      </c>
      <c r="M82" s="3"/>
      <c r="N82" s="11">
        <v>4033.88</v>
      </c>
      <c r="O82" s="3"/>
      <c r="P82" s="11"/>
      <c r="Q82" s="3"/>
      <c r="R82" s="11"/>
    </row>
    <row r="83" spans="1:18" s="44" customFormat="1" hidden="1" outlineLevel="1" x14ac:dyDescent="0.35">
      <c r="A83" s="16"/>
      <c r="B83" s="35" t="str">
        <f>CONCATENATE("          ", "5035", " - ", "PURCHASES @ COST-HEALTH &amp; BEAU")</f>
        <v xml:space="preserve">          5035 - PURCHASES @ COST-HEALTH &amp; BEAU</v>
      </c>
      <c r="C83" s="16"/>
      <c r="D83" s="11">
        <v>792.67</v>
      </c>
      <c r="E83" s="16"/>
      <c r="F83" s="11">
        <v>1167.97</v>
      </c>
      <c r="G83" s="3"/>
      <c r="H83" s="11">
        <v>1842.37</v>
      </c>
      <c r="I83" s="3"/>
      <c r="J83" s="11">
        <v>1744.79</v>
      </c>
      <c r="K83" s="3"/>
      <c r="L83" s="11">
        <v>1219.07</v>
      </c>
      <c r="M83" s="3"/>
      <c r="N83" s="11">
        <v>1117.6500000000001</v>
      </c>
      <c r="O83" s="3"/>
      <c r="P83" s="11"/>
      <c r="Q83" s="3"/>
      <c r="R83" s="11"/>
    </row>
    <row r="84" spans="1:18" s="44" customFormat="1" hidden="1" outlineLevel="1" x14ac:dyDescent="0.35">
      <c r="A84" s="16"/>
      <c r="B84" s="35" t="str">
        <f>CONCATENATE("          ", "5037", " - ", "PURCHASES @ COST-WATER")</f>
        <v xml:space="preserve">          5037 - PURCHASES @ COST-WATER</v>
      </c>
      <c r="C84" s="16"/>
      <c r="D84" s="11">
        <v>6123.42</v>
      </c>
      <c r="E84" s="16"/>
      <c r="F84" s="11">
        <v>6132.7</v>
      </c>
      <c r="G84" s="3"/>
      <c r="H84" s="11">
        <v>5203.34</v>
      </c>
      <c r="I84" s="3"/>
      <c r="J84" s="11">
        <v>5640.1</v>
      </c>
      <c r="K84" s="3"/>
      <c r="L84" s="11">
        <v>6222.5</v>
      </c>
      <c r="M84" s="3"/>
      <c r="N84" s="11">
        <v>5663.81</v>
      </c>
      <c r="O84" s="3"/>
      <c r="P84" s="11"/>
      <c r="Q84" s="3"/>
      <c r="R84" s="11"/>
    </row>
    <row r="85" spans="1:18" s="44" customFormat="1" hidden="1" outlineLevel="1" x14ac:dyDescent="0.35">
      <c r="A85" s="16"/>
      <c r="B85" s="35" t="str">
        <f>CONCATENATE("          ", "5041", " - ", "PURCHASES @ COST-LOGO GIFTS")</f>
        <v xml:space="preserve">          5041 - PURCHASES @ COST-LOGO GIFTS</v>
      </c>
      <c r="C85" s="16"/>
      <c r="D85" s="11"/>
      <c r="E85" s="16"/>
      <c r="F85" s="11"/>
      <c r="G85" s="3"/>
      <c r="H85" s="11">
        <v>466.9</v>
      </c>
      <c r="I85" s="3"/>
      <c r="J85" s="11"/>
      <c r="K85" s="3"/>
      <c r="L85" s="11"/>
      <c r="M85" s="3"/>
      <c r="N85" s="11"/>
      <c r="O85" s="3"/>
      <c r="P85" s="11"/>
      <c r="Q85" s="3"/>
      <c r="R85" s="11"/>
    </row>
    <row r="86" spans="1:18" s="44" customFormat="1" hidden="1" outlineLevel="1" x14ac:dyDescent="0.35">
      <c r="A86" s="16"/>
      <c r="B86" s="35" t="str">
        <f>CONCATENATE("          ", "5042", " - ", "PURCHASES @ COST-EVERYDAY GIFT")</f>
        <v xml:space="preserve">          5042 - PURCHASES @ COST-EVERYDAY GIFT</v>
      </c>
      <c r="C86" s="16"/>
      <c r="D86" s="11"/>
      <c r="E86" s="16"/>
      <c r="F86" s="11"/>
      <c r="G86" s="3"/>
      <c r="H86" s="11"/>
      <c r="I86" s="3"/>
      <c r="J86" s="11">
        <v>997.5</v>
      </c>
      <c r="K86" s="3"/>
      <c r="L86" s="11">
        <v>-126</v>
      </c>
      <c r="M86" s="3"/>
      <c r="N86" s="11"/>
      <c r="O86" s="3"/>
      <c r="P86" s="11"/>
      <c r="Q86" s="3"/>
      <c r="R86" s="11"/>
    </row>
    <row r="87" spans="1:18" s="44" customFormat="1" hidden="1" outlineLevel="1" x14ac:dyDescent="0.35">
      <c r="A87" s="16"/>
      <c r="B87" s="35" t="str">
        <f>CONCATENATE("          ", "5044", " - ", "PURCHASES @ COST-ACCESSORIES")</f>
        <v xml:space="preserve">          5044 - PURCHASES @ COST-ACCESSORIES</v>
      </c>
      <c r="C87" s="16"/>
      <c r="D87" s="11"/>
      <c r="E87" s="16"/>
      <c r="F87" s="11"/>
      <c r="G87" s="3"/>
      <c r="H87" s="11">
        <v>115.5</v>
      </c>
      <c r="I87" s="3"/>
      <c r="J87" s="11">
        <v>-32.5</v>
      </c>
      <c r="K87" s="3"/>
      <c r="L87" s="11"/>
      <c r="M87" s="3"/>
      <c r="N87" s="11"/>
      <c r="O87" s="3"/>
      <c r="P87" s="11"/>
      <c r="Q87" s="3"/>
      <c r="R87" s="11"/>
    </row>
    <row r="88" spans="1:18" s="44" customFormat="1" hidden="1" outlineLevel="1" x14ac:dyDescent="0.35">
      <c r="A88" s="16"/>
      <c r="B88" s="35" t="str">
        <f>CONCATENATE("          ", "5081", " - ", "PURCHASES @ COST-ELECTRONICS")</f>
        <v xml:space="preserve">          5081 - PURCHASES @ COST-ELECTRONICS</v>
      </c>
      <c r="C88" s="16"/>
      <c r="D88" s="11">
        <v>740.2</v>
      </c>
      <c r="E88" s="16"/>
      <c r="F88" s="11">
        <v>471.97</v>
      </c>
      <c r="G88" s="3"/>
      <c r="H88" s="11">
        <v>2684.99</v>
      </c>
      <c r="I88" s="3"/>
      <c r="J88" s="11">
        <v>2043.38</v>
      </c>
      <c r="K88" s="3"/>
      <c r="L88" s="11">
        <v>2676.75</v>
      </c>
      <c r="M88" s="3"/>
      <c r="N88" s="11">
        <v>2008.03</v>
      </c>
      <c r="O88" s="3"/>
      <c r="P88" s="11"/>
      <c r="Q88" s="3"/>
      <c r="R88" s="11"/>
    </row>
    <row r="89" spans="1:18" s="44" customFormat="1" hidden="1" outlineLevel="1" x14ac:dyDescent="0.35">
      <c r="A89" s="16"/>
      <c r="B89" s="35" t="str">
        <f>CONCATENATE("          ", "5082", " - ", "PURCHASES @ COST-COMPUTER HARD")</f>
        <v xml:space="preserve">          5082 - PURCHASES @ COST-COMPUTER HARD</v>
      </c>
      <c r="C89" s="16"/>
      <c r="D89" s="11"/>
      <c r="E89" s="16"/>
      <c r="F89" s="11"/>
      <c r="G89" s="3"/>
      <c r="H89" s="11">
        <v>962</v>
      </c>
      <c r="I89" s="3"/>
      <c r="J89" s="11">
        <v>1428.18</v>
      </c>
      <c r="K89" s="3"/>
      <c r="L89" s="11">
        <v>1118</v>
      </c>
      <c r="M89" s="3"/>
      <c r="N89" s="11">
        <v>349.6</v>
      </c>
      <c r="O89" s="3"/>
      <c r="P89" s="11"/>
      <c r="Q89" s="3"/>
      <c r="R89" s="11"/>
    </row>
    <row r="90" spans="1:18" s="44" customFormat="1" hidden="1" outlineLevel="1" x14ac:dyDescent="0.35">
      <c r="A90" s="16"/>
      <c r="B90" s="35" t="str">
        <f>CONCATENATE("          ", "5083", " - ", "PURCHASES @ COST-COMPUTER EQUI")</f>
        <v xml:space="preserve">          5083 - PURCHASES @ COST-COMPUTER EQUI</v>
      </c>
      <c r="C90" s="16"/>
      <c r="D90" s="11">
        <v>160.22999999999999</v>
      </c>
      <c r="E90" s="16"/>
      <c r="F90" s="11">
        <v>283.38</v>
      </c>
      <c r="G90" s="3"/>
      <c r="H90" s="11">
        <v>848.26</v>
      </c>
      <c r="I90" s="3"/>
      <c r="J90" s="11">
        <v>961.12</v>
      </c>
      <c r="K90" s="3"/>
      <c r="L90" s="11">
        <v>637.39</v>
      </c>
      <c r="M90" s="3"/>
      <c r="N90" s="11">
        <v>304.70999999999998</v>
      </c>
      <c r="O90" s="3"/>
      <c r="P90" s="11"/>
      <c r="Q90" s="3"/>
      <c r="R90" s="11"/>
    </row>
    <row r="91" spans="1:18" s="44" customFormat="1" hidden="1" outlineLevel="1" x14ac:dyDescent="0.35">
      <c r="A91" s="16"/>
      <c r="B91" s="35" t="str">
        <f>CONCATENATE("          ", "5086", " - ", "PURCHASES @ COST-COMPUTER SUPP")</f>
        <v xml:space="preserve">          5086 - PURCHASES @ COST-COMPUTER SUPP</v>
      </c>
      <c r="C91" s="16"/>
      <c r="D91" s="11">
        <v>118.65</v>
      </c>
      <c r="E91" s="16"/>
      <c r="F91" s="11">
        <v>371.27</v>
      </c>
      <c r="G91" s="3"/>
      <c r="H91" s="11">
        <v>842.13</v>
      </c>
      <c r="I91" s="3"/>
      <c r="J91" s="11">
        <v>583.21</v>
      </c>
      <c r="K91" s="3"/>
      <c r="L91" s="11">
        <v>971.76</v>
      </c>
      <c r="M91" s="3"/>
      <c r="N91" s="11">
        <v>426.22</v>
      </c>
      <c r="O91" s="3"/>
      <c r="P91" s="11"/>
      <c r="Q91" s="3"/>
      <c r="R91" s="11"/>
    </row>
    <row r="92" spans="1:18" s="44" customFormat="1" hidden="1" outlineLevel="1" x14ac:dyDescent="0.35">
      <c r="A92" s="16"/>
      <c r="B92" s="35" t="str">
        <f>CONCATENATE("          ", "5092", " - ", "PURCHASES @ COST-GRAD MERCH")</f>
        <v xml:space="preserve">          5092 - PURCHASES @ COST-GRAD MERCH</v>
      </c>
      <c r="C92" s="16"/>
      <c r="D92" s="11"/>
      <c r="E92" s="16"/>
      <c r="F92" s="11"/>
      <c r="G92" s="3"/>
      <c r="H92" s="11">
        <v>90.65</v>
      </c>
      <c r="I92" s="3"/>
      <c r="J92" s="11"/>
      <c r="K92" s="3"/>
      <c r="L92" s="11"/>
      <c r="M92" s="3"/>
      <c r="N92" s="11"/>
      <c r="O92" s="3"/>
      <c r="P92" s="11"/>
      <c r="Q92" s="3"/>
      <c r="R92" s="11"/>
    </row>
    <row r="93" spans="1:18" s="44" customFormat="1" hidden="1" outlineLevel="1" x14ac:dyDescent="0.35">
      <c r="A93" s="16"/>
      <c r="B93" s="35" t="str">
        <f>CONCATENATE("          ", "5095", " - ", "PURCHASES @ COST-CUSTOMER SERV")</f>
        <v xml:space="preserve">          5095 - PURCHASES @ COST-CUSTOMER SERV</v>
      </c>
      <c r="C93" s="16"/>
      <c r="D93" s="11">
        <v>55</v>
      </c>
      <c r="E93" s="16"/>
      <c r="F93" s="11">
        <v>-15.12</v>
      </c>
      <c r="G93" s="3"/>
      <c r="H93" s="11"/>
      <c r="I93" s="3"/>
      <c r="J93" s="11"/>
      <c r="K93" s="3"/>
      <c r="L93" s="11"/>
      <c r="M93" s="3"/>
      <c r="N93" s="11"/>
      <c r="O93" s="3"/>
      <c r="P93" s="11"/>
      <c r="Q93" s="3"/>
      <c r="R93" s="11"/>
    </row>
    <row r="94" spans="1:18" s="44" customFormat="1" hidden="1" outlineLevel="1" x14ac:dyDescent="0.35">
      <c r="A94" s="16"/>
      <c r="B94" s="35" t="str">
        <f>CONCATENATE("          ", "5200", " - ", "PURCHASES OFFSET")</f>
        <v xml:space="preserve">          5200 - PURCHASES OFFSET</v>
      </c>
      <c r="C94" s="16"/>
      <c r="D94" s="11">
        <v>-485926</v>
      </c>
      <c r="E94" s="16"/>
      <c r="F94" s="11">
        <v>-537444</v>
      </c>
      <c r="G94" s="3"/>
      <c r="H94" s="11">
        <v>-519929</v>
      </c>
      <c r="I94" s="3"/>
      <c r="J94" s="11">
        <v>-531075</v>
      </c>
      <c r="K94" s="3"/>
      <c r="L94" s="11">
        <v>-508832</v>
      </c>
      <c r="M94" s="3"/>
      <c r="N94" s="11">
        <v>-452309</v>
      </c>
      <c r="O94" s="3"/>
      <c r="P94" s="11"/>
      <c r="Q94" s="3"/>
      <c r="R94" s="11"/>
    </row>
    <row r="95" spans="1:18" s="44" customFormat="1" hidden="1" outlineLevel="1" x14ac:dyDescent="0.35">
      <c r="A95" s="16"/>
      <c r="B95" s="35" t="str">
        <f>CONCATENATE("          ", "5300", " - ", "COG$ OFFSET")</f>
        <v xml:space="preserve">          5300 - COG$ OFFSET</v>
      </c>
      <c r="C95" s="16"/>
      <c r="D95" s="11">
        <v>486981</v>
      </c>
      <c r="E95" s="16"/>
      <c r="F95" s="11">
        <v>529868</v>
      </c>
      <c r="G95" s="3"/>
      <c r="H95" s="11">
        <v>519831</v>
      </c>
      <c r="I95" s="3"/>
      <c r="J95" s="11">
        <v>494901</v>
      </c>
      <c r="K95" s="3"/>
      <c r="L95" s="11">
        <v>496428</v>
      </c>
      <c r="M95" s="3"/>
      <c r="N95" s="11">
        <v>457380</v>
      </c>
      <c r="O95" s="3"/>
      <c r="P95" s="11"/>
      <c r="Q95" s="3"/>
      <c r="R95" s="11"/>
    </row>
    <row r="96" spans="1:18" s="44" customFormat="1" hidden="1" outlineLevel="1" x14ac:dyDescent="0.35">
      <c r="A96" s="16"/>
      <c r="B96" s="35" t="str">
        <f>CONCATENATE("          ", "5500", " - ", "FREIGHT-IN")</f>
        <v xml:space="preserve">          5500 - FREIGHT-IN</v>
      </c>
      <c r="C96" s="16"/>
      <c r="D96" s="11"/>
      <c r="E96" s="16"/>
      <c r="F96" s="11"/>
      <c r="G96" s="3"/>
      <c r="H96" s="11"/>
      <c r="I96" s="3"/>
      <c r="J96" s="11">
        <v>189.78</v>
      </c>
      <c r="K96" s="3"/>
      <c r="L96" s="11"/>
      <c r="M96" s="3"/>
      <c r="N96" s="11">
        <v>102</v>
      </c>
      <c r="O96" s="3"/>
      <c r="P96" s="11"/>
      <c r="Q96" s="3"/>
      <c r="R96" s="11"/>
    </row>
    <row r="97" spans="1:18" s="44" customFormat="1" hidden="1" outlineLevel="1" x14ac:dyDescent="0.35">
      <c r="A97" s="16"/>
      <c r="B97" s="35" t="str">
        <f>CONCATENATE("          ", "5517", " - ", "FREIGHT-IN-DORM/HOUSEWARES")</f>
        <v xml:space="preserve">          5517 - FREIGHT-IN-DORM/HOUSEWARES</v>
      </c>
      <c r="C97" s="16"/>
      <c r="D97" s="11"/>
      <c r="E97" s="16"/>
      <c r="F97" s="11"/>
      <c r="G97" s="3"/>
      <c r="H97" s="11"/>
      <c r="I97" s="3"/>
      <c r="J97" s="11">
        <v>21.57</v>
      </c>
      <c r="K97" s="3"/>
      <c r="L97" s="11"/>
      <c r="M97" s="3"/>
      <c r="N97" s="11"/>
      <c r="O97" s="3"/>
      <c r="P97" s="11"/>
      <c r="Q97" s="3"/>
      <c r="R97" s="11"/>
    </row>
    <row r="98" spans="1:18" s="44" customFormat="1" hidden="1" outlineLevel="1" x14ac:dyDescent="0.35">
      <c r="A98" s="16"/>
      <c r="B98" s="35" t="str">
        <f>CONCATENATE("          ", "5525", " - ", "FREIGHT-IN-TEST FORMS")</f>
        <v xml:space="preserve">          5525 - FREIGHT-IN-TEST FORMS</v>
      </c>
      <c r="C98" s="16"/>
      <c r="D98" s="11">
        <v>477.7</v>
      </c>
      <c r="E98" s="16"/>
      <c r="F98" s="11">
        <v>527.13</v>
      </c>
      <c r="G98" s="3"/>
      <c r="H98" s="11">
        <v>715.82</v>
      </c>
      <c r="I98" s="3"/>
      <c r="J98" s="11">
        <v>786.81</v>
      </c>
      <c r="K98" s="3"/>
      <c r="L98" s="11">
        <v>390.96</v>
      </c>
      <c r="M98" s="3"/>
      <c r="N98" s="11">
        <v>1614.32</v>
      </c>
      <c r="O98" s="3"/>
      <c r="P98" s="11"/>
      <c r="Q98" s="3"/>
      <c r="R98" s="11"/>
    </row>
    <row r="99" spans="1:18" s="44" customFormat="1" hidden="1" outlineLevel="1" x14ac:dyDescent="0.35">
      <c r="A99" s="16"/>
      <c r="B99" s="35" t="str">
        <f>CONCATENATE("          ", "5526", " - ", "FREIGHT-IN-WRITING INSTRUMENTS")</f>
        <v xml:space="preserve">          5526 - FREIGHT-IN-WRITING INSTRUMENTS</v>
      </c>
      <c r="C99" s="16"/>
      <c r="D99" s="11">
        <v>252.21</v>
      </c>
      <c r="E99" s="16"/>
      <c r="F99" s="11">
        <v>325.39</v>
      </c>
      <c r="G99" s="3"/>
      <c r="H99" s="11">
        <v>944.45</v>
      </c>
      <c r="I99" s="3"/>
      <c r="J99" s="11">
        <v>119.51</v>
      </c>
      <c r="K99" s="3"/>
      <c r="L99" s="11">
        <v>262.62</v>
      </c>
      <c r="M99" s="3"/>
      <c r="N99" s="11">
        <v>274.5</v>
      </c>
      <c r="O99" s="3"/>
      <c r="P99" s="11"/>
      <c r="Q99" s="3"/>
      <c r="R99" s="11"/>
    </row>
    <row r="100" spans="1:18" s="44" customFormat="1" hidden="1" outlineLevel="1" x14ac:dyDescent="0.35">
      <c r="A100" s="16"/>
      <c r="B100" s="35" t="str">
        <f>CONCATENATE("          ", "5527", " - ", "FREIGHT-IN-SCHOOL SUPPLIES")</f>
        <v xml:space="preserve">          5527 - FREIGHT-IN-SCHOOL SUPPLIES</v>
      </c>
      <c r="C100" s="16"/>
      <c r="D100" s="11">
        <v>1884.99</v>
      </c>
      <c r="E100" s="16"/>
      <c r="F100" s="11">
        <v>2183.15</v>
      </c>
      <c r="G100" s="3"/>
      <c r="H100" s="11">
        <v>3088.99</v>
      </c>
      <c r="I100" s="3"/>
      <c r="J100" s="11">
        <v>1747.18</v>
      </c>
      <c r="K100" s="3"/>
      <c r="L100" s="11">
        <v>2106.8200000000002</v>
      </c>
      <c r="M100" s="3"/>
      <c r="N100" s="11">
        <v>1808</v>
      </c>
      <c r="O100" s="3"/>
      <c r="P100" s="11"/>
      <c r="Q100" s="3"/>
      <c r="R100" s="11"/>
    </row>
    <row r="101" spans="1:18" s="44" customFormat="1" hidden="1" outlineLevel="1" x14ac:dyDescent="0.35">
      <c r="A101" s="16"/>
      <c r="B101" s="35" t="str">
        <f>CONCATENATE("          ", "5528", " - ", "FREIGHT-IN-ART/TECH")</f>
        <v xml:space="preserve">          5528 - FREIGHT-IN-ART/TECH</v>
      </c>
      <c r="C101" s="16"/>
      <c r="D101" s="11">
        <v>1217.47</v>
      </c>
      <c r="E101" s="16"/>
      <c r="F101" s="11">
        <v>1778.86</v>
      </c>
      <c r="G101" s="3"/>
      <c r="H101" s="11">
        <v>1886.69</v>
      </c>
      <c r="I101" s="3"/>
      <c r="J101" s="11">
        <v>1892.15</v>
      </c>
      <c r="K101" s="3"/>
      <c r="L101" s="11">
        <v>7608.5</v>
      </c>
      <c r="M101" s="3"/>
      <c r="N101" s="11">
        <v>2837.7</v>
      </c>
      <c r="O101" s="3"/>
      <c r="P101" s="11"/>
      <c r="Q101" s="3"/>
      <c r="R101" s="11"/>
    </row>
    <row r="102" spans="1:18" x14ac:dyDescent="0.35">
      <c r="A102" s="12"/>
      <c r="B102" s="7"/>
      <c r="C102" s="7"/>
      <c r="D102" s="6"/>
      <c r="F102" s="6"/>
      <c r="H102" s="6"/>
      <c r="J102" s="6"/>
      <c r="L102" s="6"/>
      <c r="N102" s="6"/>
      <c r="P102" s="6"/>
      <c r="R102" s="6"/>
    </row>
    <row r="103" spans="1:18" s="15" customFormat="1" x14ac:dyDescent="0.35">
      <c r="A103" s="7"/>
      <c r="B103" s="22" t="s">
        <v>107</v>
      </c>
      <c r="C103" s="22"/>
      <c r="D103" s="10">
        <f>+D10-D68</f>
        <v>421120.28000000026</v>
      </c>
      <c r="E103" s="12"/>
      <c r="F103" s="10">
        <f>+F10-F68</f>
        <v>454298.8400000002</v>
      </c>
      <c r="G103" s="5"/>
      <c r="H103" s="10">
        <f>+H10-H68</f>
        <v>452450.09999999939</v>
      </c>
      <c r="I103" s="5"/>
      <c r="J103" s="10">
        <f>+J10-J68</f>
        <v>449595.72999999992</v>
      </c>
      <c r="K103" s="5"/>
      <c r="L103" s="10">
        <f>+L10-L68</f>
        <v>458115.09000000008</v>
      </c>
      <c r="M103" s="5"/>
      <c r="N103" s="10">
        <f>+N10-N68</f>
        <v>374738.75999999978</v>
      </c>
      <c r="O103" s="5"/>
      <c r="P103" s="10">
        <f>+P10-P68</f>
        <v>79413</v>
      </c>
      <c r="Q103" s="5"/>
      <c r="R103" s="10">
        <f>+R10-R68</f>
        <v>211504</v>
      </c>
    </row>
    <row r="104" spans="1:18" s="27" customFormat="1" x14ac:dyDescent="0.35">
      <c r="A104" s="18"/>
      <c r="B104" s="31"/>
      <c r="C104" s="18"/>
      <c r="D104" s="9">
        <f>IFERROR(D103/D10, 0)</f>
        <v>0.46373628082296503</v>
      </c>
      <c r="E104" s="13"/>
      <c r="F104" s="9">
        <f>IFERROR(F103/F10, 0)</f>
        <v>0.4616971818320284</v>
      </c>
      <c r="G104" s="26"/>
      <c r="H104" s="9">
        <f>IFERROR(H103/H10, 0)</f>
        <v>0.46534904024417179</v>
      </c>
      <c r="I104" s="26"/>
      <c r="J104" s="9">
        <f>IFERROR(J103/J10, 0)</f>
        <v>0.47591941337548221</v>
      </c>
      <c r="K104" s="26"/>
      <c r="L104" s="9">
        <f>IFERROR(L103/L10, 0)</f>
        <v>0.47993048371502106</v>
      </c>
      <c r="M104" s="26"/>
      <c r="N104" s="9">
        <f>IFERROR(N103/N10, 0)</f>
        <v>0.45028933594792142</v>
      </c>
      <c r="O104" s="26"/>
      <c r="P104" s="9">
        <f>IFERROR(P103/P10, 0)</f>
        <v>0.49157221647921062</v>
      </c>
      <c r="Q104" s="26"/>
      <c r="R104" s="9">
        <f>IFERROR(R103/R10, 0)</f>
        <v>0.44264645251215423</v>
      </c>
    </row>
    <row r="105" spans="1:18" s="27" customFormat="1" x14ac:dyDescent="0.35">
      <c r="A105" s="18"/>
      <c r="B105" s="31"/>
      <c r="C105" s="18"/>
      <c r="D105" s="13"/>
      <c r="E105" s="13"/>
      <c r="F105" s="13"/>
      <c r="G105" s="26"/>
      <c r="H105" s="13"/>
      <c r="I105" s="26"/>
      <c r="J105" s="13"/>
      <c r="K105" s="26"/>
      <c r="L105" s="13"/>
      <c r="M105" s="26"/>
      <c r="N105" s="13"/>
      <c r="O105" s="26"/>
      <c r="P105" s="13"/>
      <c r="Q105" s="26"/>
      <c r="R105" s="13"/>
    </row>
    <row r="106" spans="1:18" s="15" customFormat="1" x14ac:dyDescent="0.35">
      <c r="A106" s="7"/>
      <c r="B106" s="34" t="s">
        <v>314</v>
      </c>
      <c r="C106" s="7"/>
      <c r="D106" s="8">
        <f>SUM(OSRRefD21x_0)</f>
        <v>281352.55000000005</v>
      </c>
      <c r="E106" s="19"/>
      <c r="F106" s="8">
        <f>SUM(OSRRefF21x_0)</f>
        <v>286815.96000000002</v>
      </c>
      <c r="G106" s="4"/>
      <c r="H106" s="8">
        <f>SUM(OSRRefH21x_0)</f>
        <v>207956.50000000003</v>
      </c>
      <c r="I106" s="4"/>
      <c r="J106" s="8">
        <f>SUM(OSRRefJ21x_0)</f>
        <v>232327.72999999998</v>
      </c>
      <c r="K106" s="4"/>
      <c r="L106" s="8">
        <f>SUM(OSRRefL21x_0)</f>
        <v>245362.63999999998</v>
      </c>
      <c r="M106" s="4"/>
      <c r="N106" s="8">
        <f>SUM(OSRRefN21x_0)</f>
        <v>268674.05</v>
      </c>
      <c r="O106" s="4"/>
      <c r="P106" s="8">
        <f>SUM(OSRRefP21x_0)</f>
        <v>153498.4052867</v>
      </c>
      <c r="Q106" s="4"/>
      <c r="R106" s="8">
        <f>SUM(OSRRefR21x_0)</f>
        <v>136719.39301</v>
      </c>
    </row>
    <row r="107" spans="1:18" s="15" customFormat="1" outlineLevel="1" collapsed="1" x14ac:dyDescent="0.35">
      <c r="A107" s="7"/>
      <c r="B107" s="20" t="str">
        <f>CONCATENATE("     ","*Benefits                                         ")</f>
        <v xml:space="preserve">     *Benefits                                         </v>
      </c>
      <c r="C107" s="7"/>
      <c r="D107" s="1">
        <f>SUM(OSRRefD21_0x_0)</f>
        <v>39251.479999999996</v>
      </c>
      <c r="E107" s="19"/>
      <c r="F107" s="1">
        <f>SUM(OSRRefF21_0x_0)</f>
        <v>38437.64</v>
      </c>
      <c r="G107" s="4"/>
      <c r="H107" s="1">
        <f>SUM(OSRRefH21_0x_0)</f>
        <v>16228.610000000002</v>
      </c>
      <c r="I107" s="4"/>
      <c r="J107" s="1">
        <f>SUM(OSRRefJ21_0x_0)</f>
        <v>25911.089999999997</v>
      </c>
      <c r="K107" s="4"/>
      <c r="L107" s="1">
        <f>SUM(OSRRefL21_0x_0)</f>
        <v>41147.279999999999</v>
      </c>
      <c r="M107" s="4"/>
      <c r="N107" s="1">
        <f>SUM(OSRRefN21_0x_0)</f>
        <v>36014.420000000006</v>
      </c>
      <c r="O107" s="4"/>
      <c r="P107" s="1">
        <f>SUM(OSRRefP21_0x_0)</f>
        <v>24460.185286700002</v>
      </c>
      <c r="Q107" s="4"/>
      <c r="R107" s="1">
        <f>SUM(OSRRefR21_0x_0)</f>
        <v>9298.3730099999993</v>
      </c>
    </row>
    <row r="108" spans="1:18" s="16" customFormat="1" hidden="1" outlineLevel="2" x14ac:dyDescent="0.35">
      <c r="B108" s="11" t="str">
        <f>CONCATENATE("          ", "6111", " - ", "F.I.C.A.")</f>
        <v xml:space="preserve">          6111 - F.I.C.A.</v>
      </c>
      <c r="D108" s="2">
        <v>8295</v>
      </c>
      <c r="F108" s="2">
        <v>9109.59</v>
      </c>
      <c r="G108" s="3"/>
      <c r="H108" s="2">
        <v>5026.22</v>
      </c>
      <c r="I108" s="3"/>
      <c r="J108" s="2">
        <v>6979.03</v>
      </c>
      <c r="K108" s="3"/>
      <c r="L108" s="2">
        <v>7262.92</v>
      </c>
      <c r="M108" s="3"/>
      <c r="N108" s="2">
        <v>6429.07</v>
      </c>
      <c r="O108" s="3"/>
      <c r="P108" s="2">
        <v>5500.7460447000003</v>
      </c>
      <c r="Q108" s="3"/>
      <c r="R108" s="2">
        <v>3557.4205200000001</v>
      </c>
    </row>
    <row r="109" spans="1:18" s="16" customFormat="1" hidden="1" outlineLevel="2" x14ac:dyDescent="0.35">
      <c r="B109" s="11" t="str">
        <f>CONCATENATE("          ", "6112", " - ", "COMPENSATION INSURANCE")</f>
        <v xml:space="preserve">          6112 - COMPENSATION INSURANCE</v>
      </c>
      <c r="D109" s="2">
        <v>2963.51</v>
      </c>
      <c r="F109" s="2">
        <v>5015.37</v>
      </c>
      <c r="G109" s="3"/>
      <c r="H109" s="2">
        <v>2137.17</v>
      </c>
      <c r="I109" s="3"/>
      <c r="J109" s="2">
        <v>1258.8</v>
      </c>
      <c r="K109" s="3"/>
      <c r="L109" s="2">
        <v>1945.01</v>
      </c>
      <c r="M109" s="3"/>
      <c r="N109" s="2">
        <v>2835.03</v>
      </c>
      <c r="O109" s="3"/>
      <c r="P109" s="2">
        <v>1899.5840700000001</v>
      </c>
      <c r="Q109" s="3"/>
      <c r="R109" s="2">
        <v>1708.56972</v>
      </c>
    </row>
    <row r="110" spans="1:18" s="16" customFormat="1" hidden="1" outlineLevel="2" x14ac:dyDescent="0.35">
      <c r="B110" s="11" t="str">
        <f>CONCATENATE("          ", "6113", " - ", "GROUP INSURANCE")</f>
        <v xml:space="preserve">          6113 - GROUP INSURANCE</v>
      </c>
      <c r="D110" s="2">
        <v>6583.33</v>
      </c>
      <c r="F110" s="2">
        <v>5342.23</v>
      </c>
      <c r="G110" s="3"/>
      <c r="H110" s="2">
        <v>318.37</v>
      </c>
      <c r="I110" s="3"/>
      <c r="J110" s="2">
        <v>6261.82</v>
      </c>
      <c r="K110" s="3"/>
      <c r="L110" s="2">
        <v>16928.86</v>
      </c>
      <c r="M110" s="3"/>
      <c r="N110" s="2">
        <v>20898.98</v>
      </c>
      <c r="O110" s="3"/>
      <c r="P110" s="2">
        <v>7980</v>
      </c>
      <c r="Q110" s="3"/>
      <c r="R110" s="2">
        <v>0</v>
      </c>
    </row>
    <row r="111" spans="1:18" s="16" customFormat="1" hidden="1" outlineLevel="2" x14ac:dyDescent="0.35">
      <c r="B111" s="11" t="str">
        <f>CONCATENATE("          ", "6114", " - ", "STATE UNEMPLOYMENT INSURANCE")</f>
        <v xml:space="preserve">          6114 - STATE UNEMPLOYMENT INSURANCE</v>
      </c>
      <c r="D111" s="2">
        <v>1202.94</v>
      </c>
      <c r="F111" s="2">
        <v>1259.76</v>
      </c>
      <c r="G111" s="3"/>
      <c r="H111" s="2">
        <v>403.32</v>
      </c>
      <c r="I111" s="3"/>
      <c r="J111" s="2">
        <v>417.31</v>
      </c>
      <c r="K111" s="3"/>
      <c r="L111" s="2">
        <v>460.97</v>
      </c>
      <c r="M111" s="3"/>
      <c r="N111" s="2">
        <v>0</v>
      </c>
      <c r="O111" s="3"/>
      <c r="P111" s="2">
        <v>266.96857199999999</v>
      </c>
      <c r="Q111" s="3"/>
      <c r="R111" s="2">
        <v>229.99977000000001</v>
      </c>
    </row>
    <row r="112" spans="1:18" s="16" customFormat="1" hidden="1" outlineLevel="2" x14ac:dyDescent="0.35">
      <c r="B112" s="11" t="str">
        <f>CONCATENATE("          ", "6115", " - ", "P.E.R.S.")</f>
        <v xml:space="preserve">          6115 - P.E.R.S.</v>
      </c>
      <c r="D112" s="2">
        <v>9368.5300000000007</v>
      </c>
      <c r="F112" s="2">
        <v>6220.34</v>
      </c>
      <c r="G112" s="3"/>
      <c r="H112" s="2">
        <v>2833.85</v>
      </c>
      <c r="I112" s="3"/>
      <c r="J112" s="2">
        <v>3434.35</v>
      </c>
      <c r="K112" s="3"/>
      <c r="L112" s="2">
        <v>4668.72</v>
      </c>
      <c r="M112" s="3"/>
      <c r="N112" s="2">
        <v>5052.41</v>
      </c>
      <c r="O112" s="3"/>
      <c r="P112" s="2">
        <v>4650.88</v>
      </c>
      <c r="Q112" s="3"/>
      <c r="R112" s="2">
        <v>0</v>
      </c>
    </row>
    <row r="113" spans="1:18" s="16" customFormat="1" hidden="1" outlineLevel="2" x14ac:dyDescent="0.35">
      <c r="B113" s="11" t="str">
        <f>CONCATENATE("          ", "6116", " - ", "EDUCATIONAL BENEFITS")</f>
        <v xml:space="preserve">          6116 - EDUCATIONAL BENEFITS</v>
      </c>
      <c r="D113" s="2"/>
      <c r="F113" s="2"/>
      <c r="G113" s="3"/>
      <c r="H113" s="2"/>
      <c r="I113" s="3"/>
      <c r="J113" s="2"/>
      <c r="K113" s="3"/>
      <c r="L113" s="2"/>
      <c r="M113" s="3"/>
      <c r="N113" s="2"/>
      <c r="O113" s="3"/>
      <c r="P113" s="2">
        <v>0</v>
      </c>
      <c r="Q113" s="3"/>
      <c r="R113" s="2">
        <v>0</v>
      </c>
    </row>
    <row r="114" spans="1:18" s="16" customFormat="1" hidden="1" outlineLevel="2" x14ac:dyDescent="0.35">
      <c r="B114" s="11" t="str">
        <f>CONCATENATE("          ", "6117", " - ", "RETIREMENT STAFF HOURLY")</f>
        <v xml:space="preserve">          6117 - RETIREMENT STAFF HOURLY</v>
      </c>
      <c r="D114" s="2"/>
      <c r="F114" s="2"/>
      <c r="G114" s="3"/>
      <c r="H114" s="2"/>
      <c r="I114" s="3"/>
      <c r="J114" s="2"/>
      <c r="K114" s="3"/>
      <c r="L114" s="2"/>
      <c r="M114" s="3"/>
      <c r="N114" s="2">
        <v>46.65</v>
      </c>
      <c r="O114" s="3"/>
      <c r="P114" s="2"/>
      <c r="Q114" s="3"/>
      <c r="R114" s="2"/>
    </row>
    <row r="115" spans="1:18" s="16" customFormat="1" hidden="1" outlineLevel="2" x14ac:dyDescent="0.35">
      <c r="B115" s="11" t="str">
        <f>CONCATENATE("          ", "6118", " - ", "VACATION")</f>
        <v xml:space="preserve">          6118 - VACATION</v>
      </c>
      <c r="D115" s="2">
        <v>6236.36</v>
      </c>
      <c r="F115" s="2">
        <v>6217.09</v>
      </c>
      <c r="G115" s="3"/>
      <c r="H115" s="2">
        <v>1693.29</v>
      </c>
      <c r="I115" s="3"/>
      <c r="J115" s="2">
        <v>2767.56</v>
      </c>
      <c r="K115" s="3"/>
      <c r="L115" s="2">
        <v>4154.51</v>
      </c>
      <c r="M115" s="3"/>
      <c r="N115" s="2">
        <v>4436.32</v>
      </c>
      <c r="O115" s="3"/>
      <c r="P115" s="2">
        <v>1622.4</v>
      </c>
      <c r="Q115" s="3"/>
      <c r="R115" s="2">
        <v>0</v>
      </c>
    </row>
    <row r="116" spans="1:18" s="16" customFormat="1" hidden="1" outlineLevel="2" x14ac:dyDescent="0.35">
      <c r="B116" s="11" t="str">
        <f>CONCATENATE("          ", "6119", " - ", "SICK LEAVE")</f>
        <v xml:space="preserve">          6119 - SICK LEAVE</v>
      </c>
      <c r="D116" s="2">
        <v>3114.02</v>
      </c>
      <c r="F116" s="2">
        <v>3176.29</v>
      </c>
      <c r="G116" s="3"/>
      <c r="H116" s="2">
        <v>2040.29</v>
      </c>
      <c r="I116" s="3"/>
      <c r="J116" s="2">
        <v>3029.78</v>
      </c>
      <c r="K116" s="3"/>
      <c r="L116" s="2">
        <v>3961.02</v>
      </c>
      <c r="M116" s="3"/>
      <c r="N116" s="2">
        <v>-5598.14</v>
      </c>
      <c r="O116" s="3"/>
      <c r="P116" s="2">
        <v>2539.6066000000001</v>
      </c>
      <c r="Q116" s="3"/>
      <c r="R116" s="2">
        <v>3802.3829999999998</v>
      </c>
    </row>
    <row r="117" spans="1:18" s="16" customFormat="1" hidden="1" outlineLevel="2" x14ac:dyDescent="0.35">
      <c r="B117" s="11" t="str">
        <f>CONCATENATE("          ", "6156", " - ", "EMPLOYEE MEALS")</f>
        <v xml:space="preserve">          6156 - EMPLOYEE MEALS</v>
      </c>
      <c r="D117" s="2">
        <v>1487.79</v>
      </c>
      <c r="F117" s="2">
        <v>2096.9699999999998</v>
      </c>
      <c r="G117" s="3"/>
      <c r="H117" s="2">
        <v>1776.1</v>
      </c>
      <c r="I117" s="3"/>
      <c r="J117" s="2">
        <v>1762.44</v>
      </c>
      <c r="K117" s="3"/>
      <c r="L117" s="2">
        <v>1765.27</v>
      </c>
      <c r="M117" s="3"/>
      <c r="N117" s="2">
        <v>1914.1</v>
      </c>
      <c r="O117" s="3"/>
      <c r="P117" s="2"/>
      <c r="Q117" s="3"/>
      <c r="R117" s="2"/>
    </row>
    <row r="118" spans="1:18" s="15" customFormat="1" outlineLevel="1" collapsed="1" x14ac:dyDescent="0.35">
      <c r="A118" s="7"/>
      <c r="B118" s="20" t="str">
        <f>CONCATENATE("     ","*Payroll                                          ")</f>
        <v xml:space="preserve">     *Payroll                                          </v>
      </c>
      <c r="C118" s="7"/>
      <c r="D118" s="1">
        <f>SUM(OSRRefD21_1x_0)</f>
        <v>174078.06</v>
      </c>
      <c r="E118" s="19"/>
      <c r="F118" s="1">
        <f>SUM(OSRRefF21_1x_0)</f>
        <v>178053.93</v>
      </c>
      <c r="G118" s="4"/>
      <c r="H118" s="1">
        <f>SUM(OSRRefH21_1x_0)</f>
        <v>135950.71000000002</v>
      </c>
      <c r="I118" s="4"/>
      <c r="J118" s="1">
        <f>SUM(OSRRefJ21_1x_0)</f>
        <v>153216.66999999998</v>
      </c>
      <c r="K118" s="4"/>
      <c r="L118" s="1">
        <f>SUM(OSRRefL21_1x_0)</f>
        <v>155696.70000000001</v>
      </c>
      <c r="M118" s="4"/>
      <c r="N118" s="1">
        <f>SUM(OSRRefN21_1x_0)</f>
        <v>156977.27000000002</v>
      </c>
      <c r="O118" s="4"/>
      <c r="P118" s="1">
        <f>SUM(OSRRefP21_1x_0)</f>
        <v>99976.219999999987</v>
      </c>
      <c r="Q118" s="4"/>
      <c r="R118" s="1">
        <f>SUM(OSRRefR21_1x_0)</f>
        <v>108232.01999999999</v>
      </c>
    </row>
    <row r="119" spans="1:18" s="16" customFormat="1" hidden="1" outlineLevel="2" x14ac:dyDescent="0.35">
      <c r="B119" s="11" t="str">
        <f>CONCATENATE("          ", "6001", " - ", "ADMINISTRATIVE SALARIES")</f>
        <v xml:space="preserve">          6001 - ADMINISTRATIVE SALARIES</v>
      </c>
      <c r="D119" s="2"/>
      <c r="F119" s="2"/>
      <c r="G119" s="3"/>
      <c r="H119" s="2"/>
      <c r="I119" s="3"/>
      <c r="J119" s="2"/>
      <c r="K119" s="3"/>
      <c r="L119" s="2"/>
      <c r="M119" s="3"/>
      <c r="N119" s="2"/>
      <c r="O119" s="3"/>
      <c r="P119" s="2">
        <v>51376</v>
      </c>
      <c r="Q119" s="3"/>
      <c r="R119" s="2">
        <v>0</v>
      </c>
    </row>
    <row r="120" spans="1:18" s="16" customFormat="1" hidden="1" outlineLevel="2" x14ac:dyDescent="0.35">
      <c r="B120" s="11" t="str">
        <f>CONCATENATE("          ", "6002", " - ", "STAFF SALARIES")</f>
        <v xml:space="preserve">          6002 - STAFF SALARIES</v>
      </c>
      <c r="D120" s="2">
        <v>60500.71</v>
      </c>
      <c r="F120" s="2">
        <v>68602.12</v>
      </c>
      <c r="G120" s="3"/>
      <c r="H120" s="2">
        <v>44211.09</v>
      </c>
      <c r="I120" s="3"/>
      <c r="J120" s="2">
        <v>60136.61</v>
      </c>
      <c r="K120" s="3"/>
      <c r="L120" s="2">
        <v>65471.99</v>
      </c>
      <c r="M120" s="3"/>
      <c r="N120" s="2">
        <v>59695.82</v>
      </c>
      <c r="O120" s="3"/>
      <c r="P120" s="2">
        <v>0</v>
      </c>
      <c r="Q120" s="3"/>
      <c r="R120" s="2">
        <v>0</v>
      </c>
    </row>
    <row r="121" spans="1:18" s="16" customFormat="1" hidden="1" outlineLevel="2" x14ac:dyDescent="0.35">
      <c r="B121" s="11" t="str">
        <f>CONCATENATE("          ", "6003", " - ", "STAFF HOURLY-9 MONTH")</f>
        <v xml:space="preserve">          6003 - STAFF HOURLY-9 MONTH</v>
      </c>
      <c r="D121" s="2"/>
      <c r="F121" s="2"/>
      <c r="G121" s="3"/>
      <c r="H121" s="2"/>
      <c r="I121" s="3"/>
      <c r="J121" s="2"/>
      <c r="K121" s="3"/>
      <c r="L121" s="2"/>
      <c r="M121" s="3"/>
      <c r="N121" s="2"/>
      <c r="O121" s="3"/>
      <c r="P121" s="2">
        <v>0</v>
      </c>
      <c r="Q121" s="3"/>
      <c r="R121" s="2">
        <v>0</v>
      </c>
    </row>
    <row r="122" spans="1:18" s="16" customFormat="1" hidden="1" outlineLevel="2" x14ac:dyDescent="0.35">
      <c r="B122" s="11" t="str">
        <f>CONCATENATE("          ", "6004", " - ", "STAFF HOURLY")</f>
        <v xml:space="preserve">          6004 - STAFF HOURLY</v>
      </c>
      <c r="D122" s="2"/>
      <c r="F122" s="2"/>
      <c r="G122" s="3"/>
      <c r="H122" s="2"/>
      <c r="I122" s="3"/>
      <c r="J122" s="2">
        <v>-586.88</v>
      </c>
      <c r="K122" s="3"/>
      <c r="L122" s="2"/>
      <c r="M122" s="3"/>
      <c r="N122" s="2">
        <v>-48</v>
      </c>
      <c r="O122" s="3"/>
      <c r="P122" s="2">
        <v>17258.400000000001</v>
      </c>
      <c r="Q122" s="3"/>
      <c r="R122" s="2">
        <v>24541.919999999998</v>
      </c>
    </row>
    <row r="123" spans="1:18" s="16" customFormat="1" hidden="1" outlineLevel="2" x14ac:dyDescent="0.35">
      <c r="B123" s="11" t="str">
        <f>CONCATENATE("          ", "6005", " - ", "TEMPORARY WAGES-HOURLY")</f>
        <v xml:space="preserve">          6005 - TEMPORARY WAGES-HOURLY</v>
      </c>
      <c r="D123" s="2">
        <v>6862.79</v>
      </c>
      <c r="F123" s="2">
        <v>1502.8</v>
      </c>
      <c r="G123" s="3"/>
      <c r="H123" s="2"/>
      <c r="I123" s="3"/>
      <c r="J123" s="2"/>
      <c r="K123" s="3"/>
      <c r="L123" s="2"/>
      <c r="M123" s="3"/>
      <c r="N123" s="2">
        <v>7121.65</v>
      </c>
      <c r="O123" s="3"/>
      <c r="P123" s="2">
        <v>11704</v>
      </c>
      <c r="Q123" s="3"/>
      <c r="R123" s="2">
        <v>0</v>
      </c>
    </row>
    <row r="124" spans="1:18" s="16" customFormat="1" hidden="1" outlineLevel="2" x14ac:dyDescent="0.35">
      <c r="B124" s="11" t="str">
        <f>CONCATENATE("          ", "6006", " - ", "TEMPORARY PART TIME")</f>
        <v xml:space="preserve">          6006 - TEMPORARY PART TIME</v>
      </c>
      <c r="D124" s="2">
        <v>14636.33</v>
      </c>
      <c r="F124" s="2">
        <v>18395.48</v>
      </c>
      <c r="G124" s="3"/>
      <c r="H124" s="2">
        <v>12263.52</v>
      </c>
      <c r="I124" s="3"/>
      <c r="J124" s="2">
        <v>10734.8</v>
      </c>
      <c r="K124" s="3"/>
      <c r="L124" s="2">
        <v>4320.25</v>
      </c>
      <c r="M124" s="3"/>
      <c r="N124" s="2">
        <v>25.5</v>
      </c>
      <c r="O124" s="3"/>
      <c r="P124" s="2">
        <v>0</v>
      </c>
      <c r="Q124" s="3"/>
      <c r="R124" s="2">
        <v>0</v>
      </c>
    </row>
    <row r="125" spans="1:18" s="16" customFormat="1" hidden="1" outlineLevel="2" x14ac:dyDescent="0.35">
      <c r="B125" s="11" t="str">
        <f>CONCATENATE("          ", "6007", " - ", "STUDENT HOURLY")</f>
        <v xml:space="preserve">          6007 - STUDENT HOURLY</v>
      </c>
      <c r="D125" s="2">
        <v>91614.73</v>
      </c>
      <c r="F125" s="2">
        <v>89553.53</v>
      </c>
      <c r="G125" s="3"/>
      <c r="H125" s="2">
        <v>79476.100000000006</v>
      </c>
      <c r="I125" s="3"/>
      <c r="J125" s="2">
        <v>82932.14</v>
      </c>
      <c r="K125" s="3"/>
      <c r="L125" s="2">
        <v>85904.46</v>
      </c>
      <c r="M125" s="3"/>
      <c r="N125" s="2">
        <v>90182.3</v>
      </c>
      <c r="O125" s="3"/>
      <c r="P125" s="2">
        <v>538.59</v>
      </c>
      <c r="Q125" s="3"/>
      <c r="R125" s="2">
        <v>20650.400000000001</v>
      </c>
    </row>
    <row r="126" spans="1:18" s="16" customFormat="1" hidden="1" outlineLevel="2" x14ac:dyDescent="0.35">
      <c r="B126" s="11" t="str">
        <f>CONCATENATE("          ", "6008", " - ", "STUDENT HOURLY-FICA EXEMPT")</f>
        <v xml:space="preserve">          6008 - STUDENT HOURLY-FICA EXEMPT</v>
      </c>
      <c r="D126" s="2">
        <v>463.5</v>
      </c>
      <c r="F126" s="2"/>
      <c r="G126" s="3"/>
      <c r="H126" s="2"/>
      <c r="I126" s="3"/>
      <c r="J126" s="2"/>
      <c r="K126" s="3"/>
      <c r="L126" s="2"/>
      <c r="M126" s="3"/>
      <c r="N126" s="2"/>
      <c r="O126" s="3"/>
      <c r="P126" s="2">
        <v>19099.23</v>
      </c>
      <c r="Q126" s="3"/>
      <c r="R126" s="2">
        <v>63039.7</v>
      </c>
    </row>
    <row r="127" spans="1:18" s="16" customFormat="1" hidden="1" outlineLevel="2" x14ac:dyDescent="0.35">
      <c r="B127" s="11" t="str">
        <f>CONCATENATE("          ", "6009", " - ", "TEMPORARY-SEASONAL")</f>
        <v xml:space="preserve">          6009 - TEMPORARY-SEASONAL</v>
      </c>
      <c r="D127" s="2"/>
      <c r="F127" s="2"/>
      <c r="G127" s="3"/>
      <c r="H127" s="2"/>
      <c r="I127" s="3"/>
      <c r="J127" s="2"/>
      <c r="K127" s="3"/>
      <c r="L127" s="2"/>
      <c r="M127" s="3"/>
      <c r="N127" s="2"/>
      <c r="O127" s="3"/>
      <c r="P127" s="2">
        <v>0</v>
      </c>
      <c r="Q127" s="3"/>
      <c r="R127" s="2">
        <v>0</v>
      </c>
    </row>
    <row r="128" spans="1:18" s="16" customFormat="1" hidden="1" outlineLevel="2" x14ac:dyDescent="0.35">
      <c r="B128" s="11" t="str">
        <f>CONCATENATE("          ", "6010", " - ", "GRATUITY")</f>
        <v xml:space="preserve">          6010 - GRATUITY</v>
      </c>
      <c r="D128" s="2"/>
      <c r="F128" s="2"/>
      <c r="G128" s="3"/>
      <c r="H128" s="2"/>
      <c r="I128" s="3"/>
      <c r="J128" s="2"/>
      <c r="K128" s="3"/>
      <c r="L128" s="2"/>
      <c r="M128" s="3"/>
      <c r="N128" s="2"/>
      <c r="O128" s="3"/>
      <c r="P128" s="2">
        <v>0</v>
      </c>
      <c r="Q128" s="3"/>
      <c r="R128" s="2">
        <v>0</v>
      </c>
    </row>
    <row r="129" spans="1:18" s="15" customFormat="1" outlineLevel="1" collapsed="1" x14ac:dyDescent="0.35">
      <c r="A129" s="7"/>
      <c r="B129" s="20" t="str">
        <f>CONCATENATE("     ","Advertising/Promo                                 ")</f>
        <v xml:space="preserve">     Advertising/Promo                                 </v>
      </c>
      <c r="C129" s="7"/>
      <c r="D129" s="1">
        <f>SUM(OSRRefD21_2x_0)</f>
        <v>938.77</v>
      </c>
      <c r="E129" s="19"/>
      <c r="F129" s="1">
        <f>SUM(OSRRefF21_2x_0)</f>
        <v>1619.78</v>
      </c>
      <c r="G129" s="4"/>
      <c r="H129" s="1">
        <f>SUM(OSRRefH21_2x_0)</f>
        <v>811.05</v>
      </c>
      <c r="I129" s="4"/>
      <c r="J129" s="1">
        <f>SUM(OSRRefJ21_2x_0)</f>
        <v>2344.36</v>
      </c>
      <c r="K129" s="4"/>
      <c r="L129" s="1">
        <f>SUM(OSRRefL21_2x_0)</f>
        <v>1994.86</v>
      </c>
      <c r="M129" s="4"/>
      <c r="N129" s="1">
        <f>SUM(OSRRefN21_2x_0)</f>
        <v>2145.38</v>
      </c>
      <c r="O129" s="4"/>
      <c r="P129" s="1">
        <f>SUM(OSRRefP21_2x_0)</f>
        <v>1100</v>
      </c>
      <c r="Q129" s="4"/>
      <c r="R129" s="1">
        <f>SUM(OSRRefR21_2x_0)</f>
        <v>600</v>
      </c>
    </row>
    <row r="130" spans="1:18" s="16" customFormat="1" hidden="1" outlineLevel="2" x14ac:dyDescent="0.35">
      <c r="B130" s="11" t="str">
        <f>CONCATENATE("          ", "6362", " - ", "ADVERTISING EXPENSE")</f>
        <v xml:space="preserve">          6362 - ADVERTISING EXPENSE</v>
      </c>
      <c r="D130" s="2">
        <v>938.77</v>
      </c>
      <c r="F130" s="2">
        <v>1619.78</v>
      </c>
      <c r="G130" s="3"/>
      <c r="H130" s="2">
        <v>811.05</v>
      </c>
      <c r="I130" s="3"/>
      <c r="J130" s="2">
        <v>2344.36</v>
      </c>
      <c r="K130" s="3"/>
      <c r="L130" s="2">
        <v>1994.86</v>
      </c>
      <c r="M130" s="3"/>
      <c r="N130" s="2">
        <v>2145.38</v>
      </c>
      <c r="O130" s="3"/>
      <c r="P130" s="2">
        <v>1100</v>
      </c>
      <c r="Q130" s="3"/>
      <c r="R130" s="2">
        <v>600</v>
      </c>
    </row>
    <row r="131" spans="1:18" s="15" customFormat="1" outlineLevel="1" collapsed="1" x14ac:dyDescent="0.35">
      <c r="A131" s="7"/>
      <c r="B131" s="20" t="str">
        <f>CONCATENATE("     ","Bad Debts/Over/Short                              ")</f>
        <v xml:space="preserve">     Bad Debts/Over/Short                              </v>
      </c>
      <c r="C131" s="7"/>
      <c r="D131" s="1">
        <f>SUM(OSRRefD21_3x_0)</f>
        <v>20.7</v>
      </c>
      <c r="E131" s="19"/>
      <c r="F131" s="1">
        <f>SUM(OSRRefF21_3x_0)</f>
        <v>-26.8</v>
      </c>
      <c r="G131" s="4"/>
      <c r="H131" s="1">
        <f>SUM(OSRRefH21_3x_0)</f>
        <v>257.24</v>
      </c>
      <c r="I131" s="4"/>
      <c r="J131" s="1">
        <f>SUM(OSRRefJ21_3x_0)</f>
        <v>-29.99</v>
      </c>
      <c r="K131" s="4"/>
      <c r="L131" s="1">
        <f>SUM(OSRRefL21_3x_0)</f>
        <v>11.22</v>
      </c>
      <c r="M131" s="4"/>
      <c r="N131" s="1">
        <f>SUM(OSRRefN21_3x_0)</f>
        <v>-55.84</v>
      </c>
      <c r="O131" s="4"/>
      <c r="P131" s="1">
        <f>SUM(OSRRefP21_3x_0)</f>
        <v>0</v>
      </c>
      <c r="Q131" s="4"/>
      <c r="R131" s="1">
        <f>SUM(OSRRefR21_3x_0)</f>
        <v>300</v>
      </c>
    </row>
    <row r="132" spans="1:18" s="16" customFormat="1" hidden="1" outlineLevel="2" x14ac:dyDescent="0.35">
      <c r="B132" s="11" t="str">
        <f>CONCATENATE("          ", "6272", " - ", "CASH (OVER/SHORT)")</f>
        <v xml:space="preserve">          6272 - CASH (OVER/SHORT)</v>
      </c>
      <c r="D132" s="2">
        <v>20.7</v>
      </c>
      <c r="F132" s="2">
        <v>-26.8</v>
      </c>
      <c r="G132" s="3"/>
      <c r="H132" s="2">
        <v>257.24</v>
      </c>
      <c r="I132" s="3"/>
      <c r="J132" s="2">
        <v>-29.99</v>
      </c>
      <c r="K132" s="3"/>
      <c r="L132" s="2">
        <v>11.22</v>
      </c>
      <c r="M132" s="3"/>
      <c r="N132" s="2">
        <v>-55.84</v>
      </c>
      <c r="O132" s="3"/>
      <c r="P132" s="2"/>
      <c r="Q132" s="3"/>
      <c r="R132" s="2">
        <v>300</v>
      </c>
    </row>
    <row r="133" spans="1:18" s="15" customFormat="1" outlineLevel="1" collapsed="1" x14ac:dyDescent="0.35">
      <c r="A133" s="7"/>
      <c r="B133" s="20" t="str">
        <f>CONCATENATE("     ","Bank/card Fees                                    ")</f>
        <v xml:space="preserve">     Bank/card Fees                                    </v>
      </c>
      <c r="C133" s="7"/>
      <c r="D133" s="1">
        <f>SUM(OSRRefD21_4x_0)</f>
        <v>0</v>
      </c>
      <c r="E133" s="19"/>
      <c r="F133" s="1">
        <f>SUM(OSRRefF21_4x_0)</f>
        <v>0</v>
      </c>
      <c r="G133" s="4"/>
      <c r="H133" s="1">
        <f>SUM(OSRRefH21_4x_0)</f>
        <v>0</v>
      </c>
      <c r="I133" s="4"/>
      <c r="J133" s="1">
        <f>SUM(OSRRefJ21_4x_0)</f>
        <v>0</v>
      </c>
      <c r="K133" s="4"/>
      <c r="L133" s="1">
        <f>SUM(OSRRefL21_4x_0)</f>
        <v>0</v>
      </c>
      <c r="M133" s="4"/>
      <c r="N133" s="1">
        <f>SUM(OSRRefN21_4x_0)</f>
        <v>0</v>
      </c>
      <c r="O133" s="4"/>
      <c r="P133" s="1">
        <f>SUM(OSRRefP21_4x_0)</f>
        <v>10617</v>
      </c>
      <c r="Q133" s="4"/>
      <c r="R133" s="1">
        <f>SUM(OSRRefR21_4x_0)</f>
        <v>8869</v>
      </c>
    </row>
    <row r="134" spans="1:18" s="16" customFormat="1" hidden="1" outlineLevel="2" x14ac:dyDescent="0.35">
      <c r="B134" s="11" t="str">
        <f>CONCATENATE("          ", "6381", " - ", "BANK/CREDIT CARD FEES")</f>
        <v xml:space="preserve">          6381 - BANK/CREDIT CARD FEES</v>
      </c>
      <c r="D134" s="2"/>
      <c r="F134" s="2"/>
      <c r="G134" s="3"/>
      <c r="H134" s="2"/>
      <c r="I134" s="3"/>
      <c r="J134" s="2"/>
      <c r="K134" s="3"/>
      <c r="L134" s="2"/>
      <c r="M134" s="3"/>
      <c r="N134" s="2"/>
      <c r="O134" s="3"/>
      <c r="P134" s="2">
        <v>10617</v>
      </c>
      <c r="Q134" s="3"/>
      <c r="R134" s="2">
        <v>8869</v>
      </c>
    </row>
    <row r="135" spans="1:18" s="15" customFormat="1" outlineLevel="1" collapsed="1" x14ac:dyDescent="0.35">
      <c r="A135" s="7"/>
      <c r="B135" s="20" t="str">
        <f>CONCATENATE("     ","Discounts and Markdowns                           ")</f>
        <v xml:space="preserve">     Discounts and Markdowns                           </v>
      </c>
      <c r="C135" s="7"/>
      <c r="D135" s="1">
        <f>SUM(OSRRefD21_5x_0)</f>
        <v>28108.3</v>
      </c>
      <c r="E135" s="19"/>
      <c r="F135" s="1">
        <f>SUM(OSRRefF21_5x_0)</f>
        <v>27636.03</v>
      </c>
      <c r="G135" s="4"/>
      <c r="H135" s="1">
        <f>SUM(OSRRefH21_5x_0)</f>
        <v>37649.160000000003</v>
      </c>
      <c r="I135" s="4"/>
      <c r="J135" s="1">
        <f>SUM(OSRRefJ21_5x_0)</f>
        <v>21057.91</v>
      </c>
      <c r="K135" s="4"/>
      <c r="L135" s="1">
        <f>SUM(OSRRefL21_5x_0)</f>
        <v>32562.63</v>
      </c>
      <c r="M135" s="4"/>
      <c r="N135" s="1">
        <f>SUM(OSRRefN21_5x_0)</f>
        <v>25704.85</v>
      </c>
      <c r="O135" s="4"/>
      <c r="P135" s="1">
        <f>SUM(OSRRefP21_5x_0)</f>
        <v>3536</v>
      </c>
      <c r="Q135" s="4"/>
      <c r="R135" s="1">
        <f>SUM(OSRRefR21_5x_0)</f>
        <v>0</v>
      </c>
    </row>
    <row r="136" spans="1:18" s="16" customFormat="1" hidden="1" outlineLevel="2" x14ac:dyDescent="0.35">
      <c r="B136" s="11" t="str">
        <f>CONCATENATE("          ", "6382", " - ", "DISCOUNTS/MARK DOWNS")</f>
        <v xml:space="preserve">          6382 - DISCOUNTS/MARK DOWNS</v>
      </c>
      <c r="D136" s="2">
        <v>28108.3</v>
      </c>
      <c r="F136" s="2">
        <v>27636.03</v>
      </c>
      <c r="G136" s="3"/>
      <c r="H136" s="2">
        <v>37649.160000000003</v>
      </c>
      <c r="I136" s="3"/>
      <c r="J136" s="2">
        <v>21084.43</v>
      </c>
      <c r="K136" s="3"/>
      <c r="L136" s="2">
        <v>31996.68</v>
      </c>
      <c r="M136" s="3"/>
      <c r="N136" s="2">
        <v>25704.85</v>
      </c>
      <c r="O136" s="3"/>
      <c r="P136" s="2">
        <v>3536</v>
      </c>
      <c r="Q136" s="3"/>
      <c r="R136" s="2">
        <v>0</v>
      </c>
    </row>
    <row r="137" spans="1:18" s="16" customFormat="1" hidden="1" outlineLevel="2" x14ac:dyDescent="0.35">
      <c r="B137" s="11" t="str">
        <f>CONCATENATE("          ", "9175", " - ", "EARNED DISCOUNTS")</f>
        <v xml:space="preserve">          9175 - EARNED DISCOUNTS</v>
      </c>
      <c r="D137" s="2"/>
      <c r="F137" s="2"/>
      <c r="G137" s="3"/>
      <c r="H137" s="2"/>
      <c r="I137" s="3"/>
      <c r="J137" s="2">
        <v>-26.52</v>
      </c>
      <c r="K137" s="3"/>
      <c r="L137" s="2">
        <v>565.95000000000005</v>
      </c>
      <c r="M137" s="3"/>
      <c r="N137" s="2">
        <v>0</v>
      </c>
      <c r="O137" s="3"/>
      <c r="P137" s="2"/>
      <c r="Q137" s="3"/>
      <c r="R137" s="2"/>
    </row>
    <row r="138" spans="1:18" s="15" customFormat="1" outlineLevel="1" collapsed="1" x14ac:dyDescent="0.35">
      <c r="A138" s="7"/>
      <c r="B138" s="20" t="str">
        <f>CONCATENATE("     ","Employees' Appreciation                           ")</f>
        <v xml:space="preserve">     Employees' Appreciation                           </v>
      </c>
      <c r="C138" s="7"/>
      <c r="D138" s="1">
        <f>SUM(OSRRefD21_6x_0)</f>
        <v>243.06</v>
      </c>
      <c r="E138" s="19"/>
      <c r="F138" s="1">
        <f>SUM(OSRRefF21_6x_0)</f>
        <v>175.39</v>
      </c>
      <c r="G138" s="4"/>
      <c r="H138" s="1">
        <f>SUM(OSRRefH21_6x_0)</f>
        <v>124.32</v>
      </c>
      <c r="I138" s="4"/>
      <c r="J138" s="1">
        <f>SUM(OSRRefJ21_6x_0)</f>
        <v>0</v>
      </c>
      <c r="K138" s="4"/>
      <c r="L138" s="1">
        <f>SUM(OSRRefL21_6x_0)</f>
        <v>77.849999999999994</v>
      </c>
      <c r="M138" s="4"/>
      <c r="N138" s="1">
        <f>SUM(OSRRefN21_6x_0)</f>
        <v>0</v>
      </c>
      <c r="O138" s="4"/>
      <c r="P138" s="1">
        <f>SUM(OSRRefP21_6x_0)</f>
        <v>0</v>
      </c>
      <c r="Q138" s="4"/>
      <c r="R138" s="1">
        <f>SUM(OSRRefR21_6x_0)</f>
        <v>0</v>
      </c>
    </row>
    <row r="139" spans="1:18" s="16" customFormat="1" hidden="1" outlineLevel="2" x14ac:dyDescent="0.35">
      <c r="B139" s="11" t="str">
        <f>CONCATENATE("          ", "6277", " - ", "EMPLOYEE APPRECIATION")</f>
        <v xml:space="preserve">          6277 - EMPLOYEE APPRECIATION</v>
      </c>
      <c r="D139" s="2">
        <v>243.06</v>
      </c>
      <c r="F139" s="2">
        <v>175.39</v>
      </c>
      <c r="G139" s="3"/>
      <c r="H139" s="2">
        <v>124.32</v>
      </c>
      <c r="I139" s="3"/>
      <c r="J139" s="2"/>
      <c r="K139" s="3"/>
      <c r="L139" s="2">
        <v>77.849999999999994</v>
      </c>
      <c r="M139" s="3"/>
      <c r="N139" s="2"/>
      <c r="O139" s="3"/>
      <c r="P139" s="2"/>
      <c r="Q139" s="3"/>
      <c r="R139" s="2"/>
    </row>
    <row r="140" spans="1:18" s="15" customFormat="1" outlineLevel="1" collapsed="1" x14ac:dyDescent="0.35">
      <c r="A140" s="7"/>
      <c r="B140" s="20" t="str">
        <f>CONCATENATE("     ","Freight out/Postage                               ")</f>
        <v xml:space="preserve">     Freight out/Postage                               </v>
      </c>
      <c r="C140" s="7"/>
      <c r="D140" s="1">
        <f>SUM(OSRRefD21_7x_0)</f>
        <v>8.74</v>
      </c>
      <c r="E140" s="19"/>
      <c r="F140" s="1">
        <f>SUM(OSRRefF21_7x_0)</f>
        <v>29.11</v>
      </c>
      <c r="G140" s="4"/>
      <c r="H140" s="1">
        <f>SUM(OSRRefH21_7x_0)</f>
        <v>19.59</v>
      </c>
      <c r="I140" s="4"/>
      <c r="J140" s="1">
        <f>SUM(OSRRefJ21_7x_0)</f>
        <v>88.259999999999991</v>
      </c>
      <c r="K140" s="4"/>
      <c r="L140" s="1">
        <f>SUM(OSRRefL21_7x_0)</f>
        <v>28.02</v>
      </c>
      <c r="M140" s="4"/>
      <c r="N140" s="1">
        <f>SUM(OSRRefN21_7x_0)</f>
        <v>15.81</v>
      </c>
      <c r="O140" s="4"/>
      <c r="P140" s="1">
        <f>SUM(OSRRefP21_7x_0)</f>
        <v>2975</v>
      </c>
      <c r="Q140" s="4"/>
      <c r="R140" s="1">
        <f>SUM(OSRRefR21_7x_0)</f>
        <v>0</v>
      </c>
    </row>
    <row r="141" spans="1:18" s="16" customFormat="1" hidden="1" outlineLevel="2" x14ac:dyDescent="0.35">
      <c r="B141" s="11" t="str">
        <f>CONCATENATE("          ", "6305", " - ", "FREIGHT OUT")</f>
        <v xml:space="preserve">          6305 - FREIGHT OUT</v>
      </c>
      <c r="D141" s="2">
        <v>8.74</v>
      </c>
      <c r="F141" s="2">
        <v>26.58</v>
      </c>
      <c r="G141" s="3"/>
      <c r="H141" s="2">
        <v>20.079999999999998</v>
      </c>
      <c r="I141" s="3"/>
      <c r="J141" s="2">
        <v>88.13</v>
      </c>
      <c r="K141" s="3"/>
      <c r="L141" s="2">
        <v>28.02</v>
      </c>
      <c r="M141" s="3"/>
      <c r="N141" s="2">
        <v>15.81</v>
      </c>
      <c r="O141" s="3"/>
      <c r="P141" s="2">
        <v>2975</v>
      </c>
      <c r="Q141" s="3"/>
      <c r="R141" s="2"/>
    </row>
    <row r="142" spans="1:18" s="16" customFormat="1" hidden="1" outlineLevel="2" x14ac:dyDescent="0.35">
      <c r="B142" s="11" t="str">
        <f>CONCATENATE("          ", "6307", " - ", "POSTAGE")</f>
        <v xml:space="preserve">          6307 - POSTAGE</v>
      </c>
      <c r="D142" s="2"/>
      <c r="F142" s="2">
        <v>2.5299999999999998</v>
      </c>
      <c r="G142" s="3"/>
      <c r="H142" s="2">
        <v>-0.49</v>
      </c>
      <c r="I142" s="3"/>
      <c r="J142" s="2">
        <v>0.13</v>
      </c>
      <c r="K142" s="3"/>
      <c r="L142" s="2"/>
      <c r="M142" s="3"/>
      <c r="N142" s="2"/>
      <c r="O142" s="3"/>
      <c r="P142" s="2"/>
      <c r="Q142" s="3"/>
      <c r="R142" s="2"/>
    </row>
    <row r="143" spans="1:18" s="15" customFormat="1" outlineLevel="1" collapsed="1" x14ac:dyDescent="0.35">
      <c r="A143" s="7"/>
      <c r="B143" s="20" t="str">
        <f>CONCATENATE("     ","General                                           ")</f>
        <v xml:space="preserve">     General                                           </v>
      </c>
      <c r="C143" s="7"/>
      <c r="D143" s="1">
        <f>SUM(OSRRefD21_8x_0)</f>
        <v>783.8</v>
      </c>
      <c r="E143" s="19"/>
      <c r="F143" s="1">
        <f>SUM(OSRRefF21_8x_0)</f>
        <v>798.8</v>
      </c>
      <c r="G143" s="4"/>
      <c r="H143" s="1">
        <f>SUM(OSRRefH21_8x_0)</f>
        <v>833.6</v>
      </c>
      <c r="I143" s="4"/>
      <c r="J143" s="1">
        <f>SUM(OSRRefJ21_8x_0)</f>
        <v>814</v>
      </c>
      <c r="K143" s="4"/>
      <c r="L143" s="1">
        <f>SUM(OSRRefL21_8x_0)</f>
        <v>829.2</v>
      </c>
      <c r="M143" s="4"/>
      <c r="N143" s="1">
        <f>SUM(OSRRefN21_8x_0)</f>
        <v>954.05</v>
      </c>
      <c r="O143" s="4"/>
      <c r="P143" s="1">
        <f>SUM(OSRRefP21_8x_0)</f>
        <v>1000</v>
      </c>
      <c r="Q143" s="4"/>
      <c r="R143" s="1">
        <f>SUM(OSRRefR21_8x_0)</f>
        <v>0</v>
      </c>
    </row>
    <row r="144" spans="1:18" s="16" customFormat="1" hidden="1" outlineLevel="2" x14ac:dyDescent="0.35">
      <c r="B144" s="11" t="str">
        <f>CONCATENATE("          ", "6279", " - ", "GENERAL EXPENSE")</f>
        <v xml:space="preserve">          6279 - GENERAL EXPENSE</v>
      </c>
      <c r="D144" s="2">
        <v>783.8</v>
      </c>
      <c r="F144" s="2">
        <v>798.8</v>
      </c>
      <c r="G144" s="3"/>
      <c r="H144" s="2">
        <v>833.6</v>
      </c>
      <c r="I144" s="3"/>
      <c r="J144" s="2">
        <v>814</v>
      </c>
      <c r="K144" s="3"/>
      <c r="L144" s="2">
        <v>829.2</v>
      </c>
      <c r="M144" s="3"/>
      <c r="N144" s="2">
        <v>954.05</v>
      </c>
      <c r="O144" s="3"/>
      <c r="P144" s="2">
        <v>1000</v>
      </c>
      <c r="Q144" s="3"/>
      <c r="R144" s="2">
        <v>0</v>
      </c>
    </row>
    <row r="145" spans="1:18" s="15" customFormat="1" outlineLevel="1" collapsed="1" x14ac:dyDescent="0.35">
      <c r="A145" s="7"/>
      <c r="B145" s="20" t="str">
        <f>CONCATENATE("     ","Inventory Adjustment                              ")</f>
        <v xml:space="preserve">     Inventory Adjustment                              </v>
      </c>
      <c r="C145" s="7"/>
      <c r="D145" s="1">
        <f>SUM(OSRRefD21_9x_0)</f>
        <v>6108</v>
      </c>
      <c r="E145" s="19"/>
      <c r="F145" s="1">
        <f>SUM(OSRRefF21_9x_0)</f>
        <v>3524</v>
      </c>
      <c r="G145" s="4"/>
      <c r="H145" s="1">
        <f>SUM(OSRRefH21_9x_0)</f>
        <v>-13581</v>
      </c>
      <c r="I145" s="4"/>
      <c r="J145" s="1">
        <f>SUM(OSRRefJ21_9x_0)</f>
        <v>1542</v>
      </c>
      <c r="K145" s="4"/>
      <c r="L145" s="1">
        <f>SUM(OSRRefL21_9x_0)</f>
        <v>3397</v>
      </c>
      <c r="M145" s="4"/>
      <c r="N145" s="1">
        <f>SUM(OSRRefN21_9x_0)</f>
        <v>38127</v>
      </c>
      <c r="O145" s="4"/>
      <c r="P145" s="1">
        <f>SUM(OSRRefP21_9x_0)</f>
        <v>0</v>
      </c>
      <c r="Q145" s="4"/>
      <c r="R145" s="1">
        <f>SUM(OSRRefR21_9x_0)</f>
        <v>7800</v>
      </c>
    </row>
    <row r="146" spans="1:18" s="16" customFormat="1" hidden="1" outlineLevel="2" x14ac:dyDescent="0.35">
      <c r="B146" s="11" t="str">
        <f>CONCATENATE("          ", "6408", " - ", "INVENTORY ADJUSTMENT")</f>
        <v xml:space="preserve">          6408 - INVENTORY ADJUSTMENT</v>
      </c>
      <c r="D146" s="2">
        <v>0</v>
      </c>
      <c r="F146" s="2">
        <v>0</v>
      </c>
      <c r="G146" s="3"/>
      <c r="H146" s="2">
        <v>0</v>
      </c>
      <c r="I146" s="3"/>
      <c r="J146" s="2"/>
      <c r="K146" s="3"/>
      <c r="L146" s="2">
        <v>0</v>
      </c>
      <c r="M146" s="3"/>
      <c r="N146" s="2"/>
      <c r="O146" s="3"/>
      <c r="P146" s="2"/>
      <c r="Q146" s="3"/>
      <c r="R146" s="2">
        <v>7800</v>
      </c>
    </row>
    <row r="147" spans="1:18" s="16" customFormat="1" hidden="1" outlineLevel="2" x14ac:dyDescent="0.35">
      <c r="B147" s="11" t="str">
        <f>CONCATENATE("          ", "7713", " - ", "INV. SHRINKAGE-TRADE BOOKS")</f>
        <v xml:space="preserve">          7713 - INV. SHRINKAGE-TRADE BOOKS</v>
      </c>
      <c r="D147" s="2">
        <v>-358</v>
      </c>
      <c r="F147" s="2">
        <v>-54</v>
      </c>
      <c r="G147" s="3"/>
      <c r="H147" s="2">
        <v>222</v>
      </c>
      <c r="I147" s="3"/>
      <c r="J147" s="2">
        <v>-314</v>
      </c>
      <c r="K147" s="3"/>
      <c r="L147" s="2">
        <v>17</v>
      </c>
      <c r="M147" s="3"/>
      <c r="N147" s="2">
        <v>37</v>
      </c>
      <c r="O147" s="3"/>
      <c r="P147" s="2"/>
      <c r="Q147" s="3"/>
      <c r="R147" s="2"/>
    </row>
    <row r="148" spans="1:18" s="16" customFormat="1" hidden="1" outlineLevel="2" x14ac:dyDescent="0.35">
      <c r="B148" s="11" t="str">
        <f>CONCATENATE("          ", "7714", " - ", "INV. SHRINKAGE-REMAINDERS")</f>
        <v xml:space="preserve">          7714 - INV. SHRINKAGE-REMAINDERS</v>
      </c>
      <c r="D148" s="2"/>
      <c r="F148" s="2"/>
      <c r="G148" s="3"/>
      <c r="H148" s="2">
        <v>3</v>
      </c>
      <c r="I148" s="3"/>
      <c r="J148" s="2"/>
      <c r="K148" s="3"/>
      <c r="L148" s="2"/>
      <c r="M148" s="3"/>
      <c r="N148" s="2">
        <v>33</v>
      </c>
      <c r="O148" s="3"/>
      <c r="P148" s="2"/>
      <c r="Q148" s="3"/>
      <c r="R148" s="2"/>
    </row>
    <row r="149" spans="1:18" s="16" customFormat="1" hidden="1" outlineLevel="2" x14ac:dyDescent="0.35">
      <c r="B149" s="11" t="str">
        <f>CONCATENATE("          ", "7717", " - ", "INV. SHRINKAGE-DORM/HOUSEWARES")</f>
        <v xml:space="preserve">          7717 - INV. SHRINKAGE-DORM/HOUSEWARES</v>
      </c>
      <c r="D149" s="2"/>
      <c r="F149" s="2"/>
      <c r="G149" s="3"/>
      <c r="H149" s="2"/>
      <c r="I149" s="3"/>
      <c r="J149" s="2">
        <v>3654</v>
      </c>
      <c r="K149" s="3"/>
      <c r="L149" s="2">
        <v>-22</v>
      </c>
      <c r="M149" s="3"/>
      <c r="N149" s="2">
        <v>-254</v>
      </c>
      <c r="O149" s="3"/>
      <c r="P149" s="2"/>
      <c r="Q149" s="3"/>
      <c r="R149" s="2"/>
    </row>
    <row r="150" spans="1:18" s="16" customFormat="1" hidden="1" outlineLevel="2" x14ac:dyDescent="0.35">
      <c r="B150" s="11" t="str">
        <f>CONCATENATE("          ", "7719", " - ", "INV. SHRINKAGE-BOOK RELATED")</f>
        <v xml:space="preserve">          7719 - INV. SHRINKAGE-BOOK RELATED</v>
      </c>
      <c r="D150" s="2">
        <v>-155</v>
      </c>
      <c r="F150" s="2">
        <v>-525</v>
      </c>
      <c r="G150" s="3"/>
      <c r="H150" s="2">
        <v>11</v>
      </c>
      <c r="I150" s="3"/>
      <c r="J150" s="2">
        <v>22</v>
      </c>
      <c r="K150" s="3"/>
      <c r="L150" s="2">
        <v>-43</v>
      </c>
      <c r="M150" s="3"/>
      <c r="N150" s="2">
        <v>-43</v>
      </c>
      <c r="O150" s="3"/>
      <c r="P150" s="2"/>
      <c r="Q150" s="3"/>
      <c r="R150" s="2"/>
    </row>
    <row r="151" spans="1:18" s="16" customFormat="1" hidden="1" outlineLevel="2" x14ac:dyDescent="0.35">
      <c r="B151" s="11" t="str">
        <f>CONCATENATE("          ", "7725", " - ", "INV. SHRINKAGE-TEST FORMS")</f>
        <v xml:space="preserve">          7725 - INV. SHRINKAGE-TEST FORMS</v>
      </c>
      <c r="D151" s="2">
        <v>597</v>
      </c>
      <c r="F151" s="2">
        <v>2867</v>
      </c>
      <c r="G151" s="3"/>
      <c r="H151" s="2">
        <v>-2675</v>
      </c>
      <c r="I151" s="3"/>
      <c r="J151" s="2">
        <v>-12037</v>
      </c>
      <c r="K151" s="3"/>
      <c r="L151" s="2">
        <v>62</v>
      </c>
      <c r="M151" s="3"/>
      <c r="N151" s="2">
        <v>3987</v>
      </c>
      <c r="O151" s="3"/>
      <c r="P151" s="2"/>
      <c r="Q151" s="3"/>
      <c r="R151" s="2"/>
    </row>
    <row r="152" spans="1:18" s="16" customFormat="1" hidden="1" outlineLevel="2" x14ac:dyDescent="0.35">
      <c r="B152" s="11" t="str">
        <f>CONCATENATE("          ", "7726", " - ", "INV. SHRINKAGE-WRITING INSTRUM")</f>
        <v xml:space="preserve">          7726 - INV. SHRINKAGE-WRITING INSTRUM</v>
      </c>
      <c r="D152" s="2">
        <v>2160</v>
      </c>
      <c r="F152" s="2">
        <v>1857</v>
      </c>
      <c r="G152" s="3"/>
      <c r="H152" s="2">
        <v>1370</v>
      </c>
      <c r="I152" s="3"/>
      <c r="J152" s="2">
        <v>2333</v>
      </c>
      <c r="K152" s="3"/>
      <c r="L152" s="2">
        <v>987</v>
      </c>
      <c r="M152" s="3"/>
      <c r="N152" s="2">
        <v>6811</v>
      </c>
      <c r="O152" s="3"/>
      <c r="P152" s="2"/>
      <c r="Q152" s="3"/>
      <c r="R152" s="2"/>
    </row>
    <row r="153" spans="1:18" s="16" customFormat="1" hidden="1" outlineLevel="2" x14ac:dyDescent="0.35">
      <c r="B153" s="11" t="str">
        <f>CONCATENATE("          ", "7727", " - ", "INV. SHRINKAGE-SCHOOL SUPPLIES")</f>
        <v xml:space="preserve">          7727 - INV. SHRINKAGE-SCHOOL SUPPLIES</v>
      </c>
      <c r="D153" s="2">
        <v>1495</v>
      </c>
      <c r="F153" s="2">
        <v>1746</v>
      </c>
      <c r="G153" s="3"/>
      <c r="H153" s="2">
        <v>-6340</v>
      </c>
      <c r="I153" s="3"/>
      <c r="J153" s="2">
        <v>8110</v>
      </c>
      <c r="K153" s="3"/>
      <c r="L153" s="2">
        <v>605</v>
      </c>
      <c r="M153" s="3"/>
      <c r="N153" s="2">
        <v>9438</v>
      </c>
      <c r="O153" s="3"/>
      <c r="P153" s="2"/>
      <c r="Q153" s="3"/>
      <c r="R153" s="2"/>
    </row>
    <row r="154" spans="1:18" s="16" customFormat="1" hidden="1" outlineLevel="2" x14ac:dyDescent="0.35">
      <c r="B154" s="11" t="str">
        <f>CONCATENATE("          ", "7728", " - ", "INV. SHRINKAGE-ART/TECH")</f>
        <v xml:space="preserve">          7728 - INV. SHRINKAGE-ART/TECH</v>
      </c>
      <c r="D154" s="2">
        <v>2277</v>
      </c>
      <c r="F154" s="2">
        <v>-552</v>
      </c>
      <c r="G154" s="3"/>
      <c r="H154" s="2">
        <v>-6930</v>
      </c>
      <c r="I154" s="3"/>
      <c r="J154" s="2">
        <v>3127</v>
      </c>
      <c r="K154" s="3"/>
      <c r="L154" s="2">
        <v>4009</v>
      </c>
      <c r="M154" s="3"/>
      <c r="N154" s="2">
        <v>8990</v>
      </c>
      <c r="O154" s="3"/>
      <c r="P154" s="2"/>
      <c r="Q154" s="3"/>
      <c r="R154" s="2"/>
    </row>
    <row r="155" spans="1:18" s="16" customFormat="1" hidden="1" outlineLevel="2" x14ac:dyDescent="0.35">
      <c r="B155" s="11" t="str">
        <f>CONCATENATE("          ", "7731", " - ", "INV. SHRINKAGE-FOOD")</f>
        <v xml:space="preserve">          7731 - INV. SHRINKAGE-FOOD</v>
      </c>
      <c r="D155" s="2">
        <v>397</v>
      </c>
      <c r="F155" s="2">
        <v>-1970</v>
      </c>
      <c r="G155" s="3"/>
      <c r="H155" s="2">
        <v>1740</v>
      </c>
      <c r="I155" s="3"/>
      <c r="J155" s="2">
        <v>3559</v>
      </c>
      <c r="K155" s="3"/>
      <c r="L155" s="2">
        <v>-237</v>
      </c>
      <c r="M155" s="3"/>
      <c r="N155" s="2">
        <v>6964</v>
      </c>
      <c r="O155" s="3"/>
      <c r="P155" s="2"/>
      <c r="Q155" s="3"/>
      <c r="R155" s="2"/>
    </row>
    <row r="156" spans="1:18" s="16" customFormat="1" hidden="1" outlineLevel="2" x14ac:dyDescent="0.35">
      <c r="B156" s="11" t="str">
        <f>CONCATENATE("          ", "7732", " - ", "INV. SHRINKAGE-JUICE")</f>
        <v xml:space="preserve">          7732 - INV. SHRINKAGE-JUICE</v>
      </c>
      <c r="D156" s="2">
        <v>-1072</v>
      </c>
      <c r="F156" s="2">
        <v>-548</v>
      </c>
      <c r="G156" s="3"/>
      <c r="H156" s="2">
        <v>-360</v>
      </c>
      <c r="I156" s="3"/>
      <c r="J156" s="2">
        <v>-806</v>
      </c>
      <c r="K156" s="3"/>
      <c r="L156" s="2">
        <v>-181</v>
      </c>
      <c r="M156" s="3"/>
      <c r="N156" s="2">
        <v>-1942</v>
      </c>
      <c r="O156" s="3"/>
      <c r="P156" s="2"/>
      <c r="Q156" s="3"/>
      <c r="R156" s="2"/>
    </row>
    <row r="157" spans="1:18" s="16" customFormat="1" hidden="1" outlineLevel="2" x14ac:dyDescent="0.35">
      <c r="B157" s="11" t="str">
        <f>CONCATENATE("          ", "7733", " - ", "INV. SHRINKAGE-CANDY")</f>
        <v xml:space="preserve">          7733 - INV. SHRINKAGE-CANDY</v>
      </c>
      <c r="D157" s="2">
        <v>971</v>
      </c>
      <c r="F157" s="2">
        <v>1694</v>
      </c>
      <c r="G157" s="3"/>
      <c r="H157" s="2">
        <v>72</v>
      </c>
      <c r="I157" s="3"/>
      <c r="J157" s="2">
        <v>-1683</v>
      </c>
      <c r="K157" s="3"/>
      <c r="L157" s="2">
        <v>-289</v>
      </c>
      <c r="M157" s="3"/>
      <c r="N157" s="2">
        <v>2710</v>
      </c>
      <c r="O157" s="3"/>
      <c r="P157" s="2"/>
      <c r="Q157" s="3"/>
      <c r="R157" s="2"/>
    </row>
    <row r="158" spans="1:18" s="16" customFormat="1" hidden="1" outlineLevel="2" x14ac:dyDescent="0.35">
      <c r="B158" s="11" t="str">
        <f>CONCATENATE("          ", "7734", " - ", "INV. SHRINKAGE-SODA")</f>
        <v xml:space="preserve">          7734 - INV. SHRINKAGE-SODA</v>
      </c>
      <c r="D158" s="2">
        <v>13</v>
      </c>
      <c r="F158" s="2">
        <v>-109</v>
      </c>
      <c r="G158" s="3"/>
      <c r="H158" s="2">
        <v>-367</v>
      </c>
      <c r="I158" s="3"/>
      <c r="J158" s="2">
        <v>-330</v>
      </c>
      <c r="K158" s="3"/>
      <c r="L158" s="2">
        <v>474</v>
      </c>
      <c r="M158" s="3"/>
      <c r="N158" s="2">
        <v>1253</v>
      </c>
      <c r="O158" s="3"/>
      <c r="P158" s="2"/>
      <c r="Q158" s="3"/>
      <c r="R158" s="2"/>
    </row>
    <row r="159" spans="1:18" s="16" customFormat="1" hidden="1" outlineLevel="2" x14ac:dyDescent="0.35">
      <c r="B159" s="11" t="str">
        <f>CONCATENATE("          ", "7735", " - ", "INV. SHRINKAGE-HEALTH/BEAUTY")</f>
        <v xml:space="preserve">          7735 - INV. SHRINKAGE-HEALTH/BEAUTY</v>
      </c>
      <c r="D159" s="2">
        <v>-87</v>
      </c>
      <c r="F159" s="2">
        <v>-265</v>
      </c>
      <c r="G159" s="3"/>
      <c r="H159" s="2">
        <v>91</v>
      </c>
      <c r="I159" s="3"/>
      <c r="J159" s="2">
        <v>222</v>
      </c>
      <c r="K159" s="3"/>
      <c r="L159" s="2">
        <v>-288</v>
      </c>
      <c r="M159" s="3"/>
      <c r="N159" s="2">
        <v>369</v>
      </c>
      <c r="O159" s="3"/>
      <c r="P159" s="2"/>
      <c r="Q159" s="3"/>
      <c r="R159" s="2"/>
    </row>
    <row r="160" spans="1:18" s="16" customFormat="1" hidden="1" outlineLevel="2" x14ac:dyDescent="0.35">
      <c r="B160" s="11" t="str">
        <f>CONCATENATE("          ", "7737", " - ", "INV. SHRINKAGE-WATER")</f>
        <v xml:space="preserve">          7737 - INV. SHRINKAGE-WATER</v>
      </c>
      <c r="D160" s="2">
        <v>-148</v>
      </c>
      <c r="F160" s="2">
        <v>199</v>
      </c>
      <c r="G160" s="3"/>
      <c r="H160" s="2">
        <v>-2670</v>
      </c>
      <c r="I160" s="3"/>
      <c r="J160" s="2">
        <v>-112</v>
      </c>
      <c r="K160" s="3"/>
      <c r="L160" s="2">
        <v>-161</v>
      </c>
      <c r="M160" s="3"/>
      <c r="N160" s="2">
        <v>832</v>
      </c>
      <c r="O160" s="3"/>
      <c r="P160" s="2"/>
      <c r="Q160" s="3"/>
      <c r="R160" s="2"/>
    </row>
    <row r="161" spans="1:18" s="16" customFormat="1" hidden="1" outlineLevel="2" x14ac:dyDescent="0.35">
      <c r="B161" s="11" t="str">
        <f>CONCATENATE("          ", "7741", " - ", "INV. SHRINKAGE-LOGO GIFTS")</f>
        <v xml:space="preserve">          7741 - INV. SHRINKAGE-LOGO GIFTS</v>
      </c>
      <c r="D161" s="2"/>
      <c r="F161" s="2"/>
      <c r="G161" s="3"/>
      <c r="H161" s="2">
        <v>844</v>
      </c>
      <c r="I161" s="3"/>
      <c r="J161" s="2"/>
      <c r="K161" s="3"/>
      <c r="L161" s="2"/>
      <c r="M161" s="3"/>
      <c r="N161" s="2">
        <v>-494</v>
      </c>
      <c r="O161" s="3"/>
      <c r="P161" s="2"/>
      <c r="Q161" s="3"/>
      <c r="R161" s="2"/>
    </row>
    <row r="162" spans="1:18" s="16" customFormat="1" hidden="1" outlineLevel="2" x14ac:dyDescent="0.35">
      <c r="B162" s="11" t="str">
        <f>CONCATENATE("          ", "7742", " - ", "INV. SHRINKAGE-EVERYDAY GIFTS")</f>
        <v xml:space="preserve">          7742 - INV. SHRINKAGE-EVERYDAY GIFTS</v>
      </c>
      <c r="D162" s="2"/>
      <c r="F162" s="2"/>
      <c r="G162" s="3"/>
      <c r="H162" s="2"/>
      <c r="I162" s="3"/>
      <c r="J162" s="2">
        <v>-577</v>
      </c>
      <c r="K162" s="3"/>
      <c r="L162" s="2">
        <v>-57</v>
      </c>
      <c r="M162" s="3"/>
      <c r="N162" s="2">
        <v>-553</v>
      </c>
      <c r="O162" s="3"/>
      <c r="P162" s="2"/>
      <c r="Q162" s="3"/>
      <c r="R162" s="2"/>
    </row>
    <row r="163" spans="1:18" s="16" customFormat="1" hidden="1" outlineLevel="2" x14ac:dyDescent="0.35">
      <c r="B163" s="11" t="str">
        <f>CONCATENATE("          ", "7744", " - ", "INV. SHRINKAGE-ACCESSORIES")</f>
        <v xml:space="preserve">          7744 - INV. SHRINKAGE-ACCESSORIES</v>
      </c>
      <c r="D163" s="2"/>
      <c r="F163" s="2"/>
      <c r="G163" s="3"/>
      <c r="H163" s="2">
        <v>102</v>
      </c>
      <c r="I163" s="3"/>
      <c r="J163" s="2">
        <v>-78</v>
      </c>
      <c r="K163" s="3"/>
      <c r="L163" s="2"/>
      <c r="M163" s="3"/>
      <c r="N163" s="2">
        <v>-180</v>
      </c>
      <c r="O163" s="3"/>
      <c r="P163" s="2"/>
      <c r="Q163" s="3"/>
      <c r="R163" s="2"/>
    </row>
    <row r="164" spans="1:18" s="16" customFormat="1" hidden="1" outlineLevel="2" x14ac:dyDescent="0.35">
      <c r="B164" s="11" t="str">
        <f>CONCATENATE("          ", "7781", " - ", "INV. SHRINKAGE-ELECTRONICS")</f>
        <v xml:space="preserve">          7781 - INV. SHRINKAGE-ELECTRONICS</v>
      </c>
      <c r="D164" s="2"/>
      <c r="F164" s="2">
        <v>-342</v>
      </c>
      <c r="G164" s="3"/>
      <c r="H164" s="2">
        <v>713</v>
      </c>
      <c r="I164" s="3"/>
      <c r="J164" s="2">
        <v>-1405</v>
      </c>
      <c r="K164" s="3"/>
      <c r="L164" s="2">
        <v>98</v>
      </c>
      <c r="M164" s="3"/>
      <c r="N164" s="2">
        <v>-28</v>
      </c>
      <c r="O164" s="3"/>
      <c r="P164" s="2"/>
      <c r="Q164" s="3"/>
      <c r="R164" s="2"/>
    </row>
    <row r="165" spans="1:18" s="16" customFormat="1" hidden="1" outlineLevel="2" x14ac:dyDescent="0.35">
      <c r="B165" s="11" t="str">
        <f>CONCATENATE("          ", "7782", " - ", "INV. SHRINKAGE-COMPUTER HARDWA")</f>
        <v xml:space="preserve">          7782 - INV. SHRINKAGE-COMPUTER HARDWA</v>
      </c>
      <c r="D165" s="2"/>
      <c r="F165" s="2"/>
      <c r="G165" s="3"/>
      <c r="H165" s="2">
        <v>128</v>
      </c>
      <c r="I165" s="3"/>
      <c r="J165" s="2">
        <v>-520</v>
      </c>
      <c r="K165" s="3"/>
      <c r="L165" s="2">
        <v>-1237</v>
      </c>
      <c r="M165" s="3"/>
      <c r="N165" s="2">
        <v>69</v>
      </c>
      <c r="O165" s="3"/>
      <c r="P165" s="2"/>
      <c r="Q165" s="3"/>
      <c r="R165" s="2"/>
    </row>
    <row r="166" spans="1:18" s="16" customFormat="1" hidden="1" outlineLevel="2" x14ac:dyDescent="0.35">
      <c r="B166" s="11" t="str">
        <f>CONCATENATE("          ", "7783", " - ", "INV. SHRINKAGE-COMPUTER EQUIPM")</f>
        <v xml:space="preserve">          7783 - INV. SHRINKAGE-COMPUTER EQUIPM</v>
      </c>
      <c r="D166" s="2"/>
      <c r="F166" s="2">
        <v>-331</v>
      </c>
      <c r="G166" s="3"/>
      <c r="H166" s="2">
        <v>52</v>
      </c>
      <c r="I166" s="3"/>
      <c r="J166" s="2">
        <v>-153</v>
      </c>
      <c r="K166" s="3"/>
      <c r="L166" s="2">
        <v>-104</v>
      </c>
      <c r="M166" s="3"/>
      <c r="N166" s="2">
        <v>90</v>
      </c>
      <c r="O166" s="3"/>
      <c r="P166" s="2"/>
      <c r="Q166" s="3"/>
      <c r="R166" s="2"/>
    </row>
    <row r="167" spans="1:18" s="16" customFormat="1" hidden="1" outlineLevel="2" x14ac:dyDescent="0.35">
      <c r="B167" s="11" t="str">
        <f>CONCATENATE("          ", "7786", " - ", "INV. SHRINKAGE-COMPUTER SUPPLI")</f>
        <v xml:space="preserve">          7786 - INV. SHRINKAGE-COMPUTER SUPPLI</v>
      </c>
      <c r="D167" s="2">
        <v>6</v>
      </c>
      <c r="F167" s="2">
        <v>-154</v>
      </c>
      <c r="G167" s="3"/>
      <c r="H167" s="2">
        <v>195</v>
      </c>
      <c r="I167" s="3"/>
      <c r="J167" s="2">
        <v>-1470</v>
      </c>
      <c r="K167" s="3"/>
      <c r="L167" s="2">
        <v>-236</v>
      </c>
      <c r="M167" s="3"/>
      <c r="N167" s="2">
        <v>38</v>
      </c>
      <c r="O167" s="3"/>
      <c r="P167" s="2"/>
      <c r="Q167" s="3"/>
      <c r="R167" s="2"/>
    </row>
    <row r="168" spans="1:18" s="16" customFormat="1" hidden="1" outlineLevel="2" x14ac:dyDescent="0.35">
      <c r="B168" s="11" t="str">
        <f>CONCATENATE("          ", "7792", " - ", "INV. SHRINKAGE-GRAD MERCH")</f>
        <v xml:space="preserve">          7792 - INV. SHRINKAGE-GRAD MERCH</v>
      </c>
      <c r="D168" s="2"/>
      <c r="F168" s="2"/>
      <c r="G168" s="3"/>
      <c r="H168" s="2">
        <v>222</v>
      </c>
      <c r="I168" s="3"/>
      <c r="J168" s="2"/>
      <c r="K168" s="3"/>
      <c r="L168" s="2"/>
      <c r="M168" s="3"/>
      <c r="N168" s="2"/>
      <c r="O168" s="3"/>
      <c r="P168" s="2"/>
      <c r="Q168" s="3"/>
      <c r="R168" s="2"/>
    </row>
    <row r="169" spans="1:18" s="16" customFormat="1" hidden="1" outlineLevel="2" x14ac:dyDescent="0.35">
      <c r="B169" s="11" t="str">
        <f>CONCATENATE("          ", "7795", " - ", "INV. SHRINKAGE-CUSTOMER SERVIC")</f>
        <v xml:space="preserve">          7795 - INV. SHRINKAGE-CUSTOMER SERVIC</v>
      </c>
      <c r="D169" s="2">
        <v>12</v>
      </c>
      <c r="F169" s="2">
        <v>11</v>
      </c>
      <c r="G169" s="3"/>
      <c r="H169" s="2">
        <v>-4</v>
      </c>
      <c r="I169" s="3"/>
      <c r="J169" s="2"/>
      <c r="K169" s="3"/>
      <c r="L169" s="2"/>
      <c r="M169" s="3"/>
      <c r="N169" s="2"/>
      <c r="O169" s="3"/>
      <c r="P169" s="2"/>
      <c r="Q169" s="3"/>
      <c r="R169" s="2"/>
    </row>
    <row r="170" spans="1:18" s="15" customFormat="1" outlineLevel="1" collapsed="1" x14ac:dyDescent="0.35">
      <c r="A170" s="7"/>
      <c r="B170" s="20" t="str">
        <f>CONCATENATE("     ","Professional Services                             ")</f>
        <v xml:space="preserve">     Professional Services                             </v>
      </c>
      <c r="C170" s="7"/>
      <c r="D170" s="1">
        <f>SUM(OSRRefD21_10x_0)</f>
        <v>2251.2600000000002</v>
      </c>
      <c r="E170" s="19"/>
      <c r="F170" s="1">
        <f>SUM(OSRRefF21_10x_0)</f>
        <v>0</v>
      </c>
      <c r="G170" s="4"/>
      <c r="H170" s="1">
        <f>SUM(OSRRefH21_10x_0)</f>
        <v>750</v>
      </c>
      <c r="I170" s="4"/>
      <c r="J170" s="1">
        <f>SUM(OSRRefJ21_10x_0)</f>
        <v>750</v>
      </c>
      <c r="K170" s="4"/>
      <c r="L170" s="1">
        <f>SUM(OSRRefL21_10x_0)</f>
        <v>750</v>
      </c>
      <c r="M170" s="4"/>
      <c r="N170" s="1">
        <f>SUM(OSRRefN21_10x_0)</f>
        <v>2173.59</v>
      </c>
      <c r="O170" s="4"/>
      <c r="P170" s="1">
        <f>SUM(OSRRefP21_10x_0)</f>
        <v>800</v>
      </c>
      <c r="Q170" s="4"/>
      <c r="R170" s="1">
        <f>SUM(OSRRefR21_10x_0)</f>
        <v>0</v>
      </c>
    </row>
    <row r="171" spans="1:18" s="16" customFormat="1" hidden="1" outlineLevel="2" x14ac:dyDescent="0.35">
      <c r="B171" s="11" t="str">
        <f>CONCATENATE("          ", "6336", " - ", "PROFESSIONAL SERVICES")</f>
        <v xml:space="preserve">          6336 - PROFESSIONAL SERVICES</v>
      </c>
      <c r="D171" s="2">
        <v>2251.2600000000002</v>
      </c>
      <c r="F171" s="2"/>
      <c r="G171" s="3"/>
      <c r="H171" s="2">
        <v>750</v>
      </c>
      <c r="I171" s="3"/>
      <c r="J171" s="2">
        <v>750</v>
      </c>
      <c r="K171" s="3"/>
      <c r="L171" s="2">
        <v>750</v>
      </c>
      <c r="M171" s="3"/>
      <c r="N171" s="2">
        <v>2173.59</v>
      </c>
      <c r="O171" s="3"/>
      <c r="P171" s="2">
        <v>800</v>
      </c>
      <c r="Q171" s="3"/>
      <c r="R171" s="2"/>
    </row>
    <row r="172" spans="1:18" s="15" customFormat="1" outlineLevel="1" collapsed="1" x14ac:dyDescent="0.35">
      <c r="A172" s="7"/>
      <c r="B172" s="20" t="str">
        <f>CONCATENATE("     ","Rent                                              ")</f>
        <v xml:space="preserve">     Rent                                              </v>
      </c>
      <c r="C172" s="7"/>
      <c r="D172" s="1">
        <f>SUM(OSRRefD21_11x_0)</f>
        <v>18000</v>
      </c>
      <c r="E172" s="19"/>
      <c r="F172" s="1">
        <f>SUM(OSRRefF21_11x_0)</f>
        <v>18000</v>
      </c>
      <c r="G172" s="4"/>
      <c r="H172" s="1">
        <f>SUM(OSRRefH21_11x_0)</f>
        <v>16500</v>
      </c>
      <c r="I172" s="4"/>
      <c r="J172" s="1">
        <f>SUM(OSRRefJ21_11x_0)</f>
        <v>16500</v>
      </c>
      <c r="K172" s="4"/>
      <c r="L172" s="1">
        <f>SUM(OSRRefL21_11x_0)</f>
        <v>0</v>
      </c>
      <c r="M172" s="4"/>
      <c r="N172" s="1">
        <f>SUM(OSRRefN21_11x_0)</f>
        <v>0</v>
      </c>
      <c r="O172" s="4"/>
      <c r="P172" s="1">
        <f>SUM(OSRRefP21_11x_0)</f>
        <v>0</v>
      </c>
      <c r="Q172" s="4"/>
      <c r="R172" s="1">
        <f>SUM(OSRRefR21_11x_0)</f>
        <v>0</v>
      </c>
    </row>
    <row r="173" spans="1:18" s="16" customFormat="1" hidden="1" outlineLevel="2" x14ac:dyDescent="0.35">
      <c r="B173" s="11" t="str">
        <f>CONCATENATE("          ", "6273", " - ", "RENT")</f>
        <v xml:space="preserve">          6273 - RENT</v>
      </c>
      <c r="D173" s="2">
        <v>18000</v>
      </c>
      <c r="F173" s="2">
        <v>18000</v>
      </c>
      <c r="G173" s="3"/>
      <c r="H173" s="2">
        <v>16500</v>
      </c>
      <c r="I173" s="3"/>
      <c r="J173" s="2">
        <v>16500</v>
      </c>
      <c r="K173" s="3"/>
      <c r="L173" s="2">
        <v>0</v>
      </c>
      <c r="M173" s="3"/>
      <c r="N173" s="2"/>
      <c r="O173" s="3"/>
      <c r="P173" s="2"/>
      <c r="Q173" s="3"/>
      <c r="R173" s="2"/>
    </row>
    <row r="174" spans="1:18" s="15" customFormat="1" outlineLevel="1" collapsed="1" x14ac:dyDescent="0.35">
      <c r="A174" s="7"/>
      <c r="B174" s="20" t="str">
        <f>CONCATENATE("     ","Repair and Maintenance                            ")</f>
        <v xml:space="preserve">     Repair and Maintenance                            </v>
      </c>
      <c r="C174" s="7"/>
      <c r="D174" s="1">
        <f>SUM(OSRRefD21_12x_0)</f>
        <v>639.51</v>
      </c>
      <c r="E174" s="19"/>
      <c r="F174" s="1">
        <f>SUM(OSRRefF21_12x_0)</f>
        <v>7225.9</v>
      </c>
      <c r="G174" s="4"/>
      <c r="H174" s="1">
        <f>SUM(OSRRefH21_12x_0)</f>
        <v>2227.9</v>
      </c>
      <c r="I174" s="4"/>
      <c r="J174" s="1">
        <f>SUM(OSRRefJ21_12x_0)</f>
        <v>2151.8199999999997</v>
      </c>
      <c r="K174" s="4"/>
      <c r="L174" s="1">
        <f>SUM(OSRRefL21_12x_0)</f>
        <v>1795.35</v>
      </c>
      <c r="M174" s="4"/>
      <c r="N174" s="1">
        <f>SUM(OSRRefN21_12x_0)</f>
        <v>251.75</v>
      </c>
      <c r="O174" s="4"/>
      <c r="P174" s="1">
        <f>SUM(OSRRefP21_12x_0)</f>
        <v>1200</v>
      </c>
      <c r="Q174" s="4"/>
      <c r="R174" s="1">
        <f>SUM(OSRRefR21_12x_0)</f>
        <v>0</v>
      </c>
    </row>
    <row r="175" spans="1:18" s="16" customFormat="1" hidden="1" outlineLevel="2" x14ac:dyDescent="0.35">
      <c r="B175" s="11" t="str">
        <f>CONCATENATE("          ", "6373", " - ", "MAINTENANCE CONTRACTS")</f>
        <v xml:space="preserve">          6373 - MAINTENANCE CONTRACTS</v>
      </c>
      <c r="D175" s="2">
        <v>180</v>
      </c>
      <c r="F175" s="2">
        <v>231.75</v>
      </c>
      <c r="G175" s="3"/>
      <c r="H175" s="2">
        <v>1114.75</v>
      </c>
      <c r="I175" s="3"/>
      <c r="J175" s="2">
        <v>1743.36</v>
      </c>
      <c r="K175" s="3"/>
      <c r="L175" s="2">
        <v>216.48</v>
      </c>
      <c r="M175" s="3"/>
      <c r="N175" s="2">
        <v>241.95</v>
      </c>
      <c r="O175" s="3"/>
      <c r="P175" s="2"/>
      <c r="Q175" s="3"/>
      <c r="R175" s="2"/>
    </row>
    <row r="176" spans="1:18" s="16" customFormat="1" hidden="1" outlineLevel="2" x14ac:dyDescent="0.35">
      <c r="B176" s="11" t="str">
        <f>CONCATENATE("          ", "6375", " - ", "OUTSIDE REPAIRS &amp; MAINTENANCE")</f>
        <v xml:space="preserve">          6375 - OUTSIDE REPAIRS &amp; MAINTENANCE</v>
      </c>
      <c r="D176" s="2">
        <v>459.51</v>
      </c>
      <c r="F176" s="2">
        <v>6994.15</v>
      </c>
      <c r="G176" s="3"/>
      <c r="H176" s="2">
        <v>1113.1500000000001</v>
      </c>
      <c r="I176" s="3"/>
      <c r="J176" s="2">
        <v>408.46</v>
      </c>
      <c r="K176" s="3"/>
      <c r="L176" s="2">
        <v>1578.87</v>
      </c>
      <c r="M176" s="3"/>
      <c r="N176" s="2">
        <v>9.8000000000000007</v>
      </c>
      <c r="O176" s="3"/>
      <c r="P176" s="2">
        <v>1200</v>
      </c>
      <c r="Q176" s="3"/>
      <c r="R176" s="2"/>
    </row>
    <row r="177" spans="1:18" s="15" customFormat="1" outlineLevel="1" collapsed="1" x14ac:dyDescent="0.35">
      <c r="A177" s="7"/>
      <c r="B177" s="20" t="str">
        <f>CONCATENATE("     ","Services                                          ")</f>
        <v xml:space="preserve">     Services                                          </v>
      </c>
      <c r="C177" s="7"/>
      <c r="D177" s="1">
        <f>SUM(OSRRefD21_13x_0)</f>
        <v>4197.5300000000007</v>
      </c>
      <c r="E177" s="19"/>
      <c r="F177" s="1">
        <f>SUM(OSRRefF21_13x_0)</f>
        <v>4034.76</v>
      </c>
      <c r="G177" s="4"/>
      <c r="H177" s="1">
        <f>SUM(OSRRefH21_13x_0)</f>
        <v>1856.1799999999998</v>
      </c>
      <c r="I177" s="4"/>
      <c r="J177" s="1">
        <f>SUM(OSRRefJ21_13x_0)</f>
        <v>2091.65</v>
      </c>
      <c r="K177" s="4"/>
      <c r="L177" s="1">
        <f>SUM(OSRRefL21_13x_0)</f>
        <v>2544.69</v>
      </c>
      <c r="M177" s="4"/>
      <c r="N177" s="1">
        <f>SUM(OSRRefN21_13x_0)</f>
        <v>3111.27</v>
      </c>
      <c r="O177" s="4"/>
      <c r="P177" s="1">
        <f>SUM(OSRRefP21_13x_0)</f>
        <v>3014</v>
      </c>
      <c r="Q177" s="4"/>
      <c r="R177" s="1">
        <f>SUM(OSRRefR21_13x_0)</f>
        <v>0</v>
      </c>
    </row>
    <row r="178" spans="1:18" s="16" customFormat="1" hidden="1" outlineLevel="2" x14ac:dyDescent="0.35">
      <c r="B178" s="11" t="str">
        <f>CONCATENATE("          ", "6282", " - ", "JANITORIAL/EXTERMINATOR EXPENS")</f>
        <v xml:space="preserve">          6282 - JANITORIAL/EXTERMINATOR EXPENS</v>
      </c>
      <c r="D178" s="2">
        <v>351</v>
      </c>
      <c r="F178" s="2">
        <v>156</v>
      </c>
      <c r="G178" s="3"/>
      <c r="H178" s="2">
        <v>481.86</v>
      </c>
      <c r="I178" s="3"/>
      <c r="J178" s="2">
        <v>554.16</v>
      </c>
      <c r="K178" s="3"/>
      <c r="L178" s="2">
        <v>449.79</v>
      </c>
      <c r="M178" s="3"/>
      <c r="N178" s="2">
        <v>549.02</v>
      </c>
      <c r="O178" s="3"/>
      <c r="P178" s="2"/>
      <c r="Q178" s="3"/>
      <c r="R178" s="2"/>
    </row>
    <row r="179" spans="1:18" s="16" customFormat="1" hidden="1" outlineLevel="2" x14ac:dyDescent="0.35">
      <c r="B179" s="11" t="str">
        <f>CONCATENATE("          ", "6285", " - ", "JANITORIAL SERVICES")</f>
        <v xml:space="preserve">          6285 - JANITORIAL SERVICES</v>
      </c>
      <c r="D179" s="2">
        <v>3846.53</v>
      </c>
      <c r="F179" s="2">
        <v>3878.76</v>
      </c>
      <c r="G179" s="3"/>
      <c r="H179" s="2">
        <v>1374.32</v>
      </c>
      <c r="I179" s="3"/>
      <c r="J179" s="2">
        <v>1537.49</v>
      </c>
      <c r="K179" s="3"/>
      <c r="L179" s="2">
        <v>2094.9</v>
      </c>
      <c r="M179" s="3"/>
      <c r="N179" s="2">
        <v>2562.25</v>
      </c>
      <c r="O179" s="3"/>
      <c r="P179" s="2">
        <v>3014</v>
      </c>
      <c r="Q179" s="3"/>
      <c r="R179" s="2"/>
    </row>
    <row r="180" spans="1:18" s="15" customFormat="1" outlineLevel="1" collapsed="1" x14ac:dyDescent="0.35">
      <c r="A180" s="7"/>
      <c r="B180" s="20" t="str">
        <f>CONCATENATE("     ","Subscriptions &amp; Dues                              ")</f>
        <v xml:space="preserve">     Subscriptions &amp; Dues                              </v>
      </c>
      <c r="C180" s="7"/>
      <c r="D180" s="1">
        <f>SUM(OSRRefD21_14x_0)</f>
        <v>0</v>
      </c>
      <c r="E180" s="19"/>
      <c r="F180" s="1">
        <f>SUM(OSRRefF21_14x_0)</f>
        <v>15</v>
      </c>
      <c r="G180" s="4"/>
      <c r="H180" s="1">
        <f>SUM(OSRRefH21_14x_0)</f>
        <v>110</v>
      </c>
      <c r="I180" s="4"/>
      <c r="J180" s="1">
        <f>SUM(OSRRefJ21_14x_0)</f>
        <v>136.71</v>
      </c>
      <c r="K180" s="4"/>
      <c r="L180" s="1">
        <f>SUM(OSRRefL21_14x_0)</f>
        <v>172.34</v>
      </c>
      <c r="M180" s="4"/>
      <c r="N180" s="1">
        <f>SUM(OSRRefN21_14x_0)</f>
        <v>120</v>
      </c>
      <c r="O180" s="4"/>
      <c r="P180" s="1">
        <f>SUM(OSRRefP21_14x_0)</f>
        <v>0</v>
      </c>
      <c r="Q180" s="4"/>
      <c r="R180" s="1">
        <f>SUM(OSRRefR21_14x_0)</f>
        <v>0</v>
      </c>
    </row>
    <row r="181" spans="1:18" s="16" customFormat="1" hidden="1" outlineLevel="2" x14ac:dyDescent="0.35">
      <c r="B181" s="11" t="str">
        <f>CONCATENATE("          ", "6258", " - ", "MEMBERSHIP DUES")</f>
        <v xml:space="preserve">          6258 - MEMBERSHIP DUES</v>
      </c>
      <c r="D181" s="2"/>
      <c r="F181" s="2">
        <v>15</v>
      </c>
      <c r="G181" s="3"/>
      <c r="H181" s="2">
        <v>110</v>
      </c>
      <c r="I181" s="3"/>
      <c r="J181" s="2">
        <v>136.71</v>
      </c>
      <c r="K181" s="3"/>
      <c r="L181" s="2">
        <v>172.34</v>
      </c>
      <c r="M181" s="3"/>
      <c r="N181" s="2">
        <v>120</v>
      </c>
      <c r="O181" s="3"/>
      <c r="P181" s="2"/>
      <c r="Q181" s="3"/>
      <c r="R181" s="2"/>
    </row>
    <row r="182" spans="1:18" s="15" customFormat="1" outlineLevel="1" collapsed="1" x14ac:dyDescent="0.35">
      <c r="A182" s="7"/>
      <c r="B182" s="20" t="str">
        <f>CONCATENATE("     ","Supplies                                          ")</f>
        <v xml:space="preserve">     Supplies                                          </v>
      </c>
      <c r="C182" s="7"/>
      <c r="D182" s="1">
        <f>SUM(OSRRefD21_15x_0)</f>
        <v>1995.71</v>
      </c>
      <c r="E182" s="19"/>
      <c r="F182" s="1">
        <f>SUM(OSRRefF21_15x_0)</f>
        <v>2893.43</v>
      </c>
      <c r="G182" s="4"/>
      <c r="H182" s="1">
        <f>SUM(OSRRefH21_15x_0)</f>
        <v>4444.57</v>
      </c>
      <c r="I182" s="4"/>
      <c r="J182" s="1">
        <f>SUM(OSRRefJ21_15x_0)</f>
        <v>2979.3599999999997</v>
      </c>
      <c r="K182" s="4"/>
      <c r="L182" s="1">
        <f>SUM(OSRRefL21_15x_0)</f>
        <v>1678.01</v>
      </c>
      <c r="M182" s="4"/>
      <c r="N182" s="1">
        <f>SUM(OSRRefN21_15x_0)</f>
        <v>1967.59</v>
      </c>
      <c r="O182" s="4"/>
      <c r="P182" s="1">
        <f>SUM(OSRRefP21_15x_0)</f>
        <v>3500</v>
      </c>
      <c r="Q182" s="4"/>
      <c r="R182" s="1">
        <f>SUM(OSRRefR21_15x_0)</f>
        <v>900</v>
      </c>
    </row>
    <row r="183" spans="1:18" s="16" customFormat="1" hidden="1" outlineLevel="2" x14ac:dyDescent="0.35">
      <c r="B183" s="11" t="str">
        <f>CONCATENATE("          ", "6234", " - ", "EXPENDABLE SUPPLIES &amp; EQUIPMEN")</f>
        <v xml:space="preserve">          6234 - EXPENDABLE SUPPLIES &amp; EQUIPMEN</v>
      </c>
      <c r="D183" s="2"/>
      <c r="F183" s="2"/>
      <c r="G183" s="3"/>
      <c r="H183" s="2">
        <v>667.88</v>
      </c>
      <c r="I183" s="3"/>
      <c r="J183" s="2"/>
      <c r="K183" s="3"/>
      <c r="L183" s="2"/>
      <c r="M183" s="3"/>
      <c r="N183" s="2"/>
      <c r="O183" s="3"/>
      <c r="P183" s="2"/>
      <c r="Q183" s="3"/>
      <c r="R183" s="2"/>
    </row>
    <row r="184" spans="1:18" s="16" customFormat="1" hidden="1" outlineLevel="2" x14ac:dyDescent="0.35">
      <c r="B184" s="11" t="str">
        <f>CONCATENATE("          ", "6235", " - ", "COVID-19 EXPENSES")</f>
        <v xml:space="preserve">          6235 - COVID-19 EXPENSES</v>
      </c>
      <c r="D184" s="2"/>
      <c r="F184" s="2"/>
      <c r="G184" s="3"/>
      <c r="H184" s="2"/>
      <c r="I184" s="3"/>
      <c r="J184" s="2"/>
      <c r="K184" s="3"/>
      <c r="L184" s="2"/>
      <c r="M184" s="3"/>
      <c r="N184" s="2"/>
      <c r="O184" s="3"/>
      <c r="P184" s="2">
        <v>2200</v>
      </c>
      <c r="Q184" s="3"/>
      <c r="R184" s="2">
        <v>300</v>
      </c>
    </row>
    <row r="185" spans="1:18" s="16" customFormat="1" hidden="1" outlineLevel="2" x14ac:dyDescent="0.35">
      <c r="B185" s="11" t="str">
        <f>CONCATENATE("          ", "6241", " - ", "OFFICE EXPENSE")</f>
        <v xml:space="preserve">          6241 - OFFICE EXPENSE</v>
      </c>
      <c r="D185" s="2">
        <v>710.9</v>
      </c>
      <c r="F185" s="2">
        <v>1915.62</v>
      </c>
      <c r="G185" s="3"/>
      <c r="H185" s="2">
        <v>863.89</v>
      </c>
      <c r="I185" s="3"/>
      <c r="J185" s="2">
        <v>1319.55</v>
      </c>
      <c r="K185" s="3"/>
      <c r="L185" s="2">
        <v>1502.16</v>
      </c>
      <c r="M185" s="3"/>
      <c r="N185" s="2">
        <v>1673.46</v>
      </c>
      <c r="O185" s="3"/>
      <c r="P185" s="2"/>
      <c r="Q185" s="3"/>
      <c r="R185" s="2">
        <v>300</v>
      </c>
    </row>
    <row r="186" spans="1:18" s="16" customFormat="1" hidden="1" outlineLevel="2" x14ac:dyDescent="0.35">
      <c r="B186" s="11" t="str">
        <f>CONCATENATE("          ", "6243", " - ", "PAPER SUPPLIES")</f>
        <v xml:space="preserve">          6243 - PAPER SUPPLIES</v>
      </c>
      <c r="D186" s="2">
        <v>18.920000000000002</v>
      </c>
      <c r="F186" s="2"/>
      <c r="G186" s="3"/>
      <c r="H186" s="2"/>
      <c r="I186" s="3"/>
      <c r="J186" s="2"/>
      <c r="K186" s="3"/>
      <c r="L186" s="2"/>
      <c r="M186" s="3"/>
      <c r="N186" s="2"/>
      <c r="O186" s="3"/>
      <c r="P186" s="2"/>
      <c r="Q186" s="3"/>
      <c r="R186" s="2"/>
    </row>
    <row r="187" spans="1:18" s="16" customFormat="1" hidden="1" outlineLevel="2" x14ac:dyDescent="0.35">
      <c r="B187" s="11" t="str">
        <f>CONCATENATE("          ", "6245", " - ", "PRINTING")</f>
        <v xml:space="preserve">          6245 - PRINTING</v>
      </c>
      <c r="D187" s="2"/>
      <c r="F187" s="2"/>
      <c r="G187" s="3"/>
      <c r="H187" s="2">
        <v>728.98</v>
      </c>
      <c r="I187" s="3"/>
      <c r="J187" s="2">
        <v>81.73</v>
      </c>
      <c r="K187" s="3"/>
      <c r="L187" s="2">
        <v>3.53</v>
      </c>
      <c r="M187" s="3"/>
      <c r="N187" s="2">
        <v>22.05</v>
      </c>
      <c r="O187" s="3"/>
      <c r="P187" s="2"/>
      <c r="Q187" s="3"/>
      <c r="R187" s="2"/>
    </row>
    <row r="188" spans="1:18" s="16" customFormat="1" hidden="1" outlineLevel="2" x14ac:dyDescent="0.35">
      <c r="B188" s="11" t="str">
        <f>CONCATENATE("          ", "6247", " - ", "STORE SUPPLIES")</f>
        <v xml:space="preserve">          6247 - STORE SUPPLIES</v>
      </c>
      <c r="D188" s="2">
        <v>1265.8900000000001</v>
      </c>
      <c r="F188" s="2">
        <v>977.81</v>
      </c>
      <c r="G188" s="3"/>
      <c r="H188" s="2">
        <v>2183.8200000000002</v>
      </c>
      <c r="I188" s="3"/>
      <c r="J188" s="2">
        <v>1578.08</v>
      </c>
      <c r="K188" s="3"/>
      <c r="L188" s="2">
        <v>172.32</v>
      </c>
      <c r="M188" s="3"/>
      <c r="N188" s="2">
        <v>272.08</v>
      </c>
      <c r="O188" s="3"/>
      <c r="P188" s="2">
        <v>1100</v>
      </c>
      <c r="Q188" s="3"/>
      <c r="R188" s="2">
        <v>300</v>
      </c>
    </row>
    <row r="189" spans="1:18" s="16" customFormat="1" hidden="1" outlineLevel="2" x14ac:dyDescent="0.35">
      <c r="B189" s="11" t="str">
        <f>CONCATENATE("          ", "6248", " - ", "UNIFORMS")</f>
        <v xml:space="preserve">          6248 - UNIFORMS</v>
      </c>
      <c r="D189" s="2"/>
      <c r="F189" s="2"/>
      <c r="G189" s="3"/>
      <c r="H189" s="2"/>
      <c r="I189" s="3"/>
      <c r="J189" s="2"/>
      <c r="K189" s="3"/>
      <c r="L189" s="2"/>
      <c r="M189" s="3"/>
      <c r="N189" s="2"/>
      <c r="O189" s="3"/>
      <c r="P189" s="2">
        <v>200</v>
      </c>
      <c r="Q189" s="3"/>
      <c r="R189" s="2"/>
    </row>
    <row r="190" spans="1:18" s="15" customFormat="1" outlineLevel="1" collapsed="1" x14ac:dyDescent="0.35">
      <c r="A190" s="7"/>
      <c r="B190" s="20" t="str">
        <f>CONCATENATE("     ","Telephone/Data Lines                              ")</f>
        <v xml:space="preserve">     Telephone/Data Lines                              </v>
      </c>
      <c r="C190" s="7"/>
      <c r="D190" s="1">
        <f>SUM(OSRRefD21_16x_0)</f>
        <v>2063.96</v>
      </c>
      <c r="E190" s="19"/>
      <c r="F190" s="1">
        <f>SUM(OSRRefF21_16x_0)</f>
        <v>1877.05</v>
      </c>
      <c r="G190" s="4"/>
      <c r="H190" s="1">
        <f>SUM(OSRRefH21_16x_0)</f>
        <v>1130.75</v>
      </c>
      <c r="I190" s="4"/>
      <c r="J190" s="1">
        <f>SUM(OSRRefJ21_16x_0)</f>
        <v>1121.2</v>
      </c>
      <c r="K190" s="4"/>
      <c r="L190" s="1">
        <f>SUM(OSRRefL21_16x_0)</f>
        <v>1523.68</v>
      </c>
      <c r="M190" s="4"/>
      <c r="N190" s="1">
        <f>SUM(OSRRefN21_16x_0)</f>
        <v>1175.1199999999999</v>
      </c>
      <c r="O190" s="4"/>
      <c r="P190" s="1">
        <f>SUM(OSRRefP21_16x_0)</f>
        <v>1200</v>
      </c>
      <c r="Q190" s="4"/>
      <c r="R190" s="1">
        <f>SUM(OSRRefR21_16x_0)</f>
        <v>720</v>
      </c>
    </row>
    <row r="191" spans="1:18" s="16" customFormat="1" hidden="1" outlineLevel="2" x14ac:dyDescent="0.35">
      <c r="B191" s="11" t="str">
        <f>CONCATENATE("          ", "6303", " - ", "DATA PHONE LINES")</f>
        <v xml:space="preserve">          6303 - DATA PHONE LINES</v>
      </c>
      <c r="D191" s="2"/>
      <c r="F191" s="2"/>
      <c r="G191" s="3"/>
      <c r="H191" s="2"/>
      <c r="I191" s="3"/>
      <c r="J191" s="2"/>
      <c r="K191" s="3"/>
      <c r="L191" s="2"/>
      <c r="M191" s="3"/>
      <c r="N191" s="2"/>
      <c r="O191" s="3"/>
      <c r="P191" s="2">
        <v>1200</v>
      </c>
      <c r="Q191" s="3"/>
      <c r="R191" s="2"/>
    </row>
    <row r="192" spans="1:18" s="16" customFormat="1" hidden="1" outlineLevel="2" x14ac:dyDescent="0.35">
      <c r="B192" s="11" t="str">
        <f>CONCATENATE("          ", "6309", " - ", "TELEPHONE")</f>
        <v xml:space="preserve">          6309 - TELEPHONE</v>
      </c>
      <c r="D192" s="2">
        <v>2063.96</v>
      </c>
      <c r="F192" s="2">
        <v>1877.05</v>
      </c>
      <c r="G192" s="3"/>
      <c r="H192" s="2">
        <v>1130.75</v>
      </c>
      <c r="I192" s="3"/>
      <c r="J192" s="2">
        <v>1121.2</v>
      </c>
      <c r="K192" s="3"/>
      <c r="L192" s="2">
        <v>1523.68</v>
      </c>
      <c r="M192" s="3"/>
      <c r="N192" s="2">
        <v>1175.1199999999999</v>
      </c>
      <c r="O192" s="3"/>
      <c r="P192" s="2"/>
      <c r="Q192" s="3"/>
      <c r="R192" s="2">
        <v>720</v>
      </c>
    </row>
    <row r="193" spans="1:18" s="15" customFormat="1" outlineLevel="1" collapsed="1" x14ac:dyDescent="0.35">
      <c r="A193" s="7"/>
      <c r="B193" s="20" t="str">
        <f>CONCATENATE("     ","Training                                          ")</f>
        <v xml:space="preserve">     Training                                          </v>
      </c>
      <c r="C193" s="7"/>
      <c r="D193" s="1">
        <f>SUM(OSRRefD21_17x_0)</f>
        <v>1285.53</v>
      </c>
      <c r="E193" s="19"/>
      <c r="F193" s="1">
        <f>SUM(OSRRefF21_17x_0)</f>
        <v>799.87</v>
      </c>
      <c r="G193" s="4"/>
      <c r="H193" s="1">
        <f>SUM(OSRRefH21_17x_0)</f>
        <v>2246.3200000000002</v>
      </c>
      <c r="I193" s="4"/>
      <c r="J193" s="1">
        <f>SUM(OSRRefJ21_17x_0)</f>
        <v>26</v>
      </c>
      <c r="K193" s="4"/>
      <c r="L193" s="1">
        <f>SUM(OSRRefL21_17x_0)</f>
        <v>0</v>
      </c>
      <c r="M193" s="4"/>
      <c r="N193" s="1">
        <f>SUM(OSRRefN21_17x_0)</f>
        <v>314.8</v>
      </c>
      <c r="O193" s="4"/>
      <c r="P193" s="1">
        <f>SUM(OSRRefP21_17x_0)</f>
        <v>120</v>
      </c>
      <c r="Q193" s="4"/>
      <c r="R193" s="1">
        <f>SUM(OSRRefR21_17x_0)</f>
        <v>0</v>
      </c>
    </row>
    <row r="194" spans="1:18" s="16" customFormat="1" hidden="1" outlineLevel="2" x14ac:dyDescent="0.35">
      <c r="B194" s="11" t="str">
        <f>CONCATENATE("          ", "6376", " - ", "TRAINING")</f>
        <v xml:space="preserve">          6376 - TRAINING</v>
      </c>
      <c r="D194" s="2">
        <v>1285.53</v>
      </c>
      <c r="F194" s="2">
        <v>799.87</v>
      </c>
      <c r="G194" s="3"/>
      <c r="H194" s="2">
        <v>2246.3200000000002</v>
      </c>
      <c r="I194" s="3"/>
      <c r="J194" s="2">
        <v>26</v>
      </c>
      <c r="K194" s="3"/>
      <c r="L194" s="2"/>
      <c r="M194" s="3"/>
      <c r="N194" s="2">
        <v>314.8</v>
      </c>
      <c r="O194" s="3"/>
      <c r="P194" s="2">
        <v>120</v>
      </c>
      <c r="Q194" s="3"/>
      <c r="R194" s="2"/>
    </row>
    <row r="195" spans="1:18" s="15" customFormat="1" outlineLevel="1" collapsed="1" x14ac:dyDescent="0.35">
      <c r="A195" s="7"/>
      <c r="B195" s="20" t="str">
        <f>CONCATENATE("     ","Travel                                            ")</f>
        <v xml:space="preserve">     Travel                                            </v>
      </c>
      <c r="C195" s="7"/>
      <c r="D195" s="1">
        <f>SUM(OSRRefD21_18x_0)</f>
        <v>1378.14</v>
      </c>
      <c r="E195" s="19"/>
      <c r="F195" s="1">
        <f>SUM(OSRRefF21_18x_0)</f>
        <v>1722.07</v>
      </c>
      <c r="G195" s="4"/>
      <c r="H195" s="1">
        <f>SUM(OSRRefH21_18x_0)</f>
        <v>397.5</v>
      </c>
      <c r="I195" s="4"/>
      <c r="J195" s="1">
        <f>SUM(OSRRefJ21_18x_0)</f>
        <v>1626.69</v>
      </c>
      <c r="K195" s="4"/>
      <c r="L195" s="1">
        <f>SUM(OSRRefL21_18x_0)</f>
        <v>1153.81</v>
      </c>
      <c r="M195" s="4"/>
      <c r="N195" s="1">
        <f>SUM(OSRRefN21_18x_0)</f>
        <v>-323.01</v>
      </c>
      <c r="O195" s="4"/>
      <c r="P195" s="1">
        <f>SUM(OSRRefP21_18x_0)</f>
        <v>0</v>
      </c>
      <c r="Q195" s="4"/>
      <c r="R195" s="1">
        <f>SUM(OSRRefR21_18x_0)</f>
        <v>0</v>
      </c>
    </row>
    <row r="196" spans="1:18" s="16" customFormat="1" hidden="1" outlineLevel="2" x14ac:dyDescent="0.35">
      <c r="B196" s="11" t="str">
        <f>CONCATENATE("          ", "6292", " - ", "TRAVEL/CONFERENCE")</f>
        <v xml:space="preserve">          6292 - TRAVEL/CONFERENCE</v>
      </c>
      <c r="D196" s="2">
        <v>1378.14</v>
      </c>
      <c r="F196" s="2">
        <v>1722.07</v>
      </c>
      <c r="G196" s="3"/>
      <c r="H196" s="2">
        <v>397.5</v>
      </c>
      <c r="I196" s="3"/>
      <c r="J196" s="2">
        <v>1626.69</v>
      </c>
      <c r="K196" s="3"/>
      <c r="L196" s="2">
        <v>1153.81</v>
      </c>
      <c r="M196" s="3"/>
      <c r="N196" s="2">
        <v>-323.01</v>
      </c>
      <c r="O196" s="3"/>
      <c r="P196" s="2"/>
      <c r="Q196" s="3"/>
      <c r="R196" s="2"/>
    </row>
    <row r="197" spans="1:18" x14ac:dyDescent="0.35">
      <c r="A197" s="12"/>
      <c r="B197" s="12"/>
      <c r="C197" s="12"/>
      <c r="D197" s="1"/>
      <c r="F197" s="1"/>
      <c r="H197" s="1"/>
      <c r="J197" s="1"/>
      <c r="L197" s="1"/>
      <c r="N197" s="1"/>
      <c r="P197" s="1"/>
      <c r="R197" s="1"/>
    </row>
    <row r="198" spans="1:18" s="7" customFormat="1" collapsed="1" x14ac:dyDescent="0.35">
      <c r="A198" s="36"/>
      <c r="B198" s="34" t="s">
        <v>295</v>
      </c>
      <c r="D198" s="6">
        <f>SUM(OSRRefD24x_0)</f>
        <v>0</v>
      </c>
      <c r="E198" s="12"/>
      <c r="F198" s="6">
        <f>SUM(OSRRefF24x_0)</f>
        <v>0</v>
      </c>
      <c r="G198" s="5"/>
      <c r="H198" s="6">
        <f>SUM(OSRRefH24x_0)</f>
        <v>0</v>
      </c>
      <c r="I198" s="5"/>
      <c r="J198" s="6">
        <f>SUM(OSRRefJ24x_0)</f>
        <v>0</v>
      </c>
      <c r="K198" s="5"/>
      <c r="L198" s="6">
        <f>SUM(OSRRefL24x_0)</f>
        <v>0</v>
      </c>
      <c r="M198" s="5"/>
      <c r="N198" s="6">
        <f>SUM(OSRRefN24x_0)</f>
        <v>68.760000000000005</v>
      </c>
      <c r="O198" s="5"/>
      <c r="P198" s="6">
        <f>SUM(OSRRefP24x_0)</f>
        <v>0</v>
      </c>
      <c r="Q198" s="5"/>
      <c r="R198" s="6">
        <f>SUM(OSRRefR24x_0)</f>
        <v>0</v>
      </c>
    </row>
    <row r="199" spans="1:18" s="7" customFormat="1" hidden="1" outlineLevel="1" x14ac:dyDescent="0.35">
      <c r="A199" s="36"/>
      <c r="B199" s="11" t="str">
        <f>CONCATENATE("          ", "9150", " - ", "MISC. INCOME")</f>
        <v xml:space="preserve">          9150 - MISC. INCOME</v>
      </c>
      <c r="D199" s="11">
        <f>0</f>
        <v>0</v>
      </c>
      <c r="E199" s="16"/>
      <c r="F199" s="11">
        <f>0</f>
        <v>0</v>
      </c>
      <c r="G199" s="3"/>
      <c r="H199" s="11">
        <f>0</f>
        <v>0</v>
      </c>
      <c r="I199" s="3"/>
      <c r="J199" s="11">
        <f>0</f>
        <v>0</v>
      </c>
      <c r="K199" s="3"/>
      <c r="L199" s="11">
        <f>0</f>
        <v>0</v>
      </c>
      <c r="M199" s="3"/>
      <c r="N199" s="11">
        <f>--68.76</f>
        <v>68.760000000000005</v>
      </c>
      <c r="O199" s="3"/>
      <c r="P199" s="11"/>
      <c r="Q199" s="3"/>
      <c r="R199" s="11"/>
    </row>
    <row r="200" spans="1:18" x14ac:dyDescent="0.35">
      <c r="A200" s="12"/>
      <c r="B200" s="7"/>
      <c r="C200" s="7"/>
      <c r="D200" s="6"/>
      <c r="F200" s="6"/>
      <c r="H200" s="6"/>
      <c r="J200" s="6"/>
      <c r="L200" s="6"/>
      <c r="N200" s="6"/>
      <c r="P200" s="6"/>
      <c r="R200" s="6"/>
    </row>
    <row r="201" spans="1:18" s="15" customFormat="1" x14ac:dyDescent="0.35">
      <c r="A201" s="7"/>
      <c r="B201" s="22" t="s">
        <v>279</v>
      </c>
      <c r="C201" s="22"/>
      <c r="D201" s="10">
        <f>+D103-D106+D198</f>
        <v>139767.73000000021</v>
      </c>
      <c r="E201" s="12"/>
      <c r="F201" s="10">
        <f>+F103-F106+F198</f>
        <v>167482.88000000018</v>
      </c>
      <c r="G201" s="5"/>
      <c r="H201" s="10">
        <f>+H103-H106+H198</f>
        <v>244493.59999999937</v>
      </c>
      <c r="I201" s="5"/>
      <c r="J201" s="10">
        <f>+J103-J106+J198</f>
        <v>217267.99999999994</v>
      </c>
      <c r="K201" s="5"/>
      <c r="L201" s="10">
        <f>+L103-L106+L198</f>
        <v>212752.4500000001</v>
      </c>
      <c r="M201" s="5"/>
      <c r="N201" s="10">
        <f>+N103-N106+N198</f>
        <v>106133.46999999978</v>
      </c>
      <c r="O201" s="5"/>
      <c r="P201" s="10">
        <f>+P103-P106+P198</f>
        <v>-74085.405286699999</v>
      </c>
      <c r="Q201" s="5"/>
      <c r="R201" s="10">
        <f>+R103-R106+R198</f>
        <v>74784.60699</v>
      </c>
    </row>
    <row r="202" spans="1:18" s="27" customFormat="1" x14ac:dyDescent="0.35">
      <c r="A202" s="18"/>
      <c r="B202" s="31"/>
      <c r="C202" s="18"/>
      <c r="D202" s="9">
        <f>IFERROR(D201/D10, 0)</f>
        <v>0.15391176907763363</v>
      </c>
      <c r="E202" s="18"/>
      <c r="F202" s="9">
        <f>IFERROR(F201/F10, 0)</f>
        <v>0.17021037011917495</v>
      </c>
      <c r="G202" s="14"/>
      <c r="H202" s="9">
        <f>IFERROR(H201/H10, 0)</f>
        <v>0.25146388984297335</v>
      </c>
      <c r="I202" s="14"/>
      <c r="J202" s="9">
        <f>IFERROR(J201/J10, 0)</f>
        <v>0.22998897054752779</v>
      </c>
      <c r="K202" s="14"/>
      <c r="L202" s="9">
        <f>IFERROR(L201/L10, 0)</f>
        <v>0.22288369990182133</v>
      </c>
      <c r="M202" s="14"/>
      <c r="N202" s="9">
        <f>IFERROR(N201/N10, 0)</f>
        <v>0.12753089573159865</v>
      </c>
      <c r="O202" s="14"/>
      <c r="P202" s="9">
        <f>IFERROR(P201/P10, 0)</f>
        <v>-0.45859401968876318</v>
      </c>
      <c r="Q202" s="14"/>
      <c r="R202" s="9">
        <f>IFERROR(R201/R10, 0)</f>
        <v>0.15651307297563713</v>
      </c>
    </row>
    <row r="203" spans="1:18" s="27" customFormat="1" x14ac:dyDescent="0.35">
      <c r="A203" s="18"/>
      <c r="B203" s="31"/>
      <c r="C203" s="18"/>
      <c r="D203" s="13"/>
      <c r="E203" s="18"/>
      <c r="F203" s="13"/>
      <c r="G203" s="14"/>
      <c r="H203" s="13"/>
      <c r="I203" s="14"/>
      <c r="J203" s="13"/>
      <c r="K203" s="14"/>
      <c r="L203" s="13"/>
      <c r="M203" s="14"/>
      <c r="N203" s="13"/>
      <c r="O203" s="14"/>
      <c r="P203" s="13"/>
      <c r="Q203" s="14"/>
      <c r="R203" s="13"/>
    </row>
    <row r="204" spans="1:18" s="15" customFormat="1" x14ac:dyDescent="0.35">
      <c r="A204" s="37"/>
      <c r="B204" s="7" t="s">
        <v>127</v>
      </c>
      <c r="C204" s="7"/>
      <c r="D204" s="6">
        <v>197337.66</v>
      </c>
      <c r="E204" s="12"/>
      <c r="F204" s="6">
        <v>140075.78</v>
      </c>
      <c r="G204" s="5"/>
      <c r="H204" s="6">
        <v>129999.58</v>
      </c>
      <c r="I204" s="5"/>
      <c r="J204" s="6">
        <v>126789.96</v>
      </c>
      <c r="K204" s="5"/>
      <c r="L204" s="6">
        <v>68037.17</v>
      </c>
      <c r="M204" s="5"/>
      <c r="N204" s="6">
        <v>126016.59</v>
      </c>
      <c r="O204" s="5"/>
      <c r="P204" s="6">
        <v>27298</v>
      </c>
      <c r="Q204" s="5"/>
      <c r="R204" s="6">
        <v>54182</v>
      </c>
    </row>
    <row r="205" spans="1:18" x14ac:dyDescent="0.35">
      <c r="A205" s="12"/>
      <c r="B205" s="7"/>
      <c r="C205" s="7"/>
      <c r="D205" s="6"/>
      <c r="F205" s="6"/>
      <c r="H205" s="6"/>
      <c r="J205" s="6"/>
      <c r="L205" s="6"/>
      <c r="N205" s="6"/>
      <c r="P205" s="6"/>
      <c r="R205" s="6"/>
    </row>
    <row r="206" spans="1:18" s="15" customFormat="1" x14ac:dyDescent="0.35">
      <c r="A206" s="7"/>
      <c r="B206" s="22" t="s">
        <v>126</v>
      </c>
      <c r="C206" s="22"/>
      <c r="D206" s="10">
        <f>+D201-D204</f>
        <v>-57569.929999999789</v>
      </c>
      <c r="E206" s="12"/>
      <c r="F206" s="10">
        <f>+F201-F204</f>
        <v>27407.10000000018</v>
      </c>
      <c r="G206" s="5"/>
      <c r="H206" s="10">
        <f>+H201-H204</f>
        <v>114494.01999999936</v>
      </c>
      <c r="I206" s="5"/>
      <c r="J206" s="10">
        <f>+J201-J204</f>
        <v>90478.039999999935</v>
      </c>
      <c r="K206" s="5"/>
      <c r="L206" s="10">
        <f>+L201-L204</f>
        <v>144715.28000000009</v>
      </c>
      <c r="M206" s="5"/>
      <c r="N206" s="10">
        <f>+N201-N204</f>
        <v>-19883.120000000214</v>
      </c>
      <c r="O206" s="5"/>
      <c r="P206" s="10">
        <f>+P201-P204</f>
        <v>-101383.4052867</v>
      </c>
      <c r="Q206" s="5"/>
      <c r="R206" s="10">
        <f>+R201-R204</f>
        <v>20602.60699</v>
      </c>
    </row>
    <row r="207" spans="1:18" s="27" customFormat="1" x14ac:dyDescent="0.35">
      <c r="A207" s="18"/>
      <c r="B207" s="18"/>
      <c r="C207" s="18"/>
      <c r="D207" s="9">
        <f>IFERROR(D206/D10, 0)</f>
        <v>-6.3395819421088739E-2</v>
      </c>
      <c r="E207" s="18"/>
      <c r="F207" s="9">
        <f>IFERROR(F206/F10, 0)</f>
        <v>2.7853429764840832E-2</v>
      </c>
      <c r="G207" s="14"/>
      <c r="H207" s="9">
        <f>IFERROR(H206/H10, 0)</f>
        <v>0.11775814022518015</v>
      </c>
      <c r="I207" s="14"/>
      <c r="J207" s="9">
        <f>IFERROR(J206/J10, 0)</f>
        <v>9.5775499736537512E-2</v>
      </c>
      <c r="K207" s="14"/>
      <c r="L207" s="9">
        <f>IFERROR(L206/L10, 0)</f>
        <v>0.15160660682745628</v>
      </c>
      <c r="M207" s="14"/>
      <c r="N207" s="9">
        <f>IFERROR(N206/N10, 0)</f>
        <v>-2.3891729004421471E-2</v>
      </c>
      <c r="O207" s="14"/>
      <c r="P207" s="9">
        <f>IFERROR(P206/P10, 0)</f>
        <v>-0.62757061502516265</v>
      </c>
      <c r="Q207" s="14"/>
      <c r="R207" s="9">
        <f>IFERROR(R206/R10, 0)</f>
        <v>4.3118195857409843E-2</v>
      </c>
    </row>
    <row r="208" spans="1:18" s="27" customFormat="1" x14ac:dyDescent="0.35">
      <c r="A208" s="18"/>
      <c r="B208" s="18"/>
      <c r="C208" s="18"/>
      <c r="D208" s="13"/>
      <c r="E208" s="18"/>
      <c r="F208" s="13"/>
      <c r="G208" s="14"/>
      <c r="H208" s="13"/>
      <c r="I208" s="14"/>
      <c r="J208" s="13"/>
      <c r="K208" s="14"/>
      <c r="L208" s="13"/>
      <c r="M208" s="14"/>
      <c r="N208" s="13"/>
      <c r="O208" s="14"/>
      <c r="P208" s="13"/>
      <c r="Q208" s="14"/>
      <c r="R208" s="13"/>
    </row>
    <row r="209" spans="1:18" x14ac:dyDescent="0.35">
      <c r="A209" s="12"/>
      <c r="B209" s="12"/>
      <c r="C209" s="12"/>
      <c r="D209" s="6"/>
      <c r="F209" s="6"/>
      <c r="H209" s="6"/>
      <c r="J209" s="6"/>
      <c r="L209" s="6"/>
      <c r="N209" s="6"/>
      <c r="P209" s="6"/>
      <c r="R209" s="6"/>
    </row>
    <row r="210" spans="1:18" s="15" customFormat="1" x14ac:dyDescent="0.35">
      <c r="A210" s="7"/>
      <c r="B210" s="22" t="s">
        <v>296</v>
      </c>
      <c r="C210" s="22"/>
      <c r="D210" s="10">
        <f>SUM(D206:D209)</f>
        <v>-57569.993395819212</v>
      </c>
      <c r="E210" s="12"/>
      <c r="F210" s="10">
        <f>SUM(F206:F209)</f>
        <v>27407.127853429945</v>
      </c>
      <c r="G210" s="5"/>
      <c r="H210" s="10">
        <f>SUM(H206:H209)</f>
        <v>114494.13775813959</v>
      </c>
      <c r="I210" s="5"/>
      <c r="J210" s="10">
        <f>SUM(J206:J209)</f>
        <v>90478.135775499672</v>
      </c>
      <c r="K210" s="5"/>
      <c r="L210" s="10">
        <f>SUM(L206:L209)</f>
        <v>144715.4316066069</v>
      </c>
      <c r="M210" s="5"/>
      <c r="N210" s="10">
        <f>SUM(N206:N209)</f>
        <v>-19883.143891729218</v>
      </c>
      <c r="O210" s="5"/>
      <c r="P210" s="10">
        <f>SUM(P206:P209)</f>
        <v>-101384.03285731502</v>
      </c>
      <c r="Q210" s="5"/>
      <c r="R210" s="10">
        <f>SUM(R206:R209)</f>
        <v>20602.650108195856</v>
      </c>
    </row>
    <row r="211" spans="1:18" s="27" customFormat="1" x14ac:dyDescent="0.35">
      <c r="A211" s="18"/>
      <c r="B211" s="41"/>
      <c r="C211" s="18"/>
      <c r="D211" s="9">
        <f>IFERROR(D210/D10, 0)</f>
        <v>-6.3395889232358615E-2</v>
      </c>
      <c r="E211" s="18"/>
      <c r="F211" s="9">
        <f>IFERROR(F210/F10, 0)</f>
        <v>2.7853458071868925E-2</v>
      </c>
      <c r="G211" s="14"/>
      <c r="H211" s="9">
        <f>IFERROR(H210/H10, 0)</f>
        <v>0.1177582613404977</v>
      </c>
      <c r="I211" s="14"/>
      <c r="J211" s="9">
        <f>IFERROR(J210/J10, 0)</f>
        <v>9.5775601119661519E-2</v>
      </c>
      <c r="K211" s="14"/>
      <c r="L211" s="9">
        <f>IFERROR(L210/L10, 0)</f>
        <v>0.15160676565355419</v>
      </c>
      <c r="M211" s="14"/>
      <c r="N211" s="9">
        <f>IFERROR(N210/N10, 0)</f>
        <v>-2.3891757712929736E-2</v>
      </c>
      <c r="O211" s="14"/>
      <c r="P211" s="9">
        <f>IFERROR(P210/P10, 0)</f>
        <v>-0.62757449973268187</v>
      </c>
      <c r="Q211" s="14"/>
      <c r="R211" s="9">
        <f>IFERROR(R210/R10, 0)</f>
        <v>4.311828609738845E-2</v>
      </c>
    </row>
    <row r="212" spans="1:18" x14ac:dyDescent="0.35">
      <c r="A212" s="12"/>
      <c r="B212" s="40">
        <v>44319.883364780093</v>
      </c>
      <c r="D212" s="24"/>
      <c r="F212" s="24"/>
      <c r="H212" s="24"/>
      <c r="J212" s="24"/>
      <c r="L212" s="24"/>
      <c r="N212" s="24"/>
      <c r="P212" s="24"/>
      <c r="R212" s="24"/>
    </row>
    <row r="213" spans="1:18" x14ac:dyDescent="0.35">
      <c r="A213" s="12"/>
      <c r="B213" s="39" t="s">
        <v>23</v>
      </c>
      <c r="D213" s="24"/>
      <c r="F213" s="24"/>
      <c r="H213" s="24"/>
      <c r="J213" s="24"/>
      <c r="L213" s="24"/>
      <c r="N213" s="24"/>
      <c r="P213" s="24"/>
      <c r="R213" s="24"/>
    </row>
    <row r="214" spans="1:18" x14ac:dyDescent="0.35">
      <c r="A214" s="12"/>
      <c r="D214" s="24"/>
      <c r="F214" s="24"/>
      <c r="H214" s="24"/>
      <c r="J214" s="24"/>
      <c r="L214" s="24"/>
      <c r="N214" s="24"/>
      <c r="P214" s="24"/>
      <c r="R214" s="24"/>
    </row>
    <row r="215" spans="1:18" x14ac:dyDescent="0.35">
      <c r="D215" s="24"/>
      <c r="F215" s="24"/>
      <c r="H215" s="24"/>
      <c r="J215" s="24"/>
      <c r="L215" s="24"/>
      <c r="N215" s="24"/>
      <c r="P215" s="24"/>
      <c r="R215" s="24"/>
    </row>
  </sheetData>
  <pageMargins left="0.5" right="0.5" top="0.5" bottom="0.5" header="0.3" footer="0.3"/>
  <pageSetup scale="59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79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79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R432"/>
  <sheetViews>
    <sheetView tabSelected="1"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B9" sqref="B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CONCATENATE("Summary of Departments ","'100':'206','301','306':'406','411':'415','418':'501'")</f>
        <v>Summary of Departments '100':'206','301','306':'406','411':'415','418':'501'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34810536.63000001</v>
      </c>
      <c r="F10" s="8">
        <f>SUM(OSRRefF11x_0)</f>
        <v>36636427.509999998</v>
      </c>
      <c r="G10" s="8"/>
      <c r="H10" s="8">
        <f>SUM(OSRRefH11x_0)</f>
        <v>36290437.340000018</v>
      </c>
      <c r="I10" s="8"/>
      <c r="J10" s="8">
        <f>SUM(OSRRefJ11x_0)</f>
        <v>35203430.799999982</v>
      </c>
      <c r="K10" s="8"/>
      <c r="L10" s="8">
        <f>SUM(OSRRefL11x_0)</f>
        <v>35737828.710000016</v>
      </c>
      <c r="M10" s="8"/>
      <c r="N10" s="8">
        <f>SUM(OSRRefN11x_0)</f>
        <v>28636242.639999982</v>
      </c>
      <c r="O10" s="8"/>
      <c r="P10" s="8">
        <f>SUM(OSRRefP11x_0)</f>
        <v>17040174</v>
      </c>
      <c r="Q10" s="8"/>
      <c r="R10" s="8">
        <f>SUM(OSRRefR11x_0)</f>
        <v>23284613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0*-1</f>
        <v>0</v>
      </c>
      <c r="K11" s="3"/>
      <c r="L11" s="11">
        <f>-1532.75*-1</f>
        <v>1532.75</v>
      </c>
      <c r="M11" s="3"/>
      <c r="N11" s="11">
        <f>0*-1</f>
        <v>0</v>
      </c>
      <c r="O11" s="3"/>
      <c r="P11" s="11">
        <v>11272378</v>
      </c>
      <c r="Q11" s="3"/>
      <c r="R11" s="11">
        <v>11611690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-5629087.99*-1</f>
        <v>5629087.9900000002</v>
      </c>
      <c r="F12" s="11">
        <f>-4830911.55*-1</f>
        <v>4830911.55</v>
      </c>
      <c r="G12" s="3"/>
      <c r="H12" s="11">
        <f>-4243327.57*-1</f>
        <v>4243327.57</v>
      </c>
      <c r="I12" s="3"/>
      <c r="J12" s="11">
        <f>-3955085.18*-1</f>
        <v>3955085.18</v>
      </c>
      <c r="K12" s="3"/>
      <c r="L12" s="11">
        <f>-3126487.75*-1</f>
        <v>3126487.75</v>
      </c>
      <c r="M12" s="3"/>
      <c r="N12" s="11">
        <f>-2451163.71*-1</f>
        <v>2451163.71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-1780006.45*-1</f>
        <v>1780006.45</v>
      </c>
      <c r="F13" s="11">
        <f>-1930957.06*-1</f>
        <v>1930957.06</v>
      </c>
      <c r="G13" s="3"/>
      <c r="H13" s="11">
        <f>-1615125.52*-1</f>
        <v>1615125.52</v>
      </c>
      <c r="I13" s="3"/>
      <c r="J13" s="11">
        <f>-1442432.66*-1</f>
        <v>1442432.66</v>
      </c>
      <c r="K13" s="3"/>
      <c r="L13" s="11">
        <f>-1404207.63*-1</f>
        <v>1404207.63</v>
      </c>
      <c r="M13" s="3"/>
      <c r="N13" s="11">
        <f>-1271803.19*-1</f>
        <v>1271803.19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-5496.9*-1</f>
        <v>5496.9</v>
      </c>
      <c r="K14" s="3"/>
      <c r="L14" s="11">
        <f>-15422.64*-1</f>
        <v>15422.64</v>
      </c>
      <c r="M14" s="3"/>
      <c r="N14" s="11">
        <f>-34659.88*-1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-46*-1</f>
        <v>46</v>
      </c>
      <c r="K15" s="3"/>
      <c r="L15" s="11">
        <f>-70418.64*-1</f>
        <v>70418.64</v>
      </c>
      <c r="M15" s="3"/>
      <c r="N15" s="11">
        <f>-42195.3*-1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>-43.1*-1</f>
        <v>43.1</v>
      </c>
      <c r="F16" s="11">
        <f>-2508.97*-1</f>
        <v>2508.9699999999998</v>
      </c>
      <c r="G16" s="3"/>
      <c r="H16" s="11">
        <f>-0.01*-1</f>
        <v>0.01</v>
      </c>
      <c r="I16" s="3"/>
      <c r="J16" s="11">
        <f>-48.23*-1</f>
        <v>48.23</v>
      </c>
      <c r="K16" s="3"/>
      <c r="L16" s="11">
        <f>-9.71*-1</f>
        <v>9.7100000000000009</v>
      </c>
      <c r="M16" s="3"/>
      <c r="N16" s="11">
        <f>-1052.48*-1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"4012", " - ", "TAXABLE SALES-MAGAZINES")</f>
        <v xml:space="preserve">          4012 - TAXABLE SALES-MAGAZINES</v>
      </c>
      <c r="D17" s="11">
        <f>-53.7*-1</f>
        <v>53.7</v>
      </c>
      <c r="F17" s="11">
        <f>-156.05*-1</f>
        <v>156.05000000000001</v>
      </c>
      <c r="G17" s="3"/>
      <c r="H17" s="11">
        <f>-44.75*-1</f>
        <v>44.75</v>
      </c>
      <c r="I17" s="3"/>
      <c r="J17" s="11">
        <f>0*-1</f>
        <v>0</v>
      </c>
      <c r="K17" s="3"/>
      <c r="L17" s="11">
        <f>0*-1</f>
        <v>0</v>
      </c>
      <c r="M17" s="3"/>
      <c r="N17" s="11">
        <f>0*-1</f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"4013", " - ", "TAXABLE SALES-TRADE BOOKS")</f>
        <v xml:space="preserve">          4013 - TAXABLE SALES-TRADE BOOKS</v>
      </c>
      <c r="D18" s="11">
        <f>-38609.93*-1</f>
        <v>38609.93</v>
      </c>
      <c r="F18" s="11">
        <f>-33144.5*-1</f>
        <v>33144.5</v>
      </c>
      <c r="G18" s="3"/>
      <c r="H18" s="11">
        <f>-15930.49*-1</f>
        <v>15930.49</v>
      </c>
      <c r="I18" s="3"/>
      <c r="J18" s="11">
        <f>-8409.57*-1</f>
        <v>8409.57</v>
      </c>
      <c r="K18" s="3"/>
      <c r="L18" s="11">
        <f>-7572.79*-1</f>
        <v>7572.79</v>
      </c>
      <c r="M18" s="3"/>
      <c r="N18" s="11">
        <f>-2778.35*-1</f>
        <v>2778.35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"4014", " - ", "TAXABLE SALES-REMAINDERS")</f>
        <v xml:space="preserve">          4014 - TAXABLE SALES-REMAINDERS</v>
      </c>
      <c r="D19" s="11">
        <f>-2636.61*-1</f>
        <v>2636.61</v>
      </c>
      <c r="F19" s="11">
        <f>-2218.41*-1</f>
        <v>2218.41</v>
      </c>
      <c r="G19" s="3"/>
      <c r="H19" s="11">
        <f>-736.04*-1</f>
        <v>736.04</v>
      </c>
      <c r="I19" s="3"/>
      <c r="J19" s="11">
        <f>-3759.76*-1</f>
        <v>3759.76</v>
      </c>
      <c r="K19" s="3"/>
      <c r="L19" s="11">
        <f>-2221.33*-1</f>
        <v>2221.33</v>
      </c>
      <c r="M19" s="3"/>
      <c r="N19" s="11">
        <f>-1233.88*-1</f>
        <v>1233.8800000000001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"4015", " - ", "TAXABLE SALES-CALENDARS")</f>
        <v xml:space="preserve">          4015 - TAXABLE SALES-CALENDARS</v>
      </c>
      <c r="D20" s="11">
        <f>-4640.46*-1</f>
        <v>4640.46</v>
      </c>
      <c r="F20" s="11">
        <f>-4266.02*-1</f>
        <v>4266.0200000000004</v>
      </c>
      <c r="G20" s="3"/>
      <c r="H20" s="11">
        <f>-166.8*-1</f>
        <v>166.8</v>
      </c>
      <c r="I20" s="3"/>
      <c r="J20" s="11">
        <f>0*-1</f>
        <v>0</v>
      </c>
      <c r="K20" s="3"/>
      <c r="L20" s="11">
        <f>0*-1</f>
        <v>0</v>
      </c>
      <c r="M20" s="3"/>
      <c r="N20" s="11">
        <f>0*-1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"4017", " - ", "TAXABLE SALES-DORM/HOUSEWARES")</f>
        <v xml:space="preserve">          4017 - TAXABLE SALES-DORM/HOUSEWARES</v>
      </c>
      <c r="D21" s="11">
        <f>-544.67*-1</f>
        <v>544.66999999999996</v>
      </c>
      <c r="F21" s="11">
        <f>-2054.11*-1</f>
        <v>2054.11</v>
      </c>
      <c r="G21" s="3"/>
      <c r="H21" s="11">
        <f>-44.7*-1</f>
        <v>44.7</v>
      </c>
      <c r="I21" s="3"/>
      <c r="J21" s="11">
        <f>-524.99*-1</f>
        <v>524.99</v>
      </c>
      <c r="K21" s="3"/>
      <c r="L21" s="11">
        <f>-1055.55*-1</f>
        <v>1055.55</v>
      </c>
      <c r="M21" s="3"/>
      <c r="N21" s="11">
        <f>-347.52*-1</f>
        <v>347.52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"4018", " - ", "TAXABLE SALES-STUDY GUIDES")</f>
        <v xml:space="preserve">          4018 - TAXABLE SALES-STUDY GUIDES</v>
      </c>
      <c r="D22" s="11">
        <f>-15442.23*-1</f>
        <v>15442.23</v>
      </c>
      <c r="F22" s="11">
        <f>-9203.96*-1</f>
        <v>9203.9599999999991</v>
      </c>
      <c r="G22" s="3"/>
      <c r="H22" s="11">
        <f>-8469.9*-1</f>
        <v>8469.9</v>
      </c>
      <c r="I22" s="3"/>
      <c r="J22" s="11">
        <f>-7616.72*-1</f>
        <v>7616.72</v>
      </c>
      <c r="K22" s="3"/>
      <c r="L22" s="11">
        <f>-6524.46*-1</f>
        <v>6524.46</v>
      </c>
      <c r="M22" s="3"/>
      <c r="N22" s="11">
        <f>-4179.3*-1</f>
        <v>4179.3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"4019", " - ", "TAXABLE SALES-BOOK RELATED")</f>
        <v xml:space="preserve">          4019 - TAXABLE SALES-BOOK RELATED</v>
      </c>
      <c r="D23" s="11">
        <f>-12332.23*-1</f>
        <v>12332.23</v>
      </c>
      <c r="F23" s="11">
        <f>-11610.6*-1</f>
        <v>11610.6</v>
      </c>
      <c r="G23" s="3"/>
      <c r="H23" s="11">
        <f>-4849.34*-1</f>
        <v>4849.34</v>
      </c>
      <c r="I23" s="3"/>
      <c r="J23" s="11">
        <f>-584.61*-1</f>
        <v>584.61</v>
      </c>
      <c r="K23" s="3"/>
      <c r="L23" s="11">
        <f>-81.89*-1</f>
        <v>81.89</v>
      </c>
      <c r="M23" s="3"/>
      <c r="N23" s="11">
        <f>-42.85*-1</f>
        <v>42.85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"4025", " - ", "TAXABLE SALES-TEST FORMS")</f>
        <v xml:space="preserve">          4025 - TAXABLE SALES-TEST FORMS</v>
      </c>
      <c r="D24" s="11">
        <f>-51956.53*-1</f>
        <v>51956.53</v>
      </c>
      <c r="F24" s="11">
        <f>-49379.15*-1</f>
        <v>49379.15</v>
      </c>
      <c r="G24" s="3"/>
      <c r="H24" s="11">
        <f>-55016.19*-1</f>
        <v>55016.19</v>
      </c>
      <c r="I24" s="3"/>
      <c r="J24" s="11">
        <f>-61493.16*-1</f>
        <v>61493.16</v>
      </c>
      <c r="K24" s="3"/>
      <c r="L24" s="11">
        <f>-61223.1*-1</f>
        <v>61223.1</v>
      </c>
      <c r="M24" s="3"/>
      <c r="N24" s="11">
        <f>-57819.85*-1</f>
        <v>57819.85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"4026", " - ", "TAXABLE SALES-WRITING INSTRUME")</f>
        <v xml:space="preserve">          4026 - TAXABLE SALES-WRITING INSTRUME</v>
      </c>
      <c r="D25" s="11">
        <f>-83537.66*-1</f>
        <v>83537.66</v>
      </c>
      <c r="F25" s="11">
        <f>-97805.14*-1</f>
        <v>97805.14</v>
      </c>
      <c r="G25" s="3"/>
      <c r="H25" s="11">
        <f>-95318.43*-1</f>
        <v>95318.43</v>
      </c>
      <c r="I25" s="3"/>
      <c r="J25" s="11">
        <f>-84348.15*-1</f>
        <v>84348.15</v>
      </c>
      <c r="K25" s="3"/>
      <c r="L25" s="11">
        <f>-84530.93*-1</f>
        <v>84530.93</v>
      </c>
      <c r="M25" s="3"/>
      <c r="N25" s="11">
        <f>-83341.48*-1</f>
        <v>83341.48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"4027", " - ", "TAXABLE SALES-SCHOOL SUPPLIES")</f>
        <v xml:space="preserve">          4027 - TAXABLE SALES-SCHOOL SUPPLIES</v>
      </c>
      <c r="D26" s="11">
        <f>-319354.8*-1</f>
        <v>319354.8</v>
      </c>
      <c r="F26" s="11">
        <f>-335265.6*-1</f>
        <v>335265.59999999998</v>
      </c>
      <c r="G26" s="3"/>
      <c r="H26" s="11">
        <f>-307441.53*-1</f>
        <v>307441.53000000003</v>
      </c>
      <c r="I26" s="3"/>
      <c r="J26" s="11">
        <f>-291064.08*-1</f>
        <v>291064.08</v>
      </c>
      <c r="K26" s="3"/>
      <c r="L26" s="11">
        <f>-308997.93*-1</f>
        <v>308997.93</v>
      </c>
      <c r="M26" s="3"/>
      <c r="N26" s="11">
        <f>-280850.13*-1</f>
        <v>280850.13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"4028", " - ", "TAXABLE SALES-ART/TECH")</f>
        <v xml:space="preserve">          4028 - TAXABLE SALES-ART/TECH</v>
      </c>
      <c r="D27" s="11">
        <f>-333796.97*-1</f>
        <v>333796.96999999997</v>
      </c>
      <c r="F27" s="11">
        <f>-358576.17*-1</f>
        <v>358576.17</v>
      </c>
      <c r="G27" s="3"/>
      <c r="H27" s="11">
        <f>-349330.18*-1</f>
        <v>349330.18</v>
      </c>
      <c r="I27" s="3"/>
      <c r="J27" s="11">
        <f>-343847.2*-1</f>
        <v>343847.2</v>
      </c>
      <c r="K27" s="3"/>
      <c r="L27" s="11">
        <f>-346880.65*-1</f>
        <v>346880.65</v>
      </c>
      <c r="M27" s="3"/>
      <c r="N27" s="11">
        <f>-293577.64*-1</f>
        <v>293577.64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"4031", " - ", "TAXABLE SALES-FOOD")</f>
        <v xml:space="preserve">          4031 - TAXABLE SALES-FOOD</v>
      </c>
      <c r="D28" s="11">
        <f>-1019.28*-1</f>
        <v>1019.28</v>
      </c>
      <c r="F28" s="11">
        <f>-2622.63*-1</f>
        <v>2622.63</v>
      </c>
      <c r="G28" s="3"/>
      <c r="H28" s="11">
        <f>-1010.63*-1</f>
        <v>1010.63</v>
      </c>
      <c r="I28" s="3"/>
      <c r="J28" s="11">
        <f>-992.43*-1</f>
        <v>992.43</v>
      </c>
      <c r="K28" s="3"/>
      <c r="L28" s="11">
        <f>-834.06*-1</f>
        <v>834.06</v>
      </c>
      <c r="M28" s="3"/>
      <c r="N28" s="11">
        <f>-486.34*-1</f>
        <v>486.34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"4032", " - ", "TAXABLE SALES-JUICE")</f>
        <v xml:space="preserve">          4032 - TAXABLE SALES-JUICE</v>
      </c>
      <c r="D29" s="11">
        <f>-378705.83*-1</f>
        <v>378705.83</v>
      </c>
      <c r="F29" s="11">
        <f>-324085.6*-1</f>
        <v>324085.59999999998</v>
      </c>
      <c r="G29" s="3"/>
      <c r="H29" s="11">
        <f>-328818.5*-1</f>
        <v>328818.5</v>
      </c>
      <c r="I29" s="3"/>
      <c r="J29" s="11">
        <f>-367109.02*-1</f>
        <v>367109.02</v>
      </c>
      <c r="K29" s="3"/>
      <c r="L29" s="11">
        <f>-370657.73*-1</f>
        <v>370657.73</v>
      </c>
      <c r="M29" s="3"/>
      <c r="N29" s="11">
        <f>-277654.52*-1</f>
        <v>277654.52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"4033", " - ", "TAXABLE SALES-CANDY")</f>
        <v xml:space="preserve">          4033 - TAXABLE SALES-CANDY</v>
      </c>
      <c r="D30" s="11">
        <f>-0.89*-1</f>
        <v>0.89</v>
      </c>
      <c r="F30" s="11">
        <f>-334.92*-1</f>
        <v>334.92</v>
      </c>
      <c r="G30" s="3"/>
      <c r="H30" s="11">
        <f>-241.06*-1</f>
        <v>241.06</v>
      </c>
      <c r="I30" s="3"/>
      <c r="J30" s="11">
        <f>-203.94*-1</f>
        <v>203.94</v>
      </c>
      <c r="K30" s="3"/>
      <c r="L30" s="11">
        <f>-284.14*-1</f>
        <v>284.14</v>
      </c>
      <c r="M30" s="3"/>
      <c r="N30" s="11">
        <f>-205.53*-1</f>
        <v>205.53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"4034", " - ", "TAXABLE SALES-SODA")</f>
        <v xml:space="preserve">          4034 - TAXABLE SALES-SODA</v>
      </c>
      <c r="D31" s="11">
        <f>-7787.4*-1</f>
        <v>7787.4</v>
      </c>
      <c r="F31" s="11">
        <f>-7781.86*-1</f>
        <v>7781.86</v>
      </c>
      <c r="G31" s="3"/>
      <c r="H31" s="11">
        <f>-12296.84*-1</f>
        <v>12296.84</v>
      </c>
      <c r="I31" s="3"/>
      <c r="J31" s="11">
        <f>-12956.32*-1</f>
        <v>12956.32</v>
      </c>
      <c r="K31" s="3"/>
      <c r="L31" s="11">
        <f>-12143.32*-1</f>
        <v>12143.32</v>
      </c>
      <c r="M31" s="3"/>
      <c r="N31" s="11">
        <f>-10925.46*-1</f>
        <v>10925.46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"4035", " - ", "TAXABLE SALES-HEALTH &amp; BEAUTY")</f>
        <v xml:space="preserve">          4035 - TAXABLE SALES-HEALTH &amp; BEAUTY</v>
      </c>
      <c r="D32" s="11">
        <f>-1445.9*-1</f>
        <v>1445.9</v>
      </c>
      <c r="F32" s="11">
        <f>-2194.79*-1</f>
        <v>2194.79</v>
      </c>
      <c r="G32" s="3"/>
      <c r="H32" s="11">
        <f>-2583.5*-1</f>
        <v>2583.5</v>
      </c>
      <c r="I32" s="3"/>
      <c r="J32" s="11">
        <f>-2742.74*-1</f>
        <v>2742.74</v>
      </c>
      <c r="K32" s="3"/>
      <c r="L32" s="11">
        <f>-2675.56*-1</f>
        <v>2675.56</v>
      </c>
      <c r="M32" s="3"/>
      <c r="N32" s="11">
        <f>-1981.84*-1</f>
        <v>1981.84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"4037", " - ", "TAXABLE SALES-WATER")</f>
        <v xml:space="preserve">          4037 - TAXABLE SALES-WATER</v>
      </c>
      <c r="D33" s="11">
        <f>0*-1</f>
        <v>0</v>
      </c>
      <c r="F33" s="11">
        <f>-165.87*-1</f>
        <v>165.87</v>
      </c>
      <c r="G33" s="3"/>
      <c r="H33" s="11">
        <f>-797.05*-1</f>
        <v>797.05</v>
      </c>
      <c r="I33" s="3"/>
      <c r="J33" s="11">
        <f>-705.4*-1</f>
        <v>705.4</v>
      </c>
      <c r="K33" s="3"/>
      <c r="L33" s="11">
        <f>-881.19*-1</f>
        <v>881.19</v>
      </c>
      <c r="M33" s="3"/>
      <c r="N33" s="11">
        <f>-513.51*-1</f>
        <v>513.51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"4040", " - ", "TAXABLE SALES-LOGO CLOTHING")</f>
        <v xml:space="preserve">          4040 - TAXABLE SALES-LOGO CLOTHING</v>
      </c>
      <c r="D34" s="11">
        <f>-2091546.66*-1</f>
        <v>2091546.66</v>
      </c>
      <c r="F34" s="11">
        <f>-2361034.68*-1</f>
        <v>2361034.6800000002</v>
      </c>
      <c r="G34" s="3"/>
      <c r="H34" s="11">
        <f>-2542019.78*-1</f>
        <v>2542019.7799999998</v>
      </c>
      <c r="I34" s="3"/>
      <c r="J34" s="11">
        <f>-2496988.94*-1</f>
        <v>2496988.94</v>
      </c>
      <c r="K34" s="3"/>
      <c r="L34" s="11">
        <f>-2503852.42*-1</f>
        <v>2503852.42</v>
      </c>
      <c r="M34" s="3"/>
      <c r="N34" s="11">
        <f>-1941274.42*-1</f>
        <v>1941274.42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"4041", " - ", "TAXABLE SALES-LOGO GIFTS")</f>
        <v xml:space="preserve">          4041 - TAXABLE SALES-LOGO GIFTS</v>
      </c>
      <c r="D35" s="11">
        <f>-872583.71*-1</f>
        <v>872583.71</v>
      </c>
      <c r="F35" s="11">
        <f>-912522.76*-1</f>
        <v>912522.76</v>
      </c>
      <c r="G35" s="3"/>
      <c r="H35" s="11">
        <f>-914844.45*-1</f>
        <v>914844.45</v>
      </c>
      <c r="I35" s="3"/>
      <c r="J35" s="11">
        <f>-914522.14*-1</f>
        <v>914522.14</v>
      </c>
      <c r="K35" s="3"/>
      <c r="L35" s="11">
        <f>-859767.82*-1</f>
        <v>859767.82</v>
      </c>
      <c r="M35" s="3"/>
      <c r="N35" s="11">
        <f>-556536.79*-1</f>
        <v>556536.79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"4042", " - ", "TAXABLE SALES-EVERYDAY GIFTS")</f>
        <v xml:space="preserve">          4042 - TAXABLE SALES-EVERYDAY GIFTS</v>
      </c>
      <c r="D36" s="11">
        <f>-216339.99*-1</f>
        <v>216339.99</v>
      </c>
      <c r="F36" s="11">
        <f>-224508.74*-1</f>
        <v>224508.74</v>
      </c>
      <c r="G36" s="3"/>
      <c r="H36" s="11">
        <f>-243721.82*-1</f>
        <v>243721.82</v>
      </c>
      <c r="I36" s="3"/>
      <c r="J36" s="11">
        <f>-342271.68*-1</f>
        <v>342271.68</v>
      </c>
      <c r="K36" s="3"/>
      <c r="L36" s="11">
        <f>-334175.22*-1</f>
        <v>334175.21999999997</v>
      </c>
      <c r="M36" s="3"/>
      <c r="N36" s="11">
        <f>-285558.05*-1</f>
        <v>285558.05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"4043", " - ", "TAXABLE SALES-CARDS")</f>
        <v xml:space="preserve">          4043 - TAXABLE SALES-CARDS</v>
      </c>
      <c r="D37" s="11">
        <f>-31993.73*-1</f>
        <v>31993.73</v>
      </c>
      <c r="F37" s="11">
        <f>-33431.2*-1</f>
        <v>33431.199999999997</v>
      </c>
      <c r="G37" s="3"/>
      <c r="H37" s="11">
        <f>-13466.67*-1</f>
        <v>13466.67</v>
      </c>
      <c r="I37" s="3"/>
      <c r="J37" s="11">
        <f>-9233.79*-1</f>
        <v>9233.7900000000009</v>
      </c>
      <c r="K37" s="3"/>
      <c r="L37" s="11">
        <f>-4859.22*-1</f>
        <v>4859.22</v>
      </c>
      <c r="M37" s="3"/>
      <c r="N37" s="11">
        <f>-77324.14*-1</f>
        <v>77324.14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"4044", " - ", "TAXABLE SALES-ACCESSORIES")</f>
        <v xml:space="preserve">          4044 - TAXABLE SALES-ACCESSORIES</v>
      </c>
      <c r="D38" s="11">
        <f>-72513.34*-1</f>
        <v>72513.34</v>
      </c>
      <c r="F38" s="11">
        <f>-88358.95*-1</f>
        <v>88358.95</v>
      </c>
      <c r="G38" s="3"/>
      <c r="H38" s="11">
        <f>-84270.22*-1</f>
        <v>84270.22</v>
      </c>
      <c r="I38" s="3"/>
      <c r="J38" s="11">
        <f>-74129.41*-1</f>
        <v>74129.41</v>
      </c>
      <c r="K38" s="3"/>
      <c r="L38" s="11">
        <f>-87817.61*-1</f>
        <v>87817.61</v>
      </c>
      <c r="M38" s="3"/>
      <c r="N38" s="11">
        <f>-73780.56*-1</f>
        <v>73780.56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"4045", " - ", "TAXABLE SALES-SPECIAL ORDERS")</f>
        <v xml:space="preserve">          4045 - TAXABLE SALES-SPECIAL ORDERS</v>
      </c>
      <c r="D39" s="11">
        <f>-122181.44*-1</f>
        <v>122181.44</v>
      </c>
      <c r="F39" s="11">
        <f>-106486.25*-1</f>
        <v>106486.25</v>
      </c>
      <c r="G39" s="3"/>
      <c r="H39" s="11">
        <f>-192412.91*-1</f>
        <v>192412.91</v>
      </c>
      <c r="I39" s="3"/>
      <c r="J39" s="11">
        <f>-185422.86*-1</f>
        <v>185422.86</v>
      </c>
      <c r="K39" s="3"/>
      <c r="L39" s="11">
        <f>-219240.28*-1</f>
        <v>219240.28</v>
      </c>
      <c r="M39" s="3"/>
      <c r="N39" s="11">
        <f>-123103.09*-1</f>
        <v>123103.09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"4047", " - ", "TAXABLE SALES-MISC")</f>
        <v xml:space="preserve">          4047 - TAXABLE SALES-MISC</v>
      </c>
      <c r="D40" s="11">
        <f>-7763.72*-1</f>
        <v>7763.72</v>
      </c>
      <c r="F40" s="11">
        <f>-3475.74*-1</f>
        <v>3475.74</v>
      </c>
      <c r="G40" s="3"/>
      <c r="H40" s="11">
        <f>-5619.91*-1</f>
        <v>5619.91</v>
      </c>
      <c r="I40" s="3"/>
      <c r="J40" s="11">
        <f>-5136.78*-1</f>
        <v>5136.78</v>
      </c>
      <c r="K40" s="3"/>
      <c r="L40" s="11">
        <f>-5818.6*-1</f>
        <v>5818.6</v>
      </c>
      <c r="M40" s="3"/>
      <c r="N40" s="11">
        <f>-2676.14*-1</f>
        <v>2676.14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"4051", " - ", "TAXABLE SALES-FOOD")</f>
        <v xml:space="preserve">          4051 - TAXABLE SALES-FOOD</v>
      </c>
      <c r="D41" s="11">
        <f>-388468.29*-1</f>
        <v>388468.29</v>
      </c>
      <c r="F41" s="11">
        <f>-507933.74*-1</f>
        <v>507933.74</v>
      </c>
      <c r="G41" s="3"/>
      <c r="H41" s="11">
        <f>-788765.1*-1</f>
        <v>788765.1</v>
      </c>
      <c r="I41" s="3"/>
      <c r="J41" s="11">
        <f>-1052558.04*-1</f>
        <v>1052558.04</v>
      </c>
      <c r="K41" s="3"/>
      <c r="L41" s="11">
        <f>-920830.24*-1</f>
        <v>920830.24</v>
      </c>
      <c r="M41" s="3"/>
      <c r="N41" s="11">
        <f>-604143.21*-1</f>
        <v>604143.21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"4052", " - ", "TAXABLE SALES-FOOD")</f>
        <v xml:space="preserve">          4052 - TAXABLE SALES-FOOD</v>
      </c>
      <c r="D42" s="11">
        <f>-1060927.14*-1</f>
        <v>1060927.1399999999</v>
      </c>
      <c r="F42" s="11">
        <f>-1241523.06*-1</f>
        <v>1241523.06</v>
      </c>
      <c r="G42" s="3"/>
      <c r="H42" s="11">
        <f>-1183255.47*-1</f>
        <v>1183255.47</v>
      </c>
      <c r="I42" s="3"/>
      <c r="J42" s="11">
        <f>-1404144.65*-1</f>
        <v>1404144.65</v>
      </c>
      <c r="K42" s="3"/>
      <c r="L42" s="11">
        <f>-1589998.48*-1</f>
        <v>1589998.48</v>
      </c>
      <c r="M42" s="3"/>
      <c r="N42" s="11">
        <f>-836487.29*-1</f>
        <v>836487.29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"4053", " - ", "TAXABLE SALES-FOOD")</f>
        <v xml:space="preserve">          4053 - TAXABLE SALES-FOOD</v>
      </c>
      <c r="D43" s="11">
        <f>-242037.64*-1</f>
        <v>242037.64</v>
      </c>
      <c r="F43" s="11">
        <f>-318560.93*-1</f>
        <v>318560.93</v>
      </c>
      <c r="G43" s="3"/>
      <c r="H43" s="11">
        <f>-381022.23*-1</f>
        <v>381022.23</v>
      </c>
      <c r="I43" s="3"/>
      <c r="J43" s="11">
        <f>-346135.22*-1</f>
        <v>346135.22</v>
      </c>
      <c r="K43" s="3"/>
      <c r="L43" s="11">
        <f>-346743.32*-1</f>
        <v>346743.32</v>
      </c>
      <c r="M43" s="3"/>
      <c r="N43" s="11">
        <f>-280013.99*-1</f>
        <v>280013.99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"4055", " - ", "TAXABLE SALES-FOOD")</f>
        <v xml:space="preserve">          4055 - TAXABLE SALES-FOOD</v>
      </c>
      <c r="D44" s="11">
        <f>-391283.85*-1</f>
        <v>391283.85</v>
      </c>
      <c r="F44" s="11">
        <f>-524512.5*-1</f>
        <v>524512.5</v>
      </c>
      <c r="G44" s="3"/>
      <c r="H44" s="11">
        <f>-600637.93*-1</f>
        <v>600637.93000000005</v>
      </c>
      <c r="I44" s="3"/>
      <c r="J44" s="11">
        <f>-597713.4*-1</f>
        <v>597713.4</v>
      </c>
      <c r="K44" s="3"/>
      <c r="L44" s="11">
        <f>-627717.93*-1</f>
        <v>627717.93000000005</v>
      </c>
      <c r="M44" s="3"/>
      <c r="N44" s="11">
        <f>-382379.53*-1</f>
        <v>382379.53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"4057", " - ", "TAXABLE SALES-FOOD")</f>
        <v xml:space="preserve">          4057 - TAXABLE SALES-FOOD</v>
      </c>
      <c r="D45" s="11">
        <f>0*-1</f>
        <v>0</v>
      </c>
      <c r="F45" s="11">
        <f>0*-1</f>
        <v>0</v>
      </c>
      <c r="G45" s="3"/>
      <c r="H45" s="11">
        <f>0*-1</f>
        <v>0</v>
      </c>
      <c r="I45" s="3"/>
      <c r="J45" s="11">
        <f>-115214.52*-1</f>
        <v>115214.52</v>
      </c>
      <c r="K45" s="3"/>
      <c r="L45" s="11">
        <f>-11506.08*-1</f>
        <v>11506.08</v>
      </c>
      <c r="M45" s="3"/>
      <c r="N45" s="11">
        <f>0*-1</f>
        <v>0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"4058", " - ", "TAXABLE SALES-FOOD")</f>
        <v xml:space="preserve">          4058 - TAXABLE SALES-FOOD</v>
      </c>
      <c r="D46" s="11">
        <f>-65572.24*-1</f>
        <v>65572.240000000005</v>
      </c>
      <c r="F46" s="11">
        <f>-56827.74*-1</f>
        <v>56827.74</v>
      </c>
      <c r="G46" s="3"/>
      <c r="H46" s="11">
        <f>-96320.96*-1</f>
        <v>96320.960000000006</v>
      </c>
      <c r="I46" s="3"/>
      <c r="J46" s="11">
        <f>-167154.32*-1</f>
        <v>167154.32</v>
      </c>
      <c r="K46" s="3"/>
      <c r="L46" s="11">
        <f>-200045.36*-1</f>
        <v>200045.36</v>
      </c>
      <c r="M46" s="3"/>
      <c r="N46" s="11">
        <f>-117077.57*-1</f>
        <v>117077.57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"4081", " - ", "TAXABLE SALES-ELECTRONICS")</f>
        <v xml:space="preserve">          4081 - TAXABLE SALES-ELECTRONICS</v>
      </c>
      <c r="D47" s="11">
        <f>-136810.96*-1</f>
        <v>136810.96</v>
      </c>
      <c r="F47" s="11">
        <f>-195967.84*-1</f>
        <v>195967.84</v>
      </c>
      <c r="G47" s="3"/>
      <c r="H47" s="11">
        <f>-207741.1*-1</f>
        <v>207741.1</v>
      </c>
      <c r="I47" s="3"/>
      <c r="J47" s="11">
        <f>-300705.04*-1</f>
        <v>300705.03999999998</v>
      </c>
      <c r="K47" s="3"/>
      <c r="L47" s="11">
        <f>-239783.4*-1</f>
        <v>239783.4</v>
      </c>
      <c r="M47" s="3"/>
      <c r="N47" s="11">
        <f>-318043.95*-1</f>
        <v>318043.95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"4082", " - ", "TAXABLE SALES-COMPUTER HARDWAR")</f>
        <v xml:space="preserve">          4082 - TAXABLE SALES-COMPUTER HARDWAR</v>
      </c>
      <c r="D48" s="11">
        <f>-2123067.48*-1</f>
        <v>2123067.48</v>
      </c>
      <c r="F48" s="11">
        <f>-1692329.91*-1</f>
        <v>1692329.91</v>
      </c>
      <c r="G48" s="3"/>
      <c r="H48" s="11">
        <f>-1869698.28*-1</f>
        <v>1869698.28</v>
      </c>
      <c r="I48" s="3"/>
      <c r="J48" s="11">
        <f>-1419301.58*-1</f>
        <v>1419301.58</v>
      </c>
      <c r="K48" s="3"/>
      <c r="L48" s="11">
        <f>-2287323.33*-1</f>
        <v>2287323.33</v>
      </c>
      <c r="M48" s="3"/>
      <c r="N48" s="11">
        <f>-2373850.38*-1</f>
        <v>2373850.38</v>
      </c>
      <c r="O48" s="3"/>
      <c r="P48" s="11"/>
      <c r="Q48" s="3"/>
      <c r="R48" s="11"/>
    </row>
    <row r="49" spans="2:18" s="16" customFormat="1" hidden="1" outlineLevel="1" x14ac:dyDescent="0.35">
      <c r="B49" s="35" t="str">
        <f>CONCATENATE("          ", "4083", " - ", "TAXABLE SALES-COMPUTER EQUIPME")</f>
        <v xml:space="preserve">          4083 - TAXABLE SALES-COMPUTER EQUIPME</v>
      </c>
      <c r="D49" s="11">
        <f>-79707.41*-1</f>
        <v>79707.41</v>
      </c>
      <c r="F49" s="11">
        <f>-111130.81*-1</f>
        <v>111130.81</v>
      </c>
      <c r="G49" s="3"/>
      <c r="H49" s="11">
        <f>-101692*-1</f>
        <v>101692</v>
      </c>
      <c r="I49" s="3"/>
      <c r="J49" s="11">
        <f>-123139.74*-1</f>
        <v>123139.74</v>
      </c>
      <c r="K49" s="3"/>
      <c r="L49" s="11">
        <f>-138670.92*-1</f>
        <v>138670.92000000001</v>
      </c>
      <c r="M49" s="3"/>
      <c r="N49" s="11">
        <f>-139149.89*-1</f>
        <v>139149.89000000001</v>
      </c>
      <c r="O49" s="3"/>
      <c r="P49" s="11"/>
      <c r="Q49" s="3"/>
      <c r="R49" s="11"/>
    </row>
    <row r="50" spans="2:18" s="16" customFormat="1" hidden="1" outlineLevel="1" x14ac:dyDescent="0.35">
      <c r="B50" s="35" t="str">
        <f>CONCATENATE("          ", "4084", " - ", "TAXABLE SALES-SOFTWARE LICENSE")</f>
        <v xml:space="preserve">          4084 - TAXABLE SALES-SOFTWARE LICENSE</v>
      </c>
      <c r="D50" s="11">
        <f>-17358.23*-1</f>
        <v>17358.23</v>
      </c>
      <c r="F50" s="11">
        <f>-2124.06*-1</f>
        <v>2124.06</v>
      </c>
      <c r="G50" s="3"/>
      <c r="H50" s="11">
        <f>-557.16*-1</f>
        <v>557.16</v>
      </c>
      <c r="I50" s="3"/>
      <c r="J50" s="11">
        <f>0*-1</f>
        <v>0</v>
      </c>
      <c r="K50" s="3"/>
      <c r="L50" s="11">
        <f>-1563.99*-1</f>
        <v>1563.99</v>
      </c>
      <c r="M50" s="3"/>
      <c r="N50" s="11">
        <f>-129*-1</f>
        <v>129</v>
      </c>
      <c r="O50" s="3"/>
      <c r="P50" s="11"/>
      <c r="Q50" s="3"/>
      <c r="R50" s="11"/>
    </row>
    <row r="51" spans="2:18" s="16" customFormat="1" hidden="1" outlineLevel="1" x14ac:dyDescent="0.35">
      <c r="B51" s="35" t="str">
        <f>CONCATENATE("          ", "4085", " - ", "TAXABLE SALES-SOFTWARE")</f>
        <v xml:space="preserve">          4085 - TAXABLE SALES-SOFTWARE</v>
      </c>
      <c r="D51" s="11">
        <f>-21384.95*-1</f>
        <v>21384.95</v>
      </c>
      <c r="F51" s="11">
        <f>-17185.6*-1</f>
        <v>17185.599999999999</v>
      </c>
      <c r="G51" s="3"/>
      <c r="H51" s="11">
        <f>-16434.96*-1</f>
        <v>16434.96</v>
      </c>
      <c r="I51" s="3"/>
      <c r="J51" s="11">
        <f>-4702.73*-1</f>
        <v>4702.7299999999996</v>
      </c>
      <c r="K51" s="3"/>
      <c r="L51" s="11">
        <f>-13428.64*-1</f>
        <v>13428.64</v>
      </c>
      <c r="M51" s="3"/>
      <c r="N51" s="11">
        <f>-4587.93*-1</f>
        <v>4587.93</v>
      </c>
      <c r="O51" s="3"/>
      <c r="P51" s="11"/>
      <c r="Q51" s="3"/>
      <c r="R51" s="11"/>
    </row>
    <row r="52" spans="2:18" s="16" customFormat="1" hidden="1" outlineLevel="1" x14ac:dyDescent="0.35">
      <c r="B52" s="35" t="str">
        <f>CONCATENATE("          ", "4086", " - ", "TAXABLE SALES-COMPUTER SUPPLIE")</f>
        <v xml:space="preserve">          4086 - TAXABLE SALES-COMPUTER SUPPLIE</v>
      </c>
      <c r="D52" s="11">
        <f>-53105.93*-1</f>
        <v>53105.93</v>
      </c>
      <c r="F52" s="11">
        <f>-78494.7*-1</f>
        <v>78494.7</v>
      </c>
      <c r="G52" s="3"/>
      <c r="H52" s="11">
        <f>-74415.82*-1</f>
        <v>74415.820000000007</v>
      </c>
      <c r="I52" s="3"/>
      <c r="J52" s="11">
        <f>-67014.65*-1</f>
        <v>67014.649999999994</v>
      </c>
      <c r="K52" s="3"/>
      <c r="L52" s="11">
        <f>-93696.22*-1</f>
        <v>93696.22</v>
      </c>
      <c r="M52" s="3"/>
      <c r="N52" s="11">
        <f>-49644.41*-1</f>
        <v>49644.41</v>
      </c>
      <c r="O52" s="3"/>
      <c r="P52" s="11"/>
      <c r="Q52" s="3"/>
      <c r="R52" s="11"/>
    </row>
    <row r="53" spans="2:18" s="16" customFormat="1" hidden="1" outlineLevel="1" x14ac:dyDescent="0.35">
      <c r="B53" s="35" t="str">
        <f>CONCATENATE("          ", "4088", " - ", "TAXABLE SALES-MUSIC")</f>
        <v xml:space="preserve">          4088 - TAXABLE SALES-MUSIC</v>
      </c>
      <c r="D53" s="11">
        <f>0*-1</f>
        <v>0</v>
      </c>
      <c r="F53" s="11">
        <f>-5612.46*-1</f>
        <v>5612.46</v>
      </c>
      <c r="G53" s="3"/>
      <c r="H53" s="11">
        <f>-5310.31*-1</f>
        <v>5310.31</v>
      </c>
      <c r="I53" s="3"/>
      <c r="J53" s="11">
        <f>-4771.38*-1</f>
        <v>4771.38</v>
      </c>
      <c r="K53" s="3"/>
      <c r="L53" s="11">
        <f>-2170.76*-1</f>
        <v>2170.7600000000002</v>
      </c>
      <c r="M53" s="3"/>
      <c r="N53" s="11">
        <f>-3151.75*-1</f>
        <v>3151.75</v>
      </c>
      <c r="O53" s="3"/>
      <c r="P53" s="11"/>
      <c r="Q53" s="3"/>
      <c r="R53" s="11"/>
    </row>
    <row r="54" spans="2:18" s="16" customFormat="1" hidden="1" outlineLevel="1" x14ac:dyDescent="0.35">
      <c r="B54" s="35" t="str">
        <f>CONCATENATE("          ", "4091", " - ", "TAXABLE SALES-GRAD ANNOUNCEMEN")</f>
        <v xml:space="preserve">          4091 - TAXABLE SALES-GRAD ANNOUNCEMEN</v>
      </c>
      <c r="D54" s="11">
        <f>-1250.64*-1</f>
        <v>1250.6400000000001</v>
      </c>
      <c r="F54" s="11">
        <f>-2134.69*-1</f>
        <v>2134.69</v>
      </c>
      <c r="G54" s="3"/>
      <c r="H54" s="11">
        <f>-927.2*-1</f>
        <v>927.2</v>
      </c>
      <c r="I54" s="3"/>
      <c r="J54" s="11">
        <f>-1013.94*-1</f>
        <v>1013.94</v>
      </c>
      <c r="K54" s="3"/>
      <c r="L54" s="11">
        <f>0*-1</f>
        <v>0</v>
      </c>
      <c r="M54" s="3"/>
      <c r="N54" s="11">
        <f>0*-1</f>
        <v>0</v>
      </c>
      <c r="O54" s="3"/>
      <c r="P54" s="11"/>
      <c r="Q54" s="3"/>
      <c r="R54" s="11"/>
    </row>
    <row r="55" spans="2:18" s="16" customFormat="1" hidden="1" outlineLevel="1" x14ac:dyDescent="0.35">
      <c r="B55" s="35" t="str">
        <f>CONCATENATE("          ", "4092", " - ", "TAXABLE SALES-GRAD MERCH")</f>
        <v xml:space="preserve">          4092 - TAXABLE SALES-GRAD MERCH</v>
      </c>
      <c r="D55" s="11">
        <f>-345184.89*-1</f>
        <v>345184.89</v>
      </c>
      <c r="F55" s="11">
        <f>-400900.6*-1</f>
        <v>400900.6</v>
      </c>
      <c r="G55" s="3"/>
      <c r="H55" s="11">
        <f>-436215.05*-1</f>
        <v>436215.05</v>
      </c>
      <c r="I55" s="3"/>
      <c r="J55" s="11">
        <f>-521288.3*-1</f>
        <v>521288.3</v>
      </c>
      <c r="K55" s="3"/>
      <c r="L55" s="11">
        <f>-223303.91*-1</f>
        <v>223303.91</v>
      </c>
      <c r="M55" s="3"/>
      <c r="N55" s="11">
        <f>-41685.94*-1</f>
        <v>41685.94</v>
      </c>
      <c r="O55" s="3"/>
      <c r="P55" s="11"/>
      <c r="Q55" s="3"/>
      <c r="R55" s="11"/>
    </row>
    <row r="56" spans="2:18" s="16" customFormat="1" hidden="1" outlineLevel="1" x14ac:dyDescent="0.35">
      <c r="B56" s="35" t="str">
        <f>CONCATENATE("          ", "4093", " - ", "TAXABLE SALES-CATALOGS")</f>
        <v xml:space="preserve">          4093 - TAXABLE SALES-CATALOGS</v>
      </c>
      <c r="D56" s="11">
        <f>0*-1</f>
        <v>0</v>
      </c>
      <c r="F56" s="11">
        <f>0*-1</f>
        <v>0</v>
      </c>
      <c r="G56" s="3"/>
      <c r="H56" s="11">
        <f>0*-1</f>
        <v>0</v>
      </c>
      <c r="I56" s="3"/>
      <c r="J56" s="11">
        <f>0*-1</f>
        <v>0</v>
      </c>
      <c r="K56" s="3"/>
      <c r="L56" s="11">
        <f>0*-1</f>
        <v>0</v>
      </c>
      <c r="M56" s="3"/>
      <c r="N56" s="11">
        <f>0*-1</f>
        <v>0</v>
      </c>
      <c r="O56" s="3"/>
      <c r="P56" s="11"/>
      <c r="Q56" s="3"/>
      <c r="R56" s="11"/>
    </row>
    <row r="57" spans="2:18" s="16" customFormat="1" hidden="1" outlineLevel="1" x14ac:dyDescent="0.35">
      <c r="B57" s="35" t="str">
        <f>CONCATENATE("          ", "4095", " - ", "TAXABLE SALES-CUSTOMER SERVICE")</f>
        <v xml:space="preserve">          4095 - TAXABLE SALES-CUSTOMER SERVICE</v>
      </c>
      <c r="D57" s="11">
        <f>-3526.03*-1</f>
        <v>3526.03</v>
      </c>
      <c r="F57" s="11">
        <f>-2766.9*-1</f>
        <v>2766.9</v>
      </c>
      <c r="G57" s="3"/>
      <c r="H57" s="11">
        <f>-2405.17*-1</f>
        <v>2405.17</v>
      </c>
      <c r="I57" s="3"/>
      <c r="J57" s="11">
        <f>-1686.52*-1</f>
        <v>1686.52</v>
      </c>
      <c r="K57" s="3"/>
      <c r="L57" s="11">
        <f>-2235.12*-1</f>
        <v>2235.12</v>
      </c>
      <c r="M57" s="3"/>
      <c r="N57" s="11">
        <f>-309.26*-1</f>
        <v>309.26</v>
      </c>
      <c r="O57" s="3"/>
      <c r="P57" s="11"/>
      <c r="Q57" s="3"/>
      <c r="R57" s="11"/>
    </row>
    <row r="58" spans="2:18" s="16" customFormat="1" hidden="1" outlineLevel="1" x14ac:dyDescent="0.35">
      <c r="B58" s="35" t="str">
        <f>CONCATENATE("          ", "4100", " - ", "NON-TAXABLE SALES")</f>
        <v xml:space="preserve">          4100 - NON-TAXABLE SALES</v>
      </c>
      <c r="D58" s="11">
        <f>-1552336.03*-1</f>
        <v>1552336.03</v>
      </c>
      <c r="F58" s="11">
        <f>-1399228.38*-1</f>
        <v>1399228.38</v>
      </c>
      <c r="G58" s="3"/>
      <c r="H58" s="11">
        <f>-1280103.06*-1</f>
        <v>1280103.06</v>
      </c>
      <c r="I58" s="3"/>
      <c r="J58" s="11">
        <f>-1453896.32*-1</f>
        <v>1453896.32</v>
      </c>
      <c r="K58" s="3"/>
      <c r="L58" s="11">
        <f>-1280653.45*-1</f>
        <v>1280653.45</v>
      </c>
      <c r="M58" s="3"/>
      <c r="N58" s="11">
        <f>-1082924.5*-1</f>
        <v>1082924.5</v>
      </c>
      <c r="O58" s="3"/>
      <c r="P58" s="11">
        <v>5767796</v>
      </c>
      <c r="Q58" s="3"/>
      <c r="R58" s="11">
        <v>11672923</v>
      </c>
    </row>
    <row r="59" spans="2:18" s="16" customFormat="1" hidden="1" outlineLevel="1" x14ac:dyDescent="0.35">
      <c r="B59" s="35" t="str">
        <f>CONCATENATE("          ", "4101", " - ", "NON-TAXABLE SALES-NEW TEXT")</f>
        <v xml:space="preserve">          4101 - NON-TAXABLE SALES-NEW TEXT</v>
      </c>
      <c r="D59" s="11">
        <f>-333541.05*-1</f>
        <v>333541.05</v>
      </c>
      <c r="F59" s="11">
        <f>-331768.56*-1</f>
        <v>331768.56</v>
      </c>
      <c r="G59" s="3"/>
      <c r="H59" s="11">
        <f>-436453.6*-1</f>
        <v>436453.6</v>
      </c>
      <c r="I59" s="3"/>
      <c r="J59" s="11">
        <f>-176688.8*-1</f>
        <v>176688.8</v>
      </c>
      <c r="K59" s="3"/>
      <c r="L59" s="11">
        <f>-281995.26*-1</f>
        <v>281995.26</v>
      </c>
      <c r="M59" s="3"/>
      <c r="N59" s="11">
        <f>-153953.68*-1</f>
        <v>153953.68</v>
      </c>
      <c r="O59" s="3"/>
      <c r="P59" s="11"/>
      <c r="Q59" s="3"/>
      <c r="R59" s="11"/>
    </row>
    <row r="60" spans="2:18" s="16" customFormat="1" hidden="1" outlineLevel="1" x14ac:dyDescent="0.35">
      <c r="B60" s="35" t="str">
        <f>CONCATENATE("          ", "4102", " - ", "NON-TAXABLE SALES-USED TEXT")</f>
        <v xml:space="preserve">          4102 - NON-TAXABLE SALES-USED TEXT</v>
      </c>
      <c r="D60" s="11">
        <f>-169093.51*-1</f>
        <v>169093.51</v>
      </c>
      <c r="F60" s="11">
        <f>-105992.28*-1</f>
        <v>105992.28</v>
      </c>
      <c r="G60" s="3"/>
      <c r="H60" s="11">
        <f>-102473.76*-1</f>
        <v>102473.76</v>
      </c>
      <c r="I60" s="3"/>
      <c r="J60" s="11">
        <f>-115900.77*-1</f>
        <v>115900.77</v>
      </c>
      <c r="K60" s="3"/>
      <c r="L60" s="11">
        <f>-98541.39*-1</f>
        <v>98541.39</v>
      </c>
      <c r="M60" s="3"/>
      <c r="N60" s="11">
        <f>-71943.61*-1</f>
        <v>71943.61</v>
      </c>
      <c r="O60" s="3"/>
      <c r="P60" s="11"/>
      <c r="Q60" s="3"/>
      <c r="R60" s="11"/>
    </row>
    <row r="61" spans="2:18" s="16" customFormat="1" hidden="1" outlineLevel="1" x14ac:dyDescent="0.35">
      <c r="B61" s="35" t="str">
        <f>CONCATENATE("          ", "4103", " - ", "NON-TAXABLE SALES-RENTAL TEXT")</f>
        <v xml:space="preserve">          4103 - NON-TAXABLE SALES-RENTAL TEXT</v>
      </c>
      <c r="D61" s="11">
        <f>0*-1</f>
        <v>0</v>
      </c>
      <c r="F61" s="11">
        <f>0*-1</f>
        <v>0</v>
      </c>
      <c r="G61" s="3"/>
      <c r="H61" s="11">
        <f>0*-1</f>
        <v>0</v>
      </c>
      <c r="I61" s="3"/>
      <c r="J61" s="11">
        <f>0*-1</f>
        <v>0</v>
      </c>
      <c r="K61" s="3"/>
      <c r="L61" s="11">
        <f>-830.85*-1</f>
        <v>830.85</v>
      </c>
      <c r="M61" s="3"/>
      <c r="N61" s="11">
        <f>-664.97*-1</f>
        <v>664.97</v>
      </c>
      <c r="O61" s="3"/>
      <c r="P61" s="11"/>
      <c r="Q61" s="3"/>
      <c r="R61" s="11"/>
    </row>
    <row r="62" spans="2:18" s="16" customFormat="1" hidden="1" outlineLevel="1" x14ac:dyDescent="0.35">
      <c r="B62" s="35" t="str">
        <f>CONCATENATE("          ", "4104", " - ", "NON-TAXABLE SALES-DIGITAL TEXT")</f>
        <v xml:space="preserve">          4104 - NON-TAXABLE SALES-DIGITAL TEXT</v>
      </c>
      <c r="D62" s="11">
        <f>-35063.14*-1</f>
        <v>35063.14</v>
      </c>
      <c r="F62" s="11">
        <f>-87423.09*-1</f>
        <v>87423.09</v>
      </c>
      <c r="G62" s="3"/>
      <c r="H62" s="11">
        <f>-168064.67*-1</f>
        <v>168064.67</v>
      </c>
      <c r="I62" s="3"/>
      <c r="J62" s="11">
        <f>-514704.82*-1</f>
        <v>514704.82</v>
      </c>
      <c r="K62" s="3"/>
      <c r="L62" s="11">
        <f>-535221.75*-1</f>
        <v>535221.75</v>
      </c>
      <c r="M62" s="3"/>
      <c r="N62" s="11">
        <f>-533640.31*-1</f>
        <v>533640.31000000006</v>
      </c>
      <c r="O62" s="3"/>
      <c r="P62" s="11"/>
      <c r="Q62" s="3"/>
      <c r="R62" s="11"/>
    </row>
    <row r="63" spans="2:18" s="16" customFormat="1" hidden="1" outlineLevel="1" x14ac:dyDescent="0.35">
      <c r="B63" s="35" t="str">
        <f>CONCATENATE("          ", "4111", " - ", "NON-TAXABLE SALES-NO VALUE TEX")</f>
        <v xml:space="preserve">          4111 - NON-TAXABLE SALES-NO VALUE TEX</v>
      </c>
      <c r="D63" s="11">
        <f>-43256.3*-1</f>
        <v>43256.3</v>
      </c>
      <c r="F63" s="11">
        <f>-43259.52*-1</f>
        <v>43259.519999999997</v>
      </c>
      <c r="G63" s="3"/>
      <c r="H63" s="11">
        <f>-44203.6*-1</f>
        <v>44203.6</v>
      </c>
      <c r="I63" s="3"/>
      <c r="J63" s="11">
        <f>-38359.07*-1</f>
        <v>38359.07</v>
      </c>
      <c r="K63" s="3"/>
      <c r="L63" s="11">
        <f>-25086.75*-1</f>
        <v>25086.75</v>
      </c>
      <c r="M63" s="3"/>
      <c r="N63" s="11">
        <f>-16342.67*-1</f>
        <v>16342.67</v>
      </c>
      <c r="O63" s="3"/>
      <c r="P63" s="11"/>
      <c r="Q63" s="3"/>
      <c r="R63" s="11"/>
    </row>
    <row r="64" spans="2:18" s="16" customFormat="1" hidden="1" outlineLevel="1" x14ac:dyDescent="0.35">
      <c r="B64" s="35" t="str">
        <f>CONCATENATE("          ", "4113", " - ", "NON-TAXABLE SALES-TRADE BOOKS")</f>
        <v xml:space="preserve">          4113 - NON-TAXABLE SALES-TRADE BOOKS</v>
      </c>
      <c r="D64" s="11">
        <f>-1319.69*-1</f>
        <v>1319.69</v>
      </c>
      <c r="F64" s="11">
        <f>-1790.87*-1</f>
        <v>1790.87</v>
      </c>
      <c r="G64" s="3"/>
      <c r="H64" s="11">
        <f>-5971.51*-1</f>
        <v>5971.51</v>
      </c>
      <c r="I64" s="3"/>
      <c r="J64" s="11">
        <f>-1947.27*-1</f>
        <v>1947.27</v>
      </c>
      <c r="K64" s="3"/>
      <c r="L64" s="11">
        <f>-5373*-1</f>
        <v>5373</v>
      </c>
      <c r="M64" s="3"/>
      <c r="N64" s="11">
        <f>-8266.16*-1</f>
        <v>8266.16</v>
      </c>
      <c r="O64" s="3"/>
      <c r="P64" s="11"/>
      <c r="Q64" s="3"/>
      <c r="R64" s="11"/>
    </row>
    <row r="65" spans="2:18" s="16" customFormat="1" hidden="1" outlineLevel="1" x14ac:dyDescent="0.35">
      <c r="B65" s="35" t="str">
        <f>CONCATENATE("          ", "4114", " - ", "NON-TAXABLE SALES-REMAINDERS")</f>
        <v xml:space="preserve">          4114 - NON-TAXABLE SALES-REMAINDERS</v>
      </c>
      <c r="D65" s="11">
        <f>0*-1</f>
        <v>0</v>
      </c>
      <c r="F65" s="11">
        <f>0*-1</f>
        <v>0</v>
      </c>
      <c r="G65" s="3"/>
      <c r="H65" s="11">
        <f t="shared" ref="H65:H66" si="0">0*-1</f>
        <v>0</v>
      </c>
      <c r="I65" s="3"/>
      <c r="J65" s="11">
        <f t="shared" ref="J65:J66" si="1">0*-1</f>
        <v>0</v>
      </c>
      <c r="K65" s="3"/>
      <c r="L65" s="11">
        <f t="shared" ref="L65:L66" si="2">0*-1</f>
        <v>0</v>
      </c>
      <c r="M65" s="3"/>
      <c r="N65" s="11">
        <f>-3.19*-1</f>
        <v>3.19</v>
      </c>
      <c r="O65" s="3"/>
      <c r="P65" s="11"/>
      <c r="Q65" s="3"/>
      <c r="R65" s="11"/>
    </row>
    <row r="66" spans="2:18" s="16" customFormat="1" hidden="1" outlineLevel="1" x14ac:dyDescent="0.35">
      <c r="B66" s="35" t="str">
        <f>CONCATENATE("          ", "4115", " - ", "NON-TAXABLE SALES-CALENDARS")</f>
        <v xml:space="preserve">          4115 - NON-TAXABLE SALES-CALENDARS</v>
      </c>
      <c r="D66" s="11">
        <f>-2*-1</f>
        <v>2</v>
      </c>
      <c r="F66" s="11">
        <f>-158.37*-1</f>
        <v>158.37</v>
      </c>
      <c r="G66" s="3"/>
      <c r="H66" s="11">
        <f t="shared" si="0"/>
        <v>0</v>
      </c>
      <c r="I66" s="3"/>
      <c r="J66" s="11">
        <f t="shared" si="1"/>
        <v>0</v>
      </c>
      <c r="K66" s="3"/>
      <c r="L66" s="11">
        <f t="shared" si="2"/>
        <v>0</v>
      </c>
      <c r="M66" s="3"/>
      <c r="N66" s="11">
        <f>0*-1</f>
        <v>0</v>
      </c>
      <c r="O66" s="3"/>
      <c r="P66" s="11"/>
      <c r="Q66" s="3"/>
      <c r="R66" s="11"/>
    </row>
    <row r="67" spans="2:18" s="16" customFormat="1" hidden="1" outlineLevel="1" x14ac:dyDescent="0.35">
      <c r="B67" s="35" t="str">
        <f>CONCATENATE("          ", "4118", " - ", "NON-TAXABLE SALES-STUDY GUIDES")</f>
        <v xml:space="preserve">          4118 - NON-TAXABLE SALES-STUDY GUIDES</v>
      </c>
      <c r="D67" s="11">
        <f>-353.8*-1</f>
        <v>353.8</v>
      </c>
      <c r="F67" s="11">
        <f>-548.94*-1</f>
        <v>548.94000000000005</v>
      </c>
      <c r="G67" s="3"/>
      <c r="H67" s="11">
        <f>-571.8*-1</f>
        <v>571.79999999999995</v>
      </c>
      <c r="I67" s="3"/>
      <c r="J67" s="11">
        <f>-4573.16*-1</f>
        <v>4573.16</v>
      </c>
      <c r="K67" s="3"/>
      <c r="L67" s="11">
        <f>-2773.48*-1</f>
        <v>2773.48</v>
      </c>
      <c r="M67" s="3"/>
      <c r="N67" s="11">
        <f>-126.03*-1</f>
        <v>126.03</v>
      </c>
      <c r="O67" s="3"/>
      <c r="P67" s="11"/>
      <c r="Q67" s="3"/>
      <c r="R67" s="11"/>
    </row>
    <row r="68" spans="2:18" s="16" customFormat="1" hidden="1" outlineLevel="1" x14ac:dyDescent="0.35">
      <c r="B68" s="35" t="str">
        <f>CONCATENATE("          ", "4119", " - ", "NON-TAXABLE SALES-BOOK RELATED")</f>
        <v xml:space="preserve">          4119 - NON-TAXABLE SALES-BOOK RELATED</v>
      </c>
      <c r="D68" s="11">
        <f>-151.27*-1</f>
        <v>151.27000000000001</v>
      </c>
      <c r="F68" s="11">
        <f>-120.62*-1</f>
        <v>120.62</v>
      </c>
      <c r="G68" s="3"/>
      <c r="H68" s="11">
        <f>-88.12*-1</f>
        <v>88.12</v>
      </c>
      <c r="I68" s="3"/>
      <c r="J68" s="11">
        <f>0*-1</f>
        <v>0</v>
      </c>
      <c r="K68" s="3"/>
      <c r="L68" s="11">
        <f>0*-1</f>
        <v>0</v>
      </c>
      <c r="M68" s="3"/>
      <c r="N68" s="11">
        <f>0*-1</f>
        <v>0</v>
      </c>
      <c r="O68" s="3"/>
      <c r="P68" s="11"/>
      <c r="Q68" s="3"/>
      <c r="R68" s="11"/>
    </row>
    <row r="69" spans="2:18" s="16" customFormat="1" hidden="1" outlineLevel="1" x14ac:dyDescent="0.35">
      <c r="B69" s="35" t="str">
        <f>CONCATENATE("          ", "4125", " - ", "NON-TAXABLE SALES-TEST FORMS")</f>
        <v xml:space="preserve">          4125 - NON-TAXABLE SALES-TEST FORMS</v>
      </c>
      <c r="D69" s="11">
        <f>-224.26*-1</f>
        <v>224.26</v>
      </c>
      <c r="F69" s="11">
        <f>-235.54*-1</f>
        <v>235.54</v>
      </c>
      <c r="G69" s="3"/>
      <c r="H69" s="11">
        <f>-283.63*-1</f>
        <v>283.63</v>
      </c>
      <c r="I69" s="3"/>
      <c r="J69" s="11">
        <f>-349.35*-1</f>
        <v>349.35</v>
      </c>
      <c r="K69" s="3"/>
      <c r="L69" s="11">
        <f>-331.15*-1</f>
        <v>331.15</v>
      </c>
      <c r="M69" s="3"/>
      <c r="N69" s="11">
        <f>-452.61*-1</f>
        <v>452.61</v>
      </c>
      <c r="O69" s="3"/>
      <c r="P69" s="11"/>
      <c r="Q69" s="3"/>
      <c r="R69" s="11"/>
    </row>
    <row r="70" spans="2:18" s="16" customFormat="1" hidden="1" outlineLevel="1" x14ac:dyDescent="0.35">
      <c r="B70" s="35" t="str">
        <f>CONCATENATE("          ", "4126", " - ", "NON-TAXABLE SALES-WRITING INST")</f>
        <v xml:space="preserve">          4126 - NON-TAXABLE SALES-WRITING INST</v>
      </c>
      <c r="D70" s="11">
        <f>-1895.22*-1</f>
        <v>1895.22</v>
      </c>
      <c r="F70" s="11">
        <f>-2640.93*-1</f>
        <v>2640.93</v>
      </c>
      <c r="G70" s="3"/>
      <c r="H70" s="11">
        <f>-3640.17*-1</f>
        <v>3640.17</v>
      </c>
      <c r="I70" s="3"/>
      <c r="J70" s="11">
        <f>-3799.86*-1</f>
        <v>3799.86</v>
      </c>
      <c r="K70" s="3"/>
      <c r="L70" s="11">
        <f>-4171.98*-1</f>
        <v>4171.9799999999996</v>
      </c>
      <c r="M70" s="3"/>
      <c r="N70" s="11">
        <f>-3301.44*-1</f>
        <v>3301.44</v>
      </c>
      <c r="O70" s="3"/>
      <c r="P70" s="11"/>
      <c r="Q70" s="3"/>
      <c r="R70" s="11"/>
    </row>
    <row r="71" spans="2:18" s="16" customFormat="1" hidden="1" outlineLevel="1" x14ac:dyDescent="0.35">
      <c r="B71" s="35" t="str">
        <f>CONCATENATE("          ", "4127", " - ", "NON-TAXABLE SALES-SCHOOL SUPPL")</f>
        <v xml:space="preserve">          4127 - NON-TAXABLE SALES-SCHOOL SUPPL</v>
      </c>
      <c r="D71" s="11">
        <f>-5369.89*-1</f>
        <v>5369.89</v>
      </c>
      <c r="F71" s="11">
        <f>-5919.43*-1</f>
        <v>5919.43</v>
      </c>
      <c r="G71" s="3"/>
      <c r="H71" s="11">
        <f>-14303.61*-1</f>
        <v>14303.61</v>
      </c>
      <c r="I71" s="3"/>
      <c r="J71" s="11">
        <f>-6297.47*-1</f>
        <v>6297.47</v>
      </c>
      <c r="K71" s="3"/>
      <c r="L71" s="11">
        <f>-12627.65*-1</f>
        <v>12627.65</v>
      </c>
      <c r="M71" s="3"/>
      <c r="N71" s="11">
        <f>-6471.33*-1</f>
        <v>6471.33</v>
      </c>
      <c r="O71" s="3"/>
      <c r="P71" s="11"/>
      <c r="Q71" s="3"/>
      <c r="R71" s="11"/>
    </row>
    <row r="72" spans="2:18" s="16" customFormat="1" hidden="1" outlineLevel="1" x14ac:dyDescent="0.35">
      <c r="B72" s="35" t="str">
        <f>CONCATENATE("          ", "4128", " - ", "NON-TAXABLE SALES-ART/TECH")</f>
        <v xml:space="preserve">          4128 - NON-TAXABLE SALES-ART/TECH</v>
      </c>
      <c r="D72" s="11">
        <f>-2829.75*-1</f>
        <v>2829.75</v>
      </c>
      <c r="F72" s="11">
        <f>-942.73*-1</f>
        <v>942.73</v>
      </c>
      <c r="G72" s="3"/>
      <c r="H72" s="11">
        <f>-1352.73*-1</f>
        <v>1352.73</v>
      </c>
      <c r="I72" s="3"/>
      <c r="J72" s="11">
        <f>-947.46*-1</f>
        <v>947.46</v>
      </c>
      <c r="K72" s="3"/>
      <c r="L72" s="11">
        <f>-894.51*-1</f>
        <v>894.51</v>
      </c>
      <c r="M72" s="3"/>
      <c r="N72" s="11">
        <f>-731.36*-1</f>
        <v>731.36</v>
      </c>
      <c r="O72" s="3"/>
      <c r="P72" s="11"/>
      <c r="Q72" s="3"/>
      <c r="R72" s="11"/>
    </row>
    <row r="73" spans="2:18" s="16" customFormat="1" hidden="1" outlineLevel="1" x14ac:dyDescent="0.35">
      <c r="B73" s="35" t="str">
        <f>CONCATENATE("          ", "4131", " - ", "NON-TAXABLE SALES-FOOD")</f>
        <v xml:space="preserve">          4131 - NON-TAXABLE SALES-FOOD</v>
      </c>
      <c r="D73" s="11">
        <f>-50230.44*-1</f>
        <v>50230.44</v>
      </c>
      <c r="F73" s="11">
        <f>-64320.19*-1</f>
        <v>64320.19</v>
      </c>
      <c r="G73" s="3"/>
      <c r="H73" s="11">
        <f>-85366.38*-1</f>
        <v>85366.38</v>
      </c>
      <c r="I73" s="3"/>
      <c r="J73" s="11">
        <f>-84180.45*-1</f>
        <v>84180.45</v>
      </c>
      <c r="K73" s="3"/>
      <c r="L73" s="11">
        <f>-74222.68*-1</f>
        <v>74222.679999999993</v>
      </c>
      <c r="M73" s="3"/>
      <c r="N73" s="11">
        <f>-57960.32*-1</f>
        <v>57960.32</v>
      </c>
      <c r="O73" s="3"/>
      <c r="P73" s="11"/>
      <c r="Q73" s="3"/>
      <c r="R73" s="11"/>
    </row>
    <row r="74" spans="2:18" s="16" customFormat="1" hidden="1" outlineLevel="1" x14ac:dyDescent="0.35">
      <c r="B74" s="35" t="str">
        <f>CONCATENATE("          ", "4132", " - ", "NON-TAXABLE SALES-JUICE")</f>
        <v xml:space="preserve">          4132 - NON-TAXABLE SALES-JUICE</v>
      </c>
      <c r="D74" s="11">
        <f>-1289130.26*-1</f>
        <v>1289130.26</v>
      </c>
      <c r="F74" s="11">
        <f>-1387672.52*-1</f>
        <v>1387672.52</v>
      </c>
      <c r="G74" s="3"/>
      <c r="H74" s="11">
        <f>-1516568.93*-1</f>
        <v>1516568.93</v>
      </c>
      <c r="I74" s="3"/>
      <c r="J74" s="11">
        <f>-1302465.9*-1</f>
        <v>1302465.8999999999</v>
      </c>
      <c r="K74" s="3"/>
      <c r="L74" s="11">
        <f>-1323494.5*-1</f>
        <v>1323494.5</v>
      </c>
      <c r="M74" s="3"/>
      <c r="N74" s="11">
        <f>-1110092.26*-1</f>
        <v>1110092.26</v>
      </c>
      <c r="O74" s="3"/>
      <c r="P74" s="11"/>
      <c r="Q74" s="3"/>
      <c r="R74" s="11"/>
    </row>
    <row r="75" spans="2:18" s="16" customFormat="1" hidden="1" outlineLevel="1" x14ac:dyDescent="0.35">
      <c r="B75" s="35" t="str">
        <f>CONCATENATE("          ", "4133", " - ", "NON-TAXABLE SALES-CANDY")</f>
        <v xml:space="preserve">          4133 - NON-TAXABLE SALES-CANDY</v>
      </c>
      <c r="D75" s="11">
        <f>-32529.65*-1</f>
        <v>32529.65</v>
      </c>
      <c r="F75" s="11">
        <f>-41584.42*-1</f>
        <v>41584.42</v>
      </c>
      <c r="G75" s="3"/>
      <c r="H75" s="11">
        <f>-26619.85*-1</f>
        <v>26619.85</v>
      </c>
      <c r="I75" s="3"/>
      <c r="J75" s="11">
        <f>-23860.4*-1</f>
        <v>23860.400000000001</v>
      </c>
      <c r="K75" s="3"/>
      <c r="L75" s="11">
        <f>-23768.73*-1</f>
        <v>23768.73</v>
      </c>
      <c r="M75" s="3"/>
      <c r="N75" s="11">
        <f>-18151.79*-1</f>
        <v>18151.79</v>
      </c>
      <c r="O75" s="3"/>
      <c r="P75" s="11"/>
      <c r="Q75" s="3"/>
      <c r="R75" s="11"/>
    </row>
    <row r="76" spans="2:18" s="16" customFormat="1" hidden="1" outlineLevel="1" x14ac:dyDescent="0.35">
      <c r="B76" s="35" t="str">
        <f>CONCATENATE("          ", "4134", " - ", "NON-TAXABLE SALES-SODA")</f>
        <v xml:space="preserve">          4134 - NON-TAXABLE SALES-SODA</v>
      </c>
      <c r="D76" s="11">
        <f>-786.93*-1</f>
        <v>786.93</v>
      </c>
      <c r="F76" s="11">
        <f>-2703.22*-1</f>
        <v>2703.22</v>
      </c>
      <c r="G76" s="3"/>
      <c r="H76" s="11">
        <f>-448.98*-1</f>
        <v>448.98</v>
      </c>
      <c r="I76" s="3"/>
      <c r="J76" s="11">
        <f>-806.16*-1</f>
        <v>806.16</v>
      </c>
      <c r="K76" s="3"/>
      <c r="L76" s="11">
        <f>-167.19*-1</f>
        <v>167.19</v>
      </c>
      <c r="M76" s="3"/>
      <c r="N76" s="11">
        <f>-101.72*-1</f>
        <v>101.72</v>
      </c>
      <c r="O76" s="3"/>
      <c r="P76" s="11"/>
      <c r="Q76" s="3"/>
      <c r="R76" s="11"/>
    </row>
    <row r="77" spans="2:18" s="16" customFormat="1" hidden="1" outlineLevel="1" x14ac:dyDescent="0.35">
      <c r="B77" s="35" t="str">
        <f>CONCATENATE("          ", "4135", " - ", "NON-TAXABLE SALES")</f>
        <v xml:space="preserve">          4135 - NON-TAXABLE SALES</v>
      </c>
      <c r="D77" s="11">
        <f>0*-1</f>
        <v>0</v>
      </c>
      <c r="F77" s="11">
        <f>0*-1</f>
        <v>0</v>
      </c>
      <c r="G77" s="3"/>
      <c r="H77" s="11">
        <f>-429.05*-1</f>
        <v>429.05</v>
      </c>
      <c r="I77" s="3"/>
      <c r="J77" s="11">
        <f>-469.36*-1</f>
        <v>469.36</v>
      </c>
      <c r="K77" s="3"/>
      <c r="L77" s="11">
        <f>-383.81*-1</f>
        <v>383.81</v>
      </c>
      <c r="M77" s="3"/>
      <c r="N77" s="11">
        <f>-161.4*-1</f>
        <v>161.4</v>
      </c>
      <c r="O77" s="3"/>
      <c r="P77" s="11"/>
      <c r="Q77" s="3"/>
      <c r="R77" s="11"/>
    </row>
    <row r="78" spans="2:18" s="16" customFormat="1" hidden="1" outlineLevel="1" x14ac:dyDescent="0.35">
      <c r="B78" s="35" t="str">
        <f>CONCATENATE("          ", "4137", " - ", "NON-TAXABLE SALES-WATER")</f>
        <v xml:space="preserve">          4137 - NON-TAXABLE SALES-WATER</v>
      </c>
      <c r="D78" s="11">
        <f>-13259.95*-1</f>
        <v>13259.95</v>
      </c>
      <c r="F78" s="11">
        <f>-16052.68*-1</f>
        <v>16052.68</v>
      </c>
      <c r="G78" s="3"/>
      <c r="H78" s="11">
        <f>-15337.92*-1</f>
        <v>15337.92</v>
      </c>
      <c r="I78" s="3"/>
      <c r="J78" s="11">
        <f>-13779.09*-1</f>
        <v>13779.09</v>
      </c>
      <c r="K78" s="3"/>
      <c r="L78" s="11">
        <f>-12501.55*-1</f>
        <v>12501.55</v>
      </c>
      <c r="M78" s="3"/>
      <c r="N78" s="11">
        <f>-10094.74*-1</f>
        <v>10094.74</v>
      </c>
      <c r="O78" s="3"/>
      <c r="P78" s="11"/>
      <c r="Q78" s="3"/>
      <c r="R78" s="11"/>
    </row>
    <row r="79" spans="2:18" s="16" customFormat="1" hidden="1" outlineLevel="1" x14ac:dyDescent="0.35">
      <c r="B79" s="35" t="str">
        <f>CONCATENATE("          ", "4140", " - ", "NON-TAXABLE SALES-LOGO CLOTHIN")</f>
        <v xml:space="preserve">          4140 - NON-TAXABLE SALES-LOGO CLOTHIN</v>
      </c>
      <c r="D79" s="11">
        <f>-66659.64*-1</f>
        <v>66659.64</v>
      </c>
      <c r="F79" s="11">
        <f>-54768.83*-1</f>
        <v>54768.83</v>
      </c>
      <c r="G79" s="3"/>
      <c r="H79" s="11">
        <f>-69204.87*-1</f>
        <v>69204.87</v>
      </c>
      <c r="I79" s="3"/>
      <c r="J79" s="11">
        <f>-67516.34*-1</f>
        <v>67516.34</v>
      </c>
      <c r="K79" s="3"/>
      <c r="L79" s="11">
        <f>-62811.11*-1</f>
        <v>62811.11</v>
      </c>
      <c r="M79" s="3"/>
      <c r="N79" s="11">
        <f>-176221.13*-1</f>
        <v>176221.13</v>
      </c>
      <c r="O79" s="3"/>
      <c r="P79" s="11"/>
      <c r="Q79" s="3"/>
      <c r="R79" s="11"/>
    </row>
    <row r="80" spans="2:18" s="16" customFormat="1" hidden="1" outlineLevel="1" x14ac:dyDescent="0.35">
      <c r="B80" s="35" t="str">
        <f>CONCATENATE("          ", "4141", " - ", "NON-TAXABLE SALES-LOGO GIFTS")</f>
        <v xml:space="preserve">          4141 - NON-TAXABLE SALES-LOGO GIFTS</v>
      </c>
      <c r="D80" s="11">
        <f>-10801.42*-1</f>
        <v>10801.42</v>
      </c>
      <c r="F80" s="11">
        <f>-8388.38*-1</f>
        <v>8388.3799999999992</v>
      </c>
      <c r="G80" s="3"/>
      <c r="H80" s="11">
        <f>-7282.43*-1</f>
        <v>7282.43</v>
      </c>
      <c r="I80" s="3"/>
      <c r="J80" s="11">
        <f>-6513.46*-1</f>
        <v>6513.46</v>
      </c>
      <c r="K80" s="3"/>
      <c r="L80" s="11">
        <f>-6856.03*-1</f>
        <v>6856.03</v>
      </c>
      <c r="M80" s="3"/>
      <c r="N80" s="11">
        <f>-23601.45*-1</f>
        <v>23601.45</v>
      </c>
      <c r="O80" s="3"/>
      <c r="P80" s="11"/>
      <c r="Q80" s="3"/>
      <c r="R80" s="11"/>
    </row>
    <row r="81" spans="2:18" s="16" customFormat="1" hidden="1" outlineLevel="1" x14ac:dyDescent="0.35">
      <c r="B81" s="35" t="str">
        <f>CONCATENATE("          ", "4142", " - ", "NON-TAXABLE SALES-EVERYDAY GIF")</f>
        <v xml:space="preserve">          4142 - NON-TAXABLE SALES-EVERYDAY GIF</v>
      </c>
      <c r="D81" s="11">
        <f>-8395.9*-1</f>
        <v>8395.9</v>
      </c>
      <c r="F81" s="11">
        <f>-11594.47*-1</f>
        <v>11594.47</v>
      </c>
      <c r="G81" s="3"/>
      <c r="H81" s="11">
        <f>-24990.14*-1</f>
        <v>24990.14</v>
      </c>
      <c r="I81" s="3"/>
      <c r="J81" s="11">
        <f>-19557.21*-1</f>
        <v>19557.21</v>
      </c>
      <c r="K81" s="3"/>
      <c r="L81" s="11">
        <f>-21317.71*-1</f>
        <v>21317.71</v>
      </c>
      <c r="M81" s="3"/>
      <c r="N81" s="11">
        <f>-19400.17*-1</f>
        <v>19400.169999999998</v>
      </c>
      <c r="O81" s="3"/>
      <c r="P81" s="11"/>
      <c r="Q81" s="3"/>
      <c r="R81" s="11"/>
    </row>
    <row r="82" spans="2:18" s="16" customFormat="1" hidden="1" outlineLevel="1" x14ac:dyDescent="0.35">
      <c r="B82" s="35" t="str">
        <f>CONCATENATE("          ", "4143", " - ", "NON-TAXABLE SALES-CARDS")</f>
        <v xml:space="preserve">          4143 - NON-TAXABLE SALES-CARDS</v>
      </c>
      <c r="D82" s="11">
        <f>-1.5*-1</f>
        <v>1.5</v>
      </c>
      <c r="F82" s="11">
        <f>-7.95*-1</f>
        <v>7.95</v>
      </c>
      <c r="G82" s="3"/>
      <c r="H82" s="11">
        <f>0*-1</f>
        <v>0</v>
      </c>
      <c r="I82" s="3"/>
      <c r="J82" s="11">
        <f>0*-1</f>
        <v>0</v>
      </c>
      <c r="K82" s="3"/>
      <c r="L82" s="11">
        <f>0*-1</f>
        <v>0</v>
      </c>
      <c r="M82" s="3"/>
      <c r="N82" s="11">
        <f>-19.98*-1</f>
        <v>19.98</v>
      </c>
      <c r="O82" s="3"/>
      <c r="P82" s="11"/>
      <c r="Q82" s="3"/>
      <c r="R82" s="11"/>
    </row>
    <row r="83" spans="2:18" s="16" customFormat="1" hidden="1" outlineLevel="1" x14ac:dyDescent="0.35">
      <c r="B83" s="35" t="str">
        <f>CONCATENATE("          ", "4144", " - ", "NON-TAXABLE SALES-ACCESSORIES")</f>
        <v xml:space="preserve">          4144 - NON-TAXABLE SALES-ACCESSORIES</v>
      </c>
      <c r="D83" s="11">
        <f>-1524.08*-1</f>
        <v>1524.08</v>
      </c>
      <c r="F83" s="11">
        <f>-1919.05*-1</f>
        <v>1919.05</v>
      </c>
      <c r="G83" s="3"/>
      <c r="H83" s="11">
        <f>-7162.32*-1</f>
        <v>7162.32</v>
      </c>
      <c r="I83" s="3"/>
      <c r="J83" s="11">
        <f>-1934.37*-1</f>
        <v>1934.37</v>
      </c>
      <c r="K83" s="3"/>
      <c r="L83" s="11">
        <f>-659.84*-1</f>
        <v>659.84</v>
      </c>
      <c r="M83" s="3"/>
      <c r="N83" s="11">
        <f>-3710.92*-1</f>
        <v>3710.92</v>
      </c>
      <c r="O83" s="3"/>
      <c r="P83" s="11"/>
      <c r="Q83" s="3"/>
      <c r="R83" s="11"/>
    </row>
    <row r="84" spans="2:18" s="16" customFormat="1" hidden="1" outlineLevel="1" x14ac:dyDescent="0.35">
      <c r="B84" s="35" t="str">
        <f>CONCATENATE("          ", "4145", " - ", "NON-TAXABLE SALES-SPECIAL ORDE")</f>
        <v xml:space="preserve">          4145 - NON-TAXABLE SALES-SPECIAL ORDE</v>
      </c>
      <c r="D84" s="11">
        <f>-2024.48*-1</f>
        <v>2024.48</v>
      </c>
      <c r="F84" s="11">
        <f>270*-1</f>
        <v>-270</v>
      </c>
      <c r="G84" s="3"/>
      <c r="H84" s="11">
        <f>-183*-1</f>
        <v>183</v>
      </c>
      <c r="I84" s="3"/>
      <c r="J84" s="11">
        <f>-5341.94*-1</f>
        <v>5341.94</v>
      </c>
      <c r="K84" s="3"/>
      <c r="L84" s="11">
        <f>-2382.85*-1</f>
        <v>2382.85</v>
      </c>
      <c r="M84" s="3"/>
      <c r="N84" s="11">
        <f>-27208.18*-1</f>
        <v>27208.18</v>
      </c>
      <c r="O84" s="3"/>
      <c r="P84" s="11"/>
      <c r="Q84" s="3"/>
      <c r="R84" s="11"/>
    </row>
    <row r="85" spans="2:18" s="16" customFormat="1" hidden="1" outlineLevel="1" x14ac:dyDescent="0.35">
      <c r="B85" s="35" t="str">
        <f>CONCATENATE("          ", "4146", " - ", "NON-TAXABLE SALES-COIN OP MACH")</f>
        <v xml:space="preserve">          4146 - NON-TAXABLE SALES-COIN OP MACH</v>
      </c>
      <c r="D85" s="11">
        <f>-319810.41*-1</f>
        <v>319810.40999999997</v>
      </c>
      <c r="F85" s="11">
        <f>-367498.96*-1</f>
        <v>367498.96</v>
      </c>
      <c r="G85" s="3"/>
      <c r="H85" s="11">
        <f>-347130.16*-1</f>
        <v>347130.16</v>
      </c>
      <c r="I85" s="3"/>
      <c r="J85" s="11">
        <f>-299409.05*-1</f>
        <v>299409.05</v>
      </c>
      <c r="K85" s="3"/>
      <c r="L85" s="11">
        <f>-288251.29*-1</f>
        <v>288251.28999999998</v>
      </c>
      <c r="M85" s="3"/>
      <c r="N85" s="11">
        <f>-205908.65*-1</f>
        <v>205908.65</v>
      </c>
      <c r="O85" s="3"/>
      <c r="P85" s="11"/>
      <c r="Q85" s="3"/>
      <c r="R85" s="11"/>
    </row>
    <row r="86" spans="2:18" s="16" customFormat="1" hidden="1" outlineLevel="1" x14ac:dyDescent="0.35">
      <c r="B86" s="35" t="str">
        <f>CONCATENATE("          ", "4147", " - ", "NON-TAXABLE SALES-MISC")</f>
        <v xml:space="preserve">          4147 - NON-TAXABLE SALES-MISC</v>
      </c>
      <c r="D86" s="11">
        <f>-19396.27*-1</f>
        <v>19396.27</v>
      </c>
      <c r="F86" s="11">
        <f>-2120.65*-1</f>
        <v>2120.65</v>
      </c>
      <c r="G86" s="3"/>
      <c r="H86" s="11">
        <f>-1465.7*-1</f>
        <v>1465.7</v>
      </c>
      <c r="I86" s="3"/>
      <c r="J86" s="11">
        <f>-885*-1</f>
        <v>885</v>
      </c>
      <c r="K86" s="3"/>
      <c r="L86" s="11">
        <f>-959.73*-1</f>
        <v>959.73</v>
      </c>
      <c r="M86" s="3"/>
      <c r="N86" s="11">
        <f>-3446.37*-1</f>
        <v>3446.37</v>
      </c>
      <c r="O86" s="3"/>
      <c r="P86" s="11"/>
      <c r="Q86" s="3"/>
      <c r="R86" s="11"/>
    </row>
    <row r="87" spans="2:18" s="16" customFormat="1" hidden="1" outlineLevel="1" x14ac:dyDescent="0.35">
      <c r="B87" s="35" t="str">
        <f>CONCATENATE("          ", "4151", " - ", "NON-TAXABLE SALES-FOOD")</f>
        <v xml:space="preserve">          4151 - NON-TAXABLE SALES-FOOD</v>
      </c>
      <c r="D87" s="11">
        <f>-12490905.88*-1</f>
        <v>12490905.880000001</v>
      </c>
      <c r="F87" s="11">
        <f>-13716003.14*-1</f>
        <v>13716003.140000001</v>
      </c>
      <c r="G87" s="3"/>
      <c r="H87" s="11">
        <f>-12295411.04*-1</f>
        <v>12295411.039999999</v>
      </c>
      <c r="I87" s="3"/>
      <c r="J87" s="11">
        <f>-12705251*-1</f>
        <v>12705251</v>
      </c>
      <c r="K87" s="3"/>
      <c r="L87" s="11">
        <f>-13504995.09*-1</f>
        <v>13504995.09</v>
      </c>
      <c r="M87" s="3"/>
      <c r="N87" s="11">
        <f>-10892329.62*-1</f>
        <v>10892329.619999999</v>
      </c>
      <c r="O87" s="3"/>
      <c r="P87" s="11"/>
      <c r="Q87" s="3"/>
      <c r="R87" s="11"/>
    </row>
    <row r="88" spans="2:18" s="16" customFormat="1" hidden="1" outlineLevel="1" x14ac:dyDescent="0.35">
      <c r="B88" s="35" t="str">
        <f>CONCATENATE("          ", "4152", " - ", "NON-TAXABLE SALES-FOOD")</f>
        <v xml:space="preserve">          4152 - NON-TAXABLE SALES-FOOD</v>
      </c>
      <c r="D88" s="11">
        <f>-198310.99*-1</f>
        <v>198310.99</v>
      </c>
      <c r="F88" s="11">
        <f>-201509.51*-1</f>
        <v>201509.51</v>
      </c>
      <c r="G88" s="3"/>
      <c r="H88" s="11">
        <f>-194411.74*-1</f>
        <v>194411.74</v>
      </c>
      <c r="I88" s="3"/>
      <c r="J88" s="11">
        <f>-95908.76*-1</f>
        <v>95908.76</v>
      </c>
      <c r="K88" s="3"/>
      <c r="L88" s="11">
        <f>-79299.25*-1</f>
        <v>79299.25</v>
      </c>
      <c r="M88" s="3"/>
      <c r="N88" s="11">
        <f>-51415.27*-1</f>
        <v>51415.27</v>
      </c>
      <c r="O88" s="3"/>
      <c r="P88" s="11"/>
      <c r="Q88" s="3"/>
      <c r="R88" s="11"/>
    </row>
    <row r="89" spans="2:18" s="16" customFormat="1" hidden="1" outlineLevel="1" x14ac:dyDescent="0.35">
      <c r="B89" s="35" t="str">
        <f>CONCATENATE("          ", "4153", " - ", "NON-TAXABLE SALES-FOOD")</f>
        <v xml:space="preserve">          4153 - NON-TAXABLE SALES-FOOD</v>
      </c>
      <c r="D89" s="11">
        <f>-264116.05*-1</f>
        <v>264116.05</v>
      </c>
      <c r="F89" s="11">
        <f>-310298.65*-1</f>
        <v>310298.65000000002</v>
      </c>
      <c r="G89" s="3"/>
      <c r="H89" s="11">
        <f>-993137.94*-1</f>
        <v>993137.94</v>
      </c>
      <c r="I89" s="3"/>
      <c r="J89" s="11">
        <f>-320482.27*-1</f>
        <v>320482.27</v>
      </c>
      <c r="K89" s="3"/>
      <c r="L89" s="11">
        <f>-334431.2*-1</f>
        <v>334431.2</v>
      </c>
      <c r="M89" s="3"/>
      <c r="N89" s="11">
        <f>-316965.82*-1</f>
        <v>316965.82</v>
      </c>
      <c r="O89" s="3"/>
      <c r="P89" s="11"/>
      <c r="Q89" s="3"/>
      <c r="R89" s="11"/>
    </row>
    <row r="90" spans="2:18" s="16" customFormat="1" hidden="1" outlineLevel="1" x14ac:dyDescent="0.35">
      <c r="B90" s="35" t="str">
        <f>CONCATENATE("          ", "4155", " - ", "NON-TAXABLE SALES-FOOD")</f>
        <v xml:space="preserve">          4155 - NON-TAXABLE SALES-FOOD</v>
      </c>
      <c r="D90" s="11">
        <f>-892776.43*-1</f>
        <v>892776.43</v>
      </c>
      <c r="F90" s="11">
        <f>-904511.4*-1</f>
        <v>904511.4</v>
      </c>
      <c r="G90" s="3"/>
      <c r="H90" s="11">
        <f>-1029873.25*-1</f>
        <v>1029873.25</v>
      </c>
      <c r="I90" s="3"/>
      <c r="J90" s="11">
        <f>-900942.3*-1</f>
        <v>900942.3</v>
      </c>
      <c r="K90" s="3"/>
      <c r="L90" s="11">
        <f>-922459.02*-1</f>
        <v>922459.02</v>
      </c>
      <c r="M90" s="3"/>
      <c r="N90" s="11">
        <f>-691123.63*-1</f>
        <v>691123.63</v>
      </c>
      <c r="O90" s="3"/>
      <c r="P90" s="11"/>
      <c r="Q90" s="3"/>
      <c r="R90" s="11"/>
    </row>
    <row r="91" spans="2:18" s="16" customFormat="1" hidden="1" outlineLevel="1" x14ac:dyDescent="0.35">
      <c r="B91" s="35" t="str">
        <f>CONCATENATE("          ", "4157", " - ", "NON-TAXABLE SALES-FOOD")</f>
        <v xml:space="preserve">          4157 - NON-TAXABLE SALES-FOOD</v>
      </c>
      <c r="D91" s="11">
        <f>0*-1</f>
        <v>0</v>
      </c>
      <c r="F91" s="11">
        <f>0*-1</f>
        <v>0</v>
      </c>
      <c r="G91" s="3"/>
      <c r="H91" s="11">
        <f>0*-1</f>
        <v>0</v>
      </c>
      <c r="I91" s="3"/>
      <c r="J91" s="11">
        <f>-315*-1</f>
        <v>315</v>
      </c>
      <c r="K91" s="3"/>
      <c r="L91" s="11">
        <f>-208*-1</f>
        <v>208</v>
      </c>
      <c r="M91" s="3"/>
      <c r="N91" s="11">
        <f>0*-1</f>
        <v>0</v>
      </c>
      <c r="O91" s="3"/>
      <c r="P91" s="11"/>
      <c r="Q91" s="3"/>
      <c r="R91" s="11"/>
    </row>
    <row r="92" spans="2:18" s="16" customFormat="1" hidden="1" outlineLevel="1" x14ac:dyDescent="0.35">
      <c r="B92" s="35" t="str">
        <f>CONCATENATE("          ", "4158", " - ", "NON-TAXABLE SALES-FOOD")</f>
        <v xml:space="preserve">          4158 - NON-TAXABLE SALES-FOOD</v>
      </c>
      <c r="D92" s="11">
        <f>-648173.12*-1</f>
        <v>648173.12</v>
      </c>
      <c r="F92" s="11">
        <f>-721706.32*-1</f>
        <v>721706.32</v>
      </c>
      <c r="G92" s="3"/>
      <c r="H92" s="11">
        <f>-777414.04*-1</f>
        <v>777414.04</v>
      </c>
      <c r="I92" s="3"/>
      <c r="J92" s="11">
        <f>-621038.24*-1</f>
        <v>621038.24</v>
      </c>
      <c r="K92" s="3"/>
      <c r="L92" s="11">
        <f>-597801.18*-1</f>
        <v>597801.18000000005</v>
      </c>
      <c r="M92" s="3"/>
      <c r="N92" s="11">
        <f>-474853.67*-1</f>
        <v>474853.67</v>
      </c>
      <c r="O92" s="3"/>
      <c r="P92" s="11"/>
      <c r="Q92" s="3"/>
      <c r="R92" s="11"/>
    </row>
    <row r="93" spans="2:18" s="16" customFormat="1" hidden="1" outlineLevel="1" x14ac:dyDescent="0.35">
      <c r="B93" s="35" t="str">
        <f>CONCATENATE("          ", "4159", " - ", "NON-TAXABLE SALES-FOOD")</f>
        <v xml:space="preserve">          4159 - NON-TAXABLE SALES-FOOD</v>
      </c>
      <c r="D93" s="11">
        <f>0*-1</f>
        <v>0</v>
      </c>
      <c r="F93" s="11">
        <f>0*-1</f>
        <v>0</v>
      </c>
      <c r="G93" s="3"/>
      <c r="H93" s="11">
        <f>0*-1</f>
        <v>0</v>
      </c>
      <c r="I93" s="3"/>
      <c r="J93" s="11">
        <f>0*-1</f>
        <v>0</v>
      </c>
      <c r="K93" s="3"/>
      <c r="L93" s="11">
        <f>-1054.9*-1</f>
        <v>1054.9000000000001</v>
      </c>
      <c r="M93" s="3"/>
      <c r="N93" s="11">
        <f>-383.7*-1</f>
        <v>383.7</v>
      </c>
      <c r="O93" s="3"/>
      <c r="P93" s="11"/>
      <c r="Q93" s="3"/>
      <c r="R93" s="11"/>
    </row>
    <row r="94" spans="2:18" s="16" customFormat="1" hidden="1" outlineLevel="1" x14ac:dyDescent="0.35">
      <c r="B94" s="35" t="str">
        <f>CONCATENATE("          ", "4181", " - ", "NON-TAXABLE SALES-ELECTRONICS")</f>
        <v xml:space="preserve">          4181 - NON-TAXABLE SALES-ELECTRONICS</v>
      </c>
      <c r="D94" s="11">
        <f>-5820.55*-1</f>
        <v>5820.55</v>
      </c>
      <c r="F94" s="11">
        <f>-24667.99*-1</f>
        <v>24667.99</v>
      </c>
      <c r="G94" s="3"/>
      <c r="H94" s="11">
        <f>-44991.32*-1</f>
        <v>44991.32</v>
      </c>
      <c r="I94" s="3"/>
      <c r="J94" s="11">
        <f>-30373.18*-1</f>
        <v>30373.18</v>
      </c>
      <c r="K94" s="3"/>
      <c r="L94" s="11">
        <f>-16357.65*-1</f>
        <v>16357.65</v>
      </c>
      <c r="M94" s="3"/>
      <c r="N94" s="11">
        <f>-3925.74*-1</f>
        <v>3925.74</v>
      </c>
      <c r="O94" s="3"/>
      <c r="P94" s="11"/>
      <c r="Q94" s="3"/>
      <c r="R94" s="11"/>
    </row>
    <row r="95" spans="2:18" s="16" customFormat="1" hidden="1" outlineLevel="1" x14ac:dyDescent="0.35">
      <c r="B95" s="35" t="str">
        <f>CONCATENATE("          ", "4182", " - ", "NON-TAXABLE SALES-COMPUTER HAR")</f>
        <v xml:space="preserve">          4182 - NON-TAXABLE SALES-COMPUTER HAR</v>
      </c>
      <c r="D95" s="11">
        <f>-178118.84*-1</f>
        <v>178118.84</v>
      </c>
      <c r="F95" s="11">
        <f>-566284.24*-1</f>
        <v>566284.24</v>
      </c>
      <c r="G95" s="3"/>
      <c r="H95" s="11">
        <f>-558130.07*-1</f>
        <v>558130.06999999995</v>
      </c>
      <c r="I95" s="3"/>
      <c r="J95" s="11">
        <f>-301723.6*-1</f>
        <v>301723.59999999998</v>
      </c>
      <c r="K95" s="3"/>
      <c r="L95" s="11">
        <f>-239193.82*-1</f>
        <v>239193.82</v>
      </c>
      <c r="M95" s="3"/>
      <c r="N95" s="11">
        <f>-221223.79*-1</f>
        <v>221223.79</v>
      </c>
      <c r="O95" s="3"/>
      <c r="P95" s="11"/>
      <c r="Q95" s="3"/>
      <c r="R95" s="11"/>
    </row>
    <row r="96" spans="2:18" s="16" customFormat="1" hidden="1" outlineLevel="1" x14ac:dyDescent="0.35">
      <c r="B96" s="35" t="str">
        <f>CONCATENATE("          ", "4183", " - ", "NON-TAXABLE SALES-COMPUTER EQU")</f>
        <v xml:space="preserve">          4183 - NON-TAXABLE SALES-COMPUTER EQU</v>
      </c>
      <c r="D96" s="11">
        <f>-19323.14*-1</f>
        <v>19323.14</v>
      </c>
      <c r="F96" s="11">
        <f>-71615.6*-1</f>
        <v>71615.600000000006</v>
      </c>
      <c r="G96" s="3"/>
      <c r="H96" s="11">
        <f>-58854.21*-1</f>
        <v>58854.21</v>
      </c>
      <c r="I96" s="3"/>
      <c r="J96" s="11">
        <f>-26096.3*-1</f>
        <v>26096.3</v>
      </c>
      <c r="K96" s="3"/>
      <c r="L96" s="11">
        <f>-9758.94*-1</f>
        <v>9758.94</v>
      </c>
      <c r="M96" s="3"/>
      <c r="N96" s="11">
        <f>-12822.38*-1</f>
        <v>12822.38</v>
      </c>
      <c r="O96" s="3"/>
      <c r="P96" s="11"/>
      <c r="Q96" s="3"/>
      <c r="R96" s="11"/>
    </row>
    <row r="97" spans="2:18" s="16" customFormat="1" hidden="1" outlineLevel="1" x14ac:dyDescent="0.35">
      <c r="B97" s="35" t="str">
        <f>CONCATENATE("          ", "4184", " - ", "NON-TAXABLE SALES-SOFTWARE LIC")</f>
        <v xml:space="preserve">          4184 - NON-TAXABLE SALES-SOFTWARE LIC</v>
      </c>
      <c r="D97" s="11">
        <f>-19.99*-1</f>
        <v>19.989999999999998</v>
      </c>
      <c r="F97" s="11">
        <f>-179*-1</f>
        <v>179</v>
      </c>
      <c r="G97" s="3"/>
      <c r="H97" s="11">
        <f>-1158.96*-1</f>
        <v>1158.96</v>
      </c>
      <c r="I97" s="3"/>
      <c r="J97" s="11">
        <f>-529.99*-1</f>
        <v>529.99</v>
      </c>
      <c r="K97" s="3"/>
      <c r="L97" s="11">
        <f>-3840*-1</f>
        <v>3840</v>
      </c>
      <c r="M97" s="3"/>
      <c r="N97" s="11">
        <f>-2728*-1</f>
        <v>2728</v>
      </c>
      <c r="O97" s="3"/>
      <c r="P97" s="11"/>
      <c r="Q97" s="3"/>
      <c r="R97" s="11"/>
    </row>
    <row r="98" spans="2:18" s="16" customFormat="1" hidden="1" outlineLevel="1" x14ac:dyDescent="0.35">
      <c r="B98" s="35" t="str">
        <f>CONCATENATE("          ", "4185", " - ", "NON-TAXABLE SALES-SOFTWARE")</f>
        <v xml:space="preserve">          4185 - NON-TAXABLE SALES-SOFTWARE</v>
      </c>
      <c r="D98" s="11">
        <f>-3804.87*-1</f>
        <v>3804.87</v>
      </c>
      <c r="F98" s="11">
        <f>-13244.29*-1</f>
        <v>13244.29</v>
      </c>
      <c r="G98" s="3"/>
      <c r="H98" s="11">
        <f>-23603.96*-1</f>
        <v>23603.96</v>
      </c>
      <c r="I98" s="3"/>
      <c r="J98" s="11">
        <f>-29148.69*-1</f>
        <v>29148.69</v>
      </c>
      <c r="K98" s="3"/>
      <c r="L98" s="11">
        <f>-6664.76*-1</f>
        <v>6664.76</v>
      </c>
      <c r="M98" s="3"/>
      <c r="N98" s="11">
        <f>-25792.1*-1</f>
        <v>25792.1</v>
      </c>
      <c r="O98" s="3"/>
      <c r="P98" s="11"/>
      <c r="Q98" s="3"/>
      <c r="R98" s="11"/>
    </row>
    <row r="99" spans="2:18" s="16" customFormat="1" hidden="1" outlineLevel="1" x14ac:dyDescent="0.35">
      <c r="B99" s="35" t="str">
        <f>CONCATENATE("          ", "4186", " - ", "NON-TAXABLE SALES-COMPUTER SUP")</f>
        <v xml:space="preserve">          4186 - NON-TAXABLE SALES-COMPUTER SUP</v>
      </c>
      <c r="D99" s="11">
        <f>-6149.66*-1</f>
        <v>6149.66</v>
      </c>
      <c r="F99" s="11">
        <f>-21437.98*-1</f>
        <v>21437.98</v>
      </c>
      <c r="G99" s="3"/>
      <c r="H99" s="11">
        <f>-19876.28*-1</f>
        <v>19876.28</v>
      </c>
      <c r="I99" s="3"/>
      <c r="J99" s="11">
        <f>-9156.08*-1</f>
        <v>9156.08</v>
      </c>
      <c r="K99" s="3"/>
      <c r="L99" s="11">
        <f>-6076.62*-1</f>
        <v>6076.62</v>
      </c>
      <c r="M99" s="3"/>
      <c r="N99" s="11">
        <f>-3327.08*-1</f>
        <v>3327.08</v>
      </c>
      <c r="O99" s="3"/>
      <c r="P99" s="11"/>
      <c r="Q99" s="3"/>
      <c r="R99" s="11"/>
    </row>
    <row r="100" spans="2:18" s="16" customFormat="1" hidden="1" outlineLevel="1" x14ac:dyDescent="0.35">
      <c r="B100" s="35" t="str">
        <f>CONCATENATE("          ", "4188", " - ", "NON-TAXABLE SALES-MUSIC")</f>
        <v xml:space="preserve">          4188 - NON-TAXABLE SALES-MUSIC</v>
      </c>
      <c r="D100" s="11">
        <f>0*-1</f>
        <v>0</v>
      </c>
      <c r="F100" s="11">
        <f>-3808.75*-1</f>
        <v>3808.75</v>
      </c>
      <c r="G100" s="3"/>
      <c r="H100" s="11">
        <f>-3329.94*-1</f>
        <v>3329.94</v>
      </c>
      <c r="I100" s="3"/>
      <c r="J100" s="11">
        <f>-1485.91*-1</f>
        <v>1485.91</v>
      </c>
      <c r="K100" s="3"/>
      <c r="L100" s="11">
        <f>-199.98*-1</f>
        <v>199.98</v>
      </c>
      <c r="M100" s="3"/>
      <c r="N100" s="11">
        <f>-343.94*-1</f>
        <v>343.94</v>
      </c>
      <c r="O100" s="3"/>
      <c r="P100" s="11"/>
      <c r="Q100" s="3"/>
      <c r="R100" s="11"/>
    </row>
    <row r="101" spans="2:18" s="16" customFormat="1" hidden="1" outlineLevel="1" x14ac:dyDescent="0.35">
      <c r="B101" s="35" t="str">
        <f>CONCATENATE("          ", "4192", " - ", "NON-TAXABLE SALES-GRAD MERCH")</f>
        <v xml:space="preserve">          4192 - NON-TAXABLE SALES-GRAD MERCH</v>
      </c>
      <c r="D101" s="11">
        <f>-1271.01*-1</f>
        <v>1271.01</v>
      </c>
      <c r="F101" s="11">
        <f>-413.78*-1</f>
        <v>413.78</v>
      </c>
      <c r="G101" s="3"/>
      <c r="H101" s="11">
        <f>0*-1</f>
        <v>0</v>
      </c>
      <c r="I101" s="3"/>
      <c r="J101" s="11">
        <f t="shared" ref="J101:J102" si="3">0*-1</f>
        <v>0</v>
      </c>
      <c r="K101" s="3"/>
      <c r="L101" s="11">
        <f>-21.25*-1</f>
        <v>21.25</v>
      </c>
      <c r="M101" s="3"/>
      <c r="N101" s="11">
        <f>-119.4*-1</f>
        <v>119.4</v>
      </c>
      <c r="O101" s="3"/>
      <c r="P101" s="11"/>
      <c r="Q101" s="3"/>
      <c r="R101" s="11"/>
    </row>
    <row r="102" spans="2:18" s="16" customFormat="1" hidden="1" outlineLevel="1" x14ac:dyDescent="0.35">
      <c r="B102" s="35" t="str">
        <f>CONCATENATE("          ", "4195", " - ", "NON-TAXABLE SALES-CUSTOMER SER")</f>
        <v xml:space="preserve">          4195 - NON-TAXABLE SALES-CUSTOMER SER</v>
      </c>
      <c r="D102" s="11">
        <f>-10.94*-1</f>
        <v>10.94</v>
      </c>
      <c r="F102" s="11">
        <f>0*-1</f>
        <v>0</v>
      </c>
      <c r="G102" s="3"/>
      <c r="H102" s="11">
        <f>-1.98*-1</f>
        <v>1.98</v>
      </c>
      <c r="I102" s="3"/>
      <c r="J102" s="11">
        <f t="shared" si="3"/>
        <v>0</v>
      </c>
      <c r="K102" s="3"/>
      <c r="L102" s="11">
        <f>0*-1</f>
        <v>0</v>
      </c>
      <c r="M102" s="3"/>
      <c r="N102" s="11">
        <f>0*-1</f>
        <v>0</v>
      </c>
      <c r="O102" s="3"/>
      <c r="P102" s="11"/>
      <c r="Q102" s="3"/>
      <c r="R102" s="11"/>
    </row>
    <row r="103" spans="2:18" s="16" customFormat="1" hidden="1" outlineLevel="1" x14ac:dyDescent="0.35">
      <c r="B103" s="35" t="str">
        <f>CONCATENATE("          ", "4201", " - ", "SALES RETURN TAXABLE-NEW TEXT")</f>
        <v xml:space="preserve">          4201 - SALES RETURN TAXABLE-NEW TEXT</v>
      </c>
      <c r="D103" s="11">
        <f>365569.91*-1</f>
        <v>-365569.91</v>
      </c>
      <c r="F103" s="11">
        <f>331351.34*-1</f>
        <v>-331351.34000000003</v>
      </c>
      <c r="G103" s="3"/>
      <c r="H103" s="11">
        <f>338311.16*-1</f>
        <v>-338311.16</v>
      </c>
      <c r="I103" s="3"/>
      <c r="J103" s="11">
        <f>274197.84*-1</f>
        <v>-274197.84000000003</v>
      </c>
      <c r="K103" s="3"/>
      <c r="L103" s="11">
        <f>180616.86*-1</f>
        <v>-180616.86</v>
      </c>
      <c r="M103" s="3"/>
      <c r="N103" s="11">
        <f>121451.61*-1</f>
        <v>-121451.61</v>
      </c>
      <c r="O103" s="3"/>
      <c r="P103" s="11"/>
      <c r="Q103" s="3"/>
      <c r="R103" s="11"/>
    </row>
    <row r="104" spans="2:18" s="16" customFormat="1" hidden="1" outlineLevel="1" x14ac:dyDescent="0.35">
      <c r="B104" s="35" t="str">
        <f>CONCATENATE("          ", "4202", " - ", "SALES RETURN TAXABLE-USED TEXT")</f>
        <v xml:space="preserve">          4202 - SALES RETURN TAXABLE-USED TEXT</v>
      </c>
      <c r="D104" s="11">
        <f>119446.59*-1</f>
        <v>-119446.59</v>
      </c>
      <c r="F104" s="11">
        <f>111075.8*-1</f>
        <v>-111075.8</v>
      </c>
      <c r="G104" s="3"/>
      <c r="H104" s="11">
        <f>93513.58*-1</f>
        <v>-93513.58</v>
      </c>
      <c r="I104" s="3"/>
      <c r="J104" s="11">
        <f>66220.07*-1</f>
        <v>-66220.070000000007</v>
      </c>
      <c r="K104" s="3"/>
      <c r="L104" s="11">
        <f>47688.8*-1</f>
        <v>-47688.800000000003</v>
      </c>
      <c r="M104" s="3"/>
      <c r="N104" s="11">
        <f>45799.46*-1</f>
        <v>-45799.46</v>
      </c>
      <c r="O104" s="3"/>
      <c r="P104" s="11"/>
      <c r="Q104" s="3"/>
      <c r="R104" s="11"/>
    </row>
    <row r="105" spans="2:18" s="16" customFormat="1" hidden="1" outlineLevel="1" x14ac:dyDescent="0.35">
      <c r="B105" s="35" t="str">
        <f>CONCATENATE("          ", "4203", " - ", "SALES RETURN TAXABLE-RENTAL TE")</f>
        <v xml:space="preserve">          4203 - SALES RETURN TAXABLE-RENTAL TE</v>
      </c>
      <c r="D105" s="11">
        <f>0*-1</f>
        <v>0</v>
      </c>
      <c r="F105" s="11">
        <f>0*-1</f>
        <v>0</v>
      </c>
      <c r="G105" s="3"/>
      <c r="H105" s="11">
        <f>0*-1</f>
        <v>0</v>
      </c>
      <c r="I105" s="3"/>
      <c r="J105" s="11">
        <f>457.7*-1</f>
        <v>-457.7</v>
      </c>
      <c r="K105" s="3"/>
      <c r="L105" s="11">
        <f>1699.5*-1</f>
        <v>-1699.5</v>
      </c>
      <c r="M105" s="3"/>
      <c r="N105" s="11">
        <f>144.99*-1</f>
        <v>-144.99</v>
      </c>
      <c r="O105" s="3"/>
      <c r="P105" s="11"/>
      <c r="Q105" s="3"/>
      <c r="R105" s="11"/>
    </row>
    <row r="106" spans="2:18" s="16" customFormat="1" hidden="1" outlineLevel="1" x14ac:dyDescent="0.35">
      <c r="B106" s="35" t="str">
        <f>CONCATENATE("          ", "4204", " - ", "SALES RETURN TAXABLE-DIGITAL T")</f>
        <v xml:space="preserve">          4204 - SALES RETURN TAXABLE-DIGITAL T</v>
      </c>
      <c r="D106" s="11">
        <f>10124.95*-1</f>
        <v>-10124.950000000001</v>
      </c>
      <c r="F106" s="11">
        <f>20461.65*-1</f>
        <v>-20461.650000000001</v>
      </c>
      <c r="G106" s="3"/>
      <c r="H106" s="11">
        <f>30518.8*-1</f>
        <v>-30518.799999999999</v>
      </c>
      <c r="I106" s="3"/>
      <c r="J106" s="11">
        <f>202.45*-1</f>
        <v>-202.45</v>
      </c>
      <c r="K106" s="3"/>
      <c r="L106" s="11">
        <f>27147*-1</f>
        <v>-27147</v>
      </c>
      <c r="M106" s="3"/>
      <c r="N106" s="11">
        <f>17255.33*-1</f>
        <v>-17255.330000000002</v>
      </c>
      <c r="O106" s="3"/>
      <c r="P106" s="11"/>
      <c r="Q106" s="3"/>
      <c r="R106" s="11"/>
    </row>
    <row r="107" spans="2:18" s="16" customFormat="1" hidden="1" outlineLevel="1" x14ac:dyDescent="0.35">
      <c r="B107" s="35" t="str">
        <f>CONCATENATE("          ", "4211", " - ", "SALES RETURN TAXABLE-NO VALUE")</f>
        <v xml:space="preserve">          4211 - SALES RETURN TAXABLE-NO VALUE</v>
      </c>
      <c r="D107" s="11">
        <f t="shared" ref="D107:D108" si="4">0*-1</f>
        <v>0</v>
      </c>
      <c r="F107" s="11">
        <f>0*-1</f>
        <v>0</v>
      </c>
      <c r="G107" s="3"/>
      <c r="H107" s="11">
        <f>0*-1</f>
        <v>0</v>
      </c>
      <c r="I107" s="3"/>
      <c r="J107" s="11">
        <f>90.83*-1</f>
        <v>-90.83</v>
      </c>
      <c r="K107" s="3"/>
      <c r="L107" s="11">
        <f t="shared" ref="L107:L108" si="5">0*-1</f>
        <v>0</v>
      </c>
      <c r="M107" s="3"/>
      <c r="N107" s="11">
        <f t="shared" ref="N107:N108" si="6">0*-1</f>
        <v>0</v>
      </c>
      <c r="O107" s="3"/>
      <c r="P107" s="11"/>
      <c r="Q107" s="3"/>
      <c r="R107" s="11"/>
    </row>
    <row r="108" spans="2:18" s="16" customFormat="1" hidden="1" outlineLevel="1" x14ac:dyDescent="0.35">
      <c r="B108" s="35" t="str">
        <f>CONCATENATE("          ", "4212", " - ", "SALES RETURN TAXABLE-MAGAZINES")</f>
        <v xml:space="preserve">          4212 - SALES RETURN TAXABLE-MAGAZINES</v>
      </c>
      <c r="D108" s="11">
        <f t="shared" si="4"/>
        <v>0</v>
      </c>
      <c r="F108" s="11">
        <f>26.85*-1</f>
        <v>-26.85</v>
      </c>
      <c r="G108" s="3"/>
      <c r="H108" s="11">
        <f>17.9*-1</f>
        <v>-17.899999999999999</v>
      </c>
      <c r="I108" s="3"/>
      <c r="J108" s="11">
        <f>0*-1</f>
        <v>0</v>
      </c>
      <c r="K108" s="3"/>
      <c r="L108" s="11">
        <f t="shared" si="5"/>
        <v>0</v>
      </c>
      <c r="M108" s="3"/>
      <c r="N108" s="11">
        <f t="shared" si="6"/>
        <v>0</v>
      </c>
      <c r="O108" s="3"/>
      <c r="P108" s="11"/>
      <c r="Q108" s="3"/>
      <c r="R108" s="11"/>
    </row>
    <row r="109" spans="2:18" s="16" customFormat="1" hidden="1" outlineLevel="1" x14ac:dyDescent="0.35">
      <c r="B109" s="35" t="str">
        <f>CONCATENATE("          ", "4213", " - ", "NON-TAXABLE SALES-TRADE BOOKS")</f>
        <v xml:space="preserve">          4213 - NON-TAXABLE SALES-TRADE BOOKS</v>
      </c>
      <c r="D109" s="11">
        <f>881.78*-1</f>
        <v>-881.78</v>
      </c>
      <c r="F109" s="11">
        <f>1135.32*-1</f>
        <v>-1135.32</v>
      </c>
      <c r="G109" s="3"/>
      <c r="H109" s="11">
        <f>1397.88*-1</f>
        <v>-1397.88</v>
      </c>
      <c r="I109" s="3"/>
      <c r="J109" s="11">
        <f>283.02*-1</f>
        <v>-283.02</v>
      </c>
      <c r="K109" s="3"/>
      <c r="L109" s="11">
        <f>1554.3*-1</f>
        <v>-1554.3</v>
      </c>
      <c r="M109" s="3"/>
      <c r="N109" s="11">
        <f>2869.37*-1</f>
        <v>-2869.37</v>
      </c>
      <c r="O109" s="3"/>
      <c r="P109" s="11"/>
      <c r="Q109" s="3"/>
      <c r="R109" s="11"/>
    </row>
    <row r="110" spans="2:18" s="16" customFormat="1" hidden="1" outlineLevel="1" x14ac:dyDescent="0.35">
      <c r="B110" s="35" t="str">
        <f>CONCATENATE("          ", "4214", " - ", "SALES RETURN TAXABLE-REMAINDER")</f>
        <v xml:space="preserve">          4214 - SALES RETURN TAXABLE-REMAINDER</v>
      </c>
      <c r="D110" s="11">
        <f>0*-1</f>
        <v>0</v>
      </c>
      <c r="F110" s="11">
        <f>9.73*-1</f>
        <v>-9.73</v>
      </c>
      <c r="G110" s="3"/>
      <c r="H110" s="11">
        <f t="shared" ref="H110:H112" si="7">0*-1</f>
        <v>0</v>
      </c>
      <c r="I110" s="3"/>
      <c r="J110" s="11">
        <f t="shared" ref="J110:J111" si="8">0*-1</f>
        <v>0</v>
      </c>
      <c r="K110" s="3"/>
      <c r="L110" s="11">
        <f>19.84*-1</f>
        <v>-19.84</v>
      </c>
      <c r="M110" s="3"/>
      <c r="N110" s="11">
        <f>11.94*-1</f>
        <v>-11.94</v>
      </c>
      <c r="O110" s="3"/>
      <c r="P110" s="11"/>
      <c r="Q110" s="3"/>
      <c r="R110" s="11"/>
    </row>
    <row r="111" spans="2:18" s="16" customFormat="1" hidden="1" outlineLevel="1" x14ac:dyDescent="0.35">
      <c r="B111" s="35" t="str">
        <f>CONCATENATE("          ", "4215", " - ", "SALES RETURN TAXABLE-CALENDARS")</f>
        <v xml:space="preserve">          4215 - SALES RETURN TAXABLE-CALENDARS</v>
      </c>
      <c r="D111" s="11">
        <f>23.98*-1</f>
        <v>-23.98</v>
      </c>
      <c r="F111" s="11">
        <f>21.86*-1</f>
        <v>-21.86</v>
      </c>
      <c r="G111" s="3"/>
      <c r="H111" s="11">
        <f t="shared" si="7"/>
        <v>0</v>
      </c>
      <c r="I111" s="3"/>
      <c r="J111" s="11">
        <f t="shared" si="8"/>
        <v>0</v>
      </c>
      <c r="K111" s="3"/>
      <c r="L111" s="11">
        <f>0*-1</f>
        <v>0</v>
      </c>
      <c r="M111" s="3"/>
      <c r="N111" s="11">
        <f>0*-1</f>
        <v>0</v>
      </c>
      <c r="O111" s="3"/>
      <c r="P111" s="11"/>
      <c r="Q111" s="3"/>
      <c r="R111" s="11"/>
    </row>
    <row r="112" spans="2:18" s="16" customFormat="1" hidden="1" outlineLevel="1" x14ac:dyDescent="0.35">
      <c r="B112" s="35" t="str">
        <f>CONCATENATE("          ", "4217", " - ", "NON-TAXABLE SALES-DORM/HOUSEWA")</f>
        <v xml:space="preserve">          4217 - NON-TAXABLE SALES-DORM/HOUSEWA</v>
      </c>
      <c r="D112" s="11">
        <f>45.97*-1</f>
        <v>-45.97</v>
      </c>
      <c r="F112" s="11">
        <f>10.87*-1</f>
        <v>-10.87</v>
      </c>
      <c r="G112" s="3"/>
      <c r="H112" s="11">
        <f t="shared" si="7"/>
        <v>0</v>
      </c>
      <c r="I112" s="3"/>
      <c r="J112" s="11">
        <f>5.96*-1</f>
        <v>-5.96</v>
      </c>
      <c r="K112" s="3"/>
      <c r="L112" s="11">
        <f>2.99*-1</f>
        <v>-2.99</v>
      </c>
      <c r="M112" s="3"/>
      <c r="N112" s="11">
        <f>2.98*-1</f>
        <v>-2.98</v>
      </c>
      <c r="O112" s="3"/>
      <c r="P112" s="11"/>
      <c r="Q112" s="3"/>
      <c r="R112" s="11"/>
    </row>
    <row r="113" spans="2:18" s="16" customFormat="1" hidden="1" outlineLevel="1" x14ac:dyDescent="0.35">
      <c r="B113" s="35" t="str">
        <f>CONCATENATE("          ", "4218", " - ", "SALES RETURN TAXABLE-STUDY GUI")</f>
        <v xml:space="preserve">          4218 - SALES RETURN TAXABLE-STUDY GUI</v>
      </c>
      <c r="D113" s="11">
        <f>503.09*-1</f>
        <v>-503.09</v>
      </c>
      <c r="F113" s="11">
        <f>273.78*-1</f>
        <v>-273.77999999999997</v>
      </c>
      <c r="G113" s="3"/>
      <c r="H113" s="11">
        <f>349.67*-1</f>
        <v>-349.67</v>
      </c>
      <c r="I113" s="3"/>
      <c r="J113" s="11">
        <f>234.52*-1</f>
        <v>-234.52</v>
      </c>
      <c r="K113" s="3"/>
      <c r="L113" s="11">
        <f>67.6*-1</f>
        <v>-67.599999999999994</v>
      </c>
      <c r="M113" s="3"/>
      <c r="N113" s="11">
        <f>39.25*-1</f>
        <v>-39.25</v>
      </c>
      <c r="O113" s="3"/>
      <c r="P113" s="11"/>
      <c r="Q113" s="3"/>
      <c r="R113" s="11"/>
    </row>
    <row r="114" spans="2:18" s="16" customFormat="1" hidden="1" outlineLevel="1" x14ac:dyDescent="0.35">
      <c r="B114" s="35" t="str">
        <f>CONCATENATE("          ", "4219", " - ", "SALES RETURN TAXABLE-BOOK RELA")</f>
        <v xml:space="preserve">          4219 - SALES RETURN TAXABLE-BOOK RELA</v>
      </c>
      <c r="D114" s="11">
        <f>106.68*-1</f>
        <v>-106.68</v>
      </c>
      <c r="F114" s="11">
        <f>236.39*-1</f>
        <v>-236.39</v>
      </c>
      <c r="G114" s="3"/>
      <c r="H114" s="11">
        <f>126.81*-1</f>
        <v>-126.81</v>
      </c>
      <c r="I114" s="3"/>
      <c r="J114" s="11">
        <f>42.59*-1</f>
        <v>-42.59</v>
      </c>
      <c r="K114" s="3"/>
      <c r="L114" s="11">
        <f>0*-1</f>
        <v>0</v>
      </c>
      <c r="M114" s="3"/>
      <c r="N114" s="11">
        <f>0*-1</f>
        <v>0</v>
      </c>
      <c r="O114" s="3"/>
      <c r="P114" s="11"/>
      <c r="Q114" s="3"/>
      <c r="R114" s="11"/>
    </row>
    <row r="115" spans="2:18" s="16" customFormat="1" hidden="1" outlineLevel="1" x14ac:dyDescent="0.35">
      <c r="B115" s="35" t="str">
        <f>CONCATENATE("          ", "4225", " - ", "SALES RETURN TAXABLE-TEST FORM")</f>
        <v xml:space="preserve">          4225 - SALES RETURN TAXABLE-TEST FORM</v>
      </c>
      <c r="D115" s="11">
        <f>4449.52*-1</f>
        <v>-4449.5200000000004</v>
      </c>
      <c r="F115" s="11">
        <f>375.44*-1</f>
        <v>-375.44</v>
      </c>
      <c r="G115" s="3"/>
      <c r="H115" s="11">
        <f>249.91*-1</f>
        <v>-249.91</v>
      </c>
      <c r="I115" s="3"/>
      <c r="J115" s="11">
        <f>667.94*-1</f>
        <v>-667.94</v>
      </c>
      <c r="K115" s="3"/>
      <c r="L115" s="11">
        <f>191.21*-1</f>
        <v>-191.21</v>
      </c>
      <c r="M115" s="3"/>
      <c r="N115" s="11">
        <f>205.91*-1</f>
        <v>-205.91</v>
      </c>
      <c r="O115" s="3"/>
      <c r="P115" s="11"/>
      <c r="Q115" s="3"/>
      <c r="R115" s="11"/>
    </row>
    <row r="116" spans="2:18" s="16" customFormat="1" hidden="1" outlineLevel="1" x14ac:dyDescent="0.35">
      <c r="B116" s="35" t="str">
        <f>CONCATENATE("          ", "4226", " - ", "SALES RETURN TAXABLE-WRITING I")</f>
        <v xml:space="preserve">          4226 - SALES RETURN TAXABLE-WRITING I</v>
      </c>
      <c r="D116" s="11">
        <f>446.88*-1</f>
        <v>-446.88</v>
      </c>
      <c r="F116" s="11">
        <f>912.62*-1</f>
        <v>-912.62</v>
      </c>
      <c r="G116" s="3"/>
      <c r="H116" s="11">
        <f>1358.13*-1</f>
        <v>-1358.13</v>
      </c>
      <c r="I116" s="3"/>
      <c r="J116" s="11">
        <f>540.77*-1</f>
        <v>-540.77</v>
      </c>
      <c r="K116" s="3"/>
      <c r="L116" s="11">
        <f>766.52*-1</f>
        <v>-766.52</v>
      </c>
      <c r="M116" s="3"/>
      <c r="N116" s="11">
        <f>924.44*-1</f>
        <v>-924.44</v>
      </c>
      <c r="O116" s="3"/>
      <c r="P116" s="11"/>
      <c r="Q116" s="3"/>
      <c r="R116" s="11"/>
    </row>
    <row r="117" spans="2:18" s="16" customFormat="1" hidden="1" outlineLevel="1" x14ac:dyDescent="0.35">
      <c r="B117" s="35" t="str">
        <f>CONCATENATE("          ", "4227", " - ", "SALES RETURN TAXABLE-SCHOOL SU")</f>
        <v xml:space="preserve">          4227 - SALES RETURN TAXABLE-SCHOOL SU</v>
      </c>
      <c r="D117" s="11">
        <f>11137.35*-1</f>
        <v>-11137.35</v>
      </c>
      <c r="F117" s="11">
        <f>8179.42*-1</f>
        <v>-8179.42</v>
      </c>
      <c r="G117" s="3"/>
      <c r="H117" s="11">
        <f>11174.72*-1</f>
        <v>-11174.72</v>
      </c>
      <c r="I117" s="3"/>
      <c r="J117" s="11">
        <f>5104.74*-1</f>
        <v>-5104.74</v>
      </c>
      <c r="K117" s="3"/>
      <c r="L117" s="11">
        <f>6986.53*-1</f>
        <v>-6986.53</v>
      </c>
      <c r="M117" s="3"/>
      <c r="N117" s="11">
        <f>8728.9*-1</f>
        <v>-8728.9</v>
      </c>
      <c r="O117" s="3"/>
      <c r="P117" s="11"/>
      <c r="Q117" s="3"/>
      <c r="R117" s="11"/>
    </row>
    <row r="118" spans="2:18" s="16" customFormat="1" hidden="1" outlineLevel="1" x14ac:dyDescent="0.35">
      <c r="B118" s="35" t="str">
        <f>CONCATENATE("          ", "4228", " - ", "SALES RETURN TAXABLE-ART/TECH")</f>
        <v xml:space="preserve">          4228 - SALES RETURN TAXABLE-ART/TECH</v>
      </c>
      <c r="D118" s="11">
        <f>7205.97*-1</f>
        <v>-7205.97</v>
      </c>
      <c r="F118" s="11">
        <f>9466.39*-1</f>
        <v>-9466.39</v>
      </c>
      <c r="G118" s="3"/>
      <c r="H118" s="11">
        <f>9563.97*-1</f>
        <v>-9563.9699999999993</v>
      </c>
      <c r="I118" s="3"/>
      <c r="J118" s="11">
        <f>7513.66*-1</f>
        <v>-7513.66</v>
      </c>
      <c r="K118" s="3"/>
      <c r="L118" s="11">
        <f>8342.73*-1</f>
        <v>-8342.73</v>
      </c>
      <c r="M118" s="3"/>
      <c r="N118" s="11">
        <f>4739.1*-1</f>
        <v>-4739.1000000000004</v>
      </c>
      <c r="O118" s="3"/>
      <c r="P118" s="11"/>
      <c r="Q118" s="3"/>
      <c r="R118" s="11"/>
    </row>
    <row r="119" spans="2:18" s="16" customFormat="1" hidden="1" outlineLevel="1" x14ac:dyDescent="0.35">
      <c r="B119" s="35" t="str">
        <f>CONCATENATE("          ", "4233", " - ", "SALES RETURN TAXABLE-CANDY")</f>
        <v xml:space="preserve">          4233 - SALES RETURN TAXABLE-CANDY</v>
      </c>
      <c r="D119" s="11">
        <f>4.97*-1</f>
        <v>-4.97</v>
      </c>
      <c r="F119" s="11">
        <f>83.19*-1</f>
        <v>-83.19</v>
      </c>
      <c r="G119" s="3"/>
      <c r="H119" s="11">
        <f>59.27*-1</f>
        <v>-59.27</v>
      </c>
      <c r="I119" s="3"/>
      <c r="J119" s="11">
        <f>2.91*-1</f>
        <v>-2.91</v>
      </c>
      <c r="K119" s="3"/>
      <c r="L119" s="11">
        <f>145.19*-1</f>
        <v>-145.19</v>
      </c>
      <c r="M119" s="3"/>
      <c r="N119" s="11">
        <f>8.25*-1</f>
        <v>-8.25</v>
      </c>
      <c r="O119" s="3"/>
      <c r="P119" s="11"/>
      <c r="Q119" s="3"/>
      <c r="R119" s="11"/>
    </row>
    <row r="120" spans="2:18" s="16" customFormat="1" hidden="1" outlineLevel="1" x14ac:dyDescent="0.35">
      <c r="B120" s="35" t="str">
        <f>CONCATENATE("          ", "4234", " - ", "SALES RETURN TAXABLE-SODA")</f>
        <v xml:space="preserve">          4234 - SALES RETURN TAXABLE-SODA</v>
      </c>
      <c r="D120" s="11">
        <f>5.25*-1</f>
        <v>-5.25</v>
      </c>
      <c r="F120" s="11">
        <f>12.53*-1</f>
        <v>-12.53</v>
      </c>
      <c r="G120" s="3"/>
      <c r="H120" s="11">
        <f>21*-1</f>
        <v>-21</v>
      </c>
      <c r="I120" s="3"/>
      <c r="J120" s="11">
        <f>0*-1</f>
        <v>0</v>
      </c>
      <c r="K120" s="3"/>
      <c r="L120" s="11">
        <f>368.16*-1</f>
        <v>-368.16</v>
      </c>
      <c r="M120" s="3"/>
      <c r="N120" s="11">
        <f>0*-1</f>
        <v>0</v>
      </c>
      <c r="O120" s="3"/>
      <c r="P120" s="11"/>
      <c r="Q120" s="3"/>
      <c r="R120" s="11"/>
    </row>
    <row r="121" spans="2:18" s="16" customFormat="1" hidden="1" outlineLevel="1" x14ac:dyDescent="0.35">
      <c r="B121" s="35" t="str">
        <f>CONCATENATE("          ", "4240", " - ", "SALES RETURN TAXABLE-LOGO CLOT")</f>
        <v xml:space="preserve">          4240 - SALES RETURN TAXABLE-LOGO CLOT</v>
      </c>
      <c r="D121" s="11">
        <f>96968.18*-1</f>
        <v>-96968.18</v>
      </c>
      <c r="F121" s="11">
        <f>100700.23*-1</f>
        <v>-100700.23</v>
      </c>
      <c r="G121" s="3"/>
      <c r="H121" s="11">
        <f>107081.87*-1</f>
        <v>-107081.87</v>
      </c>
      <c r="I121" s="3"/>
      <c r="J121" s="11">
        <f>107854.41*-1</f>
        <v>-107854.41</v>
      </c>
      <c r="K121" s="3"/>
      <c r="L121" s="11">
        <f>98015.21*-1</f>
        <v>-98015.21</v>
      </c>
      <c r="M121" s="3"/>
      <c r="N121" s="11">
        <f>80387.11*-1</f>
        <v>-80387.11</v>
      </c>
      <c r="O121" s="3"/>
      <c r="P121" s="11"/>
      <c r="Q121" s="3"/>
      <c r="R121" s="11"/>
    </row>
    <row r="122" spans="2:18" s="16" customFormat="1" hidden="1" outlineLevel="1" x14ac:dyDescent="0.35">
      <c r="B122" s="35" t="str">
        <f>CONCATENATE("          ", "4241", " - ", "SALES RETURN TAXABLE-LOGO GIFT")</f>
        <v xml:space="preserve">          4241 - SALES RETURN TAXABLE-LOGO GIFT</v>
      </c>
      <c r="D122" s="11">
        <f>21345.17*-1</f>
        <v>-21345.17</v>
      </c>
      <c r="F122" s="11">
        <f>20857.19*-1</f>
        <v>-20857.189999999999</v>
      </c>
      <c r="G122" s="3"/>
      <c r="H122" s="11">
        <f>62952.05*-1</f>
        <v>-62952.05</v>
      </c>
      <c r="I122" s="3"/>
      <c r="J122" s="11">
        <f>48717.69*-1</f>
        <v>-48717.69</v>
      </c>
      <c r="K122" s="3"/>
      <c r="L122" s="11">
        <f>16238.22*-1</f>
        <v>-16238.22</v>
      </c>
      <c r="M122" s="3"/>
      <c r="N122" s="11">
        <f>7990.78*-1</f>
        <v>-7990.78</v>
      </c>
      <c r="O122" s="3"/>
      <c r="P122" s="11"/>
      <c r="Q122" s="3"/>
      <c r="R122" s="11"/>
    </row>
    <row r="123" spans="2:18" s="16" customFormat="1" hidden="1" outlineLevel="1" x14ac:dyDescent="0.35">
      <c r="B123" s="35" t="str">
        <f>CONCATENATE("          ", "4242", " - ", "SALES RETURN TAXABLE-EVERYDAY")</f>
        <v xml:space="preserve">          4242 - SALES RETURN TAXABLE-EVERYDAY</v>
      </c>
      <c r="D123" s="11">
        <f>4810.4*-1</f>
        <v>-4810.3999999999996</v>
      </c>
      <c r="F123" s="11">
        <f>1835.78*-1</f>
        <v>-1835.78</v>
      </c>
      <c r="G123" s="3"/>
      <c r="H123" s="11">
        <f>1799.31*-1</f>
        <v>-1799.31</v>
      </c>
      <c r="I123" s="3"/>
      <c r="J123" s="11">
        <f>4419.39*-1</f>
        <v>-4419.3900000000003</v>
      </c>
      <c r="K123" s="3"/>
      <c r="L123" s="11">
        <f>5238.15*-1</f>
        <v>-5238.1499999999996</v>
      </c>
      <c r="M123" s="3"/>
      <c r="N123" s="11">
        <f>4232.85*-1</f>
        <v>-4232.8500000000004</v>
      </c>
      <c r="O123" s="3"/>
      <c r="P123" s="11"/>
      <c r="Q123" s="3"/>
      <c r="R123" s="11"/>
    </row>
    <row r="124" spans="2:18" s="16" customFormat="1" hidden="1" outlineLevel="1" x14ac:dyDescent="0.35">
      <c r="B124" s="35" t="str">
        <f>CONCATENATE("          ", "4243", " - ", "SALES RETURN TAXABLE-CARDS")</f>
        <v xml:space="preserve">          4243 - SALES RETURN TAXABLE-CARDS</v>
      </c>
      <c r="D124" s="11">
        <f>234.28*-1</f>
        <v>-234.28</v>
      </c>
      <c r="F124" s="11">
        <f>355.88*-1</f>
        <v>-355.88</v>
      </c>
      <c r="G124" s="3"/>
      <c r="H124" s="11">
        <f>63.25*-1</f>
        <v>-63.25</v>
      </c>
      <c r="I124" s="3"/>
      <c r="J124" s="11">
        <f>70.29*-1</f>
        <v>-70.290000000000006</v>
      </c>
      <c r="K124" s="3"/>
      <c r="L124" s="11">
        <f>25.94*-1</f>
        <v>-25.94</v>
      </c>
      <c r="M124" s="3"/>
      <c r="N124" s="11">
        <f>3026.3*-1</f>
        <v>-3026.3</v>
      </c>
      <c r="O124" s="3"/>
      <c r="P124" s="11"/>
      <c r="Q124" s="3"/>
      <c r="R124" s="11"/>
    </row>
    <row r="125" spans="2:18" s="16" customFormat="1" hidden="1" outlineLevel="1" x14ac:dyDescent="0.35">
      <c r="B125" s="35" t="str">
        <f>CONCATENATE("          ", "4244", " - ", "SALES RETURN TAXABLE-ACCESSORI")</f>
        <v xml:space="preserve">          4244 - SALES RETURN TAXABLE-ACCESSORI</v>
      </c>
      <c r="D125" s="11">
        <f>2618.91*-1</f>
        <v>-2618.91</v>
      </c>
      <c r="F125" s="11">
        <f>3348.98*-1</f>
        <v>-3348.98</v>
      </c>
      <c r="G125" s="3"/>
      <c r="H125" s="11">
        <f>3937.3*-1</f>
        <v>-3937.3</v>
      </c>
      <c r="I125" s="3"/>
      <c r="J125" s="11">
        <f>3142.99*-1</f>
        <v>-3142.99</v>
      </c>
      <c r="K125" s="3"/>
      <c r="L125" s="11">
        <f>3985.97*-1</f>
        <v>-3985.97</v>
      </c>
      <c r="M125" s="3"/>
      <c r="N125" s="11">
        <f>2726.41*-1</f>
        <v>-2726.41</v>
      </c>
      <c r="O125" s="3"/>
      <c r="P125" s="11"/>
      <c r="Q125" s="3"/>
      <c r="R125" s="11"/>
    </row>
    <row r="126" spans="2:18" s="16" customFormat="1" hidden="1" outlineLevel="1" x14ac:dyDescent="0.35">
      <c r="B126" s="35" t="str">
        <f>CONCATENATE("          ", "4245", " - ", "SALES RETURN TAXABLE-SPECIAL O")</f>
        <v xml:space="preserve">          4245 - SALES RETURN TAXABLE-SPECIAL O</v>
      </c>
      <c r="D126" s="11">
        <f>9720.55*-1</f>
        <v>-9720.5499999999993</v>
      </c>
      <c r="F126" s="11">
        <f>2945.35*-1</f>
        <v>-2945.35</v>
      </c>
      <c r="G126" s="3"/>
      <c r="H126" s="11">
        <f>10919.43*-1</f>
        <v>-10919.43</v>
      </c>
      <c r="I126" s="3"/>
      <c r="J126" s="11">
        <f>4473.01*-1</f>
        <v>-4473.01</v>
      </c>
      <c r="K126" s="3"/>
      <c r="L126" s="11">
        <f>2848.22*-1</f>
        <v>-2848.22</v>
      </c>
      <c r="M126" s="3"/>
      <c r="N126" s="11">
        <f>4097.53*-1</f>
        <v>-4097.53</v>
      </c>
      <c r="O126" s="3"/>
      <c r="P126" s="11"/>
      <c r="Q126" s="3"/>
      <c r="R126" s="11"/>
    </row>
    <row r="127" spans="2:18" s="16" customFormat="1" hidden="1" outlineLevel="1" x14ac:dyDescent="0.35">
      <c r="B127" s="35" t="str">
        <f>CONCATENATE("          ", "4247", " - ", "SALES RETURN TAXABLE-MISC")</f>
        <v xml:space="preserve">          4247 - SALES RETURN TAXABLE-MISC</v>
      </c>
      <c r="D127" s="11">
        <f>41.94*-1</f>
        <v>-41.94</v>
      </c>
      <c r="F127" s="11">
        <f>25.97*-1</f>
        <v>-25.97</v>
      </c>
      <c r="G127" s="3"/>
      <c r="H127" s="11">
        <f>0*-1</f>
        <v>0</v>
      </c>
      <c r="I127" s="3"/>
      <c r="J127" s="11">
        <f>50.01*-1</f>
        <v>-50.01</v>
      </c>
      <c r="K127" s="3"/>
      <c r="L127" s="11">
        <f>0*-1</f>
        <v>0</v>
      </c>
      <c r="M127" s="3"/>
      <c r="N127" s="11">
        <f>0*-1</f>
        <v>0</v>
      </c>
      <c r="O127" s="3"/>
      <c r="P127" s="11"/>
      <c r="Q127" s="3"/>
      <c r="R127" s="11"/>
    </row>
    <row r="128" spans="2:18" s="16" customFormat="1" hidden="1" outlineLevel="1" x14ac:dyDescent="0.35">
      <c r="B128" s="35" t="str">
        <f>CONCATENATE("          ", "4281", " - ", "SALES RETURN TAXABLE-ELECTRONI")</f>
        <v xml:space="preserve">          4281 - SALES RETURN TAXABLE-ELECTRONI</v>
      </c>
      <c r="D128" s="11">
        <f>7292.45*-1</f>
        <v>-7292.45</v>
      </c>
      <c r="F128" s="11">
        <f>9286.2*-1</f>
        <v>-9286.2000000000007</v>
      </c>
      <c r="G128" s="3"/>
      <c r="H128" s="11">
        <f>9316.23*-1</f>
        <v>-9316.23</v>
      </c>
      <c r="I128" s="3"/>
      <c r="J128" s="11">
        <f>12863.54*-1</f>
        <v>-12863.54</v>
      </c>
      <c r="K128" s="3"/>
      <c r="L128" s="11">
        <f>7994.67*-1</f>
        <v>-7994.67</v>
      </c>
      <c r="M128" s="3"/>
      <c r="N128" s="11">
        <f>8154.67*-1</f>
        <v>-8154.67</v>
      </c>
      <c r="O128" s="3"/>
      <c r="P128" s="11"/>
      <c r="Q128" s="3"/>
      <c r="R128" s="11"/>
    </row>
    <row r="129" spans="2:18" s="16" customFormat="1" hidden="1" outlineLevel="1" x14ac:dyDescent="0.35">
      <c r="B129" s="35" t="str">
        <f>CONCATENATE("          ", "4282", " - ", "SALES RETURN TAXABLE-COMPUTER")</f>
        <v xml:space="preserve">          4282 - SALES RETURN TAXABLE-COMPUTER</v>
      </c>
      <c r="D129" s="11">
        <f>196974.26*-1</f>
        <v>-196974.26</v>
      </c>
      <c r="F129" s="11">
        <f>160638.56*-1</f>
        <v>-160638.56</v>
      </c>
      <c r="G129" s="3"/>
      <c r="H129" s="11">
        <f>150756.11*-1</f>
        <v>-150756.10999999999</v>
      </c>
      <c r="I129" s="3"/>
      <c r="J129" s="11">
        <f>95739.07*-1</f>
        <v>-95739.07</v>
      </c>
      <c r="K129" s="3"/>
      <c r="L129" s="11">
        <f>84999.98*-1</f>
        <v>-84999.98</v>
      </c>
      <c r="M129" s="3"/>
      <c r="N129" s="11">
        <f>247392.7*-1</f>
        <v>-247392.7</v>
      </c>
      <c r="O129" s="3"/>
      <c r="P129" s="11"/>
      <c r="Q129" s="3"/>
      <c r="R129" s="11"/>
    </row>
    <row r="130" spans="2:18" s="16" customFormat="1" hidden="1" outlineLevel="1" x14ac:dyDescent="0.35">
      <c r="B130" s="35" t="str">
        <f>CONCATENATE("          ", "4283", " - ", "SALES RETURN TAXABLE-COMPUTER")</f>
        <v xml:space="preserve">          4283 - SALES RETURN TAXABLE-COMPUTER</v>
      </c>
      <c r="D130" s="11">
        <f>4092.1*-1</f>
        <v>-4092.1</v>
      </c>
      <c r="F130" s="11">
        <f>10197.28*-1</f>
        <v>-10197.280000000001</v>
      </c>
      <c r="G130" s="3"/>
      <c r="H130" s="11">
        <f>7626.03*-1</f>
        <v>-7626.03</v>
      </c>
      <c r="I130" s="3"/>
      <c r="J130" s="11">
        <f>9156.47*-1</f>
        <v>-9156.4699999999993</v>
      </c>
      <c r="K130" s="3"/>
      <c r="L130" s="11">
        <f>7916.71*-1</f>
        <v>-7916.71</v>
      </c>
      <c r="M130" s="3"/>
      <c r="N130" s="11">
        <f>6718.01*-1</f>
        <v>-6718.01</v>
      </c>
      <c r="O130" s="3"/>
      <c r="P130" s="11"/>
      <c r="Q130" s="3"/>
      <c r="R130" s="11"/>
    </row>
    <row r="131" spans="2:18" s="16" customFormat="1" hidden="1" outlineLevel="1" x14ac:dyDescent="0.35">
      <c r="B131" s="35" t="str">
        <f>CONCATENATE("          ", "4284", " - ", "SALES RETURN TAXABLE-SOFTWARE")</f>
        <v xml:space="preserve">          4284 - SALES RETURN TAXABLE-SOFTWARE</v>
      </c>
      <c r="D131" s="11">
        <f>9152.81*-1</f>
        <v>-9152.81</v>
      </c>
      <c r="F131" s="11">
        <f>495.94*-1</f>
        <v>-495.94</v>
      </c>
      <c r="G131" s="3"/>
      <c r="H131" s="11">
        <f>259.96*-1</f>
        <v>-259.95999999999998</v>
      </c>
      <c r="I131" s="3"/>
      <c r="J131" s="11">
        <f>17.99*-1</f>
        <v>-17.989999999999998</v>
      </c>
      <c r="K131" s="3"/>
      <c r="L131" s="11">
        <f>0*-1</f>
        <v>0</v>
      </c>
      <c r="M131" s="3"/>
      <c r="N131" s="11">
        <f>129*-1</f>
        <v>-129</v>
      </c>
      <c r="O131" s="3"/>
      <c r="P131" s="11"/>
      <c r="Q131" s="3"/>
      <c r="R131" s="11"/>
    </row>
    <row r="132" spans="2:18" s="16" customFormat="1" hidden="1" outlineLevel="1" x14ac:dyDescent="0.35">
      <c r="B132" s="35" t="str">
        <f>CONCATENATE("          ", "4285", " - ", "SALES RETURN TAXABLE-SOFTWARE")</f>
        <v xml:space="preserve">          4285 - SALES RETURN TAXABLE-SOFTWARE</v>
      </c>
      <c r="D132" s="11">
        <f>504.94*-1</f>
        <v>-504.94</v>
      </c>
      <c r="F132" s="11">
        <f>1400.92*-1</f>
        <v>-1400.92</v>
      </c>
      <c r="G132" s="3"/>
      <c r="H132" s="11">
        <f>455.95*-1</f>
        <v>-455.95</v>
      </c>
      <c r="I132" s="3"/>
      <c r="J132" s="11">
        <f>1634.9*-1</f>
        <v>-1634.9</v>
      </c>
      <c r="K132" s="3"/>
      <c r="L132" s="11">
        <f>725.94*-1</f>
        <v>-725.94</v>
      </c>
      <c r="M132" s="3"/>
      <c r="N132" s="11">
        <f>805.97*-1</f>
        <v>-805.97</v>
      </c>
      <c r="O132" s="3"/>
      <c r="P132" s="11"/>
      <c r="Q132" s="3"/>
      <c r="R132" s="11"/>
    </row>
    <row r="133" spans="2:18" s="16" customFormat="1" hidden="1" outlineLevel="1" x14ac:dyDescent="0.35">
      <c r="B133" s="35" t="str">
        <f>CONCATENATE("          ", "4286", " - ", "SALES RETURN TAXABLE-COMPUTER")</f>
        <v xml:space="preserve">          4286 - SALES RETURN TAXABLE-COMPUTER</v>
      </c>
      <c r="D133" s="11">
        <f>2850.55*-1</f>
        <v>-2850.55</v>
      </c>
      <c r="F133" s="11">
        <f>5273.97*-1</f>
        <v>-5273.97</v>
      </c>
      <c r="G133" s="3"/>
      <c r="H133" s="11">
        <f>5958.38*-1</f>
        <v>-5958.38</v>
      </c>
      <c r="I133" s="3"/>
      <c r="J133" s="11">
        <f>4358.88*-1</f>
        <v>-4358.88</v>
      </c>
      <c r="K133" s="3"/>
      <c r="L133" s="11">
        <f>5583.83*-1</f>
        <v>-5583.83</v>
      </c>
      <c r="M133" s="3"/>
      <c r="N133" s="11">
        <f>3660.86*-1</f>
        <v>-3660.86</v>
      </c>
      <c r="O133" s="3"/>
      <c r="P133" s="11"/>
      <c r="Q133" s="3"/>
      <c r="R133" s="11"/>
    </row>
    <row r="134" spans="2:18" s="16" customFormat="1" hidden="1" outlineLevel="1" x14ac:dyDescent="0.35">
      <c r="B134" s="35" t="str">
        <f>CONCATENATE("          ", "4288", " - ", "TAXABLE SALES RETURN-MUSIC")</f>
        <v xml:space="preserve">          4288 - TAXABLE SALES RETURN-MUSIC</v>
      </c>
      <c r="D134" s="11">
        <f>0*-1</f>
        <v>0</v>
      </c>
      <c r="F134" s="11">
        <f>369.32*-1</f>
        <v>-369.32</v>
      </c>
      <c r="G134" s="3"/>
      <c r="H134" s="11">
        <f>454.34*-1</f>
        <v>-454.34</v>
      </c>
      <c r="I134" s="3"/>
      <c r="J134" s="11">
        <f>98.99*-1</f>
        <v>-98.99</v>
      </c>
      <c r="K134" s="3"/>
      <c r="L134" s="11">
        <f>64.98*-1</f>
        <v>-64.98</v>
      </c>
      <c r="M134" s="3"/>
      <c r="N134" s="11">
        <f>152.99*-1</f>
        <v>-152.99</v>
      </c>
      <c r="O134" s="3"/>
      <c r="P134" s="11"/>
      <c r="Q134" s="3"/>
      <c r="R134" s="11"/>
    </row>
    <row r="135" spans="2:18" s="16" customFormat="1" hidden="1" outlineLevel="1" x14ac:dyDescent="0.35">
      <c r="B135" s="35" t="str">
        <f>CONCATENATE("          ", "4291", " - ", "SALES RETURN TAXABLE-GRAD ANNO")</f>
        <v xml:space="preserve">          4291 - SALES RETURN TAXABLE-GRAD ANNO</v>
      </c>
      <c r="D135" s="11">
        <f>976.49*-1</f>
        <v>-976.49</v>
      </c>
      <c r="F135" s="11">
        <f>678.04*-1</f>
        <v>-678.04</v>
      </c>
      <c r="G135" s="3"/>
      <c r="H135" s="11">
        <f>459.6*-1</f>
        <v>-459.6</v>
      </c>
      <c r="I135" s="3"/>
      <c r="J135" s="11">
        <f>0*-1</f>
        <v>0</v>
      </c>
      <c r="K135" s="3"/>
      <c r="L135" s="11">
        <f>0*-1</f>
        <v>0</v>
      </c>
      <c r="M135" s="3"/>
      <c r="N135" s="11">
        <f>0*-1</f>
        <v>0</v>
      </c>
      <c r="O135" s="3"/>
      <c r="P135" s="11"/>
      <c r="Q135" s="3"/>
      <c r="R135" s="11"/>
    </row>
    <row r="136" spans="2:18" s="16" customFormat="1" hidden="1" outlineLevel="1" x14ac:dyDescent="0.35">
      <c r="B136" s="35" t="str">
        <f>CONCATENATE("          ", "4292", " - ", "SALES RETURN TAXABLE-GRAD MERC")</f>
        <v xml:space="preserve">          4292 - SALES RETURN TAXABLE-GRAD MERC</v>
      </c>
      <c r="D136" s="11">
        <f>21697.5*-1</f>
        <v>-21697.5</v>
      </c>
      <c r="F136" s="11">
        <f>14483.28*-1</f>
        <v>-14483.28</v>
      </c>
      <c r="G136" s="3"/>
      <c r="H136" s="11">
        <f>12378.21*-1</f>
        <v>-12378.21</v>
      </c>
      <c r="I136" s="3"/>
      <c r="J136" s="11">
        <f>39897.48*-1</f>
        <v>-39897.480000000003</v>
      </c>
      <c r="K136" s="3"/>
      <c r="L136" s="11">
        <f>8552.26*-1</f>
        <v>-8552.26</v>
      </c>
      <c r="M136" s="3"/>
      <c r="N136" s="11">
        <f>793.52*-1</f>
        <v>-793.52</v>
      </c>
      <c r="O136" s="3"/>
      <c r="P136" s="11"/>
      <c r="Q136" s="3"/>
      <c r="R136" s="11"/>
    </row>
    <row r="137" spans="2:18" s="16" customFormat="1" hidden="1" outlineLevel="1" x14ac:dyDescent="0.35">
      <c r="B137" s="35" t="str">
        <f>CONCATENATE("          ", "4295", " - ", "SALES RETURN TAXABLE-CUSTOMER")</f>
        <v xml:space="preserve">          4295 - SALES RETURN TAXABLE-CUSTOMER</v>
      </c>
      <c r="D137" s="11">
        <f>300.22*-1</f>
        <v>-300.22000000000003</v>
      </c>
      <c r="F137" s="11">
        <f>324.09*-1</f>
        <v>-324.08999999999997</v>
      </c>
      <c r="G137" s="3"/>
      <c r="H137" s="11">
        <f>9.9*-1</f>
        <v>-9.9</v>
      </c>
      <c r="I137" s="3"/>
      <c r="J137" s="11">
        <f>2.03*-1</f>
        <v>-2.0299999999999998</v>
      </c>
      <c r="K137" s="3"/>
      <c r="L137" s="11">
        <f>126.72*-1</f>
        <v>-126.72</v>
      </c>
      <c r="M137" s="3"/>
      <c r="N137" s="11">
        <f>-0.99*-1</f>
        <v>0.99</v>
      </c>
      <c r="O137" s="3"/>
      <c r="P137" s="11"/>
      <c r="Q137" s="3"/>
      <c r="R137" s="11"/>
    </row>
    <row r="138" spans="2:18" s="16" customFormat="1" hidden="1" outlineLevel="1" x14ac:dyDescent="0.35">
      <c r="B138" s="35" t="str">
        <f>CONCATENATE("          ", "4301", " - ", "SALES RETURN NON TAXABLE-NEW T")</f>
        <v xml:space="preserve">          4301 - SALES RETURN NON TAXABLE-NEW T</v>
      </c>
      <c r="D138" s="11">
        <f>23238.51*-1</f>
        <v>-23238.51</v>
      </c>
      <c r="F138" s="11">
        <f>41726.46*-1</f>
        <v>-41726.46</v>
      </c>
      <c r="G138" s="3"/>
      <c r="H138" s="11">
        <f>37606.44*-1</f>
        <v>-37606.44</v>
      </c>
      <c r="I138" s="3"/>
      <c r="J138" s="11">
        <f>-6537.73*-1</f>
        <v>6537.73</v>
      </c>
      <c r="K138" s="3"/>
      <c r="L138" s="11">
        <f>51917.32*-1</f>
        <v>-51917.32</v>
      </c>
      <c r="M138" s="3"/>
      <c r="N138" s="11">
        <f>21543.36*-1</f>
        <v>-21543.360000000001</v>
      </c>
      <c r="O138" s="3"/>
      <c r="P138" s="11"/>
      <c r="Q138" s="3"/>
      <c r="R138" s="11"/>
    </row>
    <row r="139" spans="2:18" s="16" customFormat="1" hidden="1" outlineLevel="1" x14ac:dyDescent="0.35">
      <c r="B139" s="35" t="str">
        <f>CONCATENATE("          ", "4302", " - ", "SALES RETURN NON TAXABLE-TEXT")</f>
        <v xml:space="preserve">          4302 - SALES RETURN NON TAXABLE-TEXT</v>
      </c>
      <c r="D139" s="11">
        <f>5954.54*-1</f>
        <v>-5954.54</v>
      </c>
      <c r="F139" s="11">
        <f>7432.62*-1</f>
        <v>-7432.62</v>
      </c>
      <c r="G139" s="3"/>
      <c r="H139" s="11">
        <f>6604.68*-1</f>
        <v>-6604.68</v>
      </c>
      <c r="I139" s="3"/>
      <c r="J139" s="11">
        <f>5507.21*-1</f>
        <v>-5507.21</v>
      </c>
      <c r="K139" s="3"/>
      <c r="L139" s="11">
        <f>6780.29*-1</f>
        <v>-6780.29</v>
      </c>
      <c r="M139" s="3"/>
      <c r="N139" s="11">
        <f>1475.62*-1</f>
        <v>-1475.62</v>
      </c>
      <c r="O139" s="3"/>
      <c r="P139" s="11"/>
      <c r="Q139" s="3"/>
      <c r="R139" s="11"/>
    </row>
    <row r="140" spans="2:18" s="16" customFormat="1" hidden="1" outlineLevel="1" x14ac:dyDescent="0.35">
      <c r="B140" s="35" t="str">
        <f>CONCATENATE("          ", "4303", " - ", "SALES RETURN NON-TAXABLE-RENTA")</f>
        <v xml:space="preserve">          4303 - SALES RETURN NON-TAXABLE-RENTA</v>
      </c>
      <c r="D140" s="11">
        <f>0*-1</f>
        <v>0</v>
      </c>
      <c r="F140" s="11">
        <f>0*-1</f>
        <v>0</v>
      </c>
      <c r="G140" s="3"/>
      <c r="H140" s="11">
        <f>0*-1</f>
        <v>0</v>
      </c>
      <c r="I140" s="3"/>
      <c r="J140" s="11">
        <f>0*-1</f>
        <v>0</v>
      </c>
      <c r="K140" s="3"/>
      <c r="L140" s="11">
        <f>509.85*-1</f>
        <v>-509.85</v>
      </c>
      <c r="M140" s="3"/>
      <c r="N140" s="11">
        <f>184.99*-1</f>
        <v>-184.99</v>
      </c>
      <c r="O140" s="3"/>
      <c r="P140" s="11"/>
      <c r="Q140" s="3"/>
      <c r="R140" s="11"/>
    </row>
    <row r="141" spans="2:18" s="16" customFormat="1" hidden="1" outlineLevel="1" x14ac:dyDescent="0.35">
      <c r="B141" s="35" t="str">
        <f>CONCATENATE("          ", "4304", " - ", "SALES RETURN NON TAXABLE-DIGIT")</f>
        <v xml:space="preserve">          4304 - SALES RETURN NON TAXABLE-DIGIT</v>
      </c>
      <c r="D141" s="11">
        <f>469.45*-1</f>
        <v>-469.45</v>
      </c>
      <c r="F141" s="11">
        <f>1065.09*-1</f>
        <v>-1065.0899999999999</v>
      </c>
      <c r="G141" s="3"/>
      <c r="H141" s="11">
        <f>1950.45*-1</f>
        <v>-1950.45</v>
      </c>
      <c r="I141" s="3"/>
      <c r="J141" s="11">
        <f>34135.02*-1</f>
        <v>-34135.019999999997</v>
      </c>
      <c r="K141" s="3"/>
      <c r="L141" s="11">
        <f>6171.97*-1</f>
        <v>-6171.97</v>
      </c>
      <c r="M141" s="3"/>
      <c r="N141" s="11">
        <f>19873.2*-1</f>
        <v>-19873.2</v>
      </c>
      <c r="O141" s="3"/>
      <c r="P141" s="11"/>
      <c r="Q141" s="3"/>
      <c r="R141" s="11"/>
    </row>
    <row r="142" spans="2:18" s="16" customFormat="1" hidden="1" outlineLevel="1" x14ac:dyDescent="0.35">
      <c r="B142" s="35" t="str">
        <f>CONCATENATE("          ", "4311", " - ", "SALES RETURN NON TAXABLE-NO VA")</f>
        <v xml:space="preserve">          4311 - SALES RETURN NON TAXABLE-NO VA</v>
      </c>
      <c r="D142" s="11">
        <f>1157.4*-1</f>
        <v>-1157.4000000000001</v>
      </c>
      <c r="F142" s="11">
        <f>2960.66*-1</f>
        <v>-2960.66</v>
      </c>
      <c r="G142" s="3"/>
      <c r="H142" s="11">
        <f>2203.9*-1</f>
        <v>-2203.9</v>
      </c>
      <c r="I142" s="3"/>
      <c r="J142" s="11">
        <f>1836.02*-1</f>
        <v>-1836.02</v>
      </c>
      <c r="K142" s="3"/>
      <c r="L142" s="11">
        <f>2399.84*-1</f>
        <v>-2399.84</v>
      </c>
      <c r="M142" s="3"/>
      <c r="N142" s="11">
        <f>1011.65*-1</f>
        <v>-1011.65</v>
      </c>
      <c r="O142" s="3"/>
      <c r="P142" s="11"/>
      <c r="Q142" s="3"/>
      <c r="R142" s="11"/>
    </row>
    <row r="143" spans="2:18" s="16" customFormat="1" hidden="1" outlineLevel="1" x14ac:dyDescent="0.35">
      <c r="B143" s="35" t="str">
        <f>CONCATENATE("          ", "4313", " - ", "SALES RETURN NON TAXABLE-TRADE")</f>
        <v xml:space="preserve">          4313 - SALES RETURN NON TAXABLE-TRADE</v>
      </c>
      <c r="D143" s="11">
        <f>63.74*-1</f>
        <v>-63.74</v>
      </c>
      <c r="F143" s="11">
        <f>17.35*-1</f>
        <v>-17.350000000000001</v>
      </c>
      <c r="G143" s="3"/>
      <c r="H143" s="11">
        <f>0*-1</f>
        <v>0</v>
      </c>
      <c r="I143" s="3"/>
      <c r="J143" s="11">
        <f>0*-1</f>
        <v>0</v>
      </c>
      <c r="K143" s="3"/>
      <c r="L143" s="11">
        <f>800*-1</f>
        <v>-800</v>
      </c>
      <c r="M143" s="3"/>
      <c r="N143" s="11">
        <f>2481.44*-1</f>
        <v>-2481.44</v>
      </c>
      <c r="O143" s="3"/>
      <c r="P143" s="11"/>
      <c r="Q143" s="3"/>
      <c r="R143" s="11"/>
    </row>
    <row r="144" spans="2:18" s="16" customFormat="1" hidden="1" outlineLevel="1" x14ac:dyDescent="0.35">
      <c r="B144" s="35" t="str">
        <f>CONCATENATE("          ", "4318", " - ", "SALES RETURN NON TAXABLE-STUDY")</f>
        <v xml:space="preserve">          4318 - SALES RETURN NON TAXABLE-STUDY</v>
      </c>
      <c r="D144" s="11">
        <f>0*-1</f>
        <v>0</v>
      </c>
      <c r="F144" s="11">
        <f t="shared" ref="F144:F145" si="9">0*-1</f>
        <v>0</v>
      </c>
      <c r="G144" s="3"/>
      <c r="H144" s="11">
        <f>5.95*-1</f>
        <v>-5.95</v>
      </c>
      <c r="I144" s="3"/>
      <c r="J144" s="11">
        <f>2025*-1</f>
        <v>-2025</v>
      </c>
      <c r="K144" s="3"/>
      <c r="L144" s="11">
        <f>1258.54*-1</f>
        <v>-1258.54</v>
      </c>
      <c r="M144" s="3"/>
      <c r="N144" s="11">
        <f t="shared" ref="N144:N146" si="10">0*-1</f>
        <v>0</v>
      </c>
      <c r="O144" s="3"/>
      <c r="P144" s="11"/>
      <c r="Q144" s="3"/>
      <c r="R144" s="11"/>
    </row>
    <row r="145" spans="2:18" s="16" customFormat="1" hidden="1" outlineLevel="1" x14ac:dyDescent="0.35">
      <c r="B145" s="35" t="str">
        <f>CONCATENATE("          ", "4319", " - ", "SALES RETURN NON TAXABLE-BOOK")</f>
        <v xml:space="preserve">          4319 - SALES RETURN NON TAXABLE-BOOK</v>
      </c>
      <c r="D145" s="11">
        <f>5.19*-1</f>
        <v>-5.19</v>
      </c>
      <c r="F145" s="11">
        <f t="shared" si="9"/>
        <v>0</v>
      </c>
      <c r="G145" s="3"/>
      <c r="H145" s="11">
        <f t="shared" ref="H145:H146" si="11">0*-1</f>
        <v>0</v>
      </c>
      <c r="I145" s="3"/>
      <c r="J145" s="11">
        <f t="shared" ref="J145:J146" si="12">0*-1</f>
        <v>0</v>
      </c>
      <c r="K145" s="3"/>
      <c r="L145" s="11">
        <f t="shared" ref="L145:L146" si="13">0*-1</f>
        <v>0</v>
      </c>
      <c r="M145" s="3"/>
      <c r="N145" s="11">
        <f t="shared" si="10"/>
        <v>0</v>
      </c>
      <c r="O145" s="3"/>
      <c r="P145" s="11"/>
      <c r="Q145" s="3"/>
      <c r="R145" s="11"/>
    </row>
    <row r="146" spans="2:18" s="16" customFormat="1" hidden="1" outlineLevel="1" x14ac:dyDescent="0.35">
      <c r="B146" s="35" t="str">
        <f>CONCATENATE("          ", "4325", " - ", "SALES RETURN NON TAXABLE-TEST")</f>
        <v xml:space="preserve">          4325 - SALES RETURN NON TAXABLE-TEST</v>
      </c>
      <c r="D146" s="11">
        <f t="shared" ref="D146:D147" si="14">0*-1</f>
        <v>0</v>
      </c>
      <c r="F146" s="11">
        <f>3.33*-1</f>
        <v>-3.33</v>
      </c>
      <c r="G146" s="3"/>
      <c r="H146" s="11">
        <f t="shared" si="11"/>
        <v>0</v>
      </c>
      <c r="I146" s="3"/>
      <c r="J146" s="11">
        <f t="shared" si="12"/>
        <v>0</v>
      </c>
      <c r="K146" s="3"/>
      <c r="L146" s="11">
        <f t="shared" si="13"/>
        <v>0</v>
      </c>
      <c r="M146" s="3"/>
      <c r="N146" s="11">
        <f t="shared" si="10"/>
        <v>0</v>
      </c>
      <c r="O146" s="3"/>
      <c r="P146" s="11"/>
      <c r="Q146" s="3"/>
      <c r="R146" s="11"/>
    </row>
    <row r="147" spans="2:18" s="16" customFormat="1" hidden="1" outlineLevel="1" x14ac:dyDescent="0.35">
      <c r="B147" s="35" t="str">
        <f>CONCATENATE("          ", "4326", " - ", "SALES RETURN NON TAXABLE-WRITI")</f>
        <v xml:space="preserve">          4326 - SALES RETURN NON TAXABLE-WRITI</v>
      </c>
      <c r="D147" s="11">
        <f t="shared" si="14"/>
        <v>0</v>
      </c>
      <c r="F147" s="11">
        <f t="shared" ref="F147:F149" si="15">0*-1</f>
        <v>0</v>
      </c>
      <c r="G147" s="3"/>
      <c r="H147" s="11">
        <f>3.38*-1</f>
        <v>-3.38</v>
      </c>
      <c r="I147" s="3"/>
      <c r="J147" s="11">
        <f>3.78*-1</f>
        <v>-3.78</v>
      </c>
      <c r="K147" s="3"/>
      <c r="L147" s="11">
        <f>28.23*-1</f>
        <v>-28.23</v>
      </c>
      <c r="M147" s="3"/>
      <c r="N147" s="11">
        <f>2.98*-1</f>
        <v>-2.98</v>
      </c>
      <c r="O147" s="3"/>
      <c r="P147" s="11"/>
      <c r="Q147" s="3"/>
      <c r="R147" s="11"/>
    </row>
    <row r="148" spans="2:18" s="16" customFormat="1" hidden="1" outlineLevel="1" x14ac:dyDescent="0.35">
      <c r="B148" s="35" t="str">
        <f>CONCATENATE("          ", "4327", " - ", "SALES RETURN NON TAXABLE-SCHOO")</f>
        <v xml:space="preserve">          4327 - SALES RETURN NON TAXABLE-SCHOO</v>
      </c>
      <c r="D148" s="11">
        <f>30.57*-1</f>
        <v>-30.57</v>
      </c>
      <c r="F148" s="11">
        <f t="shared" si="15"/>
        <v>0</v>
      </c>
      <c r="G148" s="3"/>
      <c r="H148" s="11">
        <f>81.8*-1</f>
        <v>-81.8</v>
      </c>
      <c r="I148" s="3"/>
      <c r="J148" s="11">
        <f>10.78*-1</f>
        <v>-10.78</v>
      </c>
      <c r="K148" s="3"/>
      <c r="L148" s="11">
        <f>4.99*-1</f>
        <v>-4.99</v>
      </c>
      <c r="M148" s="3"/>
      <c r="N148" s="11">
        <f>21.87*-1</f>
        <v>-21.87</v>
      </c>
      <c r="O148" s="3"/>
      <c r="P148" s="11"/>
      <c r="Q148" s="3"/>
      <c r="R148" s="11"/>
    </row>
    <row r="149" spans="2:18" s="16" customFormat="1" hidden="1" outlineLevel="1" x14ac:dyDescent="0.35">
      <c r="B149" s="35" t="str">
        <f>CONCATENATE("          ", "4328", " - ", "SALES RETURN NON TAXABLE-ART/T")</f>
        <v xml:space="preserve">          4328 - SALES RETURN NON TAXABLE-ART/T</v>
      </c>
      <c r="D149" s="11">
        <f>11.29*-1</f>
        <v>-11.29</v>
      </c>
      <c r="F149" s="11">
        <f t="shared" si="15"/>
        <v>0</v>
      </c>
      <c r="G149" s="3"/>
      <c r="H149" s="11">
        <f t="shared" ref="H149:H150" si="16">0*-1</f>
        <v>0</v>
      </c>
      <c r="I149" s="3"/>
      <c r="J149" s="11">
        <f t="shared" ref="J149:J153" si="17">0*-1</f>
        <v>0</v>
      </c>
      <c r="K149" s="3"/>
      <c r="L149" s="11">
        <f t="shared" ref="L149:L153" si="18">0*-1</f>
        <v>0</v>
      </c>
      <c r="M149" s="3"/>
      <c r="N149" s="11">
        <f>0*-1</f>
        <v>0</v>
      </c>
      <c r="O149" s="3"/>
      <c r="P149" s="11"/>
      <c r="Q149" s="3"/>
      <c r="R149" s="11"/>
    </row>
    <row r="150" spans="2:18" s="16" customFormat="1" hidden="1" outlineLevel="1" x14ac:dyDescent="0.35">
      <c r="B150" s="35" t="str">
        <f>CONCATENATE("          ", "4331", " - ", "SALES RETURN NON TAXABLE-FOOD")</f>
        <v xml:space="preserve">          4331 - SALES RETURN NON TAXABLE-FOOD</v>
      </c>
      <c r="D150" s="11">
        <f>40.61*-1</f>
        <v>-40.61</v>
      </c>
      <c r="F150" s="11">
        <f>57.11*-1</f>
        <v>-57.11</v>
      </c>
      <c r="G150" s="3"/>
      <c r="H150" s="11">
        <f t="shared" si="16"/>
        <v>0</v>
      </c>
      <c r="I150" s="3"/>
      <c r="J150" s="11">
        <f t="shared" si="17"/>
        <v>0</v>
      </c>
      <c r="K150" s="3"/>
      <c r="L150" s="11">
        <f t="shared" si="18"/>
        <v>0</v>
      </c>
      <c r="M150" s="3"/>
      <c r="N150" s="11">
        <f>12.57*-1</f>
        <v>-12.57</v>
      </c>
      <c r="O150" s="3"/>
      <c r="P150" s="11"/>
      <c r="Q150" s="3"/>
      <c r="R150" s="11"/>
    </row>
    <row r="151" spans="2:18" s="16" customFormat="1" hidden="1" outlineLevel="1" x14ac:dyDescent="0.35">
      <c r="B151" s="35" t="str">
        <f>CONCATENATE("          ", "4332", " - ", "SALES RETURN NON TAXABLE-JUICE")</f>
        <v xml:space="preserve">          4332 - SALES RETURN NON TAXABLE-JUICE</v>
      </c>
      <c r="D151" s="11">
        <f>4.29*-1</f>
        <v>-4.29</v>
      </c>
      <c r="F151" s="11">
        <f>315.75*-1</f>
        <v>-315.75</v>
      </c>
      <c r="G151" s="3"/>
      <c r="H151" s="11">
        <f>2.3*-1</f>
        <v>-2.2999999999999998</v>
      </c>
      <c r="I151" s="3"/>
      <c r="J151" s="11">
        <f t="shared" si="17"/>
        <v>0</v>
      </c>
      <c r="K151" s="3"/>
      <c r="L151" s="11">
        <f t="shared" si="18"/>
        <v>0</v>
      </c>
      <c r="M151" s="3"/>
      <c r="N151" s="11">
        <f>2.79*-1</f>
        <v>-2.79</v>
      </c>
      <c r="O151" s="3"/>
      <c r="P151" s="11"/>
      <c r="Q151" s="3"/>
      <c r="R151" s="11"/>
    </row>
    <row r="152" spans="2:18" s="16" customFormat="1" hidden="1" outlineLevel="1" x14ac:dyDescent="0.35">
      <c r="B152" s="35" t="str">
        <f>CONCATENATE("          ", "4333", " - ", "SALES RETURN NON TAXABLE-CANDY")</f>
        <v xml:space="preserve">          4333 - SALES RETURN NON TAXABLE-CANDY</v>
      </c>
      <c r="D152" s="11">
        <f>19.2*-1</f>
        <v>-19.2</v>
      </c>
      <c r="F152" s="11">
        <f>15.54*-1</f>
        <v>-15.54</v>
      </c>
      <c r="G152" s="3"/>
      <c r="H152" s="11">
        <f t="shared" ref="H152:H153" si="19">0*-1</f>
        <v>0</v>
      </c>
      <c r="I152" s="3"/>
      <c r="J152" s="11">
        <f t="shared" si="17"/>
        <v>0</v>
      </c>
      <c r="K152" s="3"/>
      <c r="L152" s="11">
        <f t="shared" si="18"/>
        <v>0</v>
      </c>
      <c r="M152" s="3"/>
      <c r="N152" s="11">
        <f t="shared" ref="N152:N153" si="20">0*-1</f>
        <v>0</v>
      </c>
      <c r="O152" s="3"/>
      <c r="P152" s="11"/>
      <c r="Q152" s="3"/>
      <c r="R152" s="11"/>
    </row>
    <row r="153" spans="2:18" s="16" customFormat="1" hidden="1" outlineLevel="1" x14ac:dyDescent="0.35">
      <c r="B153" s="35" t="str">
        <f>CONCATENATE("          ", "4337", " - ", "SALES RETURN NON TAXABLE-WATER")</f>
        <v xml:space="preserve">          4337 - SALES RETURN NON TAXABLE-WATER</v>
      </c>
      <c r="D153" s="11">
        <f>21.78*-1</f>
        <v>-21.78</v>
      </c>
      <c r="F153" s="11">
        <f>0*-1</f>
        <v>0</v>
      </c>
      <c r="G153" s="3"/>
      <c r="H153" s="11">
        <f t="shared" si="19"/>
        <v>0</v>
      </c>
      <c r="I153" s="3"/>
      <c r="J153" s="11">
        <f t="shared" si="17"/>
        <v>0</v>
      </c>
      <c r="K153" s="3"/>
      <c r="L153" s="11">
        <f t="shared" si="18"/>
        <v>0</v>
      </c>
      <c r="M153" s="3"/>
      <c r="N153" s="11">
        <f t="shared" si="20"/>
        <v>0</v>
      </c>
      <c r="O153" s="3"/>
      <c r="P153" s="11"/>
      <c r="Q153" s="3"/>
      <c r="R153" s="11"/>
    </row>
    <row r="154" spans="2:18" s="16" customFormat="1" hidden="1" outlineLevel="1" x14ac:dyDescent="0.35">
      <c r="B154" s="35" t="str">
        <f>CONCATENATE("          ", "4340", " - ", "SALES RETURN NON TAXABLE-LOGO")</f>
        <v xml:space="preserve">          4340 - SALES RETURN NON TAXABLE-LOGO</v>
      </c>
      <c r="D154" s="11">
        <f>1278.54*-1</f>
        <v>-1278.54</v>
      </c>
      <c r="F154" s="11">
        <f>973.95*-1</f>
        <v>-973.95</v>
      </c>
      <c r="G154" s="3"/>
      <c r="H154" s="11">
        <f>937.35*-1</f>
        <v>-937.35</v>
      </c>
      <c r="I154" s="3"/>
      <c r="J154" s="11">
        <f>602.86*-1</f>
        <v>-602.86</v>
      </c>
      <c r="K154" s="3"/>
      <c r="L154" s="11">
        <f>1132.72*-1</f>
        <v>-1132.72</v>
      </c>
      <c r="M154" s="3"/>
      <c r="N154" s="11">
        <f>2664.48*-1</f>
        <v>-2664.48</v>
      </c>
      <c r="O154" s="3"/>
      <c r="P154" s="11"/>
      <c r="Q154" s="3"/>
      <c r="R154" s="11"/>
    </row>
    <row r="155" spans="2:18" s="16" customFormat="1" hidden="1" outlineLevel="1" x14ac:dyDescent="0.35">
      <c r="B155" s="35" t="str">
        <f>CONCATENATE("          ", "4341", " - ", "SALES RETURN NON TAXABLE-LOGO")</f>
        <v xml:space="preserve">          4341 - SALES RETURN NON TAXABLE-LOGO</v>
      </c>
      <c r="D155" s="11">
        <f>821.6*-1</f>
        <v>-821.6</v>
      </c>
      <c r="F155" s="11">
        <f>176*-1</f>
        <v>-176</v>
      </c>
      <c r="G155" s="3"/>
      <c r="H155" s="11">
        <f>238.55*-1</f>
        <v>-238.55</v>
      </c>
      <c r="I155" s="3"/>
      <c r="J155" s="11">
        <f>91.9*-1</f>
        <v>-91.9</v>
      </c>
      <c r="K155" s="3"/>
      <c r="L155" s="11">
        <f>335.8*-1</f>
        <v>-335.8</v>
      </c>
      <c r="M155" s="3"/>
      <c r="N155" s="11">
        <f>295.35*-1</f>
        <v>-295.35000000000002</v>
      </c>
      <c r="O155" s="3"/>
      <c r="P155" s="11"/>
      <c r="Q155" s="3"/>
      <c r="R155" s="11"/>
    </row>
    <row r="156" spans="2:18" s="16" customFormat="1" hidden="1" outlineLevel="1" x14ac:dyDescent="0.35">
      <c r="B156" s="35" t="str">
        <f>CONCATENATE("          ", "4342", " - ", "SALES RETURN NON TAXABLE-EVERY")</f>
        <v xml:space="preserve">          4342 - SALES RETURN NON TAXABLE-EVERY</v>
      </c>
      <c r="D156" s="11">
        <f>12.75*-1</f>
        <v>-12.75</v>
      </c>
      <c r="F156" s="11">
        <f>2*-1</f>
        <v>-2</v>
      </c>
      <c r="G156" s="3"/>
      <c r="H156" s="11">
        <f>1*-1</f>
        <v>-1</v>
      </c>
      <c r="I156" s="3"/>
      <c r="J156" s="11">
        <f>46.8*-1</f>
        <v>-46.8</v>
      </c>
      <c r="K156" s="3"/>
      <c r="L156" s="11">
        <f>128.55*-1</f>
        <v>-128.55000000000001</v>
      </c>
      <c r="M156" s="3"/>
      <c r="N156" s="11">
        <f>186.02*-1</f>
        <v>-186.02</v>
      </c>
      <c r="O156" s="3"/>
      <c r="P156" s="11"/>
      <c r="Q156" s="3"/>
      <c r="R156" s="11"/>
    </row>
    <row r="157" spans="2:18" s="16" customFormat="1" hidden="1" outlineLevel="1" x14ac:dyDescent="0.35">
      <c r="B157" s="35" t="str">
        <f>CONCATENATE("          ", "4346", " - ", "SALES RETURN NON TAXABLE-COIN-")</f>
        <v xml:space="preserve">          4346 - SALES RETURN NON TAXABLE-COIN-</v>
      </c>
      <c r="D157" s="11">
        <f t="shared" ref="D157:D158" si="21">0*-1</f>
        <v>0</v>
      </c>
      <c r="F157" s="11">
        <f>0*-1</f>
        <v>0</v>
      </c>
      <c r="G157" s="3"/>
      <c r="H157" s="11">
        <f t="shared" ref="H157:H158" si="22">0*-1</f>
        <v>0</v>
      </c>
      <c r="I157" s="3"/>
      <c r="J157" s="11">
        <f t="shared" ref="J157:J158" si="23">0*-1</f>
        <v>0</v>
      </c>
      <c r="K157" s="3"/>
      <c r="L157" s="11">
        <f t="shared" ref="L157:L158" si="24">0*-1</f>
        <v>0</v>
      </c>
      <c r="M157" s="3"/>
      <c r="N157" s="11">
        <f>8.15*-1</f>
        <v>-8.15</v>
      </c>
      <c r="O157" s="3"/>
      <c r="P157" s="11"/>
      <c r="Q157" s="3"/>
      <c r="R157" s="11"/>
    </row>
    <row r="158" spans="2:18" s="16" customFormat="1" hidden="1" outlineLevel="1" x14ac:dyDescent="0.35">
      <c r="B158" s="35" t="str">
        <f>CONCATENATE("          ", "4347", " - ", "SALES RETURN NON TAXABLE-MISC")</f>
        <v xml:space="preserve">          4347 - SALES RETURN NON TAXABLE-MISC</v>
      </c>
      <c r="D158" s="11">
        <f t="shared" si="21"/>
        <v>0</v>
      </c>
      <c r="F158" s="11">
        <f>7.5*-1</f>
        <v>-7.5</v>
      </c>
      <c r="G158" s="3"/>
      <c r="H158" s="11">
        <f t="shared" si="22"/>
        <v>0</v>
      </c>
      <c r="I158" s="3"/>
      <c r="J158" s="11">
        <f t="shared" si="23"/>
        <v>0</v>
      </c>
      <c r="K158" s="3"/>
      <c r="L158" s="11">
        <f t="shared" si="24"/>
        <v>0</v>
      </c>
      <c r="M158" s="3"/>
      <c r="N158" s="11">
        <f>84*-1</f>
        <v>-84</v>
      </c>
      <c r="O158" s="3"/>
      <c r="P158" s="11"/>
      <c r="Q158" s="3"/>
      <c r="R158" s="11"/>
    </row>
    <row r="159" spans="2:18" s="16" customFormat="1" hidden="1" outlineLevel="1" x14ac:dyDescent="0.35">
      <c r="B159" s="35" t="str">
        <f>CONCATENATE("          ", "4381", " - ", "SALES RETURN NON TAXABLE-ELECT")</f>
        <v xml:space="preserve">          4381 - SALES RETURN NON TAXABLE-ELECT</v>
      </c>
      <c r="D159" s="11">
        <f>206.94*-1</f>
        <v>-206.94</v>
      </c>
      <c r="F159" s="11">
        <f>935.88*-1</f>
        <v>-935.88</v>
      </c>
      <c r="G159" s="3"/>
      <c r="H159" s="11">
        <f>840.75*-1</f>
        <v>-840.75</v>
      </c>
      <c r="I159" s="3"/>
      <c r="J159" s="11">
        <f>148.99*-1</f>
        <v>-148.99</v>
      </c>
      <c r="K159" s="3"/>
      <c r="L159" s="11">
        <f>257.81*-1</f>
        <v>-257.81</v>
      </c>
      <c r="M159" s="3"/>
      <c r="N159" s="11">
        <f>1279.84*-1</f>
        <v>-1279.8399999999999</v>
      </c>
      <c r="O159" s="3"/>
      <c r="P159" s="11"/>
      <c r="Q159" s="3"/>
      <c r="R159" s="11"/>
    </row>
    <row r="160" spans="2:18" s="16" customFormat="1" hidden="1" outlineLevel="1" x14ac:dyDescent="0.35">
      <c r="B160" s="35" t="str">
        <f>CONCATENATE("          ", "4383", " - ", "SALES RETURN NON TAXABLE-COMPU")</f>
        <v xml:space="preserve">          4383 - SALES RETURN NON TAXABLE-COMPU</v>
      </c>
      <c r="D160" s="11">
        <f>127.98*-1</f>
        <v>-127.98</v>
      </c>
      <c r="F160" s="11">
        <f>2269.85*-1</f>
        <v>-2269.85</v>
      </c>
      <c r="G160" s="3"/>
      <c r="H160" s="11">
        <f>425.51*-1</f>
        <v>-425.51</v>
      </c>
      <c r="I160" s="3"/>
      <c r="J160" s="11">
        <f>230.56*-1</f>
        <v>-230.56</v>
      </c>
      <c r="K160" s="3"/>
      <c r="L160" s="11">
        <f>153.92*-1</f>
        <v>-153.91999999999999</v>
      </c>
      <c r="M160" s="3"/>
      <c r="N160" s="11">
        <f>49.98*-1</f>
        <v>-49.98</v>
      </c>
      <c r="O160" s="3"/>
      <c r="P160" s="11"/>
      <c r="Q160" s="3"/>
      <c r="R160" s="11"/>
    </row>
    <row r="161" spans="1:18" s="16" customFormat="1" hidden="1" outlineLevel="1" x14ac:dyDescent="0.35">
      <c r="B161" s="35" t="str">
        <f>CONCATENATE("          ", "4384", " - ", "SALES RETURN NON TAXABLE-SOFTW")</f>
        <v xml:space="preserve">          4384 - SALES RETURN NON TAXABLE-SOFTW</v>
      </c>
      <c r="D161" s="11">
        <f t="shared" ref="D161:D162" si="25">0*-1</f>
        <v>0</v>
      </c>
      <c r="F161" s="11">
        <f>0*-1</f>
        <v>0</v>
      </c>
      <c r="G161" s="3"/>
      <c r="H161" s="11">
        <f>199.99*-1</f>
        <v>-199.99</v>
      </c>
      <c r="I161" s="3"/>
      <c r="J161" s="11">
        <f>0*-1</f>
        <v>0</v>
      </c>
      <c r="K161" s="3"/>
      <c r="L161" s="11">
        <f t="shared" ref="L161:L162" si="26">0*-1</f>
        <v>0</v>
      </c>
      <c r="M161" s="3"/>
      <c r="N161" s="11">
        <f t="shared" ref="N161:N162" si="27">0*-1</f>
        <v>0</v>
      </c>
      <c r="O161" s="3"/>
      <c r="P161" s="11"/>
      <c r="Q161" s="3"/>
      <c r="R161" s="11"/>
    </row>
    <row r="162" spans="1:18" s="16" customFormat="1" hidden="1" outlineLevel="1" x14ac:dyDescent="0.35">
      <c r="B162" s="35" t="str">
        <f>CONCATENATE("          ", "4385", " - ", "SALES RETURN NON TAXABLE-SOFTW")</f>
        <v xml:space="preserve">          4385 - SALES RETURN NON TAXABLE-SOFTW</v>
      </c>
      <c r="D162" s="11">
        <f t="shared" si="25"/>
        <v>0</v>
      </c>
      <c r="F162" s="11">
        <f>783.98*-1</f>
        <v>-783.98</v>
      </c>
      <c r="G162" s="3"/>
      <c r="H162" s="11">
        <f>240.97*-1</f>
        <v>-240.97</v>
      </c>
      <c r="I162" s="3"/>
      <c r="J162" s="11">
        <f>631.99*-1</f>
        <v>-631.99</v>
      </c>
      <c r="K162" s="3"/>
      <c r="L162" s="11">
        <f t="shared" si="26"/>
        <v>0</v>
      </c>
      <c r="M162" s="3"/>
      <c r="N162" s="11">
        <f t="shared" si="27"/>
        <v>0</v>
      </c>
      <c r="O162" s="3"/>
      <c r="P162" s="11"/>
      <c r="Q162" s="3"/>
      <c r="R162" s="11"/>
    </row>
    <row r="163" spans="1:18" s="16" customFormat="1" hidden="1" outlineLevel="1" x14ac:dyDescent="0.35">
      <c r="B163" s="35" t="str">
        <f>CONCATENATE("          ", "4386", " - ", "SALES RETURN NON TAXABLE-COMPU")</f>
        <v xml:space="preserve">          4386 - SALES RETURN NON TAXABLE-COMPU</v>
      </c>
      <c r="D163" s="11">
        <f>183.97*-1</f>
        <v>-183.97</v>
      </c>
      <c r="F163" s="11">
        <f>199.33*-1</f>
        <v>-199.33</v>
      </c>
      <c r="G163" s="3"/>
      <c r="H163" s="11">
        <f>79.98*-1</f>
        <v>-79.98</v>
      </c>
      <c r="I163" s="3"/>
      <c r="J163" s="11">
        <f>124.97*-1</f>
        <v>-124.97</v>
      </c>
      <c r="K163" s="3"/>
      <c r="L163" s="11">
        <f>209.95*-1</f>
        <v>-209.95</v>
      </c>
      <c r="M163" s="3"/>
      <c r="N163" s="11">
        <f>104.96*-1</f>
        <v>-104.96</v>
      </c>
      <c r="O163" s="3"/>
      <c r="P163" s="11"/>
      <c r="Q163" s="3"/>
      <c r="R163" s="11"/>
    </row>
    <row r="164" spans="1:18" s="16" customFormat="1" hidden="1" outlineLevel="1" x14ac:dyDescent="0.35">
      <c r="B164" s="35" t="str">
        <f>CONCATENATE("          ", "4392", " - ", "SALES RETURN NON TAXABLE-GRAD")</f>
        <v xml:space="preserve">          4392 - SALES RETURN NON TAXABLE-GRAD</v>
      </c>
      <c r="D164" s="11">
        <f>0*-1</f>
        <v>0</v>
      </c>
      <c r="F164" s="11">
        <f>0*-1</f>
        <v>0</v>
      </c>
      <c r="G164" s="3"/>
      <c r="H164" s="11">
        <f>36.95*-1</f>
        <v>-36.950000000000003</v>
      </c>
      <c r="I164" s="3"/>
      <c r="J164" s="11">
        <f>0*-1</f>
        <v>0</v>
      </c>
      <c r="K164" s="3"/>
      <c r="L164" s="11">
        <f>0*-1</f>
        <v>0</v>
      </c>
      <c r="M164" s="3"/>
      <c r="N164" s="11">
        <f>0*-1</f>
        <v>0</v>
      </c>
      <c r="O164" s="3"/>
      <c r="P164" s="11"/>
      <c r="Q164" s="3"/>
      <c r="R164" s="11"/>
    </row>
    <row r="165" spans="1:18" s="12" customFormat="1" x14ac:dyDescent="0.35">
      <c r="B165" s="7"/>
      <c r="D165" s="6"/>
      <c r="F165" s="6"/>
      <c r="G165" s="5"/>
      <c r="H165" s="6"/>
      <c r="I165" s="5"/>
      <c r="J165" s="6"/>
      <c r="K165" s="5"/>
      <c r="L165" s="6"/>
      <c r="M165" s="5"/>
      <c r="N165" s="6"/>
      <c r="O165" s="5"/>
      <c r="P165" s="6"/>
      <c r="Q165" s="5"/>
      <c r="R165" s="6"/>
    </row>
    <row r="166" spans="1:18" s="12" customFormat="1" collapsed="1" x14ac:dyDescent="0.35">
      <c r="B166" s="7" t="s">
        <v>278</v>
      </c>
      <c r="D166" s="8">
        <f>SUM(OSRRefD14x_0)</f>
        <v>16819974.559999995</v>
      </c>
      <c r="E166" s="8"/>
      <c r="F166" s="8">
        <f>SUM(OSRRefF14x_0)</f>
        <v>16550622.680000003</v>
      </c>
      <c r="G166" s="8"/>
      <c r="H166" s="8">
        <f>SUM(OSRRefH14x_0)</f>
        <v>16443017.769999996</v>
      </c>
      <c r="I166" s="8"/>
      <c r="J166" s="8">
        <f>SUM(OSRRefJ14x_0)</f>
        <v>15434467.27</v>
      </c>
      <c r="K166" s="8"/>
      <c r="L166" s="8">
        <f>SUM(OSRRefL14x_0)</f>
        <v>15543827.440000001</v>
      </c>
      <c r="M166" s="8"/>
      <c r="N166" s="8">
        <f>SUM(OSRRefN14x_0)</f>
        <v>13088495.459999999</v>
      </c>
      <c r="O166" s="8"/>
      <c r="P166" s="8">
        <f>SUM(OSRRefP14x_0)</f>
        <v>8730260</v>
      </c>
      <c r="Q166" s="8"/>
      <c r="R166" s="8">
        <f>SUM(OSRRefR14x_0)</f>
        <v>10847100</v>
      </c>
    </row>
    <row r="167" spans="1:18" s="44" customFormat="1" hidden="1" outlineLevel="1" x14ac:dyDescent="0.35">
      <c r="A167" s="16"/>
      <c r="B167" s="35" t="str">
        <f>CONCATENATE("          ", "5000", " - ", "PURCHASES @ COST")</f>
        <v xml:space="preserve">          5000 - PURCHASES @ COST</v>
      </c>
      <c r="C167" s="16"/>
      <c r="D167" s="11"/>
      <c r="E167" s="16"/>
      <c r="F167" s="11"/>
      <c r="G167" s="3"/>
      <c r="H167" s="11"/>
      <c r="I167" s="3"/>
      <c r="J167" s="11">
        <v>172.8</v>
      </c>
      <c r="K167" s="3"/>
      <c r="L167" s="11">
        <v>20</v>
      </c>
      <c r="M167" s="3"/>
      <c r="N167" s="11">
        <v>0</v>
      </c>
      <c r="O167" s="3"/>
      <c r="P167" s="11">
        <v>8730260</v>
      </c>
      <c r="Q167" s="3"/>
      <c r="R167" s="11">
        <v>10847100</v>
      </c>
    </row>
    <row r="168" spans="1:18" s="44" customFormat="1" hidden="1" outlineLevel="1" x14ac:dyDescent="0.35">
      <c r="A168" s="16"/>
      <c r="B168" s="35" t="str">
        <f>CONCATENATE("          ", "5001", " - ", "PURCHASES @ COST-NEW TEXT")</f>
        <v xml:space="preserve">          5001 - PURCHASES @ COST-NEW TEXT</v>
      </c>
      <c r="C168" s="16"/>
      <c r="D168" s="11">
        <v>4879202.72</v>
      </c>
      <c r="E168" s="16"/>
      <c r="F168" s="11">
        <v>3900047.23</v>
      </c>
      <c r="G168" s="3"/>
      <c r="H168" s="11">
        <v>3863075.84</v>
      </c>
      <c r="I168" s="3"/>
      <c r="J168" s="11">
        <v>3273700.71</v>
      </c>
      <c r="K168" s="3"/>
      <c r="L168" s="11">
        <v>2431202.9900000002</v>
      </c>
      <c r="M168" s="3"/>
      <c r="N168" s="11">
        <v>1662669.27</v>
      </c>
      <c r="O168" s="3"/>
      <c r="P168" s="11"/>
      <c r="Q168" s="3"/>
      <c r="R168" s="11"/>
    </row>
    <row r="169" spans="1:18" s="44" customFormat="1" hidden="1" outlineLevel="1" x14ac:dyDescent="0.35">
      <c r="A169" s="16"/>
      <c r="B169" s="35" t="str">
        <f>CONCATENATE("          ", "5002", " - ", "PURCHASES @ COST-USED TEXT")</f>
        <v xml:space="preserve">          5002 - PURCHASES @ COST-USED TEXT</v>
      </c>
      <c r="C169" s="16"/>
      <c r="D169" s="11">
        <v>1724866.84</v>
      </c>
      <c r="E169" s="16"/>
      <c r="F169" s="11">
        <v>1525233.92</v>
      </c>
      <c r="G169" s="3"/>
      <c r="H169" s="11">
        <v>1225459.8899999999</v>
      </c>
      <c r="I169" s="3"/>
      <c r="J169" s="11">
        <v>1258537.1399999999</v>
      </c>
      <c r="K169" s="3"/>
      <c r="L169" s="11">
        <v>1006777.41</v>
      </c>
      <c r="M169" s="3"/>
      <c r="N169" s="11">
        <v>731343.19</v>
      </c>
      <c r="O169" s="3"/>
      <c r="P169" s="11"/>
      <c r="Q169" s="3"/>
      <c r="R169" s="11"/>
    </row>
    <row r="170" spans="1:18" s="44" customFormat="1" hidden="1" outlineLevel="1" x14ac:dyDescent="0.35">
      <c r="A170" s="16"/>
      <c r="B170" s="35" t="str">
        <f>CONCATENATE("          ", "5003", " - ", "PURCHASES @ COST-RENTAL TEXT")</f>
        <v xml:space="preserve">          5003 - PURCHASES @ COST-RENTAL TEXT</v>
      </c>
      <c r="C170" s="16"/>
      <c r="D170" s="11"/>
      <c r="E170" s="16"/>
      <c r="F170" s="11"/>
      <c r="G170" s="3"/>
      <c r="H170" s="11"/>
      <c r="I170" s="3"/>
      <c r="J170" s="11">
        <v>6149.3</v>
      </c>
      <c r="K170" s="3"/>
      <c r="L170" s="11">
        <v>15917.98</v>
      </c>
      <c r="M170" s="3"/>
      <c r="N170" s="11">
        <v>24578.2</v>
      </c>
      <c r="O170" s="3"/>
      <c r="P170" s="11"/>
      <c r="Q170" s="3"/>
      <c r="R170" s="11"/>
    </row>
    <row r="171" spans="1:18" s="44" customFormat="1" hidden="1" outlineLevel="1" x14ac:dyDescent="0.35">
      <c r="A171" s="16"/>
      <c r="B171" s="35" t="str">
        <f>CONCATENATE("          ", "5004", " - ", "PURCHASES @ COST-DIGITAL TEXT")</f>
        <v xml:space="preserve">          5004 - PURCHASES @ COST-DIGITAL TEXT</v>
      </c>
      <c r="C171" s="16"/>
      <c r="D171" s="11">
        <v>132546.79999999999</v>
      </c>
      <c r="E171" s="16"/>
      <c r="F171" s="11">
        <v>145666.69</v>
      </c>
      <c r="G171" s="3"/>
      <c r="H171" s="11">
        <v>240791.2</v>
      </c>
      <c r="I171" s="3"/>
      <c r="J171" s="11">
        <v>358061.45</v>
      </c>
      <c r="K171" s="3"/>
      <c r="L171" s="11">
        <v>507143.45</v>
      </c>
      <c r="M171" s="3"/>
      <c r="N171" s="11">
        <v>451308.6</v>
      </c>
      <c r="O171" s="3"/>
      <c r="P171" s="11"/>
      <c r="Q171" s="3"/>
      <c r="R171" s="11"/>
    </row>
    <row r="172" spans="1:18" s="44" customFormat="1" hidden="1" outlineLevel="1" x14ac:dyDescent="0.35">
      <c r="A172" s="16"/>
      <c r="B172" s="35" t="str">
        <f>CONCATENATE("          ", "5011", " - ", "PURCHASES @ COST-NO VALUE TEXT")</f>
        <v xml:space="preserve">          5011 - PURCHASES @ COST-NO VALUE TEXT</v>
      </c>
      <c r="C172" s="16"/>
      <c r="D172" s="11">
        <v>6675</v>
      </c>
      <c r="E172" s="16"/>
      <c r="F172" s="11">
        <v>7296</v>
      </c>
      <c r="G172" s="3"/>
      <c r="H172" s="11">
        <v>5721</v>
      </c>
      <c r="I172" s="3"/>
      <c r="J172" s="11">
        <v>6765</v>
      </c>
      <c r="K172" s="3"/>
      <c r="L172" s="11">
        <v>5295</v>
      </c>
      <c r="M172" s="3"/>
      <c r="N172" s="11">
        <v>6462</v>
      </c>
      <c r="O172" s="3"/>
      <c r="P172" s="11"/>
      <c r="Q172" s="3"/>
      <c r="R172" s="11"/>
    </row>
    <row r="173" spans="1:18" s="44" customFormat="1" hidden="1" outlineLevel="1" x14ac:dyDescent="0.35">
      <c r="A173" s="16"/>
      <c r="B173" s="35" t="str">
        <f>CONCATENATE("          ", "5012", " - ", "PURCHASES @ COST-MAGAZINES")</f>
        <v xml:space="preserve">          5012 - PURCHASES @ COST-MAGAZINES</v>
      </c>
      <c r="C173" s="16"/>
      <c r="D173" s="11"/>
      <c r="E173" s="16"/>
      <c r="F173" s="11">
        <v>48.61</v>
      </c>
      <c r="G173" s="3"/>
      <c r="H173" s="11"/>
      <c r="I173" s="3"/>
      <c r="J173" s="11"/>
      <c r="K173" s="3"/>
      <c r="L173" s="11"/>
      <c r="M173" s="3"/>
      <c r="N173" s="11"/>
      <c r="O173" s="3"/>
      <c r="P173" s="11"/>
      <c r="Q173" s="3"/>
      <c r="R173" s="11"/>
    </row>
    <row r="174" spans="1:18" s="44" customFormat="1" hidden="1" outlineLevel="1" x14ac:dyDescent="0.35">
      <c r="A174" s="16"/>
      <c r="B174" s="35" t="str">
        <f>CONCATENATE("          ", "5013", " - ", "PURCHASES @ COST-TRADE BOOKS")</f>
        <v xml:space="preserve">          5013 - PURCHASES @ COST-TRADE BOOKS</v>
      </c>
      <c r="C174" s="16"/>
      <c r="D174" s="11">
        <v>23643.49</v>
      </c>
      <c r="E174" s="16"/>
      <c r="F174" s="11">
        <v>15893.73</v>
      </c>
      <c r="G174" s="3"/>
      <c r="H174" s="11">
        <v>7649.14</v>
      </c>
      <c r="I174" s="3"/>
      <c r="J174" s="11">
        <v>7603.03</v>
      </c>
      <c r="K174" s="3"/>
      <c r="L174" s="11">
        <v>6715.59</v>
      </c>
      <c r="M174" s="3"/>
      <c r="N174" s="11">
        <v>2777.09</v>
      </c>
      <c r="O174" s="3"/>
      <c r="P174" s="11"/>
      <c r="Q174" s="3"/>
      <c r="R174" s="11"/>
    </row>
    <row r="175" spans="1:18" s="44" customFormat="1" hidden="1" outlineLevel="1" x14ac:dyDescent="0.35">
      <c r="A175" s="16"/>
      <c r="B175" s="35" t="str">
        <f>CONCATENATE("          ", "5014", " - ", "PURCHASES @ COST-REMAINDERS")</f>
        <v xml:space="preserve">          5014 - PURCHASES @ COST-REMAINDERS</v>
      </c>
      <c r="C175" s="16"/>
      <c r="D175" s="11"/>
      <c r="E175" s="16"/>
      <c r="F175" s="11">
        <v>1308.4100000000001</v>
      </c>
      <c r="G175" s="3"/>
      <c r="H175" s="11">
        <v>0</v>
      </c>
      <c r="I175" s="3"/>
      <c r="J175" s="11">
        <v>2568.8000000000002</v>
      </c>
      <c r="K175" s="3"/>
      <c r="L175" s="11">
        <v>1261.47</v>
      </c>
      <c r="M175" s="3"/>
      <c r="N175" s="11">
        <v>747.07</v>
      </c>
      <c r="O175" s="3"/>
      <c r="P175" s="11"/>
      <c r="Q175" s="3"/>
      <c r="R175" s="11"/>
    </row>
    <row r="176" spans="1:18" s="44" customFormat="1" hidden="1" outlineLevel="1" x14ac:dyDescent="0.35">
      <c r="A176" s="16"/>
      <c r="B176" s="35" t="str">
        <f>CONCATENATE("          ", "5015", " - ", "PURCHASES @ COST-CALENDARS")</f>
        <v xml:space="preserve">          5015 - PURCHASES @ COST-CALENDARS</v>
      </c>
      <c r="C176" s="16"/>
      <c r="D176" s="11">
        <v>2530.37</v>
      </c>
      <c r="E176" s="16"/>
      <c r="F176" s="11">
        <v>2659.06</v>
      </c>
      <c r="G176" s="3"/>
      <c r="H176" s="11"/>
      <c r="I176" s="3"/>
      <c r="J176" s="11"/>
      <c r="K176" s="3"/>
      <c r="L176" s="11"/>
      <c r="M176" s="3"/>
      <c r="N176" s="11"/>
      <c r="O176" s="3"/>
      <c r="P176" s="11"/>
      <c r="Q176" s="3"/>
      <c r="R176" s="11"/>
    </row>
    <row r="177" spans="1:18" s="44" customFormat="1" hidden="1" outlineLevel="1" x14ac:dyDescent="0.35">
      <c r="A177" s="16"/>
      <c r="B177" s="35" t="str">
        <f>CONCATENATE("          ", "5017", " - ", "PURCHASES @ COST-DORM/HOUSEWAR")</f>
        <v xml:space="preserve">          5017 - PURCHASES @ COST-DORM/HOUSEWAR</v>
      </c>
      <c r="C177" s="16"/>
      <c r="D177" s="11">
        <v>1414.67</v>
      </c>
      <c r="E177" s="16"/>
      <c r="F177" s="11"/>
      <c r="G177" s="3"/>
      <c r="H177" s="11"/>
      <c r="I177" s="3"/>
      <c r="J177" s="11">
        <v>3451.82</v>
      </c>
      <c r="K177" s="3"/>
      <c r="L177" s="11">
        <v>239.9</v>
      </c>
      <c r="M177" s="3"/>
      <c r="N177" s="11">
        <v>14.46</v>
      </c>
      <c r="O177" s="3"/>
      <c r="P177" s="11"/>
      <c r="Q177" s="3"/>
      <c r="R177" s="11"/>
    </row>
    <row r="178" spans="1:18" s="44" customFormat="1" hidden="1" outlineLevel="1" x14ac:dyDescent="0.35">
      <c r="A178" s="16"/>
      <c r="B178" s="35" t="str">
        <f>CONCATENATE("          ", "5018", " - ", "PURCHASES @ COST-STUDY GUIDES")</f>
        <v xml:space="preserve">          5018 - PURCHASES @ COST-STUDY GUIDES</v>
      </c>
      <c r="C178" s="16"/>
      <c r="D178" s="11">
        <v>5816.04</v>
      </c>
      <c r="E178" s="16"/>
      <c r="F178" s="11">
        <v>4459.92</v>
      </c>
      <c r="G178" s="3"/>
      <c r="H178" s="11">
        <v>4716.9799999999996</v>
      </c>
      <c r="I178" s="3"/>
      <c r="J178" s="11">
        <v>6227.2</v>
      </c>
      <c r="K178" s="3"/>
      <c r="L178" s="11">
        <v>3717</v>
      </c>
      <c r="M178" s="3"/>
      <c r="N178" s="11">
        <v>-454.52</v>
      </c>
      <c r="O178" s="3"/>
      <c r="P178" s="11"/>
      <c r="Q178" s="3"/>
      <c r="R178" s="11"/>
    </row>
    <row r="179" spans="1:18" s="44" customFormat="1" hidden="1" outlineLevel="1" x14ac:dyDescent="0.35">
      <c r="A179" s="16"/>
      <c r="B179" s="35" t="str">
        <f>CONCATENATE("          ", "5019", " - ", "PURCHASES @ COST-BOOK RELATED")</f>
        <v xml:space="preserve">          5019 - PURCHASES @ COST-BOOK RELATED</v>
      </c>
      <c r="C179" s="16"/>
      <c r="D179" s="11">
        <v>5234.41</v>
      </c>
      <c r="E179" s="16"/>
      <c r="F179" s="11">
        <v>6086.85</v>
      </c>
      <c r="G179" s="3"/>
      <c r="H179" s="11">
        <v>659.98</v>
      </c>
      <c r="I179" s="3"/>
      <c r="J179" s="11">
        <v>148.38</v>
      </c>
      <c r="K179" s="3"/>
      <c r="L179" s="11"/>
      <c r="M179" s="3"/>
      <c r="N179" s="11"/>
      <c r="O179" s="3"/>
      <c r="P179" s="11"/>
      <c r="Q179" s="3"/>
      <c r="R179" s="11"/>
    </row>
    <row r="180" spans="1:18" s="44" customFormat="1" hidden="1" outlineLevel="1" x14ac:dyDescent="0.35">
      <c r="A180" s="16"/>
      <c r="B180" s="35" t="str">
        <f>CONCATENATE("          ", "5025", " - ", "PURCHASES @ COST-TEST FORMS")</f>
        <v xml:space="preserve">          5025 - PURCHASES @ COST-TEST FORMS</v>
      </c>
      <c r="C180" s="16"/>
      <c r="D180" s="11">
        <v>21074.42</v>
      </c>
      <c r="E180" s="16"/>
      <c r="F180" s="11">
        <v>27919.040000000001</v>
      </c>
      <c r="G180" s="3"/>
      <c r="H180" s="11">
        <v>26579.64</v>
      </c>
      <c r="I180" s="3"/>
      <c r="J180" s="11">
        <v>27885.29</v>
      </c>
      <c r="K180" s="3"/>
      <c r="L180" s="11">
        <v>21295.599999999999</v>
      </c>
      <c r="M180" s="3"/>
      <c r="N180" s="11">
        <v>26400.39</v>
      </c>
      <c r="O180" s="3"/>
      <c r="P180" s="11"/>
      <c r="Q180" s="3"/>
      <c r="R180" s="11"/>
    </row>
    <row r="181" spans="1:18" s="44" customFormat="1" hidden="1" outlineLevel="1" x14ac:dyDescent="0.35">
      <c r="A181" s="16"/>
      <c r="B181" s="35" t="str">
        <f>CONCATENATE("          ", "5026", " - ", "PURCHASES @ COST-WRITING INSTR")</f>
        <v xml:space="preserve">          5026 - PURCHASES @ COST-WRITING INSTR</v>
      </c>
      <c r="C181" s="16"/>
      <c r="D181" s="11">
        <v>46008.37</v>
      </c>
      <c r="E181" s="16"/>
      <c r="F181" s="11">
        <v>51715.06</v>
      </c>
      <c r="G181" s="3"/>
      <c r="H181" s="11">
        <v>55045.67</v>
      </c>
      <c r="I181" s="3"/>
      <c r="J181" s="11">
        <v>44843.66</v>
      </c>
      <c r="K181" s="3"/>
      <c r="L181" s="11">
        <v>54938.31</v>
      </c>
      <c r="M181" s="3"/>
      <c r="N181" s="11">
        <v>44186.57</v>
      </c>
      <c r="O181" s="3"/>
      <c r="P181" s="11"/>
      <c r="Q181" s="3"/>
      <c r="R181" s="11"/>
    </row>
    <row r="182" spans="1:18" s="44" customFormat="1" hidden="1" outlineLevel="1" x14ac:dyDescent="0.35">
      <c r="A182" s="16"/>
      <c r="B182" s="35" t="str">
        <f>CONCATENATE("          ", "5027", " - ", "PURCHASES @ COST-SCHOOL SUPPLI")</f>
        <v xml:space="preserve">          5027 - PURCHASES @ COST-SCHOOL SUPPLI</v>
      </c>
      <c r="C182" s="16"/>
      <c r="D182" s="11">
        <v>164788.62</v>
      </c>
      <c r="E182" s="16"/>
      <c r="F182" s="11">
        <v>178356.07</v>
      </c>
      <c r="G182" s="3"/>
      <c r="H182" s="11">
        <v>155465.81</v>
      </c>
      <c r="I182" s="3"/>
      <c r="J182" s="11">
        <v>172464.31</v>
      </c>
      <c r="K182" s="3"/>
      <c r="L182" s="11">
        <v>168868.3</v>
      </c>
      <c r="M182" s="3"/>
      <c r="N182" s="11">
        <v>153162.12</v>
      </c>
      <c r="O182" s="3"/>
      <c r="P182" s="11"/>
      <c r="Q182" s="3"/>
      <c r="R182" s="11"/>
    </row>
    <row r="183" spans="1:18" s="44" customFormat="1" hidden="1" outlineLevel="1" x14ac:dyDescent="0.35">
      <c r="A183" s="16"/>
      <c r="B183" s="35" t="str">
        <f>CONCATENATE("          ", "5028", " - ", "PURCHASES @ COST-ART/TECH")</f>
        <v xml:space="preserve">          5028 - PURCHASES @ COST-ART/TECH</v>
      </c>
      <c r="C183" s="16"/>
      <c r="D183" s="11">
        <v>183333.92</v>
      </c>
      <c r="E183" s="16"/>
      <c r="F183" s="11">
        <v>197868.04</v>
      </c>
      <c r="G183" s="3"/>
      <c r="H183" s="11">
        <v>186438.47</v>
      </c>
      <c r="I183" s="3"/>
      <c r="J183" s="11">
        <v>196144.24</v>
      </c>
      <c r="K183" s="3"/>
      <c r="L183" s="11">
        <v>178081.3</v>
      </c>
      <c r="M183" s="3"/>
      <c r="N183" s="11">
        <v>158554.31</v>
      </c>
      <c r="O183" s="3"/>
      <c r="P183" s="11"/>
      <c r="Q183" s="3"/>
      <c r="R183" s="11"/>
    </row>
    <row r="184" spans="1:18" s="44" customFormat="1" hidden="1" outlineLevel="1" x14ac:dyDescent="0.35">
      <c r="A184" s="16"/>
      <c r="B184" s="35" t="str">
        <f>CONCATENATE("          ", "5031", " - ", "PURCHASES @ COST-FOOD")</f>
        <v xml:space="preserve">          5031 - PURCHASES @ COST-FOOD</v>
      </c>
      <c r="C184" s="16"/>
      <c r="D184" s="11">
        <v>27168.41</v>
      </c>
      <c r="E184" s="16"/>
      <c r="F184" s="11">
        <v>33416.9</v>
      </c>
      <c r="G184" s="3"/>
      <c r="H184" s="11">
        <v>45727.41</v>
      </c>
      <c r="I184" s="3"/>
      <c r="J184" s="11">
        <v>42979.55</v>
      </c>
      <c r="K184" s="3"/>
      <c r="L184" s="11">
        <v>39394.629999999997</v>
      </c>
      <c r="M184" s="3"/>
      <c r="N184" s="11">
        <v>33239.879999999997</v>
      </c>
      <c r="O184" s="3"/>
      <c r="P184" s="11"/>
      <c r="Q184" s="3"/>
      <c r="R184" s="11"/>
    </row>
    <row r="185" spans="1:18" s="44" customFormat="1" hidden="1" outlineLevel="1" x14ac:dyDescent="0.35">
      <c r="A185" s="16"/>
      <c r="B185" s="35" t="str">
        <f>CONCATENATE("          ", "5032", " - ", "PURCHASES @ COST-JUICE")</f>
        <v xml:space="preserve">          5032 - PURCHASES @ COST-JUICE</v>
      </c>
      <c r="C185" s="16"/>
      <c r="D185" s="11">
        <v>11186.97</v>
      </c>
      <c r="E185" s="16"/>
      <c r="F185" s="11">
        <v>12614.91</v>
      </c>
      <c r="G185" s="3"/>
      <c r="H185" s="11">
        <v>12192.02</v>
      </c>
      <c r="I185" s="3"/>
      <c r="J185" s="11">
        <v>10424.870000000001</v>
      </c>
      <c r="K185" s="3"/>
      <c r="L185" s="11">
        <v>10038.59</v>
      </c>
      <c r="M185" s="3"/>
      <c r="N185" s="11">
        <v>7802.45</v>
      </c>
      <c r="O185" s="3"/>
      <c r="P185" s="11"/>
      <c r="Q185" s="3"/>
      <c r="R185" s="11"/>
    </row>
    <row r="186" spans="1:18" s="44" customFormat="1" hidden="1" outlineLevel="1" x14ac:dyDescent="0.35">
      <c r="A186" s="16"/>
      <c r="B186" s="35" t="str">
        <f>CONCATENATE("          ", "5033", " - ", "PURCHASES @ COST-CANDY")</f>
        <v xml:space="preserve">          5033 - PURCHASES @ COST-CANDY</v>
      </c>
      <c r="C186" s="16"/>
      <c r="D186" s="11">
        <v>15944.82</v>
      </c>
      <c r="E186" s="16"/>
      <c r="F186" s="11">
        <v>18911.07</v>
      </c>
      <c r="G186" s="3"/>
      <c r="H186" s="11">
        <v>14003.16</v>
      </c>
      <c r="I186" s="3"/>
      <c r="J186" s="11">
        <v>9927</v>
      </c>
      <c r="K186" s="3"/>
      <c r="L186" s="11">
        <v>10043.27</v>
      </c>
      <c r="M186" s="3"/>
      <c r="N186" s="11">
        <v>9998.41</v>
      </c>
      <c r="O186" s="3"/>
      <c r="P186" s="11"/>
      <c r="Q186" s="3"/>
      <c r="R186" s="11"/>
    </row>
    <row r="187" spans="1:18" s="44" customFormat="1" hidden="1" outlineLevel="1" x14ac:dyDescent="0.35">
      <c r="A187" s="16"/>
      <c r="B187" s="35" t="str">
        <f>CONCATENATE("          ", "5034", " - ", "PURCHASES @ COST-SODA")</f>
        <v xml:space="preserve">          5034 - PURCHASES @ COST-SODA</v>
      </c>
      <c r="C187" s="16"/>
      <c r="D187" s="11">
        <v>3990.6</v>
      </c>
      <c r="E187" s="16"/>
      <c r="F187" s="11">
        <v>3908.57</v>
      </c>
      <c r="G187" s="3"/>
      <c r="H187" s="11">
        <v>4978.3900000000003</v>
      </c>
      <c r="I187" s="3"/>
      <c r="J187" s="11">
        <v>5525.26</v>
      </c>
      <c r="K187" s="3"/>
      <c r="L187" s="11">
        <v>3996.87</v>
      </c>
      <c r="M187" s="3"/>
      <c r="N187" s="11">
        <v>4033.88</v>
      </c>
      <c r="O187" s="3"/>
      <c r="P187" s="11"/>
      <c r="Q187" s="3"/>
      <c r="R187" s="11"/>
    </row>
    <row r="188" spans="1:18" s="44" customFormat="1" hidden="1" outlineLevel="1" x14ac:dyDescent="0.35">
      <c r="A188" s="16"/>
      <c r="B188" s="35" t="str">
        <f>CONCATENATE("          ", "5035", " - ", "PURCHASES @ COST-HEALTH &amp; BEAU")</f>
        <v xml:space="preserve">          5035 - PURCHASES @ COST-HEALTH &amp; BEAU</v>
      </c>
      <c r="C188" s="16"/>
      <c r="D188" s="11">
        <v>792.67</v>
      </c>
      <c r="E188" s="16"/>
      <c r="F188" s="11">
        <v>1167.97</v>
      </c>
      <c r="G188" s="3"/>
      <c r="H188" s="11">
        <v>1842.37</v>
      </c>
      <c r="I188" s="3"/>
      <c r="J188" s="11">
        <v>1744.79</v>
      </c>
      <c r="K188" s="3"/>
      <c r="L188" s="11">
        <v>1219.07</v>
      </c>
      <c r="M188" s="3"/>
      <c r="N188" s="11">
        <v>1117.6500000000001</v>
      </c>
      <c r="O188" s="3"/>
      <c r="P188" s="11"/>
      <c r="Q188" s="3"/>
      <c r="R188" s="11"/>
    </row>
    <row r="189" spans="1:18" s="44" customFormat="1" hidden="1" outlineLevel="1" x14ac:dyDescent="0.35">
      <c r="A189" s="16"/>
      <c r="B189" s="35" t="str">
        <f>CONCATENATE("          ", "5037", " - ", "PURCHASES @ COST-WATER")</f>
        <v xml:space="preserve">          5037 - PURCHASES @ COST-WATER</v>
      </c>
      <c r="C189" s="16"/>
      <c r="D189" s="11">
        <v>6123.42</v>
      </c>
      <c r="E189" s="16"/>
      <c r="F189" s="11">
        <v>6136.26</v>
      </c>
      <c r="G189" s="3"/>
      <c r="H189" s="11">
        <v>5251.91</v>
      </c>
      <c r="I189" s="3"/>
      <c r="J189" s="11">
        <v>5729.06</v>
      </c>
      <c r="K189" s="3"/>
      <c r="L189" s="11">
        <v>6290.29</v>
      </c>
      <c r="M189" s="3"/>
      <c r="N189" s="11">
        <v>5693.57</v>
      </c>
      <c r="O189" s="3"/>
      <c r="P189" s="11"/>
      <c r="Q189" s="3"/>
      <c r="R189" s="11"/>
    </row>
    <row r="190" spans="1:18" s="44" customFormat="1" hidden="1" outlineLevel="1" x14ac:dyDescent="0.35">
      <c r="A190" s="16"/>
      <c r="B190" s="35" t="str">
        <f>CONCATENATE("          ", "5040", " - ", "PURCHASES @ COST-LOGO CLOTHING")</f>
        <v xml:space="preserve">          5040 - PURCHASES @ COST-LOGO CLOTHING</v>
      </c>
      <c r="C190" s="16"/>
      <c r="D190" s="11">
        <v>847287.44</v>
      </c>
      <c r="E190" s="16"/>
      <c r="F190" s="11">
        <v>991136.65</v>
      </c>
      <c r="G190" s="3"/>
      <c r="H190" s="11">
        <v>1087573.07</v>
      </c>
      <c r="I190" s="3"/>
      <c r="J190" s="11">
        <v>1108851</v>
      </c>
      <c r="K190" s="3"/>
      <c r="L190" s="11">
        <v>1080553.1200000001</v>
      </c>
      <c r="M190" s="3"/>
      <c r="N190" s="11">
        <v>982941.51</v>
      </c>
      <c r="O190" s="3"/>
      <c r="P190" s="11"/>
      <c r="Q190" s="3"/>
      <c r="R190" s="11"/>
    </row>
    <row r="191" spans="1:18" s="44" customFormat="1" hidden="1" outlineLevel="1" x14ac:dyDescent="0.35">
      <c r="A191" s="16"/>
      <c r="B191" s="35" t="str">
        <f>CONCATENATE("          ", "5041", " - ", "PURCHASES @ COST-LOGO GIFTS")</f>
        <v xml:space="preserve">          5041 - PURCHASES @ COST-LOGO GIFTS</v>
      </c>
      <c r="C191" s="16"/>
      <c r="D191" s="11">
        <v>249651.27</v>
      </c>
      <c r="E191" s="16"/>
      <c r="F191" s="11">
        <v>266168.43</v>
      </c>
      <c r="G191" s="3"/>
      <c r="H191" s="11">
        <v>290516.88</v>
      </c>
      <c r="I191" s="3"/>
      <c r="J191" s="11">
        <v>293142.75</v>
      </c>
      <c r="K191" s="3"/>
      <c r="L191" s="11">
        <v>323814.98</v>
      </c>
      <c r="M191" s="3"/>
      <c r="N191" s="11">
        <v>162844.63</v>
      </c>
      <c r="O191" s="3"/>
      <c r="P191" s="11"/>
      <c r="Q191" s="3"/>
      <c r="R191" s="11"/>
    </row>
    <row r="192" spans="1:18" s="44" customFormat="1" hidden="1" outlineLevel="1" x14ac:dyDescent="0.35">
      <c r="A192" s="16"/>
      <c r="B192" s="35" t="str">
        <f>CONCATENATE("          ", "5042", " - ", "PURCHASES @ COST-EVERYDAY GIFT")</f>
        <v xml:space="preserve">          5042 - PURCHASES @ COST-EVERYDAY GIFT</v>
      </c>
      <c r="C192" s="16"/>
      <c r="D192" s="11">
        <v>46184.45</v>
      </c>
      <c r="E192" s="16"/>
      <c r="F192" s="11">
        <v>57437.81</v>
      </c>
      <c r="G192" s="3"/>
      <c r="H192" s="11">
        <v>63500.18</v>
      </c>
      <c r="I192" s="3"/>
      <c r="J192" s="11">
        <v>127577.98</v>
      </c>
      <c r="K192" s="3"/>
      <c r="L192" s="11">
        <v>143887.1</v>
      </c>
      <c r="M192" s="3"/>
      <c r="N192" s="11">
        <v>125778.55</v>
      </c>
      <c r="O192" s="3"/>
      <c r="P192" s="11"/>
      <c r="Q192" s="3"/>
      <c r="R192" s="11"/>
    </row>
    <row r="193" spans="1:18" s="44" customFormat="1" hidden="1" outlineLevel="1" x14ac:dyDescent="0.35">
      <c r="A193" s="16"/>
      <c r="B193" s="35" t="str">
        <f>CONCATENATE("          ", "5043", " - ", "PURCHASES @ COST-CARDS")</f>
        <v xml:space="preserve">          5043 - PURCHASES @ COST-CARDS</v>
      </c>
      <c r="C193" s="16"/>
      <c r="D193" s="11">
        <v>18266.72</v>
      </c>
      <c r="E193" s="16"/>
      <c r="F193" s="11">
        <v>16408.27</v>
      </c>
      <c r="G193" s="3"/>
      <c r="H193" s="11">
        <v>2227.88</v>
      </c>
      <c r="I193" s="3"/>
      <c r="J193" s="11">
        <v>4641.3599999999997</v>
      </c>
      <c r="K193" s="3"/>
      <c r="L193" s="11">
        <v>3631.23</v>
      </c>
      <c r="M193" s="3"/>
      <c r="N193" s="11">
        <v>30914.66</v>
      </c>
      <c r="O193" s="3"/>
      <c r="P193" s="11"/>
      <c r="Q193" s="3"/>
      <c r="R193" s="11"/>
    </row>
    <row r="194" spans="1:18" s="44" customFormat="1" hidden="1" outlineLevel="1" x14ac:dyDescent="0.35">
      <c r="A194" s="16"/>
      <c r="B194" s="35" t="str">
        <f>CONCATENATE("          ", "5044", " - ", "PURCHASES @ COST-ACCESSORIES")</f>
        <v xml:space="preserve">          5044 - PURCHASES @ COST-ACCESSORIES</v>
      </c>
      <c r="C194" s="16"/>
      <c r="D194" s="11">
        <v>37989.160000000003</v>
      </c>
      <c r="E194" s="16"/>
      <c r="F194" s="11">
        <v>43577.53</v>
      </c>
      <c r="G194" s="3"/>
      <c r="H194" s="11">
        <v>29753.37</v>
      </c>
      <c r="I194" s="3"/>
      <c r="J194" s="11">
        <v>39851.769999999997</v>
      </c>
      <c r="K194" s="3"/>
      <c r="L194" s="11">
        <v>37653.61</v>
      </c>
      <c r="M194" s="3"/>
      <c r="N194" s="11">
        <v>37869.03</v>
      </c>
      <c r="O194" s="3"/>
      <c r="P194" s="11"/>
      <c r="Q194" s="3"/>
      <c r="R194" s="11"/>
    </row>
    <row r="195" spans="1:18" s="44" customFormat="1" hidden="1" outlineLevel="1" x14ac:dyDescent="0.35">
      <c r="A195" s="16"/>
      <c r="B195" s="35" t="str">
        <f>CONCATENATE("          ", "5045", " - ", "PURCHASES @ COST-SPECIAL ORDER")</f>
        <v xml:space="preserve">          5045 - PURCHASES @ COST-SPECIAL ORDER</v>
      </c>
      <c r="C195" s="16"/>
      <c r="D195" s="11">
        <v>80402.06</v>
      </c>
      <c r="E195" s="16"/>
      <c r="F195" s="11">
        <v>75693.570000000007</v>
      </c>
      <c r="G195" s="3"/>
      <c r="H195" s="11">
        <v>138273.57999999999</v>
      </c>
      <c r="I195" s="3"/>
      <c r="J195" s="11">
        <v>125479.66</v>
      </c>
      <c r="K195" s="3"/>
      <c r="L195" s="11">
        <v>157881.60999999999</v>
      </c>
      <c r="M195" s="3"/>
      <c r="N195" s="11">
        <v>131614.81</v>
      </c>
      <c r="O195" s="3"/>
      <c r="P195" s="11"/>
      <c r="Q195" s="3"/>
      <c r="R195" s="11"/>
    </row>
    <row r="196" spans="1:18" s="44" customFormat="1" hidden="1" outlineLevel="1" x14ac:dyDescent="0.35">
      <c r="A196" s="16"/>
      <c r="B196" s="35" t="str">
        <f>CONCATENATE("          ", "5053", " - ", "PURCHASES @ COST-FOOD")</f>
        <v xml:space="preserve">          5053 - PURCHASES @ COST-FOOD</v>
      </c>
      <c r="C196" s="16"/>
      <c r="D196" s="11">
        <v>5938800.04</v>
      </c>
      <c r="E196" s="16"/>
      <c r="F196" s="11">
        <v>6302985.8099999996</v>
      </c>
      <c r="G196" s="3"/>
      <c r="H196" s="11">
        <v>6429502.1699999999</v>
      </c>
      <c r="I196" s="3"/>
      <c r="J196" s="11">
        <v>6182648.5099999998</v>
      </c>
      <c r="K196" s="3"/>
      <c r="L196" s="11">
        <v>6278561.0199999996</v>
      </c>
      <c r="M196" s="3"/>
      <c r="N196" s="11">
        <v>4941935.9800000004</v>
      </c>
      <c r="O196" s="3"/>
      <c r="P196" s="11"/>
      <c r="Q196" s="3"/>
      <c r="R196" s="11"/>
    </row>
    <row r="197" spans="1:18" s="44" customFormat="1" hidden="1" outlineLevel="1" x14ac:dyDescent="0.35">
      <c r="A197" s="16"/>
      <c r="B197" s="35" t="str">
        <f>CONCATENATE("          ", "5055", " - ", "PURCHASES @ COST-FOOD")</f>
        <v xml:space="preserve">          5055 - PURCHASES @ COST-FOOD</v>
      </c>
      <c r="C197" s="16"/>
      <c r="D197" s="11"/>
      <c r="E197" s="16"/>
      <c r="F197" s="11">
        <v>94.33</v>
      </c>
      <c r="G197" s="3"/>
      <c r="H197" s="11"/>
      <c r="I197" s="3"/>
      <c r="J197" s="11"/>
      <c r="K197" s="3"/>
      <c r="L197" s="11"/>
      <c r="M197" s="3"/>
      <c r="N197" s="11"/>
      <c r="O197" s="3"/>
      <c r="P197" s="11"/>
      <c r="Q197" s="3"/>
      <c r="R197" s="11"/>
    </row>
    <row r="198" spans="1:18" s="44" customFormat="1" hidden="1" outlineLevel="1" x14ac:dyDescent="0.35">
      <c r="A198" s="16"/>
      <c r="B198" s="35" t="str">
        <f>CONCATENATE("          ", "5059", " - ", "PURCHASES @ COST-FOOD")</f>
        <v xml:space="preserve">          5059 - PURCHASES @ COST-FOOD</v>
      </c>
      <c r="C198" s="16"/>
      <c r="D198" s="11">
        <v>177372.51</v>
      </c>
      <c r="E198" s="16"/>
      <c r="F198" s="11">
        <v>140241.14000000001</v>
      </c>
      <c r="G198" s="3"/>
      <c r="H198" s="11">
        <v>69610.2</v>
      </c>
      <c r="I198" s="3"/>
      <c r="J198" s="11">
        <v>197164.03</v>
      </c>
      <c r="K198" s="3"/>
      <c r="L198" s="11">
        <v>92712.27</v>
      </c>
      <c r="M198" s="3"/>
      <c r="N198" s="11">
        <v>186122.53</v>
      </c>
      <c r="O198" s="3"/>
      <c r="P198" s="11"/>
      <c r="Q198" s="3"/>
      <c r="R198" s="11"/>
    </row>
    <row r="199" spans="1:18" s="44" customFormat="1" hidden="1" outlineLevel="1" x14ac:dyDescent="0.35">
      <c r="A199" s="16"/>
      <c r="B199" s="35" t="str">
        <f>CONCATENATE("          ", "5081", " - ", "PURCHASES @ COST-ELECTRONICS")</f>
        <v xml:space="preserve">          5081 - PURCHASES @ COST-ELECTRONICS</v>
      </c>
      <c r="C199" s="16"/>
      <c r="D199" s="11">
        <v>87679.76</v>
      </c>
      <c r="E199" s="16"/>
      <c r="F199" s="11">
        <v>132249.53</v>
      </c>
      <c r="G199" s="3"/>
      <c r="H199" s="11">
        <v>163933.5</v>
      </c>
      <c r="I199" s="3"/>
      <c r="J199" s="11">
        <v>267563.89</v>
      </c>
      <c r="K199" s="3"/>
      <c r="L199" s="11">
        <v>238614.98</v>
      </c>
      <c r="M199" s="3"/>
      <c r="N199" s="11">
        <v>260296.33</v>
      </c>
      <c r="O199" s="3"/>
      <c r="P199" s="11"/>
      <c r="Q199" s="3"/>
      <c r="R199" s="11"/>
    </row>
    <row r="200" spans="1:18" s="44" customFormat="1" hidden="1" outlineLevel="1" x14ac:dyDescent="0.35">
      <c r="A200" s="16"/>
      <c r="B200" s="35" t="str">
        <f>CONCATENATE("          ", "5082", " - ", "PURCHASES @ COST-COMPUTER HARD")</f>
        <v xml:space="preserve">          5082 - PURCHASES @ COST-COMPUTER HARD</v>
      </c>
      <c r="C200" s="16"/>
      <c r="D200" s="11">
        <v>1881910.11</v>
      </c>
      <c r="E200" s="16"/>
      <c r="F200" s="11">
        <v>2119626.5299999998</v>
      </c>
      <c r="G200" s="3"/>
      <c r="H200" s="11">
        <v>1942325.26</v>
      </c>
      <c r="I200" s="3"/>
      <c r="J200" s="11">
        <v>1415311.99</v>
      </c>
      <c r="K200" s="3"/>
      <c r="L200" s="11">
        <v>1965346.54</v>
      </c>
      <c r="M200" s="3"/>
      <c r="N200" s="11">
        <v>1831850.83</v>
      </c>
      <c r="O200" s="3"/>
      <c r="P200" s="11"/>
      <c r="Q200" s="3"/>
      <c r="R200" s="11"/>
    </row>
    <row r="201" spans="1:18" s="44" customFormat="1" hidden="1" outlineLevel="1" x14ac:dyDescent="0.35">
      <c r="A201" s="16"/>
      <c r="B201" s="35" t="str">
        <f>CONCATENATE("          ", "5083", " - ", "PURCHASES @ COST-COMPUTER EQUI")</f>
        <v xml:space="preserve">          5083 - PURCHASES @ COST-COMPUTER EQUI</v>
      </c>
      <c r="C201" s="16"/>
      <c r="D201" s="11">
        <v>72529.350000000006</v>
      </c>
      <c r="E201" s="16"/>
      <c r="F201" s="11">
        <v>115838.88</v>
      </c>
      <c r="G201" s="3"/>
      <c r="H201" s="11">
        <v>115507.54</v>
      </c>
      <c r="I201" s="3"/>
      <c r="J201" s="11">
        <v>112783.73</v>
      </c>
      <c r="K201" s="3"/>
      <c r="L201" s="11">
        <v>111716.08</v>
      </c>
      <c r="M201" s="3"/>
      <c r="N201" s="11">
        <v>107819.31</v>
      </c>
      <c r="O201" s="3"/>
      <c r="P201" s="11"/>
      <c r="Q201" s="3"/>
      <c r="R201" s="11"/>
    </row>
    <row r="202" spans="1:18" s="44" customFormat="1" hidden="1" outlineLevel="1" x14ac:dyDescent="0.35">
      <c r="A202" s="16"/>
      <c r="B202" s="35" t="str">
        <f>CONCATENATE("          ", "5084", " - ", "PURCHASES @ COST-SOFTWARE LICE")</f>
        <v xml:space="preserve">          5084 - PURCHASES @ COST-SOFTWARE LICE</v>
      </c>
      <c r="C202" s="16"/>
      <c r="D202" s="11">
        <v>1042.55</v>
      </c>
      <c r="E202" s="16"/>
      <c r="F202" s="11">
        <v>941.89</v>
      </c>
      <c r="G202" s="3"/>
      <c r="H202" s="11">
        <v>661.55</v>
      </c>
      <c r="I202" s="3"/>
      <c r="J202" s="11">
        <v>525.54999999999995</v>
      </c>
      <c r="K202" s="3"/>
      <c r="L202" s="11">
        <v>5183</v>
      </c>
      <c r="M202" s="3"/>
      <c r="N202" s="11">
        <v>2728</v>
      </c>
      <c r="O202" s="3"/>
      <c r="P202" s="11"/>
      <c r="Q202" s="3"/>
      <c r="R202" s="11"/>
    </row>
    <row r="203" spans="1:18" s="44" customFormat="1" hidden="1" outlineLevel="1" x14ac:dyDescent="0.35">
      <c r="A203" s="16"/>
      <c r="B203" s="35" t="str">
        <f>CONCATENATE("          ", "5085", " - ", "PURCHASES @ COST-SOFTWARE")</f>
        <v xml:space="preserve">          5085 - PURCHASES @ COST-SOFTWARE</v>
      </c>
      <c r="C203" s="16"/>
      <c r="D203" s="11">
        <v>19066.349999999999</v>
      </c>
      <c r="E203" s="16"/>
      <c r="F203" s="11">
        <v>17377.990000000002</v>
      </c>
      <c r="G203" s="3"/>
      <c r="H203" s="11">
        <v>15223.87</v>
      </c>
      <c r="I203" s="3"/>
      <c r="J203" s="11">
        <v>28339.68</v>
      </c>
      <c r="K203" s="3"/>
      <c r="L203" s="11">
        <v>12963.48</v>
      </c>
      <c r="M203" s="3"/>
      <c r="N203" s="11">
        <v>17324.650000000001</v>
      </c>
      <c r="O203" s="3"/>
      <c r="P203" s="11"/>
      <c r="Q203" s="3"/>
      <c r="R203" s="11"/>
    </row>
    <row r="204" spans="1:18" s="44" customFormat="1" hidden="1" outlineLevel="1" x14ac:dyDescent="0.35">
      <c r="A204" s="16"/>
      <c r="B204" s="35" t="str">
        <f>CONCATENATE("          ", "5086", " - ", "PURCHASES @ COST-COMPUTER SUPP")</f>
        <v xml:space="preserve">          5086 - PURCHASES @ COST-COMPUTER SUPP</v>
      </c>
      <c r="C204" s="16"/>
      <c r="D204" s="11">
        <v>29306.720000000001</v>
      </c>
      <c r="E204" s="16"/>
      <c r="F204" s="11">
        <v>62269.51</v>
      </c>
      <c r="G204" s="3"/>
      <c r="H204" s="11">
        <v>48616.19</v>
      </c>
      <c r="I204" s="3"/>
      <c r="J204" s="11">
        <v>44701.93</v>
      </c>
      <c r="K204" s="3"/>
      <c r="L204" s="11">
        <v>62151.839999999997</v>
      </c>
      <c r="M204" s="3"/>
      <c r="N204" s="11">
        <v>30436.54</v>
      </c>
      <c r="O204" s="3"/>
      <c r="P204" s="11"/>
      <c r="Q204" s="3"/>
      <c r="R204" s="11"/>
    </row>
    <row r="205" spans="1:18" s="44" customFormat="1" hidden="1" outlineLevel="1" x14ac:dyDescent="0.35">
      <c r="A205" s="16"/>
      <c r="B205" s="35" t="str">
        <f>CONCATENATE("          ", "5088", " - ", "PURCHASES @ COST-MUSIC")</f>
        <v xml:space="preserve">          5088 - PURCHASES @ COST-MUSIC</v>
      </c>
      <c r="C205" s="16"/>
      <c r="D205" s="11"/>
      <c r="E205" s="16"/>
      <c r="F205" s="11">
        <v>8393.5499999999993</v>
      </c>
      <c r="G205" s="3"/>
      <c r="H205" s="11">
        <v>5291.05</v>
      </c>
      <c r="I205" s="3"/>
      <c r="J205" s="11">
        <v>3590.95</v>
      </c>
      <c r="K205" s="3"/>
      <c r="L205" s="11">
        <v>2245</v>
      </c>
      <c r="M205" s="3"/>
      <c r="N205" s="11">
        <v>95.65</v>
      </c>
      <c r="O205" s="3"/>
      <c r="P205" s="11"/>
      <c r="Q205" s="3"/>
      <c r="R205" s="11"/>
    </row>
    <row r="206" spans="1:18" s="44" customFormat="1" hidden="1" outlineLevel="1" x14ac:dyDescent="0.35">
      <c r="A206" s="16"/>
      <c r="B206" s="35" t="str">
        <f>CONCATENATE("          ", "5091", " - ", "PURCHASES @ COST-GRAD ANNOUNCE")</f>
        <v xml:space="preserve">          5091 - PURCHASES @ COST-GRAD ANNOUNCE</v>
      </c>
      <c r="C206" s="16"/>
      <c r="D206" s="11">
        <v>478.5</v>
      </c>
      <c r="E206" s="16"/>
      <c r="F206" s="11">
        <v>715</v>
      </c>
      <c r="G206" s="3"/>
      <c r="H206" s="11"/>
      <c r="I206" s="3"/>
      <c r="J206" s="11">
        <v>0</v>
      </c>
      <c r="K206" s="3"/>
      <c r="L206" s="11"/>
      <c r="M206" s="3"/>
      <c r="N206" s="11"/>
      <c r="O206" s="3"/>
      <c r="P206" s="11"/>
      <c r="Q206" s="3"/>
      <c r="R206" s="11"/>
    </row>
    <row r="207" spans="1:18" s="44" customFormat="1" hidden="1" outlineLevel="1" x14ac:dyDescent="0.35">
      <c r="A207" s="16"/>
      <c r="B207" s="35" t="str">
        <f>CONCATENATE("          ", "5092", " - ", "PURCHASES @ COST-GRAD MERCH")</f>
        <v xml:space="preserve">          5092 - PURCHASES @ COST-GRAD MERCH</v>
      </c>
      <c r="C207" s="16"/>
      <c r="D207" s="11">
        <v>128753.82</v>
      </c>
      <c r="E207" s="16"/>
      <c r="F207" s="11">
        <v>155039.99</v>
      </c>
      <c r="G207" s="3"/>
      <c r="H207" s="11">
        <v>187802.28</v>
      </c>
      <c r="I207" s="3"/>
      <c r="J207" s="11">
        <v>207987.96</v>
      </c>
      <c r="K207" s="3"/>
      <c r="L207" s="11">
        <v>96915.8</v>
      </c>
      <c r="M207" s="3"/>
      <c r="N207" s="11">
        <v>13839.98</v>
      </c>
      <c r="O207" s="3"/>
      <c r="P207" s="11"/>
      <c r="Q207" s="3"/>
      <c r="R207" s="11"/>
    </row>
    <row r="208" spans="1:18" s="44" customFormat="1" hidden="1" outlineLevel="1" x14ac:dyDescent="0.35">
      <c r="A208" s="16"/>
      <c r="B208" s="35" t="str">
        <f>CONCATENATE("          ", "5095", " - ", "PURCHASES @ COST-CUSTOMER SERV")</f>
        <v xml:space="preserve">          5095 - PURCHASES @ COST-CUSTOMER SERV</v>
      </c>
      <c r="C208" s="16"/>
      <c r="D208" s="11">
        <v>0</v>
      </c>
      <c r="E208" s="16"/>
      <c r="F208" s="11">
        <v>-1.68</v>
      </c>
      <c r="G208" s="3"/>
      <c r="H208" s="11">
        <v>0</v>
      </c>
      <c r="I208" s="3"/>
      <c r="J208" s="11">
        <v>0</v>
      </c>
      <c r="K208" s="3"/>
      <c r="L208" s="11">
        <v>0</v>
      </c>
      <c r="M208" s="3"/>
      <c r="N208" s="11">
        <v>0</v>
      </c>
      <c r="O208" s="3"/>
      <c r="P208" s="11"/>
      <c r="Q208" s="3"/>
      <c r="R208" s="11"/>
    </row>
    <row r="209" spans="1:18" s="44" customFormat="1" hidden="1" outlineLevel="1" x14ac:dyDescent="0.35">
      <c r="A209" s="16"/>
      <c r="B209" s="35" t="str">
        <f>CONCATENATE("          ", "5200", " - ", "PURCHASES OFFSET")</f>
        <v xml:space="preserve">          5200 - PURCHASES OFFSET</v>
      </c>
      <c r="C209" s="16"/>
      <c r="D209" s="11">
        <v>-8946334</v>
      </c>
      <c r="E209" s="16"/>
      <c r="F209" s="11">
        <v>-8568454</v>
      </c>
      <c r="G209" s="3"/>
      <c r="H209" s="11">
        <v>-8636188</v>
      </c>
      <c r="I209" s="3"/>
      <c r="J209" s="11">
        <v>-7616486</v>
      </c>
      <c r="K209" s="3"/>
      <c r="L209" s="11">
        <v>-7325548</v>
      </c>
      <c r="M209" s="3"/>
      <c r="N209" s="11">
        <v>-6025314</v>
      </c>
      <c r="O209" s="3"/>
      <c r="P209" s="11"/>
      <c r="Q209" s="3"/>
      <c r="R209" s="11"/>
    </row>
    <row r="210" spans="1:18" s="44" customFormat="1" hidden="1" outlineLevel="1" x14ac:dyDescent="0.35">
      <c r="A210" s="16"/>
      <c r="B210" s="35" t="str">
        <f>CONCATENATE("          ", "5300", " - ", "COG$ OFFSET")</f>
        <v xml:space="preserve">          5300 - COG$ OFFSET</v>
      </c>
      <c r="C210" s="16"/>
      <c r="D210" s="11">
        <v>8705985</v>
      </c>
      <c r="E210" s="16"/>
      <c r="F210" s="11">
        <v>8309230</v>
      </c>
      <c r="G210" s="3"/>
      <c r="H210" s="11">
        <v>8494844</v>
      </c>
      <c r="I210" s="3"/>
      <c r="J210" s="11">
        <v>7309852</v>
      </c>
      <c r="K210" s="3"/>
      <c r="L210" s="11">
        <v>7638476</v>
      </c>
      <c r="M210" s="3"/>
      <c r="N210" s="11">
        <v>6784339</v>
      </c>
      <c r="O210" s="3"/>
      <c r="P210" s="11"/>
      <c r="Q210" s="3"/>
      <c r="R210" s="11"/>
    </row>
    <row r="211" spans="1:18" s="44" customFormat="1" hidden="1" outlineLevel="1" x14ac:dyDescent="0.35">
      <c r="A211" s="16"/>
      <c r="B211" s="35" t="str">
        <f>CONCATENATE("          ", "5500", " - ", "FREIGHT-IN")</f>
        <v xml:space="preserve">          5500 - FREIGHT-IN</v>
      </c>
      <c r="C211" s="16"/>
      <c r="D211" s="11"/>
      <c r="E211" s="16"/>
      <c r="F211" s="11"/>
      <c r="G211" s="3"/>
      <c r="H211" s="11"/>
      <c r="I211" s="3"/>
      <c r="J211" s="11">
        <v>253.26</v>
      </c>
      <c r="K211" s="3"/>
      <c r="L211" s="11">
        <v>202.99</v>
      </c>
      <c r="M211" s="3"/>
      <c r="N211" s="11">
        <v>239.61</v>
      </c>
      <c r="O211" s="3"/>
      <c r="P211" s="11"/>
      <c r="Q211" s="3"/>
      <c r="R211" s="11"/>
    </row>
    <row r="212" spans="1:18" s="44" customFormat="1" hidden="1" outlineLevel="1" x14ac:dyDescent="0.35">
      <c r="A212" s="16"/>
      <c r="B212" s="35" t="str">
        <f>CONCATENATE("          ", "5501", " - ", "FREIGHT-IN-NEW TEXT")</f>
        <v xml:space="preserve">          5501 - FREIGHT-IN-NEW TEXT</v>
      </c>
      <c r="C212" s="16"/>
      <c r="D212" s="11">
        <v>113122.15</v>
      </c>
      <c r="E212" s="16"/>
      <c r="F212" s="11">
        <v>81075.98</v>
      </c>
      <c r="G212" s="3"/>
      <c r="H212" s="11">
        <v>66269.36</v>
      </c>
      <c r="I212" s="3"/>
      <c r="J212" s="11">
        <v>72413.94</v>
      </c>
      <c r="K212" s="3"/>
      <c r="L212" s="11">
        <v>66019.19</v>
      </c>
      <c r="M212" s="3"/>
      <c r="N212" s="11">
        <v>72230.789999999994</v>
      </c>
      <c r="O212" s="3"/>
      <c r="P212" s="11"/>
      <c r="Q212" s="3"/>
      <c r="R212" s="11"/>
    </row>
    <row r="213" spans="1:18" s="44" customFormat="1" hidden="1" outlineLevel="1" x14ac:dyDescent="0.35">
      <c r="A213" s="16"/>
      <c r="B213" s="35" t="str">
        <f>CONCATENATE("          ", "5502", " - ", "FREIGHT-IN-USED TEXT")</f>
        <v xml:space="preserve">          5502 - FREIGHT-IN-USED TEXT</v>
      </c>
      <c r="C213" s="16"/>
      <c r="D213" s="11">
        <v>25064.61</v>
      </c>
      <c r="E213" s="16"/>
      <c r="F213" s="11">
        <v>23788.51</v>
      </c>
      <c r="G213" s="3"/>
      <c r="H213" s="11">
        <v>22503.66</v>
      </c>
      <c r="I213" s="3"/>
      <c r="J213" s="11">
        <v>20515.400000000001</v>
      </c>
      <c r="K213" s="3"/>
      <c r="L213" s="11">
        <v>14394.46</v>
      </c>
      <c r="M213" s="3"/>
      <c r="N213" s="11">
        <v>16200.12</v>
      </c>
      <c r="O213" s="3"/>
      <c r="P213" s="11"/>
      <c r="Q213" s="3"/>
      <c r="R213" s="11"/>
    </row>
    <row r="214" spans="1:18" s="44" customFormat="1" hidden="1" outlineLevel="1" x14ac:dyDescent="0.35">
      <c r="A214" s="16"/>
      <c r="B214" s="35" t="str">
        <f>CONCATENATE("          ", "5504", " - ", "FREIGHT-IN-DIGITAL TEXT")</f>
        <v xml:space="preserve">          5504 - FREIGHT-IN-DIGITAL TEXT</v>
      </c>
      <c r="C214" s="16"/>
      <c r="D214" s="11">
        <v>10</v>
      </c>
      <c r="E214" s="16"/>
      <c r="F214" s="11"/>
      <c r="G214" s="3"/>
      <c r="H214" s="11">
        <v>36.46</v>
      </c>
      <c r="I214" s="3"/>
      <c r="J214" s="11">
        <v>84.51</v>
      </c>
      <c r="K214" s="3"/>
      <c r="L214" s="11">
        <v>243.53</v>
      </c>
      <c r="M214" s="3"/>
      <c r="N214" s="11">
        <v>118.75</v>
      </c>
      <c r="O214" s="3"/>
      <c r="P214" s="11"/>
      <c r="Q214" s="3"/>
      <c r="R214" s="11"/>
    </row>
    <row r="215" spans="1:18" s="44" customFormat="1" hidden="1" outlineLevel="1" x14ac:dyDescent="0.35">
      <c r="A215" s="16"/>
      <c r="B215" s="35" t="str">
        <f>CONCATENATE("          ", "5505", " - ", "FREIGHT-IN-NCSU")</f>
        <v xml:space="preserve">          5505 - FREIGHT-IN-NCSU</v>
      </c>
      <c r="C215" s="16"/>
      <c r="D215" s="11"/>
      <c r="E215" s="16"/>
      <c r="F215" s="11"/>
      <c r="G215" s="3"/>
      <c r="H215" s="11"/>
      <c r="I215" s="3"/>
      <c r="J215" s="11"/>
      <c r="K215" s="3"/>
      <c r="L215" s="11">
        <v>0</v>
      </c>
      <c r="M215" s="3"/>
      <c r="N215" s="11"/>
      <c r="O215" s="3"/>
      <c r="P215" s="11"/>
      <c r="Q215" s="3"/>
      <c r="R215" s="11"/>
    </row>
    <row r="216" spans="1:18" s="44" customFormat="1" hidden="1" outlineLevel="1" x14ac:dyDescent="0.35">
      <c r="A216" s="16"/>
      <c r="B216" s="35" t="str">
        <f>CONCATENATE("          ", "5507", " - ", "FREIGHT-IN-NPUB")</f>
        <v xml:space="preserve">          5507 - FREIGHT-IN-NPUB</v>
      </c>
      <c r="C216" s="16"/>
      <c r="D216" s="11"/>
      <c r="E216" s="16"/>
      <c r="F216" s="11"/>
      <c r="G216" s="3"/>
      <c r="H216" s="11"/>
      <c r="I216" s="3"/>
      <c r="J216" s="11">
        <v>1.75</v>
      </c>
      <c r="K216" s="3"/>
      <c r="L216" s="11"/>
      <c r="M216" s="3"/>
      <c r="N216" s="11"/>
      <c r="O216" s="3"/>
      <c r="P216" s="11"/>
      <c r="Q216" s="3"/>
      <c r="R216" s="11"/>
    </row>
    <row r="217" spans="1:18" s="44" customFormat="1" hidden="1" outlineLevel="1" x14ac:dyDescent="0.35">
      <c r="A217" s="16"/>
      <c r="B217" s="35" t="str">
        <f>CONCATENATE("          ", "5513", " - ", "FREIGHT-IN-TRADE BOOKS")</f>
        <v xml:space="preserve">          5513 - FREIGHT-IN-TRADE BOOKS</v>
      </c>
      <c r="C217" s="16"/>
      <c r="D217" s="11">
        <v>689.7</v>
      </c>
      <c r="E217" s="16"/>
      <c r="F217" s="11">
        <v>584.27</v>
      </c>
      <c r="G217" s="3"/>
      <c r="H217" s="11">
        <v>202.25</v>
      </c>
      <c r="I217" s="3"/>
      <c r="J217" s="11">
        <v>129.78</v>
      </c>
      <c r="K217" s="3"/>
      <c r="L217" s="11">
        <v>54.9</v>
      </c>
      <c r="M217" s="3"/>
      <c r="N217" s="11">
        <v>30.24</v>
      </c>
      <c r="O217" s="3"/>
      <c r="P217" s="11"/>
      <c r="Q217" s="3"/>
      <c r="R217" s="11"/>
    </row>
    <row r="218" spans="1:18" s="44" customFormat="1" hidden="1" outlineLevel="1" x14ac:dyDescent="0.35">
      <c r="A218" s="16"/>
      <c r="B218" s="35" t="str">
        <f>CONCATENATE("          ", "5514", " - ", "FREIGHT-IN-REMAINDERS")</f>
        <v xml:space="preserve">          5514 - FREIGHT-IN-REMAINDERS</v>
      </c>
      <c r="C218" s="16"/>
      <c r="D218" s="11"/>
      <c r="E218" s="16"/>
      <c r="F218" s="11">
        <v>243.14</v>
      </c>
      <c r="G218" s="3"/>
      <c r="H218" s="11"/>
      <c r="I218" s="3"/>
      <c r="J218" s="11"/>
      <c r="K218" s="3"/>
      <c r="L218" s="11"/>
      <c r="M218" s="3"/>
      <c r="N218" s="11"/>
      <c r="O218" s="3"/>
      <c r="P218" s="11"/>
      <c r="Q218" s="3"/>
      <c r="R218" s="11"/>
    </row>
    <row r="219" spans="1:18" s="44" customFormat="1" hidden="1" outlineLevel="1" x14ac:dyDescent="0.35">
      <c r="A219" s="16"/>
      <c r="B219" s="35" t="str">
        <f>CONCATENATE("          ", "5515", " - ", "FREIGHT-IN-CALENDARS")</f>
        <v xml:space="preserve">          5515 - FREIGHT-IN-CALENDARS</v>
      </c>
      <c r="C219" s="16"/>
      <c r="D219" s="11">
        <v>9.69</v>
      </c>
      <c r="E219" s="16"/>
      <c r="F219" s="11"/>
      <c r="G219" s="3"/>
      <c r="H219" s="11"/>
      <c r="I219" s="3"/>
      <c r="J219" s="11"/>
      <c r="K219" s="3"/>
      <c r="L219" s="11"/>
      <c r="M219" s="3"/>
      <c r="N219" s="11"/>
      <c r="O219" s="3"/>
      <c r="P219" s="11"/>
      <c r="Q219" s="3"/>
      <c r="R219" s="11"/>
    </row>
    <row r="220" spans="1:18" s="44" customFormat="1" hidden="1" outlineLevel="1" x14ac:dyDescent="0.35">
      <c r="A220" s="16"/>
      <c r="B220" s="35" t="str">
        <f>CONCATENATE("          ", "5517", " - ", "FREIGHT-IN-DORM/HOUSEWARES")</f>
        <v xml:space="preserve">          5517 - FREIGHT-IN-DORM/HOUSEWARES</v>
      </c>
      <c r="C220" s="16"/>
      <c r="D220" s="11">
        <v>33</v>
      </c>
      <c r="E220" s="16"/>
      <c r="F220" s="11"/>
      <c r="G220" s="3"/>
      <c r="H220" s="11"/>
      <c r="I220" s="3"/>
      <c r="J220" s="11">
        <v>21.57</v>
      </c>
      <c r="K220" s="3"/>
      <c r="L220" s="11"/>
      <c r="M220" s="3"/>
      <c r="N220" s="11"/>
      <c r="O220" s="3"/>
      <c r="P220" s="11"/>
      <c r="Q220" s="3"/>
      <c r="R220" s="11"/>
    </row>
    <row r="221" spans="1:18" s="44" customFormat="1" hidden="1" outlineLevel="1" x14ac:dyDescent="0.35">
      <c r="A221" s="16"/>
      <c r="B221" s="35" t="str">
        <f>CONCATENATE("          ", "5518", " - ", "FREIGHT-IN-STUDY GUIDES")</f>
        <v xml:space="preserve">          5518 - FREIGHT-IN-STUDY GUIDES</v>
      </c>
      <c r="C221" s="16"/>
      <c r="D221" s="11">
        <v>37.56</v>
      </c>
      <c r="E221" s="16"/>
      <c r="F221" s="11">
        <v>11.63</v>
      </c>
      <c r="G221" s="3"/>
      <c r="H221" s="11">
        <v>16.38</v>
      </c>
      <c r="I221" s="3"/>
      <c r="J221" s="11"/>
      <c r="K221" s="3"/>
      <c r="L221" s="11"/>
      <c r="M221" s="3"/>
      <c r="N221" s="11">
        <v>21.13</v>
      </c>
      <c r="O221" s="3"/>
      <c r="P221" s="11"/>
      <c r="Q221" s="3"/>
      <c r="R221" s="11"/>
    </row>
    <row r="222" spans="1:18" s="44" customFormat="1" hidden="1" outlineLevel="1" x14ac:dyDescent="0.35">
      <c r="A222" s="16"/>
      <c r="B222" s="35" t="str">
        <f>CONCATENATE("          ", "5519", " - ", "FREIGHT-IN-BOOK RELATED")</f>
        <v xml:space="preserve">          5519 - FREIGHT-IN-BOOK RELATED</v>
      </c>
      <c r="C222" s="16"/>
      <c r="D222" s="11">
        <v>169.6</v>
      </c>
      <c r="E222" s="16"/>
      <c r="F222" s="11">
        <v>250.18</v>
      </c>
      <c r="G222" s="3"/>
      <c r="H222" s="11"/>
      <c r="I222" s="3"/>
      <c r="J222" s="11"/>
      <c r="K222" s="3"/>
      <c r="L222" s="11"/>
      <c r="M222" s="3"/>
      <c r="N222" s="11"/>
      <c r="O222" s="3"/>
      <c r="P222" s="11"/>
      <c r="Q222" s="3"/>
      <c r="R222" s="11"/>
    </row>
    <row r="223" spans="1:18" s="44" customFormat="1" hidden="1" outlineLevel="1" x14ac:dyDescent="0.35">
      <c r="A223" s="16"/>
      <c r="B223" s="35" t="str">
        <f>CONCATENATE("          ", "5525", " - ", "FREIGHT-IN-TEST FORMS")</f>
        <v xml:space="preserve">          5525 - FREIGHT-IN-TEST FORMS</v>
      </c>
      <c r="C223" s="16"/>
      <c r="D223" s="11">
        <v>477.7</v>
      </c>
      <c r="E223" s="16"/>
      <c r="F223" s="11">
        <v>527.13</v>
      </c>
      <c r="G223" s="3"/>
      <c r="H223" s="11">
        <v>715.82</v>
      </c>
      <c r="I223" s="3"/>
      <c r="J223" s="11">
        <v>786.81</v>
      </c>
      <c r="K223" s="3"/>
      <c r="L223" s="11">
        <v>390.96</v>
      </c>
      <c r="M223" s="3"/>
      <c r="N223" s="11">
        <v>1614.32</v>
      </c>
      <c r="O223" s="3"/>
      <c r="P223" s="11"/>
      <c r="Q223" s="3"/>
      <c r="R223" s="11"/>
    </row>
    <row r="224" spans="1:18" s="44" customFormat="1" hidden="1" outlineLevel="1" x14ac:dyDescent="0.35">
      <c r="A224" s="16"/>
      <c r="B224" s="35" t="str">
        <f>CONCATENATE("          ", "5526", " - ", "FREIGHT-IN-WRITING INSTRUMENTS")</f>
        <v xml:space="preserve">          5526 - FREIGHT-IN-WRITING INSTRUMENTS</v>
      </c>
      <c r="C224" s="16"/>
      <c r="D224" s="11">
        <v>252.21</v>
      </c>
      <c r="E224" s="16"/>
      <c r="F224" s="11">
        <v>325.39</v>
      </c>
      <c r="G224" s="3"/>
      <c r="H224" s="11">
        <v>944.45</v>
      </c>
      <c r="I224" s="3"/>
      <c r="J224" s="11">
        <v>119.51</v>
      </c>
      <c r="K224" s="3"/>
      <c r="L224" s="11">
        <v>262.62</v>
      </c>
      <c r="M224" s="3"/>
      <c r="N224" s="11">
        <v>274.5</v>
      </c>
      <c r="O224" s="3"/>
      <c r="P224" s="11"/>
      <c r="Q224" s="3"/>
      <c r="R224" s="11"/>
    </row>
    <row r="225" spans="1:18" s="44" customFormat="1" hidden="1" outlineLevel="1" x14ac:dyDescent="0.35">
      <c r="A225" s="16"/>
      <c r="B225" s="35" t="str">
        <f>CONCATENATE("          ", "5527", " - ", "FREIGHT-IN-SCHOOL SUPPLIES")</f>
        <v xml:space="preserve">          5527 - FREIGHT-IN-SCHOOL SUPPLIES</v>
      </c>
      <c r="C225" s="16"/>
      <c r="D225" s="11">
        <v>1884.99</v>
      </c>
      <c r="E225" s="16"/>
      <c r="F225" s="11">
        <v>2183.15</v>
      </c>
      <c r="G225" s="3"/>
      <c r="H225" s="11">
        <v>3088.99</v>
      </c>
      <c r="I225" s="3"/>
      <c r="J225" s="11">
        <v>1747.18</v>
      </c>
      <c r="K225" s="3"/>
      <c r="L225" s="11">
        <v>2106.8200000000002</v>
      </c>
      <c r="M225" s="3"/>
      <c r="N225" s="11">
        <v>1808</v>
      </c>
      <c r="O225" s="3"/>
      <c r="P225" s="11"/>
      <c r="Q225" s="3"/>
      <c r="R225" s="11"/>
    </row>
    <row r="226" spans="1:18" s="44" customFormat="1" hidden="1" outlineLevel="1" x14ac:dyDescent="0.35">
      <c r="A226" s="16"/>
      <c r="B226" s="35" t="str">
        <f>CONCATENATE("          ", "5528", " - ", "FREIGHT-IN-ART/TECH")</f>
        <v xml:space="preserve">          5528 - FREIGHT-IN-ART/TECH</v>
      </c>
      <c r="C226" s="16"/>
      <c r="D226" s="11">
        <v>1217.47</v>
      </c>
      <c r="E226" s="16"/>
      <c r="F226" s="11">
        <v>1778.86</v>
      </c>
      <c r="G226" s="3"/>
      <c r="H226" s="11">
        <v>1886.69</v>
      </c>
      <c r="I226" s="3"/>
      <c r="J226" s="11">
        <v>1892.15</v>
      </c>
      <c r="K226" s="3"/>
      <c r="L226" s="11">
        <v>7608.5</v>
      </c>
      <c r="M226" s="3"/>
      <c r="N226" s="11">
        <v>2837.7</v>
      </c>
      <c r="O226" s="3"/>
      <c r="P226" s="11"/>
      <c r="Q226" s="3"/>
      <c r="R226" s="11"/>
    </row>
    <row r="227" spans="1:18" s="44" customFormat="1" hidden="1" outlineLevel="1" x14ac:dyDescent="0.35">
      <c r="A227" s="16"/>
      <c r="B227" s="35" t="str">
        <f>CONCATENATE("          ", "5540", " - ", "FREIGHT-IN-LOGO CLOTHING")</f>
        <v xml:space="preserve">          5540 - FREIGHT-IN-LOGO CLOTHING</v>
      </c>
      <c r="C227" s="16"/>
      <c r="D227" s="11">
        <v>21210.19</v>
      </c>
      <c r="E227" s="16"/>
      <c r="F227" s="11">
        <v>34315.83</v>
      </c>
      <c r="G227" s="3"/>
      <c r="H227" s="11">
        <v>27831.279999999999</v>
      </c>
      <c r="I227" s="3"/>
      <c r="J227" s="11">
        <v>25956.86</v>
      </c>
      <c r="K227" s="3"/>
      <c r="L227" s="11">
        <v>35751.94</v>
      </c>
      <c r="M227" s="3"/>
      <c r="N227" s="11">
        <v>32548.98</v>
      </c>
      <c r="O227" s="3"/>
      <c r="P227" s="11"/>
      <c r="Q227" s="3"/>
      <c r="R227" s="11"/>
    </row>
    <row r="228" spans="1:18" s="44" customFormat="1" hidden="1" outlineLevel="1" x14ac:dyDescent="0.35">
      <c r="A228" s="16"/>
      <c r="B228" s="35" t="str">
        <f>CONCATENATE("          ", "5541", " - ", "FREIGHT-IN-LOGO GIFTS")</f>
        <v xml:space="preserve">          5541 - FREIGHT-IN-LOGO GIFTS</v>
      </c>
      <c r="C228" s="16"/>
      <c r="D228" s="11">
        <v>9598.33</v>
      </c>
      <c r="E228" s="16"/>
      <c r="F228" s="11">
        <v>7755.4</v>
      </c>
      <c r="G228" s="3"/>
      <c r="H228" s="11">
        <v>6647.69</v>
      </c>
      <c r="I228" s="3"/>
      <c r="J228" s="11">
        <v>6736.78</v>
      </c>
      <c r="K228" s="3"/>
      <c r="L228" s="11">
        <v>8438.06</v>
      </c>
      <c r="M228" s="3"/>
      <c r="N228" s="11">
        <v>5574.41</v>
      </c>
      <c r="O228" s="3"/>
      <c r="P228" s="11"/>
      <c r="Q228" s="3"/>
      <c r="R228" s="11"/>
    </row>
    <row r="229" spans="1:18" s="44" customFormat="1" hidden="1" outlineLevel="1" x14ac:dyDescent="0.35">
      <c r="A229" s="16"/>
      <c r="B229" s="35" t="str">
        <f>CONCATENATE("          ", "5542", " - ", "FREIGHT-IN-EVERYDAY GIFTS")</f>
        <v xml:space="preserve">          5542 - FREIGHT-IN-EVERYDAY GIFTS</v>
      </c>
      <c r="C229" s="16"/>
      <c r="D229" s="11">
        <v>1401.93</v>
      </c>
      <c r="E229" s="16"/>
      <c r="F229" s="11">
        <v>2793.76</v>
      </c>
      <c r="G229" s="3"/>
      <c r="H229" s="11">
        <v>2300.5500000000002</v>
      </c>
      <c r="I229" s="3"/>
      <c r="J229" s="11">
        <v>1602.66</v>
      </c>
      <c r="K229" s="3"/>
      <c r="L229" s="11">
        <v>2038.06</v>
      </c>
      <c r="M229" s="3"/>
      <c r="N229" s="11">
        <v>2223.5100000000002</v>
      </c>
      <c r="O229" s="3"/>
      <c r="P229" s="11"/>
      <c r="Q229" s="3"/>
      <c r="R229" s="11"/>
    </row>
    <row r="230" spans="1:18" s="44" customFormat="1" hidden="1" outlineLevel="1" x14ac:dyDescent="0.35">
      <c r="A230" s="16"/>
      <c r="B230" s="35" t="str">
        <f>CONCATENATE("          ", "5543", " - ", "FREIGHT-IN-CARDS")</f>
        <v xml:space="preserve">          5543 - FREIGHT-IN-CARDS</v>
      </c>
      <c r="C230" s="16"/>
      <c r="D230" s="11">
        <v>47.8</v>
      </c>
      <c r="E230" s="16"/>
      <c r="F230" s="11">
        <v>10.06</v>
      </c>
      <c r="G230" s="3"/>
      <c r="H230" s="11">
        <v>7.19</v>
      </c>
      <c r="I230" s="3"/>
      <c r="J230" s="11">
        <v>123.84</v>
      </c>
      <c r="K230" s="3"/>
      <c r="L230" s="11">
        <v>57.18</v>
      </c>
      <c r="M230" s="3"/>
      <c r="N230" s="11">
        <v>2926.76</v>
      </c>
      <c r="O230" s="3"/>
      <c r="P230" s="11"/>
      <c r="Q230" s="3"/>
      <c r="R230" s="11"/>
    </row>
    <row r="231" spans="1:18" s="44" customFormat="1" hidden="1" outlineLevel="1" x14ac:dyDescent="0.35">
      <c r="A231" s="16"/>
      <c r="B231" s="35" t="str">
        <f>CONCATENATE("          ", "5544", " - ", "FREIGHT-IN-ACCESSORIES")</f>
        <v xml:space="preserve">          5544 - FREIGHT-IN-ACCESSORIES</v>
      </c>
      <c r="C231" s="16"/>
      <c r="D231" s="11">
        <v>807.33</v>
      </c>
      <c r="E231" s="16"/>
      <c r="F231" s="11">
        <v>349.62</v>
      </c>
      <c r="G231" s="3"/>
      <c r="H231" s="11">
        <v>845.08</v>
      </c>
      <c r="I231" s="3"/>
      <c r="J231" s="11">
        <v>635.88</v>
      </c>
      <c r="K231" s="3"/>
      <c r="L231" s="11">
        <v>1360.08</v>
      </c>
      <c r="M231" s="3"/>
      <c r="N231" s="11">
        <v>483.44</v>
      </c>
      <c r="O231" s="3"/>
      <c r="P231" s="11"/>
      <c r="Q231" s="3"/>
      <c r="R231" s="11"/>
    </row>
    <row r="232" spans="1:18" s="44" customFormat="1" hidden="1" outlineLevel="1" x14ac:dyDescent="0.35">
      <c r="A232" s="16"/>
      <c r="B232" s="35" t="str">
        <f>CONCATENATE("          ", "5545", " - ", "FREIGHT-IN-SPECIAL ORDERS")</f>
        <v xml:space="preserve">          5545 - FREIGHT-IN-SPECIAL ORDERS</v>
      </c>
      <c r="C232" s="16"/>
      <c r="D232" s="11">
        <v>1532.2</v>
      </c>
      <c r="E232" s="16"/>
      <c r="F232" s="11">
        <v>1427.75</v>
      </c>
      <c r="G232" s="3"/>
      <c r="H232" s="11">
        <v>1892.22</v>
      </c>
      <c r="I232" s="3"/>
      <c r="J232" s="11">
        <v>2225.2600000000002</v>
      </c>
      <c r="K232" s="3"/>
      <c r="L232" s="11">
        <v>2744.68</v>
      </c>
      <c r="M232" s="3"/>
      <c r="N232" s="11">
        <v>1420.62</v>
      </c>
      <c r="O232" s="3"/>
      <c r="P232" s="11"/>
      <c r="Q232" s="3"/>
      <c r="R232" s="11"/>
    </row>
    <row r="233" spans="1:18" s="44" customFormat="1" hidden="1" outlineLevel="1" x14ac:dyDescent="0.35">
      <c r="A233" s="16"/>
      <c r="B233" s="35" t="str">
        <f>CONCATENATE("          ", "5581", " - ", "FREIGHT-IN-ELECTRONICS")</f>
        <v xml:space="preserve">          5581 - FREIGHT-IN-ELECTRONICS</v>
      </c>
      <c r="C233" s="16"/>
      <c r="D233" s="11">
        <v>69.02</v>
      </c>
      <c r="E233" s="16"/>
      <c r="F233" s="11">
        <v>144.29</v>
      </c>
      <c r="G233" s="3"/>
      <c r="H233" s="11">
        <v>125.31</v>
      </c>
      <c r="I233" s="3"/>
      <c r="J233" s="11">
        <v>33.08</v>
      </c>
      <c r="K233" s="3"/>
      <c r="L233" s="11"/>
      <c r="M233" s="3"/>
      <c r="N233" s="11">
        <v>137</v>
      </c>
      <c r="O233" s="3"/>
      <c r="P233" s="11"/>
      <c r="Q233" s="3"/>
      <c r="R233" s="11"/>
    </row>
    <row r="234" spans="1:18" s="44" customFormat="1" hidden="1" outlineLevel="1" x14ac:dyDescent="0.35">
      <c r="A234" s="16"/>
      <c r="B234" s="35" t="str">
        <f>CONCATENATE("          ", "5582", " - ", "FREIGHT-IN-COMPUTER HARDWARE")</f>
        <v xml:space="preserve">          5582 - FREIGHT-IN-COMPUTER HARDWARE</v>
      </c>
      <c r="C234" s="16"/>
      <c r="D234" s="11">
        <v>62.66</v>
      </c>
      <c r="E234" s="16"/>
      <c r="F234" s="11">
        <v>22.02</v>
      </c>
      <c r="G234" s="3"/>
      <c r="H234" s="11">
        <v>226.3</v>
      </c>
      <c r="I234" s="3"/>
      <c r="J234" s="11"/>
      <c r="K234" s="3"/>
      <c r="L234" s="11">
        <v>12</v>
      </c>
      <c r="M234" s="3"/>
      <c r="N234" s="11">
        <v>154.30000000000001</v>
      </c>
      <c r="O234" s="3"/>
      <c r="P234" s="11"/>
      <c r="Q234" s="3"/>
      <c r="R234" s="11"/>
    </row>
    <row r="235" spans="1:18" s="44" customFormat="1" hidden="1" outlineLevel="1" x14ac:dyDescent="0.35">
      <c r="A235" s="16"/>
      <c r="B235" s="35" t="str">
        <f>CONCATENATE("          ", "5583", " - ", "FREIGHT-IN-COMPUTER EQUIPMENT")</f>
        <v xml:space="preserve">          5583 - FREIGHT-IN-COMPUTER EQUIPMENT</v>
      </c>
      <c r="C235" s="16"/>
      <c r="D235" s="11">
        <v>314.95999999999998</v>
      </c>
      <c r="E235" s="16"/>
      <c r="F235" s="11">
        <v>117.62</v>
      </c>
      <c r="G235" s="3"/>
      <c r="H235" s="11">
        <v>120.86</v>
      </c>
      <c r="I235" s="3"/>
      <c r="J235" s="11">
        <v>94.05</v>
      </c>
      <c r="K235" s="3"/>
      <c r="L235" s="11">
        <v>93.42</v>
      </c>
      <c r="M235" s="3"/>
      <c r="N235" s="11">
        <v>96.55</v>
      </c>
      <c r="O235" s="3"/>
      <c r="P235" s="11"/>
      <c r="Q235" s="3"/>
      <c r="R235" s="11"/>
    </row>
    <row r="236" spans="1:18" s="44" customFormat="1" hidden="1" outlineLevel="1" x14ac:dyDescent="0.35">
      <c r="A236" s="16"/>
      <c r="B236" s="35" t="str">
        <f>CONCATENATE("          ", "5585", " - ", "FREIGHT-IN-SOFTWARE")</f>
        <v xml:space="preserve">          5585 - FREIGHT-IN-SOFTWARE</v>
      </c>
      <c r="C236" s="16"/>
      <c r="D236" s="11">
        <v>1.75</v>
      </c>
      <c r="E236" s="16"/>
      <c r="F236" s="11">
        <v>18.899999999999999</v>
      </c>
      <c r="G236" s="3"/>
      <c r="H236" s="11"/>
      <c r="I236" s="3"/>
      <c r="J236" s="11"/>
      <c r="K236" s="3"/>
      <c r="L236" s="11"/>
      <c r="M236" s="3"/>
      <c r="N236" s="11">
        <v>10</v>
      </c>
      <c r="O236" s="3"/>
      <c r="P236" s="11"/>
      <c r="Q236" s="3"/>
      <c r="R236" s="11"/>
    </row>
    <row r="237" spans="1:18" s="44" customFormat="1" hidden="1" outlineLevel="1" x14ac:dyDescent="0.35">
      <c r="A237" s="16"/>
      <c r="B237" s="35" t="str">
        <f>CONCATENATE("          ", "5586", " - ", "FREIGHT-IN-COMPUTER SUPPLIES")</f>
        <v xml:space="preserve">          5586 - FREIGHT-IN-COMPUTER SUPPLIES</v>
      </c>
      <c r="C237" s="16"/>
      <c r="D237" s="11">
        <v>229.6</v>
      </c>
      <c r="E237" s="16"/>
      <c r="F237" s="11">
        <v>1037.08</v>
      </c>
      <c r="G237" s="3"/>
      <c r="H237" s="11">
        <v>493.45</v>
      </c>
      <c r="I237" s="3"/>
      <c r="J237" s="11">
        <v>392.29</v>
      </c>
      <c r="K237" s="3"/>
      <c r="L237" s="11">
        <v>379.94</v>
      </c>
      <c r="M237" s="3"/>
      <c r="N237" s="11">
        <v>301.27</v>
      </c>
      <c r="O237" s="3"/>
      <c r="P237" s="11"/>
      <c r="Q237" s="3"/>
      <c r="R237" s="11"/>
    </row>
    <row r="238" spans="1:18" s="44" customFormat="1" hidden="1" outlineLevel="1" x14ac:dyDescent="0.35">
      <c r="A238" s="16"/>
      <c r="B238" s="35" t="str">
        <f>CONCATENATE("          ", "5592", " - ", "FREIGHT-IN-GRAD MERCH")</f>
        <v xml:space="preserve">          5592 - FREIGHT-IN-GRAD MERCH</v>
      </c>
      <c r="C238" s="16"/>
      <c r="D238" s="11">
        <v>3015.74</v>
      </c>
      <c r="E238" s="16"/>
      <c r="F238" s="11">
        <v>4177.07</v>
      </c>
      <c r="G238" s="3"/>
      <c r="H238" s="11">
        <v>2290.33</v>
      </c>
      <c r="I238" s="3"/>
      <c r="J238" s="11">
        <v>4118.3100000000004</v>
      </c>
      <c r="K238" s="3"/>
      <c r="L238" s="11">
        <v>2451.4299999999998</v>
      </c>
      <c r="M238" s="3"/>
      <c r="N238" s="11">
        <v>170.88</v>
      </c>
      <c r="O238" s="3"/>
      <c r="P238" s="11"/>
      <c r="Q238" s="3"/>
      <c r="R238" s="11"/>
    </row>
    <row r="239" spans="1:18" x14ac:dyDescent="0.35">
      <c r="A239" s="12"/>
      <c r="B239" s="7"/>
      <c r="C239" s="7"/>
      <c r="D239" s="6"/>
      <c r="F239" s="6"/>
      <c r="H239" s="6"/>
      <c r="J239" s="6"/>
      <c r="L239" s="6"/>
      <c r="N239" s="6"/>
      <c r="P239" s="6"/>
      <c r="R239" s="6"/>
    </row>
    <row r="240" spans="1:18" s="15" customFormat="1" x14ac:dyDescent="0.35">
      <c r="A240" s="7"/>
      <c r="B240" s="22" t="s">
        <v>107</v>
      </c>
      <c r="C240" s="22"/>
      <c r="D240" s="10">
        <f>+D10-D166</f>
        <v>17990562.070000015</v>
      </c>
      <c r="E240" s="12"/>
      <c r="F240" s="10">
        <f>+F10-F166</f>
        <v>20085804.829999994</v>
      </c>
      <c r="G240" s="5"/>
      <c r="H240" s="10">
        <f>+H10-H166</f>
        <v>19847419.570000023</v>
      </c>
      <c r="I240" s="5"/>
      <c r="J240" s="10">
        <f>+J10-J166</f>
        <v>19768963.529999983</v>
      </c>
      <c r="K240" s="5"/>
      <c r="L240" s="10">
        <f>+L10-L166</f>
        <v>20194001.270000014</v>
      </c>
      <c r="M240" s="5"/>
      <c r="N240" s="10">
        <f>+N10-N166</f>
        <v>15547747.179999983</v>
      </c>
      <c r="O240" s="5"/>
      <c r="P240" s="10">
        <f>+P10-P166</f>
        <v>8309914</v>
      </c>
      <c r="Q240" s="5"/>
      <c r="R240" s="10">
        <f>+R10-R166</f>
        <v>12437513</v>
      </c>
    </row>
    <row r="241" spans="1:18" s="27" customFormat="1" x14ac:dyDescent="0.35">
      <c r="A241" s="18"/>
      <c r="B241" s="31"/>
      <c r="C241" s="18"/>
      <c r="D241" s="9">
        <f>IFERROR(D240/D10, 0)</f>
        <v>0.51681369526764487</v>
      </c>
      <c r="E241" s="13"/>
      <c r="F241" s="9">
        <f>IFERROR(F240/F10, 0)</f>
        <v>0.54824681867568903</v>
      </c>
      <c r="G241" s="26"/>
      <c r="H241" s="9">
        <f>IFERROR(H240/H10, 0)</f>
        <v>0.54690494314114579</v>
      </c>
      <c r="I241" s="26"/>
      <c r="J241" s="9">
        <f>IFERROR(J240/J10, 0)</f>
        <v>0.56156354880047632</v>
      </c>
      <c r="K241" s="26"/>
      <c r="L241" s="9">
        <f>IFERROR(L240/L10, 0)</f>
        <v>0.56505954611477027</v>
      </c>
      <c r="M241" s="26"/>
      <c r="N241" s="9">
        <f>IFERROR(N240/N10, 0)</f>
        <v>0.54293949717699397</v>
      </c>
      <c r="O241" s="26"/>
      <c r="P241" s="9">
        <f>IFERROR(P240/P10, 0)</f>
        <v>0.48766602970133993</v>
      </c>
      <c r="Q241" s="26"/>
      <c r="R241" s="9">
        <f>IFERROR(R240/R10, 0)</f>
        <v>0.53415158757416326</v>
      </c>
    </row>
    <row r="242" spans="1:18" s="27" customFormat="1" x14ac:dyDescent="0.35">
      <c r="A242" s="18"/>
      <c r="B242" s="31"/>
      <c r="C242" s="18"/>
      <c r="D242" s="13"/>
      <c r="E242" s="13"/>
      <c r="F242" s="13"/>
      <c r="G242" s="26"/>
      <c r="H242" s="13"/>
      <c r="I242" s="26"/>
      <c r="J242" s="13"/>
      <c r="K242" s="26"/>
      <c r="L242" s="13"/>
      <c r="M242" s="26"/>
      <c r="N242" s="13"/>
      <c r="O242" s="26"/>
      <c r="P242" s="13"/>
      <c r="Q242" s="26"/>
      <c r="R242" s="13"/>
    </row>
    <row r="243" spans="1:18" s="15" customFormat="1" x14ac:dyDescent="0.35">
      <c r="A243" s="7"/>
      <c r="B243" s="34" t="s">
        <v>314</v>
      </c>
      <c r="C243" s="7"/>
      <c r="D243" s="8">
        <f>SUM(OSRRefD21x_0)</f>
        <v>14517580.650000006</v>
      </c>
      <c r="E243" s="19"/>
      <c r="F243" s="8">
        <f>SUM(OSRRefF21x_0)</f>
        <v>15845640.660000004</v>
      </c>
      <c r="G243" s="4"/>
      <c r="H243" s="8">
        <f>SUM(OSRRefH21x_0)</f>
        <v>16390839.519999998</v>
      </c>
      <c r="I243" s="4"/>
      <c r="J243" s="8">
        <f>SUM(OSRRefJ21x_0)</f>
        <v>16993425.430000003</v>
      </c>
      <c r="K243" s="4"/>
      <c r="L243" s="8">
        <f>SUM(OSRRefL21x_0)</f>
        <v>17375010</v>
      </c>
      <c r="M243" s="4"/>
      <c r="N243" s="8">
        <f>SUM(OSRRefN21x_0)</f>
        <v>15712022.289999997</v>
      </c>
      <c r="O243" s="4"/>
      <c r="P243" s="8">
        <f>SUM(OSRRefP21x_0)</f>
        <v>11445049.971833864</v>
      </c>
      <c r="Q243" s="4"/>
      <c r="R243" s="8">
        <f>SUM(OSRRefR21x_0)</f>
        <v>13322578.356462454</v>
      </c>
    </row>
    <row r="244" spans="1:18" s="15" customFormat="1" outlineLevel="1" collapsed="1" x14ac:dyDescent="0.35">
      <c r="A244" s="7"/>
      <c r="B244" s="20" t="str">
        <f>CONCATENATE("     ","*Benefits                                         ")</f>
        <v xml:space="preserve">     *Benefits                                         </v>
      </c>
      <c r="C244" s="7"/>
      <c r="D244" s="1">
        <f>SUM(OSRRefD21_0x_0)</f>
        <v>2044931.9599999997</v>
      </c>
      <c r="E244" s="19"/>
      <c r="F244" s="1">
        <f>SUM(OSRRefF21_0x_0)</f>
        <v>2328801.63</v>
      </c>
      <c r="G244" s="4"/>
      <c r="H244" s="1">
        <f>SUM(OSRRefH21_0x_0)</f>
        <v>2317047.3199999998</v>
      </c>
      <c r="I244" s="4"/>
      <c r="J244" s="1">
        <f>SUM(OSRRefJ21_0x_0)</f>
        <v>2583198.4099999997</v>
      </c>
      <c r="K244" s="4"/>
      <c r="L244" s="1">
        <f>SUM(OSRRefL21_0x_0)</f>
        <v>2602175.79</v>
      </c>
      <c r="M244" s="4"/>
      <c r="N244" s="1">
        <f>SUM(OSRRefN21_0x_0)</f>
        <v>2384695.2199999997</v>
      </c>
      <c r="O244" s="4"/>
      <c r="P244" s="1">
        <f>SUM(OSRRefP21_0x_0)</f>
        <v>2122482.9853458647</v>
      </c>
      <c r="Q244" s="4"/>
      <c r="R244" s="1">
        <f>SUM(OSRRefR21_0x_0)</f>
        <v>2397523.0599206937</v>
      </c>
    </row>
    <row r="245" spans="1:18" s="16" customFormat="1" hidden="1" outlineLevel="2" x14ac:dyDescent="0.35">
      <c r="B245" s="11" t="str">
        <f>CONCATENATE("          ", "6111", " - ", "F.I.C.A.")</f>
        <v xml:space="preserve">          6111 - F.I.C.A.</v>
      </c>
      <c r="D245" s="2">
        <v>324097.59999999998</v>
      </c>
      <c r="F245" s="2">
        <v>363298.87</v>
      </c>
      <c r="G245" s="3"/>
      <c r="H245" s="2">
        <v>387702.64</v>
      </c>
      <c r="I245" s="3"/>
      <c r="J245" s="2">
        <v>443213.32</v>
      </c>
      <c r="K245" s="3"/>
      <c r="L245" s="2">
        <v>450393.31</v>
      </c>
      <c r="M245" s="3"/>
      <c r="N245" s="2">
        <v>440016.67</v>
      </c>
      <c r="O245" s="3"/>
      <c r="P245" s="2">
        <v>278960.99548806</v>
      </c>
      <c r="Q245" s="3"/>
      <c r="R245" s="2">
        <v>340662.09535431501</v>
      </c>
    </row>
    <row r="246" spans="1:18" s="16" customFormat="1" hidden="1" outlineLevel="2" x14ac:dyDescent="0.35">
      <c r="B246" s="11" t="str">
        <f>CONCATENATE("          ", "6112", " - ", "COMPENSATION INSURANCE")</f>
        <v xml:space="preserve">          6112 - COMPENSATION INSURANCE</v>
      </c>
      <c r="D246" s="2">
        <v>113345.98</v>
      </c>
      <c r="F246" s="2">
        <v>211916.6</v>
      </c>
      <c r="G246" s="3"/>
      <c r="H246" s="2">
        <v>225101.23</v>
      </c>
      <c r="I246" s="3"/>
      <c r="J246" s="2">
        <v>169088.92</v>
      </c>
      <c r="K246" s="3"/>
      <c r="L246" s="2">
        <v>203688.43</v>
      </c>
      <c r="M246" s="3"/>
      <c r="N246" s="2">
        <v>207129.35</v>
      </c>
      <c r="O246" s="3"/>
      <c r="P246" s="2">
        <v>147378.98530937501</v>
      </c>
      <c r="Q246" s="3"/>
      <c r="R246" s="2">
        <v>200630.04046476999</v>
      </c>
    </row>
    <row r="247" spans="1:18" s="16" customFormat="1" hidden="1" outlineLevel="2" x14ac:dyDescent="0.35">
      <c r="B247" s="11" t="str">
        <f>CONCATENATE("          ", "6113", " - ", "GROUP INSURANCE")</f>
        <v xml:space="preserve">          6113 - GROUP INSURANCE</v>
      </c>
      <c r="D247" s="2">
        <v>873429.1</v>
      </c>
      <c r="F247" s="2">
        <v>953479.08</v>
      </c>
      <c r="G247" s="3"/>
      <c r="H247" s="2">
        <v>1012676.47</v>
      </c>
      <c r="I247" s="3"/>
      <c r="J247" s="2">
        <v>1161121.6399999999</v>
      </c>
      <c r="K247" s="3"/>
      <c r="L247" s="2">
        <v>1134746.52</v>
      </c>
      <c r="M247" s="3"/>
      <c r="N247" s="2">
        <v>1104113.71</v>
      </c>
      <c r="O247" s="3"/>
      <c r="P247" s="2">
        <v>1127207.3846153801</v>
      </c>
      <c r="Q247" s="3"/>
      <c r="R247" s="2">
        <v>1203696.31153846</v>
      </c>
    </row>
    <row r="248" spans="1:18" s="16" customFormat="1" hidden="1" outlineLevel="2" x14ac:dyDescent="0.35">
      <c r="B248" s="11" t="str">
        <f>CONCATENATE("          ", "6114", " - ", "STATE UNEMPLOYMENT INSURANCE")</f>
        <v xml:space="preserve">          6114 - STATE UNEMPLOYMENT INSURANCE</v>
      </c>
      <c r="D248" s="2">
        <v>36968.39</v>
      </c>
      <c r="F248" s="2">
        <v>44277.17</v>
      </c>
      <c r="G248" s="3"/>
      <c r="H248" s="2">
        <v>23665.32</v>
      </c>
      <c r="I248" s="3"/>
      <c r="J248" s="2">
        <v>24793.84</v>
      </c>
      <c r="K248" s="3"/>
      <c r="L248" s="2">
        <v>23093.55</v>
      </c>
      <c r="M248" s="3"/>
      <c r="N248" s="2">
        <v>0</v>
      </c>
      <c r="O248" s="3"/>
      <c r="P248" s="2">
        <v>13354.09475855</v>
      </c>
      <c r="Q248" s="3"/>
      <c r="R248" s="2">
        <v>14222.731544263799</v>
      </c>
    </row>
    <row r="249" spans="1:18" s="16" customFormat="1" hidden="1" outlineLevel="2" x14ac:dyDescent="0.35">
      <c r="B249" s="11" t="str">
        <f>CONCATENATE("          ", "6115", " - ", "P.E.R.S.")</f>
        <v xml:space="preserve">          6115 - P.E.R.S.</v>
      </c>
      <c r="D249" s="2">
        <v>234191.55</v>
      </c>
      <c r="F249" s="2">
        <v>194223.03</v>
      </c>
      <c r="G249" s="3"/>
      <c r="H249" s="2">
        <v>212093.37</v>
      </c>
      <c r="I249" s="3"/>
      <c r="J249" s="2">
        <v>216623.03</v>
      </c>
      <c r="K249" s="3"/>
      <c r="L249" s="2">
        <v>218978.95</v>
      </c>
      <c r="M249" s="3"/>
      <c r="N249" s="2">
        <v>238902.88</v>
      </c>
      <c r="O249" s="3"/>
      <c r="P249" s="2">
        <v>160310.27473199999</v>
      </c>
      <c r="Q249" s="3"/>
      <c r="R249" s="2">
        <v>155362.94796693901</v>
      </c>
    </row>
    <row r="250" spans="1:18" s="16" customFormat="1" hidden="1" outlineLevel="2" x14ac:dyDescent="0.35">
      <c r="B250" s="11" t="str">
        <f>CONCATENATE("          ", "6116", " - ", "EDUCATIONAL BENEFITS")</f>
        <v xml:space="preserve">          6116 - EDUCATIONAL BENEFITS</v>
      </c>
      <c r="D250" s="2"/>
      <c r="F250" s="2"/>
      <c r="G250" s="3"/>
      <c r="H250" s="2"/>
      <c r="I250" s="3"/>
      <c r="J250" s="2"/>
      <c r="K250" s="3"/>
      <c r="L250" s="2"/>
      <c r="M250" s="3"/>
      <c r="N250" s="2"/>
      <c r="O250" s="3"/>
      <c r="P250" s="2">
        <v>0</v>
      </c>
      <c r="Q250" s="3"/>
      <c r="R250" s="2">
        <v>0</v>
      </c>
    </row>
    <row r="251" spans="1:18" s="16" customFormat="1" hidden="1" outlineLevel="2" x14ac:dyDescent="0.35">
      <c r="B251" s="11" t="str">
        <f>CONCATENATE("          ", "6117", " - ", "RETIREMENT STAFF HOURLY")</f>
        <v xml:space="preserve">          6117 - RETIREMENT STAFF HOURLY</v>
      </c>
      <c r="D251" s="2">
        <v>22894.880000000001</v>
      </c>
      <c r="F251" s="2">
        <v>18197.77</v>
      </c>
      <c r="G251" s="3"/>
      <c r="H251" s="2">
        <v>18297.52</v>
      </c>
      <c r="I251" s="3"/>
      <c r="J251" s="2">
        <v>21285.59</v>
      </c>
      <c r="K251" s="3"/>
      <c r="L251" s="2">
        <v>24045.75</v>
      </c>
      <c r="M251" s="3"/>
      <c r="N251" s="2">
        <v>26345.71</v>
      </c>
      <c r="O251" s="3"/>
      <c r="P251" s="2"/>
      <c r="Q251" s="3"/>
      <c r="R251" s="2"/>
    </row>
    <row r="252" spans="1:18" s="16" customFormat="1" hidden="1" outlineLevel="2" x14ac:dyDescent="0.35">
      <c r="B252" s="11" t="str">
        <f>CONCATENATE("          ", "6118", " - ", "VACATION")</f>
        <v xml:space="preserve">          6118 - VACATION</v>
      </c>
      <c r="D252" s="2">
        <v>197179.5</v>
      </c>
      <c r="F252" s="2">
        <v>250523.6</v>
      </c>
      <c r="G252" s="3"/>
      <c r="H252" s="2">
        <v>223316.06</v>
      </c>
      <c r="I252" s="3"/>
      <c r="J252" s="2">
        <v>251165</v>
      </c>
      <c r="K252" s="3"/>
      <c r="L252" s="2">
        <v>265930.34000000003</v>
      </c>
      <c r="M252" s="3"/>
      <c r="N252" s="2">
        <v>270045.75</v>
      </c>
      <c r="O252" s="3"/>
      <c r="P252" s="2">
        <v>169180.94896000001</v>
      </c>
      <c r="Q252" s="3"/>
      <c r="R252" s="2">
        <v>163626.91798993101</v>
      </c>
    </row>
    <row r="253" spans="1:18" s="16" customFormat="1" hidden="1" outlineLevel="2" x14ac:dyDescent="0.35">
      <c r="B253" s="11" t="str">
        <f>CONCATENATE("          ", "6119", " - ", "SICK LEAVE")</f>
        <v xml:space="preserve">          6119 - SICK LEAVE</v>
      </c>
      <c r="D253" s="2">
        <v>134577.91</v>
      </c>
      <c r="F253" s="2">
        <v>192567.7</v>
      </c>
      <c r="G253" s="3"/>
      <c r="H253" s="2">
        <v>116368.14</v>
      </c>
      <c r="I253" s="3"/>
      <c r="J253" s="2">
        <v>186346.71</v>
      </c>
      <c r="K253" s="3"/>
      <c r="L253" s="2">
        <v>174207.29</v>
      </c>
      <c r="M253" s="3"/>
      <c r="N253" s="2">
        <v>2276.19</v>
      </c>
      <c r="O253" s="3"/>
      <c r="P253" s="2">
        <v>149890.30148250001</v>
      </c>
      <c r="Q253" s="3"/>
      <c r="R253" s="2">
        <v>211871.01506201501</v>
      </c>
    </row>
    <row r="254" spans="1:18" s="16" customFormat="1" hidden="1" outlineLevel="2" x14ac:dyDescent="0.35">
      <c r="B254" s="11" t="str">
        <f>CONCATENATE("          ", "6156", " - ", "EMPLOYEE MEALS")</f>
        <v xml:space="preserve">          6156 - EMPLOYEE MEALS</v>
      </c>
      <c r="D254" s="2">
        <v>108247.05</v>
      </c>
      <c r="F254" s="2">
        <v>100317.81</v>
      </c>
      <c r="G254" s="3"/>
      <c r="H254" s="2">
        <v>97826.57</v>
      </c>
      <c r="I254" s="3"/>
      <c r="J254" s="2">
        <v>109560.36</v>
      </c>
      <c r="K254" s="3"/>
      <c r="L254" s="2">
        <v>107091.65</v>
      </c>
      <c r="M254" s="3"/>
      <c r="N254" s="2">
        <v>95864.960000000006</v>
      </c>
      <c r="O254" s="3"/>
      <c r="P254" s="2">
        <v>76200</v>
      </c>
      <c r="Q254" s="3"/>
      <c r="R254" s="2">
        <v>107451</v>
      </c>
    </row>
    <row r="255" spans="1:18" s="15" customFormat="1" outlineLevel="1" collapsed="1" x14ac:dyDescent="0.35">
      <c r="A255" s="7"/>
      <c r="B255" s="20" t="str">
        <f>CONCATENATE("     ","*Payroll                                          ")</f>
        <v xml:space="preserve">     *Payroll                                          </v>
      </c>
      <c r="C255" s="7"/>
      <c r="D255" s="1">
        <f>SUM(OSRRefD21_1x_0)</f>
        <v>6122010.5899999999</v>
      </c>
      <c r="E255" s="19"/>
      <c r="F255" s="1">
        <f>SUM(OSRRefF21_1x_0)</f>
        <v>6858548.8499999996</v>
      </c>
      <c r="G255" s="4"/>
      <c r="H255" s="1">
        <f>SUM(OSRRefH21_1x_0)</f>
        <v>7433620.1900000004</v>
      </c>
      <c r="I255" s="4"/>
      <c r="J255" s="1">
        <f>SUM(OSRRefJ21_1x_0)</f>
        <v>7714176.5999999996</v>
      </c>
      <c r="K255" s="4"/>
      <c r="L255" s="1">
        <f>SUM(OSRRefL21_1x_0)</f>
        <v>8137296.8599999994</v>
      </c>
      <c r="M255" s="4"/>
      <c r="N255" s="1">
        <f>SUM(OSRRefN21_1x_0)</f>
        <v>7467063.79</v>
      </c>
      <c r="O255" s="4"/>
      <c r="P255" s="1">
        <f>SUM(OSRRefP21_1x_0)</f>
        <v>4782557.9864879996</v>
      </c>
      <c r="Q255" s="4"/>
      <c r="R255" s="1">
        <f>SUM(OSRRefR21_1x_0)</f>
        <v>6456376.0465417597</v>
      </c>
    </row>
    <row r="256" spans="1:18" s="16" customFormat="1" hidden="1" outlineLevel="2" x14ac:dyDescent="0.35">
      <c r="B256" s="11" t="str">
        <f>CONCATENATE("          ", "6001", " - ", "ADMINISTRATIVE SALARIES")</f>
        <v xml:space="preserve">          6001 - ADMINISTRATIVE SALARIES</v>
      </c>
      <c r="D256" s="2">
        <v>197743.66</v>
      </c>
      <c r="F256" s="2">
        <v>416902.93</v>
      </c>
      <c r="G256" s="3"/>
      <c r="H256" s="2">
        <v>407380.52</v>
      </c>
      <c r="I256" s="3"/>
      <c r="J256" s="2">
        <v>415351.42</v>
      </c>
      <c r="K256" s="3"/>
      <c r="L256" s="2">
        <v>423848.64</v>
      </c>
      <c r="M256" s="3"/>
      <c r="N256" s="2">
        <v>380567.82</v>
      </c>
      <c r="O256" s="3"/>
      <c r="P256" s="2">
        <v>351376.1</v>
      </c>
      <c r="Q256" s="3"/>
      <c r="R256" s="2">
        <v>241123</v>
      </c>
    </row>
    <row r="257" spans="1:18" s="16" customFormat="1" hidden="1" outlineLevel="2" x14ac:dyDescent="0.35">
      <c r="B257" s="11" t="str">
        <f>CONCATENATE("          ", "6002", " - ", "STAFF SALARIES")</f>
        <v xml:space="preserve">          6002 - STAFF SALARIES</v>
      </c>
      <c r="D257" s="2">
        <v>1614735.47</v>
      </c>
      <c r="F257" s="2">
        <v>1869360.73</v>
      </c>
      <c r="G257" s="3"/>
      <c r="H257" s="2">
        <v>1956075.17</v>
      </c>
      <c r="I257" s="3"/>
      <c r="J257" s="2">
        <v>2004763.62</v>
      </c>
      <c r="K257" s="3"/>
      <c r="L257" s="2">
        <v>2100090.5299999998</v>
      </c>
      <c r="M257" s="3"/>
      <c r="N257" s="2">
        <v>1994775.85</v>
      </c>
      <c r="O257" s="3"/>
      <c r="P257" s="2">
        <v>1335351.4146779999</v>
      </c>
      <c r="Q257" s="3"/>
      <c r="R257" s="2">
        <v>1423124.79254276</v>
      </c>
    </row>
    <row r="258" spans="1:18" s="16" customFormat="1" hidden="1" outlineLevel="2" x14ac:dyDescent="0.35">
      <c r="B258" s="11" t="str">
        <f>CONCATENATE("          ", "6003", " - ", "STAFF HOURLY-9 MONTH")</f>
        <v xml:space="preserve">          6003 - STAFF HOURLY-9 MONTH</v>
      </c>
      <c r="D258" s="2"/>
      <c r="F258" s="2">
        <v>48.38</v>
      </c>
      <c r="G258" s="3"/>
      <c r="H258" s="2"/>
      <c r="I258" s="3"/>
      <c r="J258" s="2"/>
      <c r="K258" s="3"/>
      <c r="L258" s="2"/>
      <c r="M258" s="3"/>
      <c r="N258" s="2"/>
      <c r="O258" s="3"/>
      <c r="P258" s="2">
        <v>0</v>
      </c>
      <c r="Q258" s="3"/>
      <c r="R258" s="2">
        <v>0</v>
      </c>
    </row>
    <row r="259" spans="1:18" s="16" customFormat="1" hidden="1" outlineLevel="2" x14ac:dyDescent="0.35">
      <c r="B259" s="11" t="str">
        <f>CONCATENATE("          ", "6004", " - ", "STAFF HOURLY")</f>
        <v xml:space="preserve">          6004 - STAFF HOURLY</v>
      </c>
      <c r="D259" s="2">
        <v>853658.71</v>
      </c>
      <c r="F259" s="2">
        <v>744317.43999999994</v>
      </c>
      <c r="G259" s="3"/>
      <c r="H259" s="2">
        <v>731150.41</v>
      </c>
      <c r="I259" s="3"/>
      <c r="J259" s="2">
        <v>930714.09</v>
      </c>
      <c r="K259" s="3"/>
      <c r="L259" s="2">
        <v>920474.11</v>
      </c>
      <c r="M259" s="3"/>
      <c r="N259" s="2">
        <v>1006687.36</v>
      </c>
      <c r="O259" s="3"/>
      <c r="P259" s="2">
        <v>1388912.0274</v>
      </c>
      <c r="Q259" s="3"/>
      <c r="R259" s="2">
        <v>1976154.914174</v>
      </c>
    </row>
    <row r="260" spans="1:18" s="16" customFormat="1" hidden="1" outlineLevel="2" x14ac:dyDescent="0.35">
      <c r="B260" s="11" t="str">
        <f>CONCATENATE("          ", "6005", " - ", "TEMPORARY WAGES-HOURLY")</f>
        <v xml:space="preserve">          6005 - TEMPORARY WAGES-HOURLY</v>
      </c>
      <c r="D260" s="2">
        <v>828318.11</v>
      </c>
      <c r="F260" s="2">
        <v>927123.88</v>
      </c>
      <c r="G260" s="3"/>
      <c r="H260" s="2">
        <v>1050902.33</v>
      </c>
      <c r="I260" s="3"/>
      <c r="J260" s="2">
        <v>1142637.68</v>
      </c>
      <c r="K260" s="3"/>
      <c r="L260" s="2">
        <v>1337160.7</v>
      </c>
      <c r="M260" s="3"/>
      <c r="N260" s="2">
        <v>1218146.98</v>
      </c>
      <c r="O260" s="3"/>
      <c r="P260" s="2">
        <v>231084.22344</v>
      </c>
      <c r="Q260" s="3"/>
      <c r="R260" s="2">
        <v>390329.72950000002</v>
      </c>
    </row>
    <row r="261" spans="1:18" s="16" customFormat="1" hidden="1" outlineLevel="2" x14ac:dyDescent="0.35">
      <c r="B261" s="11" t="str">
        <f>CONCATENATE("          ", "6006", " - ", "TEMPORARY PART TIME")</f>
        <v xml:space="preserve">          6006 - TEMPORARY PART TIME</v>
      </c>
      <c r="D261" s="2">
        <v>88272.98</v>
      </c>
      <c r="F261" s="2">
        <v>131316.06</v>
      </c>
      <c r="G261" s="3"/>
      <c r="H261" s="2">
        <v>209851.35</v>
      </c>
      <c r="I261" s="3"/>
      <c r="J261" s="2">
        <v>228283.76</v>
      </c>
      <c r="K261" s="3"/>
      <c r="L261" s="2">
        <v>170801.86</v>
      </c>
      <c r="M261" s="3"/>
      <c r="N261" s="2">
        <v>114083.83</v>
      </c>
      <c r="O261" s="3"/>
      <c r="P261" s="2">
        <v>0</v>
      </c>
      <c r="Q261" s="3"/>
      <c r="R261" s="2">
        <v>0</v>
      </c>
    </row>
    <row r="262" spans="1:18" s="16" customFormat="1" hidden="1" outlineLevel="2" x14ac:dyDescent="0.35">
      <c r="B262" s="11" t="str">
        <f>CONCATENATE("          ", "6007", " - ", "STUDENT HOURLY")</f>
        <v xml:space="preserve">          6007 - STUDENT HOURLY</v>
      </c>
      <c r="D262" s="2">
        <v>2353310.46</v>
      </c>
      <c r="F262" s="2">
        <v>2486749.2599999998</v>
      </c>
      <c r="G262" s="3"/>
      <c r="H262" s="2">
        <v>2710124.38</v>
      </c>
      <c r="I262" s="3"/>
      <c r="J262" s="2">
        <v>2662863.42</v>
      </c>
      <c r="K262" s="3"/>
      <c r="L262" s="2">
        <v>2835895.79</v>
      </c>
      <c r="M262" s="3"/>
      <c r="N262" s="2">
        <v>2511655.41</v>
      </c>
      <c r="O262" s="3"/>
      <c r="P262" s="2">
        <v>263033.24079000001</v>
      </c>
      <c r="Q262" s="3"/>
      <c r="R262" s="2">
        <v>532575.83134999999</v>
      </c>
    </row>
    <row r="263" spans="1:18" s="16" customFormat="1" hidden="1" outlineLevel="2" x14ac:dyDescent="0.35">
      <c r="B263" s="11" t="str">
        <f>CONCATENATE("          ", "6008", " - ", "STUDENT HOURLY-FICA EXEMPT")</f>
        <v xml:space="preserve">          6008 - STUDENT HOURLY-FICA EXEMPT</v>
      </c>
      <c r="D263" s="2">
        <v>182243.57</v>
      </c>
      <c r="F263" s="2">
        <v>280768.17</v>
      </c>
      <c r="G263" s="3"/>
      <c r="H263" s="2">
        <v>368136.03</v>
      </c>
      <c r="I263" s="3"/>
      <c r="J263" s="2">
        <v>329562.61</v>
      </c>
      <c r="K263" s="3"/>
      <c r="L263" s="2">
        <v>349025.23</v>
      </c>
      <c r="M263" s="3"/>
      <c r="N263" s="2">
        <v>241146.54</v>
      </c>
      <c r="O263" s="3"/>
      <c r="P263" s="2">
        <v>1212800.98018</v>
      </c>
      <c r="Q263" s="3"/>
      <c r="R263" s="2">
        <v>1893067.7789749999</v>
      </c>
    </row>
    <row r="264" spans="1:18" s="16" customFormat="1" hidden="1" outlineLevel="2" x14ac:dyDescent="0.35">
      <c r="B264" s="11" t="str">
        <f>CONCATENATE("          ", "6009", " - ", "TEMPORARY-SEASONAL")</f>
        <v xml:space="preserve">          6009 - TEMPORARY-SEASONAL</v>
      </c>
      <c r="D264" s="2">
        <v>3727.63</v>
      </c>
      <c r="F264" s="2">
        <v>1962</v>
      </c>
      <c r="G264" s="3"/>
      <c r="H264" s="2"/>
      <c r="I264" s="3"/>
      <c r="J264" s="2"/>
      <c r="K264" s="3"/>
      <c r="L264" s="2"/>
      <c r="M264" s="3"/>
      <c r="N264" s="2"/>
      <c r="O264" s="3"/>
      <c r="P264" s="2">
        <v>0</v>
      </c>
      <c r="Q264" s="3"/>
      <c r="R264" s="2">
        <v>0</v>
      </c>
    </row>
    <row r="265" spans="1:18" s="16" customFormat="1" hidden="1" outlineLevel="2" x14ac:dyDescent="0.35">
      <c r="B265" s="11" t="str">
        <f>CONCATENATE("          ", "6010", " - ", "GRATUITY")</f>
        <v xml:space="preserve">          6010 - GRATUITY</v>
      </c>
      <c r="D265" s="2"/>
      <c r="F265" s="2"/>
      <c r="G265" s="3"/>
      <c r="H265" s="2"/>
      <c r="I265" s="3"/>
      <c r="J265" s="2"/>
      <c r="K265" s="3"/>
      <c r="L265" s="2"/>
      <c r="M265" s="3"/>
      <c r="N265" s="2"/>
      <c r="O265" s="3"/>
      <c r="P265" s="2">
        <v>0</v>
      </c>
      <c r="Q265" s="3"/>
      <c r="R265" s="2">
        <v>0</v>
      </c>
    </row>
    <row r="266" spans="1:18" s="15" customFormat="1" outlineLevel="1" collapsed="1" x14ac:dyDescent="0.35">
      <c r="A266" s="7"/>
      <c r="B266" s="20" t="str">
        <f>CONCATENATE("     ","Advertising/Promo                                 ")</f>
        <v xml:space="preserve">     Advertising/Promo                                 </v>
      </c>
      <c r="C266" s="7"/>
      <c r="D266" s="1">
        <f>SUM(OSRRefD21_2x_0)</f>
        <v>162992.22</v>
      </c>
      <c r="E266" s="19"/>
      <c r="F266" s="1">
        <f>SUM(OSRRefF21_2x_0)</f>
        <v>114554.58</v>
      </c>
      <c r="G266" s="4"/>
      <c r="H266" s="1">
        <f>SUM(OSRRefH21_2x_0)</f>
        <v>104349.03</v>
      </c>
      <c r="I266" s="4"/>
      <c r="J266" s="1">
        <f>SUM(OSRRefJ21_2x_0)</f>
        <v>177880.35</v>
      </c>
      <c r="K266" s="4"/>
      <c r="L266" s="1">
        <f>SUM(OSRRefL21_2x_0)</f>
        <v>142165.71</v>
      </c>
      <c r="M266" s="4"/>
      <c r="N266" s="1">
        <f>SUM(OSRRefN21_2x_0)</f>
        <v>87492.22</v>
      </c>
      <c r="O266" s="4"/>
      <c r="P266" s="1">
        <f>SUM(OSRRefP21_2x_0)</f>
        <v>42816</v>
      </c>
      <c r="Q266" s="4"/>
      <c r="R266" s="1">
        <f>SUM(OSRRefR21_2x_0)</f>
        <v>26178</v>
      </c>
    </row>
    <row r="267" spans="1:18" s="16" customFormat="1" hidden="1" outlineLevel="2" x14ac:dyDescent="0.35">
      <c r="B267" s="11" t="str">
        <f>CONCATENATE("          ", "6362", " - ", "ADVERTISING EXPENSE")</f>
        <v xml:space="preserve">          6362 - ADVERTISING EXPENSE</v>
      </c>
      <c r="D267" s="2">
        <v>162992.22</v>
      </c>
      <c r="F267" s="2">
        <v>114554.58</v>
      </c>
      <c r="G267" s="3"/>
      <c r="H267" s="2">
        <v>104349.03</v>
      </c>
      <c r="I267" s="3"/>
      <c r="J267" s="2">
        <v>177880.35</v>
      </c>
      <c r="K267" s="3"/>
      <c r="L267" s="2">
        <v>142165.71</v>
      </c>
      <c r="M267" s="3"/>
      <c r="N267" s="2">
        <v>87492.22</v>
      </c>
      <c r="O267" s="3"/>
      <c r="P267" s="2">
        <v>42816</v>
      </c>
      <c r="Q267" s="3"/>
      <c r="R267" s="2">
        <v>26178</v>
      </c>
    </row>
    <row r="268" spans="1:18" s="15" customFormat="1" outlineLevel="1" collapsed="1" x14ac:dyDescent="0.35">
      <c r="A268" s="7"/>
      <c r="B268" s="20" t="str">
        <f>CONCATENATE("     ","Bad Debts/Over/Short                              ")</f>
        <v xml:space="preserve">     Bad Debts/Over/Short                              </v>
      </c>
      <c r="C268" s="7"/>
      <c r="D268" s="1">
        <f>SUM(OSRRefD21_3x_0)</f>
        <v>-27447.799999999996</v>
      </c>
      <c r="E268" s="19"/>
      <c r="F268" s="1">
        <f>SUM(OSRRefF21_3x_0)</f>
        <v>39553.53</v>
      </c>
      <c r="G268" s="4"/>
      <c r="H268" s="1">
        <f>SUM(OSRRefH21_3x_0)</f>
        <v>57299.59</v>
      </c>
      <c r="I268" s="4"/>
      <c r="J268" s="1">
        <f>SUM(OSRRefJ21_3x_0)</f>
        <v>54084.219999999994</v>
      </c>
      <c r="K268" s="4"/>
      <c r="L268" s="1">
        <f>SUM(OSRRefL21_3x_0)</f>
        <v>12691.53</v>
      </c>
      <c r="M268" s="4"/>
      <c r="N268" s="1">
        <f>SUM(OSRRefN21_3x_0)</f>
        <v>-659.42000000000007</v>
      </c>
      <c r="O268" s="4"/>
      <c r="P268" s="1">
        <f>SUM(OSRRefP21_3x_0)</f>
        <v>1839</v>
      </c>
      <c r="Q268" s="4"/>
      <c r="R268" s="1">
        <f>SUM(OSRRefR21_3x_0)</f>
        <v>3260</v>
      </c>
    </row>
    <row r="269" spans="1:18" s="16" customFormat="1" hidden="1" outlineLevel="2" x14ac:dyDescent="0.35">
      <c r="B269" s="11" t="str">
        <f>CONCATENATE("          ", "6272", " - ", "CASH (OVER/SHORT)")</f>
        <v xml:space="preserve">          6272 - CASH (OVER/SHORT)</v>
      </c>
      <c r="D269" s="2">
        <v>14300.26</v>
      </c>
      <c r="F269" s="2">
        <v>368.29</v>
      </c>
      <c r="G269" s="3"/>
      <c r="H269" s="2">
        <v>13985.14</v>
      </c>
      <c r="I269" s="3"/>
      <c r="J269" s="2">
        <v>53667.02</v>
      </c>
      <c r="K269" s="3"/>
      <c r="L269" s="2">
        <v>12691.53</v>
      </c>
      <c r="M269" s="3"/>
      <c r="N269" s="2">
        <v>-704.22</v>
      </c>
      <c r="O269" s="3"/>
      <c r="P269" s="2">
        <v>1239</v>
      </c>
      <c r="Q269" s="3"/>
      <c r="R269" s="2">
        <v>3260</v>
      </c>
    </row>
    <row r="270" spans="1:18" s="16" customFormat="1" hidden="1" outlineLevel="2" x14ac:dyDescent="0.35">
      <c r="B270" s="11" t="str">
        <f>CONCATENATE("          ", "6342", " - ", "BAD DEBT")</f>
        <v xml:space="preserve">          6342 - BAD DEBT</v>
      </c>
      <c r="D270" s="2">
        <v>-41748.06</v>
      </c>
      <c r="F270" s="2">
        <v>33276.9</v>
      </c>
      <c r="G270" s="3"/>
      <c r="H270" s="2">
        <v>43314.45</v>
      </c>
      <c r="I270" s="3"/>
      <c r="J270" s="2">
        <v>417.2</v>
      </c>
      <c r="K270" s="3"/>
      <c r="L270" s="2"/>
      <c r="M270" s="3"/>
      <c r="N270" s="2">
        <v>44.8</v>
      </c>
      <c r="O270" s="3"/>
      <c r="P270" s="2">
        <v>600</v>
      </c>
      <c r="Q270" s="3"/>
      <c r="R270" s="2"/>
    </row>
    <row r="271" spans="1:18" s="16" customFormat="1" hidden="1" outlineLevel="2" x14ac:dyDescent="0.35">
      <c r="B271" s="11" t="str">
        <f>CONCATENATE("          ", "6344", " - ", "BAD DEBT-NSF")</f>
        <v xml:space="preserve">          6344 - BAD DEBT-NSF</v>
      </c>
      <c r="D271" s="2"/>
      <c r="F271" s="2">
        <v>5908.34</v>
      </c>
      <c r="G271" s="3"/>
      <c r="H271" s="2"/>
      <c r="I271" s="3"/>
      <c r="J271" s="2"/>
      <c r="K271" s="3"/>
      <c r="L271" s="2"/>
      <c r="M271" s="3"/>
      <c r="N271" s="2"/>
      <c r="O271" s="3"/>
      <c r="P271" s="2"/>
      <c r="Q271" s="3"/>
      <c r="R271" s="2"/>
    </row>
    <row r="272" spans="1:18" s="15" customFormat="1" outlineLevel="1" collapsed="1" x14ac:dyDescent="0.35">
      <c r="A272" s="7"/>
      <c r="B272" s="20" t="str">
        <f>CONCATENATE("     ","Bank/card Fees                                    ")</f>
        <v xml:space="preserve">     Bank/card Fees                                    </v>
      </c>
      <c r="C272" s="7"/>
      <c r="D272" s="1">
        <f>SUM(OSRRefD21_4x_0)</f>
        <v>446276.82</v>
      </c>
      <c r="E272" s="19"/>
      <c r="F272" s="1">
        <f>SUM(OSRRefF21_4x_0)</f>
        <v>475677</v>
      </c>
      <c r="G272" s="4"/>
      <c r="H272" s="1">
        <f>SUM(OSRRefH21_4x_0)</f>
        <v>521032.88</v>
      </c>
      <c r="I272" s="4"/>
      <c r="J272" s="1">
        <f>SUM(OSRRefJ21_4x_0)</f>
        <v>531550.67000000004</v>
      </c>
      <c r="K272" s="4"/>
      <c r="L272" s="1">
        <f>SUM(OSRRefL21_4x_0)</f>
        <v>523862.27</v>
      </c>
      <c r="M272" s="4"/>
      <c r="N272" s="1">
        <f>SUM(OSRRefN21_4x_0)</f>
        <v>409031.82</v>
      </c>
      <c r="O272" s="4"/>
      <c r="P272" s="1">
        <f>SUM(OSRRefP21_4x_0)</f>
        <v>301165</v>
      </c>
      <c r="Q272" s="4"/>
      <c r="R272" s="1">
        <f>SUM(OSRRefR21_4x_0)</f>
        <v>329914.25</v>
      </c>
    </row>
    <row r="273" spans="1:18" s="16" customFormat="1" hidden="1" outlineLevel="2" x14ac:dyDescent="0.35">
      <c r="B273" s="11" t="str">
        <f>CONCATENATE("          ", "6381", " - ", "BANK/CREDIT CARD FEES")</f>
        <v xml:space="preserve">          6381 - BANK/CREDIT CARD FEES</v>
      </c>
      <c r="D273" s="2">
        <v>446276.82</v>
      </c>
      <c r="F273" s="2">
        <v>475677</v>
      </c>
      <c r="G273" s="3"/>
      <c r="H273" s="2">
        <v>521032.88</v>
      </c>
      <c r="I273" s="3"/>
      <c r="J273" s="2">
        <v>531550.67000000004</v>
      </c>
      <c r="K273" s="3"/>
      <c r="L273" s="2">
        <v>523862.27</v>
      </c>
      <c r="M273" s="3"/>
      <c r="N273" s="2">
        <v>409031.82</v>
      </c>
      <c r="O273" s="3"/>
      <c r="P273" s="2">
        <v>301165</v>
      </c>
      <c r="Q273" s="3"/>
      <c r="R273" s="2">
        <v>329914.25</v>
      </c>
    </row>
    <row r="274" spans="1:18" s="15" customFormat="1" outlineLevel="1" collapsed="1" x14ac:dyDescent="0.35">
      <c r="A274" s="7"/>
      <c r="B274" s="20" t="str">
        <f>CONCATENATE("     ","Depreciation                                      ")</f>
        <v xml:space="preserve">     Depreciation                                      </v>
      </c>
      <c r="C274" s="7"/>
      <c r="D274" s="1">
        <f>SUM(OSRRefD21_5x_0)</f>
        <v>867857.21</v>
      </c>
      <c r="E274" s="19"/>
      <c r="F274" s="1">
        <f>SUM(OSRRefF21_5x_0)</f>
        <v>898191.62</v>
      </c>
      <c r="G274" s="4"/>
      <c r="H274" s="1">
        <f>SUM(OSRRefH21_5x_0)</f>
        <v>884518.53</v>
      </c>
      <c r="I274" s="4"/>
      <c r="J274" s="1">
        <f>SUM(OSRRefJ21_5x_0)</f>
        <v>927024.32</v>
      </c>
      <c r="K274" s="4"/>
      <c r="L274" s="1">
        <f>SUM(OSRRefL21_5x_0)</f>
        <v>933141.33</v>
      </c>
      <c r="M274" s="4"/>
      <c r="N274" s="1">
        <f>SUM(OSRRefN21_5x_0)</f>
        <v>944656.55</v>
      </c>
      <c r="O274" s="4"/>
      <c r="P274" s="1">
        <f>SUM(OSRRefP21_5x_0)</f>
        <v>926547</v>
      </c>
      <c r="Q274" s="4"/>
      <c r="R274" s="1">
        <f>SUM(OSRRefR21_5x_0)</f>
        <v>790301</v>
      </c>
    </row>
    <row r="275" spans="1:18" s="16" customFormat="1" hidden="1" outlineLevel="2" x14ac:dyDescent="0.35">
      <c r="B275" s="11" t="str">
        <f>CONCATENATE("          ", "6321", " - ", "BUILDING DEPRECIATION")</f>
        <v xml:space="preserve">          6321 - BUILDING DEPRECIATION</v>
      </c>
      <c r="D275" s="2">
        <v>689945.82</v>
      </c>
      <c r="F275" s="2">
        <v>677411.99</v>
      </c>
      <c r="G275" s="3"/>
      <c r="H275" s="2">
        <v>656368.96</v>
      </c>
      <c r="I275" s="3"/>
      <c r="J275" s="2">
        <v>587093.07999999996</v>
      </c>
      <c r="K275" s="3"/>
      <c r="L275" s="2">
        <v>561869.34</v>
      </c>
      <c r="M275" s="3"/>
      <c r="N275" s="2">
        <v>546224.51</v>
      </c>
      <c r="O275" s="3"/>
      <c r="P275" s="2"/>
      <c r="Q275" s="3"/>
      <c r="R275" s="2"/>
    </row>
    <row r="276" spans="1:18" s="16" customFormat="1" hidden="1" outlineLevel="2" x14ac:dyDescent="0.35">
      <c r="B276" s="11" t="str">
        <f>CONCATENATE("          ", "6322", " - ", "EQUIPMENT DEPRECIATION EXPENSE")</f>
        <v xml:space="preserve">          6322 - EQUIPMENT DEPRECIATION EXPENSE</v>
      </c>
      <c r="D276" s="2">
        <v>168969.44</v>
      </c>
      <c r="F276" s="2">
        <v>211669.82</v>
      </c>
      <c r="G276" s="3"/>
      <c r="H276" s="2">
        <v>219209.77</v>
      </c>
      <c r="I276" s="3"/>
      <c r="J276" s="2">
        <v>331437.34000000003</v>
      </c>
      <c r="K276" s="3"/>
      <c r="L276" s="2">
        <v>366181</v>
      </c>
      <c r="M276" s="3"/>
      <c r="N276" s="2">
        <v>394189.56</v>
      </c>
      <c r="O276" s="3"/>
      <c r="P276" s="2">
        <v>919947</v>
      </c>
      <c r="Q276" s="3"/>
      <c r="R276" s="2">
        <v>790301</v>
      </c>
    </row>
    <row r="277" spans="1:18" s="16" customFormat="1" hidden="1" outlineLevel="2" x14ac:dyDescent="0.35">
      <c r="B277" s="11" t="str">
        <f>CONCATENATE("          ", "6324", " - ", "FURNITURE + FIXT DEPRECIATION")</f>
        <v xml:space="preserve">          6324 - FURNITURE + FIXT DEPRECIATION</v>
      </c>
      <c r="D277" s="2">
        <v>4018.82</v>
      </c>
      <c r="F277" s="2">
        <v>4018.82</v>
      </c>
      <c r="G277" s="3"/>
      <c r="H277" s="2">
        <v>3848.81</v>
      </c>
      <c r="I277" s="3"/>
      <c r="J277" s="2">
        <v>3402.91</v>
      </c>
      <c r="K277" s="3"/>
      <c r="L277" s="2">
        <v>0</v>
      </c>
      <c r="M277" s="3"/>
      <c r="N277" s="2">
        <v>0</v>
      </c>
      <c r="O277" s="3"/>
      <c r="P277" s="2"/>
      <c r="Q277" s="3"/>
      <c r="R277" s="2"/>
    </row>
    <row r="278" spans="1:18" s="16" customFormat="1" hidden="1" outlineLevel="2" x14ac:dyDescent="0.35">
      <c r="B278" s="11" t="str">
        <f>CONCATENATE("          ", "6326", " - ", "VEHICLES DEPRECIATION EXPENSE")</f>
        <v xml:space="preserve">          6326 - VEHICLES DEPRECIATION EXPENSE</v>
      </c>
      <c r="D278" s="2">
        <v>4923.13</v>
      </c>
      <c r="F278" s="2">
        <v>5090.99</v>
      </c>
      <c r="G278" s="3"/>
      <c r="H278" s="2">
        <v>5090.99</v>
      </c>
      <c r="I278" s="3"/>
      <c r="J278" s="2">
        <v>5090.99</v>
      </c>
      <c r="K278" s="3"/>
      <c r="L278" s="2">
        <v>5090.99</v>
      </c>
      <c r="M278" s="3"/>
      <c r="N278" s="2">
        <v>4242.4799999999996</v>
      </c>
      <c r="O278" s="3"/>
      <c r="P278" s="2">
        <v>6600</v>
      </c>
      <c r="Q278" s="3"/>
      <c r="R278" s="2"/>
    </row>
    <row r="279" spans="1:18" s="15" customFormat="1" outlineLevel="1" collapsed="1" x14ac:dyDescent="0.35">
      <c r="A279" s="7"/>
      <c r="B279" s="20" t="str">
        <f>CONCATENATE("     ","Discounts and Markdowns                           ")</f>
        <v xml:space="preserve">     Discounts and Markdowns                           </v>
      </c>
      <c r="C279" s="7"/>
      <c r="D279" s="1">
        <f>SUM(OSRRefD21_6x_0)</f>
        <v>392131.71</v>
      </c>
      <c r="E279" s="19"/>
      <c r="F279" s="1">
        <f>SUM(OSRRefF21_6x_0)</f>
        <v>403413.89</v>
      </c>
      <c r="G279" s="4"/>
      <c r="H279" s="1">
        <f>SUM(OSRRefH21_6x_0)</f>
        <v>425827.38</v>
      </c>
      <c r="I279" s="4"/>
      <c r="J279" s="1">
        <f>SUM(OSRRefJ21_6x_0)</f>
        <v>409631.93000000005</v>
      </c>
      <c r="K279" s="4"/>
      <c r="L279" s="1">
        <f>SUM(OSRRefL21_6x_0)</f>
        <v>447374.7</v>
      </c>
      <c r="M279" s="4"/>
      <c r="N279" s="1">
        <f>SUM(OSRRefN21_6x_0)</f>
        <v>464181.86000000004</v>
      </c>
      <c r="O279" s="4"/>
      <c r="P279" s="1">
        <f>SUM(OSRRefP21_6x_0)</f>
        <v>386785</v>
      </c>
      <c r="Q279" s="4"/>
      <c r="R279" s="1">
        <f>SUM(OSRRefR21_6x_0)</f>
        <v>0</v>
      </c>
    </row>
    <row r="280" spans="1:18" s="16" customFormat="1" hidden="1" outlineLevel="2" x14ac:dyDescent="0.35">
      <c r="B280" s="11" t="str">
        <f>CONCATENATE("          ", "6382", " - ", "DISCOUNTS/MARK DOWNS")</f>
        <v xml:space="preserve">          6382 - DISCOUNTS/MARK DOWNS</v>
      </c>
      <c r="D280" s="2">
        <v>403339.76</v>
      </c>
      <c r="F280" s="2">
        <v>412715.43</v>
      </c>
      <c r="G280" s="3"/>
      <c r="H280" s="2">
        <v>433066.45</v>
      </c>
      <c r="I280" s="3"/>
      <c r="J280" s="2">
        <v>417507.03</v>
      </c>
      <c r="K280" s="3"/>
      <c r="L280" s="2">
        <v>451997.8</v>
      </c>
      <c r="M280" s="3"/>
      <c r="N280" s="2">
        <v>467416.34</v>
      </c>
      <c r="O280" s="3"/>
      <c r="P280" s="2">
        <v>386785</v>
      </c>
      <c r="Q280" s="3"/>
      <c r="R280" s="2">
        <v>0</v>
      </c>
    </row>
    <row r="281" spans="1:18" s="16" customFormat="1" hidden="1" outlineLevel="2" x14ac:dyDescent="0.35">
      <c r="B281" s="11" t="str">
        <f>CONCATENATE("          ", "9175", " - ", "EARNED DISCOUNTS")</f>
        <v xml:space="preserve">          9175 - EARNED DISCOUNTS</v>
      </c>
      <c r="D281" s="2">
        <v>-11208.05</v>
      </c>
      <c r="F281" s="2">
        <v>-9301.5400000000009</v>
      </c>
      <c r="G281" s="3"/>
      <c r="H281" s="2">
        <v>-7239.07</v>
      </c>
      <c r="I281" s="3"/>
      <c r="J281" s="2">
        <v>-7875.1</v>
      </c>
      <c r="K281" s="3"/>
      <c r="L281" s="2">
        <v>-4623.1000000000004</v>
      </c>
      <c r="M281" s="3"/>
      <c r="N281" s="2">
        <v>-3234.48</v>
      </c>
      <c r="O281" s="3"/>
      <c r="P281" s="2"/>
      <c r="Q281" s="3"/>
      <c r="R281" s="2"/>
    </row>
    <row r="282" spans="1:18" s="15" customFormat="1" outlineLevel="1" collapsed="1" x14ac:dyDescent="0.35">
      <c r="A282" s="7"/>
      <c r="B282" s="20" t="str">
        <f>CONCATENATE("     ","Donations                                         ")</f>
        <v xml:space="preserve">     Donations                                         </v>
      </c>
      <c r="C282" s="7"/>
      <c r="D282" s="1">
        <f>SUM(OSRRefD21_7x_0)</f>
        <v>125385.63</v>
      </c>
      <c r="E282" s="19"/>
      <c r="F282" s="1">
        <f>SUM(OSRRefF21_7x_0)</f>
        <v>120737.55</v>
      </c>
      <c r="G282" s="4"/>
      <c r="H282" s="1">
        <f>SUM(OSRRefH21_7x_0)</f>
        <v>93919.41</v>
      </c>
      <c r="I282" s="4"/>
      <c r="J282" s="1">
        <f>SUM(OSRRefJ21_7x_0)</f>
        <v>125452.69</v>
      </c>
      <c r="K282" s="4"/>
      <c r="L282" s="1">
        <f>SUM(OSRRefL21_7x_0)</f>
        <v>144945.67000000001</v>
      </c>
      <c r="M282" s="4"/>
      <c r="N282" s="1">
        <f>SUM(OSRRefN21_7x_0)</f>
        <v>151321.84</v>
      </c>
      <c r="O282" s="4"/>
      <c r="P282" s="1">
        <f>SUM(OSRRefP21_7x_0)</f>
        <v>142730</v>
      </c>
      <c r="Q282" s="4"/>
      <c r="R282" s="1">
        <f>SUM(OSRRefR21_7x_0)</f>
        <v>170000</v>
      </c>
    </row>
    <row r="283" spans="1:18" s="16" customFormat="1" hidden="1" outlineLevel="2" x14ac:dyDescent="0.35">
      <c r="B283" s="11" t="str">
        <f>CONCATENATE("          ", "6395", " - ", "DONATION-OFF CAMPUS")</f>
        <v xml:space="preserve">          6395 - DONATION-OFF CAMPUS</v>
      </c>
      <c r="D283" s="2"/>
      <c r="F283" s="2"/>
      <c r="G283" s="3"/>
      <c r="H283" s="2">
        <v>207.19</v>
      </c>
      <c r="I283" s="3"/>
      <c r="J283" s="2"/>
      <c r="K283" s="3"/>
      <c r="L283" s="2"/>
      <c r="M283" s="3"/>
      <c r="N283" s="2"/>
      <c r="O283" s="3"/>
      <c r="P283" s="2">
        <v>0</v>
      </c>
      <c r="Q283" s="3"/>
      <c r="R283" s="2"/>
    </row>
    <row r="284" spans="1:18" s="16" customFormat="1" hidden="1" outlineLevel="2" x14ac:dyDescent="0.35">
      <c r="B284" s="11" t="str">
        <f>CONCATENATE("          ", "6399", " - ", "DONATION-ON CAMPUS")</f>
        <v xml:space="preserve">          6399 - DONATION-ON CAMPUS</v>
      </c>
      <c r="D284" s="2">
        <v>125385.63</v>
      </c>
      <c r="F284" s="2">
        <v>120737.55</v>
      </c>
      <c r="G284" s="3"/>
      <c r="H284" s="2">
        <v>93712.22</v>
      </c>
      <c r="I284" s="3"/>
      <c r="J284" s="2">
        <v>125452.69</v>
      </c>
      <c r="K284" s="3"/>
      <c r="L284" s="2">
        <v>144945.67000000001</v>
      </c>
      <c r="M284" s="3"/>
      <c r="N284" s="2">
        <v>151321.84</v>
      </c>
      <c r="O284" s="3"/>
      <c r="P284" s="2">
        <v>142730</v>
      </c>
      <c r="Q284" s="3"/>
      <c r="R284" s="2">
        <v>170000</v>
      </c>
    </row>
    <row r="285" spans="1:18" s="15" customFormat="1" outlineLevel="1" collapsed="1" x14ac:dyDescent="0.35">
      <c r="A285" s="7"/>
      <c r="B285" s="20" t="str">
        <f>CONCATENATE("     ","Employees' Appreciation                           ")</f>
        <v xml:space="preserve">     Employees' Appreciation                           </v>
      </c>
      <c r="C285" s="7"/>
      <c r="D285" s="1">
        <f>SUM(OSRRefD21_8x_0)</f>
        <v>6097.63</v>
      </c>
      <c r="E285" s="19"/>
      <c r="F285" s="1">
        <f>SUM(OSRRefF21_8x_0)</f>
        <v>8389.82</v>
      </c>
      <c r="G285" s="4"/>
      <c r="H285" s="1">
        <f>SUM(OSRRefH21_8x_0)</f>
        <v>7437.86</v>
      </c>
      <c r="I285" s="4"/>
      <c r="J285" s="1">
        <f>SUM(OSRRefJ21_8x_0)</f>
        <v>10834.49</v>
      </c>
      <c r="K285" s="4"/>
      <c r="L285" s="1">
        <f>SUM(OSRRefL21_8x_0)</f>
        <v>12804.79</v>
      </c>
      <c r="M285" s="4"/>
      <c r="N285" s="1">
        <f>SUM(OSRRefN21_8x_0)</f>
        <v>5310.59</v>
      </c>
      <c r="O285" s="4"/>
      <c r="P285" s="1">
        <f>SUM(OSRRefP21_8x_0)</f>
        <v>8930</v>
      </c>
      <c r="Q285" s="4"/>
      <c r="R285" s="1">
        <f>SUM(OSRRefR21_8x_0)</f>
        <v>6760</v>
      </c>
    </row>
    <row r="286" spans="1:18" s="16" customFormat="1" hidden="1" outlineLevel="2" x14ac:dyDescent="0.35">
      <c r="B286" s="11" t="str">
        <f>CONCATENATE("          ", "6277", " - ", "EMPLOYEE APPRECIATION")</f>
        <v xml:space="preserve">          6277 - EMPLOYEE APPRECIATION</v>
      </c>
      <c r="D286" s="2">
        <v>6097.63</v>
      </c>
      <c r="F286" s="2">
        <v>8389.82</v>
      </c>
      <c r="G286" s="3"/>
      <c r="H286" s="2">
        <v>7437.86</v>
      </c>
      <c r="I286" s="3"/>
      <c r="J286" s="2">
        <v>10834.49</v>
      </c>
      <c r="K286" s="3"/>
      <c r="L286" s="2">
        <v>12804.79</v>
      </c>
      <c r="M286" s="3"/>
      <c r="N286" s="2">
        <v>5310.59</v>
      </c>
      <c r="O286" s="3"/>
      <c r="P286" s="2">
        <v>8930</v>
      </c>
      <c r="Q286" s="3"/>
      <c r="R286" s="2">
        <v>6760</v>
      </c>
    </row>
    <row r="287" spans="1:18" s="15" customFormat="1" outlineLevel="1" collapsed="1" x14ac:dyDescent="0.35">
      <c r="A287" s="7"/>
      <c r="B287" s="20" t="str">
        <f>CONCATENATE("     ","Equipment Rental                                  ")</f>
        <v xml:space="preserve">     Equipment Rental                                  </v>
      </c>
      <c r="C287" s="7"/>
      <c r="D287" s="1">
        <f>SUM(OSRRefD21_9x_0)</f>
        <v>68803.03</v>
      </c>
      <c r="E287" s="19"/>
      <c r="F287" s="1">
        <f>SUM(OSRRefF21_9x_0)</f>
        <v>69820.789999999994</v>
      </c>
      <c r="G287" s="4"/>
      <c r="H287" s="1">
        <f>SUM(OSRRefH21_9x_0)</f>
        <v>66478.12</v>
      </c>
      <c r="I287" s="4"/>
      <c r="J287" s="1">
        <f>SUM(OSRRefJ21_9x_0)</f>
        <v>73564.88</v>
      </c>
      <c r="K287" s="4"/>
      <c r="L287" s="1">
        <f>SUM(OSRRefL21_9x_0)</f>
        <v>71108.490000000005</v>
      </c>
      <c r="M287" s="4"/>
      <c r="N287" s="1">
        <f>SUM(OSRRefN21_9x_0)</f>
        <v>55112.01</v>
      </c>
      <c r="O287" s="4"/>
      <c r="P287" s="1">
        <f>SUM(OSRRefP21_9x_0)</f>
        <v>49611</v>
      </c>
      <c r="Q287" s="4"/>
      <c r="R287" s="1">
        <f>SUM(OSRRefR21_9x_0)</f>
        <v>41152</v>
      </c>
    </row>
    <row r="288" spans="1:18" s="16" customFormat="1" hidden="1" outlineLevel="2" x14ac:dyDescent="0.35">
      <c r="B288" s="11" t="str">
        <f>CONCATENATE("          ", "6351", " - ", "EQUIPMENT RENTAL")</f>
        <v xml:space="preserve">          6351 - EQUIPMENT RENTAL</v>
      </c>
      <c r="D288" s="2">
        <v>68803.03</v>
      </c>
      <c r="F288" s="2">
        <v>69820.789999999994</v>
      </c>
      <c r="G288" s="3"/>
      <c r="H288" s="2">
        <v>66478.12</v>
      </c>
      <c r="I288" s="3"/>
      <c r="J288" s="2">
        <v>73564.88</v>
      </c>
      <c r="K288" s="3"/>
      <c r="L288" s="2">
        <v>71108.490000000005</v>
      </c>
      <c r="M288" s="3"/>
      <c r="N288" s="2">
        <v>55112.01</v>
      </c>
      <c r="O288" s="3"/>
      <c r="P288" s="2">
        <v>49611</v>
      </c>
      <c r="Q288" s="3"/>
      <c r="R288" s="2">
        <v>41152</v>
      </c>
    </row>
    <row r="289" spans="1:18" s="15" customFormat="1" outlineLevel="1" collapsed="1" x14ac:dyDescent="0.35">
      <c r="A289" s="7"/>
      <c r="B289" s="20" t="str">
        <f>CONCATENATE("     ","Freight out/Postage                               ")</f>
        <v xml:space="preserve">     Freight out/Postage                               </v>
      </c>
      <c r="C289" s="7"/>
      <c r="D289" s="1">
        <f>SUM(OSRRefD21_10x_0)</f>
        <v>-21534.6</v>
      </c>
      <c r="E289" s="19"/>
      <c r="F289" s="1">
        <f>SUM(OSRRefF21_10x_0)</f>
        <v>-13948.580000000002</v>
      </c>
      <c r="G289" s="4"/>
      <c r="H289" s="1">
        <f>SUM(OSRRefH21_10x_0)</f>
        <v>-13397.520000000004</v>
      </c>
      <c r="I289" s="4"/>
      <c r="J289" s="1">
        <f>SUM(OSRRefJ21_10x_0)</f>
        <v>-1819.5900000000111</v>
      </c>
      <c r="K289" s="4"/>
      <c r="L289" s="1">
        <f>SUM(OSRRefL21_10x_0)</f>
        <v>353.09999999999127</v>
      </c>
      <c r="M289" s="4"/>
      <c r="N289" s="1">
        <f>SUM(OSRRefN21_10x_0)</f>
        <v>42245.960000000006</v>
      </c>
      <c r="O289" s="4"/>
      <c r="P289" s="1">
        <f>SUM(OSRRefP21_10x_0)</f>
        <v>35683</v>
      </c>
      <c r="Q289" s="4"/>
      <c r="R289" s="1">
        <f>SUM(OSRRefR21_10x_0)</f>
        <v>-16100</v>
      </c>
    </row>
    <row r="290" spans="1:18" s="16" customFormat="1" hidden="1" outlineLevel="2" x14ac:dyDescent="0.35">
      <c r="B290" s="11" t="str">
        <f>CONCATENATE("          ", "6305", " - ", "FREIGHT OUT")</f>
        <v xml:space="preserve">          6305 - FREIGHT OUT</v>
      </c>
      <c r="D290" s="2">
        <v>50066.27</v>
      </c>
      <c r="F290" s="2">
        <v>73618.75</v>
      </c>
      <c r="G290" s="3"/>
      <c r="H290" s="2">
        <v>80551.48</v>
      </c>
      <c r="I290" s="3"/>
      <c r="J290" s="2">
        <v>76146.009999999995</v>
      </c>
      <c r="K290" s="3"/>
      <c r="L290" s="2">
        <v>81494.539999999994</v>
      </c>
      <c r="M290" s="3"/>
      <c r="N290" s="2">
        <v>103262.63</v>
      </c>
      <c r="O290" s="3"/>
      <c r="P290" s="2">
        <v>66865</v>
      </c>
      <c r="Q290" s="3"/>
      <c r="R290" s="2">
        <v>157080</v>
      </c>
    </row>
    <row r="291" spans="1:18" s="16" customFormat="1" hidden="1" outlineLevel="2" x14ac:dyDescent="0.35">
      <c r="B291" s="11" t="str">
        <f>CONCATENATE("          ", "6307", " - ", "POSTAGE")</f>
        <v xml:space="preserve">          6307 - POSTAGE</v>
      </c>
      <c r="D291" s="2">
        <v>-71600.87</v>
      </c>
      <c r="F291" s="2">
        <v>-87567.33</v>
      </c>
      <c r="G291" s="3"/>
      <c r="H291" s="2">
        <v>-93949</v>
      </c>
      <c r="I291" s="3"/>
      <c r="J291" s="2">
        <v>-77965.600000000006</v>
      </c>
      <c r="K291" s="3"/>
      <c r="L291" s="2">
        <v>-81141.440000000002</v>
      </c>
      <c r="M291" s="3"/>
      <c r="N291" s="2">
        <v>-61016.67</v>
      </c>
      <c r="O291" s="3"/>
      <c r="P291" s="2">
        <v>-31182</v>
      </c>
      <c r="Q291" s="3"/>
      <c r="R291" s="2">
        <v>-173180</v>
      </c>
    </row>
    <row r="292" spans="1:18" s="15" customFormat="1" outlineLevel="1" collapsed="1" x14ac:dyDescent="0.35">
      <c r="A292" s="7"/>
      <c r="B292" s="20" t="str">
        <f>CONCATENATE("     ","General                                           ")</f>
        <v xml:space="preserve">     General                                           </v>
      </c>
      <c r="C292" s="7"/>
      <c r="D292" s="1">
        <f>SUM(OSRRefD21_11x_0)</f>
        <v>82099.97</v>
      </c>
      <c r="E292" s="19"/>
      <c r="F292" s="1">
        <f>SUM(OSRRefF21_11x_0)</f>
        <v>141571.85</v>
      </c>
      <c r="G292" s="4"/>
      <c r="H292" s="1">
        <f>SUM(OSRRefH21_11x_0)</f>
        <v>88828.12</v>
      </c>
      <c r="I292" s="4"/>
      <c r="J292" s="1">
        <f>SUM(OSRRefJ21_11x_0)</f>
        <v>125754.46</v>
      </c>
      <c r="K292" s="4"/>
      <c r="L292" s="1">
        <f>SUM(OSRRefL21_11x_0)</f>
        <v>105850.22</v>
      </c>
      <c r="M292" s="4"/>
      <c r="N292" s="1">
        <f>SUM(OSRRefN21_11x_0)</f>
        <v>105025.13</v>
      </c>
      <c r="O292" s="4"/>
      <c r="P292" s="1">
        <f>SUM(OSRRefP21_11x_0)</f>
        <v>33550</v>
      </c>
      <c r="Q292" s="4"/>
      <c r="R292" s="1">
        <f>SUM(OSRRefR21_11x_0)</f>
        <v>27210</v>
      </c>
    </row>
    <row r="293" spans="1:18" s="16" customFormat="1" hidden="1" outlineLevel="2" x14ac:dyDescent="0.35">
      <c r="B293" s="11" t="str">
        <f>CONCATENATE("          ", "6269", " - ", "ENTERTAINMENT")</f>
        <v xml:space="preserve">          6269 - ENTERTAINMENT</v>
      </c>
      <c r="D293" s="2">
        <v>1884.79</v>
      </c>
      <c r="F293" s="2">
        <v>2513.13</v>
      </c>
      <c r="G293" s="3"/>
      <c r="H293" s="2">
        <v>2661.68</v>
      </c>
      <c r="I293" s="3"/>
      <c r="J293" s="2">
        <v>6380</v>
      </c>
      <c r="K293" s="3"/>
      <c r="L293" s="2">
        <v>10824.27</v>
      </c>
      <c r="M293" s="3"/>
      <c r="N293" s="2">
        <v>10050</v>
      </c>
      <c r="O293" s="3"/>
      <c r="P293" s="2">
        <v>2750</v>
      </c>
      <c r="Q293" s="3"/>
      <c r="R293" s="2">
        <v>500</v>
      </c>
    </row>
    <row r="294" spans="1:18" s="16" customFormat="1" hidden="1" outlineLevel="2" x14ac:dyDescent="0.35">
      <c r="B294" s="11" t="str">
        <f>CONCATENATE("          ", "6276", " - ", "PROPERTY TAX")</f>
        <v xml:space="preserve">          6276 - PROPERTY TAX</v>
      </c>
      <c r="D294" s="2">
        <v>213.38</v>
      </c>
      <c r="F294" s="2">
        <v>211.84</v>
      </c>
      <c r="G294" s="3"/>
      <c r="H294" s="2"/>
      <c r="I294" s="3"/>
      <c r="J294" s="2"/>
      <c r="K294" s="3"/>
      <c r="L294" s="2"/>
      <c r="M294" s="3"/>
      <c r="N294" s="2"/>
      <c r="O294" s="3"/>
      <c r="P294" s="2">
        <v>150</v>
      </c>
      <c r="Q294" s="3"/>
      <c r="R294" s="2">
        <v>1250</v>
      </c>
    </row>
    <row r="295" spans="1:18" s="16" customFormat="1" hidden="1" outlineLevel="2" x14ac:dyDescent="0.35">
      <c r="B295" s="11" t="str">
        <f>CONCATENATE("          ", "6279", " - ", "GENERAL EXPENSE")</f>
        <v xml:space="preserve">          6279 - GENERAL EXPENSE</v>
      </c>
      <c r="D295" s="2">
        <v>80001.8</v>
      </c>
      <c r="F295" s="2">
        <v>138846.88</v>
      </c>
      <c r="G295" s="3"/>
      <c r="H295" s="2">
        <v>86166.44</v>
      </c>
      <c r="I295" s="3"/>
      <c r="J295" s="2">
        <v>119374.46</v>
      </c>
      <c r="K295" s="3"/>
      <c r="L295" s="2">
        <v>95025.95</v>
      </c>
      <c r="M295" s="3"/>
      <c r="N295" s="2">
        <v>94975.13</v>
      </c>
      <c r="O295" s="3"/>
      <c r="P295" s="2">
        <v>30650</v>
      </c>
      <c r="Q295" s="3"/>
      <c r="R295" s="2">
        <v>25460</v>
      </c>
    </row>
    <row r="296" spans="1:18" s="15" customFormat="1" outlineLevel="1" collapsed="1" x14ac:dyDescent="0.35">
      <c r="A296" s="7"/>
      <c r="B296" s="20" t="str">
        <f>CONCATENATE("     ","Insurance                                         ")</f>
        <v xml:space="preserve">     Insurance                                         </v>
      </c>
      <c r="C296" s="7"/>
      <c r="D296" s="1">
        <f>SUM(OSRRefD21_12x_0)</f>
        <v>76221.41</v>
      </c>
      <c r="E296" s="19"/>
      <c r="F296" s="1">
        <f>SUM(OSRRefF21_12x_0)</f>
        <v>90908.24</v>
      </c>
      <c r="G296" s="4"/>
      <c r="H296" s="1">
        <f>SUM(OSRRefH21_12x_0)</f>
        <v>81191.8</v>
      </c>
      <c r="I296" s="4"/>
      <c r="J296" s="1">
        <f>SUM(OSRRefJ21_12x_0)</f>
        <v>89712.57</v>
      </c>
      <c r="K296" s="4"/>
      <c r="L296" s="1">
        <f>SUM(OSRRefL21_12x_0)</f>
        <v>87015.96</v>
      </c>
      <c r="M296" s="4"/>
      <c r="N296" s="1">
        <f>SUM(OSRRefN21_12x_0)</f>
        <v>108520.84</v>
      </c>
      <c r="O296" s="4"/>
      <c r="P296" s="1">
        <f>SUM(OSRRefP21_12x_0)</f>
        <v>111852</v>
      </c>
      <c r="Q296" s="4"/>
      <c r="R296" s="1">
        <f>SUM(OSRRefR21_12x_0)</f>
        <v>137100</v>
      </c>
    </row>
    <row r="297" spans="1:18" s="16" customFormat="1" hidden="1" outlineLevel="2" x14ac:dyDescent="0.35">
      <c r="B297" s="11" t="str">
        <f>CONCATENATE("          ", "6314", " - ", "LIABILITY INSURANCE")</f>
        <v xml:space="preserve">          6314 - LIABILITY INSURANCE</v>
      </c>
      <c r="D297" s="2">
        <v>76221.41</v>
      </c>
      <c r="F297" s="2">
        <v>90908.24</v>
      </c>
      <c r="G297" s="3"/>
      <c r="H297" s="2">
        <v>81191.8</v>
      </c>
      <c r="I297" s="3"/>
      <c r="J297" s="2">
        <v>89712.57</v>
      </c>
      <c r="K297" s="3"/>
      <c r="L297" s="2">
        <v>87015.96</v>
      </c>
      <c r="M297" s="3"/>
      <c r="N297" s="2">
        <v>108520.84</v>
      </c>
      <c r="O297" s="3"/>
      <c r="P297" s="2">
        <v>111852</v>
      </c>
      <c r="Q297" s="3"/>
      <c r="R297" s="2">
        <v>137100</v>
      </c>
    </row>
    <row r="298" spans="1:18" s="15" customFormat="1" outlineLevel="1" collapsed="1" x14ac:dyDescent="0.35">
      <c r="A298" s="7"/>
      <c r="B298" s="20" t="str">
        <f>CONCATENATE("     ","Interest                                          ")</f>
        <v xml:space="preserve">     Interest                                          </v>
      </c>
      <c r="C298" s="7"/>
      <c r="D298" s="1">
        <f>SUM(OSRRefD21_13x_0)</f>
        <v>182409.46</v>
      </c>
      <c r="E298" s="19"/>
      <c r="F298" s="1">
        <f>SUM(OSRRefF21_13x_0)</f>
        <v>170066</v>
      </c>
      <c r="G298" s="4"/>
      <c r="H298" s="1">
        <f>SUM(OSRRefH21_13x_0)</f>
        <v>139836.01</v>
      </c>
      <c r="I298" s="4"/>
      <c r="J298" s="1">
        <f>SUM(OSRRefJ21_13x_0)</f>
        <v>133581.37</v>
      </c>
      <c r="K298" s="4"/>
      <c r="L298" s="1">
        <f>SUM(OSRRefL21_13x_0)</f>
        <v>131525.23000000001</v>
      </c>
      <c r="M298" s="4"/>
      <c r="N298" s="1">
        <f>SUM(OSRRefN21_13x_0)</f>
        <v>126739.28</v>
      </c>
      <c r="O298" s="4"/>
      <c r="P298" s="1">
        <f>SUM(OSRRefP21_13x_0)</f>
        <v>137856</v>
      </c>
      <c r="Q298" s="4"/>
      <c r="R298" s="1">
        <f>SUM(OSRRefR21_13x_0)</f>
        <v>133064</v>
      </c>
    </row>
    <row r="299" spans="1:18" s="16" customFormat="1" hidden="1" outlineLevel="2" x14ac:dyDescent="0.35">
      <c r="B299" s="11" t="str">
        <f>CONCATENATE("          ", "6401", " - ", "INTEREST EXPENSE")</f>
        <v xml:space="preserve">          6401 - INTEREST EXPENSE</v>
      </c>
      <c r="D299" s="2">
        <v>182409.46</v>
      </c>
      <c r="F299" s="2">
        <v>170066</v>
      </c>
      <c r="G299" s="3"/>
      <c r="H299" s="2">
        <v>139836.01</v>
      </c>
      <c r="I299" s="3"/>
      <c r="J299" s="2">
        <v>133581.37</v>
      </c>
      <c r="K299" s="3"/>
      <c r="L299" s="2">
        <v>131525.23000000001</v>
      </c>
      <c r="M299" s="3"/>
      <c r="N299" s="2">
        <v>126739.28</v>
      </c>
      <c r="O299" s="3"/>
      <c r="P299" s="2">
        <v>137856</v>
      </c>
      <c r="Q299" s="3"/>
      <c r="R299" s="2">
        <v>133064</v>
      </c>
    </row>
    <row r="300" spans="1:18" s="15" customFormat="1" outlineLevel="1" collapsed="1" x14ac:dyDescent="0.35">
      <c r="A300" s="7"/>
      <c r="B300" s="20" t="str">
        <f>CONCATENATE("     ","Inventory Adjustment                              ")</f>
        <v xml:space="preserve">     Inventory Adjustment                              </v>
      </c>
      <c r="C300" s="7"/>
      <c r="D300" s="1">
        <f>SUM(OSRRefD21_14x_0)</f>
        <v>0</v>
      </c>
      <c r="E300" s="19"/>
      <c r="F300" s="1">
        <f>SUM(OSRRefF21_14x_0)</f>
        <v>0</v>
      </c>
      <c r="G300" s="4"/>
      <c r="H300" s="1">
        <f>SUM(OSRRefH21_14x_0)</f>
        <v>0</v>
      </c>
      <c r="I300" s="4"/>
      <c r="J300" s="1">
        <f>SUM(OSRRefJ21_14x_0)</f>
        <v>0</v>
      </c>
      <c r="K300" s="4"/>
      <c r="L300" s="1">
        <f>SUM(OSRRefL21_14x_0)</f>
        <v>0</v>
      </c>
      <c r="M300" s="4"/>
      <c r="N300" s="1">
        <f>SUM(OSRRefN21_14x_0)</f>
        <v>0</v>
      </c>
      <c r="O300" s="4"/>
      <c r="P300" s="1">
        <f>SUM(OSRRefP21_14x_0)</f>
        <v>100200</v>
      </c>
      <c r="Q300" s="4"/>
      <c r="R300" s="1">
        <f>SUM(OSRRefR21_14x_0)</f>
        <v>91200</v>
      </c>
    </row>
    <row r="301" spans="1:18" s="16" customFormat="1" hidden="1" outlineLevel="2" x14ac:dyDescent="0.35">
      <c r="B301" s="11" t="str">
        <f>CONCATENATE("          ", "6408", " - ", "INVENTORY ADJUSTMENT")</f>
        <v xml:space="preserve">          6408 - INVENTORY ADJUSTMENT</v>
      </c>
      <c r="D301" s="2">
        <v>0</v>
      </c>
      <c r="F301" s="2">
        <v>0</v>
      </c>
      <c r="G301" s="3"/>
      <c r="H301" s="2">
        <v>0</v>
      </c>
      <c r="I301" s="3"/>
      <c r="J301" s="2">
        <v>0</v>
      </c>
      <c r="K301" s="3"/>
      <c r="L301" s="2">
        <v>0</v>
      </c>
      <c r="M301" s="3"/>
      <c r="N301" s="2">
        <v>0</v>
      </c>
      <c r="O301" s="3"/>
      <c r="P301" s="2">
        <v>100200</v>
      </c>
      <c r="Q301" s="3"/>
      <c r="R301" s="2">
        <v>91200</v>
      </c>
    </row>
    <row r="302" spans="1:18" s="16" customFormat="1" hidden="1" outlineLevel="2" x14ac:dyDescent="0.35">
      <c r="B302" s="11" t="str">
        <f>CONCATENATE("          ", "7700", " - ", "INV. SHRINKAGE @ RETAIL-CONTRA")</f>
        <v xml:space="preserve">          7700 - INV. SHRINKAGE @ RETAIL-CONTRA</v>
      </c>
      <c r="D302" s="2">
        <v>-100505</v>
      </c>
      <c r="F302" s="2">
        <v>51810</v>
      </c>
      <c r="G302" s="3"/>
      <c r="H302" s="2">
        <v>-36650</v>
      </c>
      <c r="I302" s="3"/>
      <c r="J302" s="2">
        <v>110351</v>
      </c>
      <c r="K302" s="3"/>
      <c r="L302" s="2">
        <v>166740</v>
      </c>
      <c r="M302" s="3"/>
      <c r="N302" s="2">
        <v>-99781</v>
      </c>
      <c r="O302" s="3"/>
      <c r="P302" s="2"/>
      <c r="Q302" s="3"/>
      <c r="R302" s="2"/>
    </row>
    <row r="303" spans="1:18" s="16" customFormat="1" hidden="1" outlineLevel="2" x14ac:dyDescent="0.35">
      <c r="B303" s="11" t="str">
        <f>CONCATENATE("          ", "7701", " - ", "INV. SHRINKAGE-NEW TEXT")</f>
        <v xml:space="preserve">          7701 - INV. SHRINKAGE-NEW TEXT</v>
      </c>
      <c r="D303" s="2">
        <v>27329</v>
      </c>
      <c r="F303" s="2">
        <v>-45934</v>
      </c>
      <c r="G303" s="3"/>
      <c r="H303" s="2">
        <v>425827</v>
      </c>
      <c r="I303" s="3"/>
      <c r="J303" s="2">
        <v>36055</v>
      </c>
      <c r="K303" s="3"/>
      <c r="L303" s="2">
        <v>-79917</v>
      </c>
      <c r="M303" s="3"/>
      <c r="N303" s="2">
        <v>-4346</v>
      </c>
      <c r="O303" s="3"/>
      <c r="P303" s="2"/>
      <c r="Q303" s="3"/>
      <c r="R303" s="2"/>
    </row>
    <row r="304" spans="1:18" s="16" customFormat="1" hidden="1" outlineLevel="2" x14ac:dyDescent="0.35">
      <c r="B304" s="11" t="str">
        <f>CONCATENATE("          ", "7702", " - ", "INV. SHRINKAGE-USED TEXT")</f>
        <v xml:space="preserve">          7702 - INV. SHRINKAGE-USED TEXT</v>
      </c>
      <c r="D304" s="2">
        <v>58945</v>
      </c>
      <c r="F304" s="2">
        <v>-5994</v>
      </c>
      <c r="G304" s="3"/>
      <c r="H304" s="2">
        <v>-306482</v>
      </c>
      <c r="I304" s="3"/>
      <c r="J304" s="2">
        <v>-43858</v>
      </c>
      <c r="K304" s="3"/>
      <c r="L304" s="2">
        <v>-5215</v>
      </c>
      <c r="M304" s="3"/>
      <c r="N304" s="2">
        <v>-29494</v>
      </c>
      <c r="O304" s="3"/>
      <c r="P304" s="2"/>
      <c r="Q304" s="3"/>
      <c r="R304" s="2"/>
    </row>
    <row r="305" spans="2:18" s="16" customFormat="1" hidden="1" outlineLevel="2" x14ac:dyDescent="0.35">
      <c r="B305" s="11" t="str">
        <f>CONCATENATE("          ", "7703", " - ", "INV. SHRINKAGE-RENTAL TEXT")</f>
        <v xml:space="preserve">          7703 - INV. SHRINKAGE-RENTAL TEXT</v>
      </c>
      <c r="D305" s="2"/>
      <c r="F305" s="2"/>
      <c r="G305" s="3"/>
      <c r="H305" s="2"/>
      <c r="I305" s="3"/>
      <c r="J305" s="2">
        <v>-19135</v>
      </c>
      <c r="K305" s="3"/>
      <c r="L305" s="2">
        <v>30858</v>
      </c>
      <c r="M305" s="3"/>
      <c r="N305" s="2">
        <v>526</v>
      </c>
      <c r="O305" s="3"/>
      <c r="P305" s="2"/>
      <c r="Q305" s="3"/>
      <c r="R305" s="2"/>
    </row>
    <row r="306" spans="2:18" s="16" customFormat="1" hidden="1" outlineLevel="2" x14ac:dyDescent="0.35">
      <c r="B306" s="11" t="str">
        <f>CONCATENATE("          ", "7704", " - ", "INV. SHRINKAGE-DIGITAL TEXT")</f>
        <v xml:space="preserve">          7704 - INV. SHRINKAGE-DIGITAL TEXT</v>
      </c>
      <c r="D306" s="2">
        <v>-9157</v>
      </c>
      <c r="F306" s="2">
        <v>-13898</v>
      </c>
      <c r="G306" s="3"/>
      <c r="H306" s="2">
        <v>-106620</v>
      </c>
      <c r="I306" s="3"/>
      <c r="J306" s="2">
        <v>-101331</v>
      </c>
      <c r="K306" s="3"/>
      <c r="L306" s="2">
        <v>-37301</v>
      </c>
      <c r="M306" s="3"/>
      <c r="N306" s="2">
        <v>816</v>
      </c>
      <c r="O306" s="3"/>
      <c r="P306" s="2"/>
      <c r="Q306" s="3"/>
      <c r="R306" s="2"/>
    </row>
    <row r="307" spans="2:18" s="16" customFormat="1" hidden="1" outlineLevel="2" x14ac:dyDescent="0.35">
      <c r="B307" s="11" t="str">
        <f>CONCATENATE("          ", "7711", " - ", "INV. SHRINKAGE-NO VALUE TEXT")</f>
        <v xml:space="preserve">          7711 - INV. SHRINKAGE-NO VALUE TEXT</v>
      </c>
      <c r="D307" s="2"/>
      <c r="F307" s="2">
        <v>-191</v>
      </c>
      <c r="G307" s="3"/>
      <c r="H307" s="2">
        <v>6</v>
      </c>
      <c r="I307" s="3"/>
      <c r="J307" s="2">
        <v>-8956</v>
      </c>
      <c r="K307" s="3"/>
      <c r="L307" s="2">
        <v>-2516</v>
      </c>
      <c r="M307" s="3"/>
      <c r="N307" s="2">
        <v>-1126</v>
      </c>
      <c r="O307" s="3"/>
      <c r="P307" s="2"/>
      <c r="Q307" s="3"/>
      <c r="R307" s="2"/>
    </row>
    <row r="308" spans="2:18" s="16" customFormat="1" hidden="1" outlineLevel="2" x14ac:dyDescent="0.35">
      <c r="B308" s="11" t="str">
        <f>CONCATENATE("          ", "7712", " - ", "INV. SHRINKAGE-MAGAZINES")</f>
        <v xml:space="preserve">          7712 - INV. SHRINKAGE-MAGAZINES</v>
      </c>
      <c r="D308" s="2">
        <v>-54</v>
      </c>
      <c r="F308" s="2">
        <v>-15</v>
      </c>
      <c r="G308" s="3"/>
      <c r="H308" s="2">
        <v>-27</v>
      </c>
      <c r="I308" s="3"/>
      <c r="J308" s="2"/>
      <c r="K308" s="3"/>
      <c r="L308" s="2"/>
      <c r="M308" s="3"/>
      <c r="N308" s="2"/>
      <c r="O308" s="3"/>
      <c r="P308" s="2"/>
      <c r="Q308" s="3"/>
      <c r="R308" s="2"/>
    </row>
    <row r="309" spans="2:18" s="16" customFormat="1" hidden="1" outlineLevel="2" x14ac:dyDescent="0.35">
      <c r="B309" s="11" t="str">
        <f>CONCATENATE("          ", "7713", " - ", "INV. SHRINKAGE-TRADE BOOKS")</f>
        <v xml:space="preserve">          7713 - INV. SHRINKAGE-TRADE BOOKS</v>
      </c>
      <c r="D309" s="2">
        <v>10516</v>
      </c>
      <c r="F309" s="2">
        <v>-970</v>
      </c>
      <c r="G309" s="3"/>
      <c r="H309" s="2">
        <v>-273</v>
      </c>
      <c r="I309" s="3"/>
      <c r="J309" s="2">
        <v>-548</v>
      </c>
      <c r="K309" s="3"/>
      <c r="L309" s="2">
        <v>749</v>
      </c>
      <c r="M309" s="3"/>
      <c r="N309" s="2">
        <v>-385</v>
      </c>
      <c r="O309" s="3"/>
      <c r="P309" s="2"/>
      <c r="Q309" s="3"/>
      <c r="R309" s="2"/>
    </row>
    <row r="310" spans="2:18" s="16" customFormat="1" hidden="1" outlineLevel="2" x14ac:dyDescent="0.35">
      <c r="B310" s="11" t="str">
        <f>CONCATENATE("          ", "7714", " - ", "INV. SHRINKAGE-REMAINDERS")</f>
        <v xml:space="preserve">          7714 - INV. SHRINKAGE-REMAINDERS</v>
      </c>
      <c r="D310" s="2">
        <v>-182</v>
      </c>
      <c r="F310" s="2">
        <v>-97</v>
      </c>
      <c r="G310" s="3"/>
      <c r="H310" s="2">
        <v>-107</v>
      </c>
      <c r="I310" s="3"/>
      <c r="J310" s="2">
        <v>-1904</v>
      </c>
      <c r="K310" s="3"/>
      <c r="L310" s="2">
        <v>-23</v>
      </c>
      <c r="M310" s="3"/>
      <c r="N310" s="2">
        <v>204</v>
      </c>
      <c r="O310" s="3"/>
      <c r="P310" s="2"/>
      <c r="Q310" s="3"/>
      <c r="R310" s="2"/>
    </row>
    <row r="311" spans="2:18" s="16" customFormat="1" hidden="1" outlineLevel="2" x14ac:dyDescent="0.35">
      <c r="B311" s="11" t="str">
        <f>CONCATENATE("          ", "7715", " - ", "INV. SHRINKAGE-CALENDARS")</f>
        <v xml:space="preserve">          7715 - INV. SHRINKAGE-CALENDARS</v>
      </c>
      <c r="D311" s="2">
        <v>-12</v>
      </c>
      <c r="F311" s="2">
        <v>-383</v>
      </c>
      <c r="G311" s="3"/>
      <c r="H311" s="2">
        <v>-154</v>
      </c>
      <c r="I311" s="3"/>
      <c r="J311" s="2"/>
      <c r="K311" s="3"/>
      <c r="L311" s="2"/>
      <c r="M311" s="3"/>
      <c r="N311" s="2"/>
      <c r="O311" s="3"/>
      <c r="P311" s="2"/>
      <c r="Q311" s="3"/>
      <c r="R311" s="2"/>
    </row>
    <row r="312" spans="2:18" s="16" customFormat="1" hidden="1" outlineLevel="2" x14ac:dyDescent="0.35">
      <c r="B312" s="11" t="str">
        <f>CONCATENATE("          ", "7717", " - ", "INV. SHRINKAGE-DORM/HOUSEWARES")</f>
        <v xml:space="preserve">          7717 - INV. SHRINKAGE-DORM/HOUSEWARES</v>
      </c>
      <c r="D312" s="2">
        <v>62</v>
      </c>
      <c r="F312" s="2">
        <v>-148</v>
      </c>
      <c r="G312" s="3"/>
      <c r="H312" s="2">
        <v>-513</v>
      </c>
      <c r="I312" s="3"/>
      <c r="J312" s="2">
        <v>3654</v>
      </c>
      <c r="K312" s="3"/>
      <c r="L312" s="2">
        <v>-22</v>
      </c>
      <c r="M312" s="3"/>
      <c r="N312" s="2">
        <v>-254</v>
      </c>
      <c r="O312" s="3"/>
      <c r="P312" s="2"/>
      <c r="Q312" s="3"/>
      <c r="R312" s="2"/>
    </row>
    <row r="313" spans="2:18" s="16" customFormat="1" hidden="1" outlineLevel="2" x14ac:dyDescent="0.35">
      <c r="B313" s="11" t="str">
        <f>CONCATENATE("          ", "7718", " - ", "INV. SHRINKAGE-STUDY GUIDES")</f>
        <v xml:space="preserve">          7718 - INV. SHRINKAGE-STUDY GUIDES</v>
      </c>
      <c r="D313" s="2">
        <v>599</v>
      </c>
      <c r="F313" s="2">
        <v>368</v>
      </c>
      <c r="G313" s="3"/>
      <c r="H313" s="2">
        <v>-28</v>
      </c>
      <c r="I313" s="3"/>
      <c r="J313" s="2">
        <v>-24</v>
      </c>
      <c r="K313" s="3"/>
      <c r="L313" s="2">
        <v>-1534</v>
      </c>
      <c r="M313" s="3"/>
      <c r="N313" s="2">
        <v>458</v>
      </c>
      <c r="O313" s="3"/>
      <c r="P313" s="2"/>
      <c r="Q313" s="3"/>
      <c r="R313" s="2"/>
    </row>
    <row r="314" spans="2:18" s="16" customFormat="1" hidden="1" outlineLevel="2" x14ac:dyDescent="0.35">
      <c r="B314" s="11" t="str">
        <f>CONCATENATE("          ", "7719", " - ", "INV. SHRINKAGE-BOOK RELATED")</f>
        <v xml:space="preserve">          7719 - INV. SHRINKAGE-BOOK RELATED</v>
      </c>
      <c r="D314" s="2">
        <v>283</v>
      </c>
      <c r="F314" s="2">
        <v>-98</v>
      </c>
      <c r="G314" s="3"/>
      <c r="H314" s="2">
        <v>80</v>
      </c>
      <c r="I314" s="3"/>
      <c r="J314" s="2">
        <v>22</v>
      </c>
      <c r="K314" s="3"/>
      <c r="L314" s="2">
        <v>-43</v>
      </c>
      <c r="M314" s="3"/>
      <c r="N314" s="2">
        <v>-43</v>
      </c>
      <c r="O314" s="3"/>
      <c r="P314" s="2"/>
      <c r="Q314" s="3"/>
      <c r="R314" s="2"/>
    </row>
    <row r="315" spans="2:18" s="16" customFormat="1" hidden="1" outlineLevel="2" x14ac:dyDescent="0.35">
      <c r="B315" s="11" t="str">
        <f>CONCATENATE("          ", "7725", " - ", "INV. SHRINKAGE-TEST FORMS")</f>
        <v xml:space="preserve">          7725 - INV. SHRINKAGE-TEST FORMS</v>
      </c>
      <c r="D315" s="2">
        <v>609</v>
      </c>
      <c r="F315" s="2">
        <v>2982</v>
      </c>
      <c r="G315" s="3"/>
      <c r="H315" s="2">
        <v>-2680</v>
      </c>
      <c r="I315" s="3"/>
      <c r="J315" s="2">
        <v>-12037</v>
      </c>
      <c r="K315" s="3"/>
      <c r="L315" s="2">
        <v>95</v>
      </c>
      <c r="M315" s="3"/>
      <c r="N315" s="2">
        <v>3987</v>
      </c>
      <c r="O315" s="3"/>
      <c r="P315" s="2"/>
      <c r="Q315" s="3"/>
      <c r="R315" s="2"/>
    </row>
    <row r="316" spans="2:18" s="16" customFormat="1" hidden="1" outlineLevel="2" x14ac:dyDescent="0.35">
      <c r="B316" s="11" t="str">
        <f>CONCATENATE("          ", "7726", " - ", "INV. SHRINKAGE-WRITING INSTRUM")</f>
        <v xml:space="preserve">          7726 - INV. SHRINKAGE-WRITING INSTRUM</v>
      </c>
      <c r="D316" s="2">
        <v>2161</v>
      </c>
      <c r="F316" s="2">
        <v>1730</v>
      </c>
      <c r="G316" s="3"/>
      <c r="H316" s="2">
        <v>1370</v>
      </c>
      <c r="I316" s="3"/>
      <c r="J316" s="2">
        <v>2389</v>
      </c>
      <c r="K316" s="3"/>
      <c r="L316" s="2">
        <v>1467</v>
      </c>
      <c r="M316" s="3"/>
      <c r="N316" s="2">
        <v>9153</v>
      </c>
      <c r="O316" s="3"/>
      <c r="P316" s="2"/>
      <c r="Q316" s="3"/>
      <c r="R316" s="2"/>
    </row>
    <row r="317" spans="2:18" s="16" customFormat="1" hidden="1" outlineLevel="2" x14ac:dyDescent="0.35">
      <c r="B317" s="11" t="str">
        <f>CONCATENATE("          ", "7727", " - ", "INV. SHRINKAGE-SCHOOL SUPPLIES")</f>
        <v xml:space="preserve">          7727 - INV. SHRINKAGE-SCHOOL SUPPLIES</v>
      </c>
      <c r="D317" s="2">
        <v>1488</v>
      </c>
      <c r="F317" s="2">
        <v>1734</v>
      </c>
      <c r="G317" s="3"/>
      <c r="H317" s="2">
        <v>-5055</v>
      </c>
      <c r="I317" s="3"/>
      <c r="J317" s="2">
        <v>8110</v>
      </c>
      <c r="K317" s="3"/>
      <c r="L317" s="2">
        <v>1404</v>
      </c>
      <c r="M317" s="3"/>
      <c r="N317" s="2">
        <v>9822</v>
      </c>
      <c r="O317" s="3"/>
      <c r="P317" s="2"/>
      <c r="Q317" s="3"/>
      <c r="R317" s="2"/>
    </row>
    <row r="318" spans="2:18" s="16" customFormat="1" hidden="1" outlineLevel="2" x14ac:dyDescent="0.35">
      <c r="B318" s="11" t="str">
        <f>CONCATENATE("          ", "7728", " - ", "INV. SHRINKAGE-ART/TECH")</f>
        <v xml:space="preserve">          7728 - INV. SHRINKAGE-ART/TECH</v>
      </c>
      <c r="D318" s="2">
        <v>2277</v>
      </c>
      <c r="F318" s="2">
        <v>10</v>
      </c>
      <c r="G318" s="3"/>
      <c r="H318" s="2">
        <v>-6930</v>
      </c>
      <c r="I318" s="3"/>
      <c r="J318" s="2">
        <v>3127</v>
      </c>
      <c r="K318" s="3"/>
      <c r="L318" s="2">
        <v>4009</v>
      </c>
      <c r="M318" s="3"/>
      <c r="N318" s="2">
        <v>8990</v>
      </c>
      <c r="O318" s="3"/>
      <c r="P318" s="2"/>
      <c r="Q318" s="3"/>
      <c r="R318" s="2"/>
    </row>
    <row r="319" spans="2:18" s="16" customFormat="1" hidden="1" outlineLevel="2" x14ac:dyDescent="0.35">
      <c r="B319" s="11" t="str">
        <f>CONCATENATE("          ", "7731", " - ", "INV. SHRINKAGE-FOOD")</f>
        <v xml:space="preserve">          7731 - INV. SHRINKAGE-FOOD</v>
      </c>
      <c r="D319" s="2">
        <v>397</v>
      </c>
      <c r="F319" s="2">
        <v>-1970</v>
      </c>
      <c r="G319" s="3"/>
      <c r="H319" s="2">
        <v>1740</v>
      </c>
      <c r="I319" s="3"/>
      <c r="J319" s="2">
        <v>3556</v>
      </c>
      <c r="K319" s="3"/>
      <c r="L319" s="2">
        <v>-237</v>
      </c>
      <c r="M319" s="3"/>
      <c r="N319" s="2">
        <v>6964</v>
      </c>
      <c r="O319" s="3"/>
      <c r="P319" s="2"/>
      <c r="Q319" s="3"/>
      <c r="R319" s="2"/>
    </row>
    <row r="320" spans="2:18" s="16" customFormat="1" hidden="1" outlineLevel="2" x14ac:dyDescent="0.35">
      <c r="B320" s="11" t="str">
        <f>CONCATENATE("          ", "7732", " - ", "INV. SHRINKAGE-JUICE")</f>
        <v xml:space="preserve">          7732 - INV. SHRINKAGE-JUICE</v>
      </c>
      <c r="D320" s="2">
        <v>-1072</v>
      </c>
      <c r="F320" s="2">
        <v>-592</v>
      </c>
      <c r="G320" s="3"/>
      <c r="H320" s="2">
        <v>-221</v>
      </c>
      <c r="I320" s="3"/>
      <c r="J320" s="2">
        <v>-740</v>
      </c>
      <c r="K320" s="3"/>
      <c r="L320" s="2">
        <v>-181</v>
      </c>
      <c r="M320" s="3"/>
      <c r="N320" s="2">
        <v>-1942</v>
      </c>
      <c r="O320" s="3"/>
      <c r="P320" s="2"/>
      <c r="Q320" s="3"/>
      <c r="R320" s="2"/>
    </row>
    <row r="321" spans="2:18" s="16" customFormat="1" hidden="1" outlineLevel="2" x14ac:dyDescent="0.35">
      <c r="B321" s="11" t="str">
        <f>CONCATENATE("          ", "7733", " - ", "INV. SHRINKAGE-CANDY")</f>
        <v xml:space="preserve">          7733 - INV. SHRINKAGE-CANDY</v>
      </c>
      <c r="D321" s="2">
        <v>971</v>
      </c>
      <c r="F321" s="2">
        <v>1694</v>
      </c>
      <c r="G321" s="3"/>
      <c r="H321" s="2">
        <v>72</v>
      </c>
      <c r="I321" s="3"/>
      <c r="J321" s="2">
        <v>-1683</v>
      </c>
      <c r="K321" s="3"/>
      <c r="L321" s="2">
        <v>-289</v>
      </c>
      <c r="M321" s="3"/>
      <c r="N321" s="2">
        <v>2710</v>
      </c>
      <c r="O321" s="3"/>
      <c r="P321" s="2"/>
      <c r="Q321" s="3"/>
      <c r="R321" s="2"/>
    </row>
    <row r="322" spans="2:18" s="16" customFormat="1" hidden="1" outlineLevel="2" x14ac:dyDescent="0.35">
      <c r="B322" s="11" t="str">
        <f>CONCATENATE("          ", "7734", " - ", "INV. SHRINKAGE-SODA")</f>
        <v xml:space="preserve">          7734 - INV. SHRINKAGE-SODA</v>
      </c>
      <c r="D322" s="2">
        <v>13</v>
      </c>
      <c r="F322" s="2">
        <v>-258</v>
      </c>
      <c r="G322" s="3"/>
      <c r="H322" s="2">
        <v>-392</v>
      </c>
      <c r="I322" s="3"/>
      <c r="J322" s="2">
        <v>-302</v>
      </c>
      <c r="K322" s="3"/>
      <c r="L322" s="2">
        <v>478</v>
      </c>
      <c r="M322" s="3"/>
      <c r="N322" s="2">
        <v>1253</v>
      </c>
      <c r="O322" s="3"/>
      <c r="P322" s="2"/>
      <c r="Q322" s="3"/>
      <c r="R322" s="2"/>
    </row>
    <row r="323" spans="2:18" s="16" customFormat="1" hidden="1" outlineLevel="2" x14ac:dyDescent="0.35">
      <c r="B323" s="11" t="str">
        <f>CONCATENATE("          ", "7735", " - ", "INV. SHRINKAGE-HEALTH/BEAUTY")</f>
        <v xml:space="preserve">          7735 - INV. SHRINKAGE-HEALTH/BEAUTY</v>
      </c>
      <c r="D323" s="2">
        <v>-87</v>
      </c>
      <c r="F323" s="2">
        <v>-265</v>
      </c>
      <c r="G323" s="3"/>
      <c r="H323" s="2">
        <v>91</v>
      </c>
      <c r="I323" s="3"/>
      <c r="J323" s="2">
        <v>222</v>
      </c>
      <c r="K323" s="3"/>
      <c r="L323" s="2">
        <v>-288</v>
      </c>
      <c r="M323" s="3"/>
      <c r="N323" s="2">
        <v>369</v>
      </c>
      <c r="O323" s="3"/>
      <c r="P323" s="2"/>
      <c r="Q323" s="3"/>
      <c r="R323" s="2"/>
    </row>
    <row r="324" spans="2:18" s="16" customFormat="1" hidden="1" outlineLevel="2" x14ac:dyDescent="0.35">
      <c r="B324" s="11" t="str">
        <f>CONCATENATE("          ", "7737", " - ", "INV. SHRINKAGE-WATER")</f>
        <v xml:space="preserve">          7737 - INV. SHRINKAGE-WATER</v>
      </c>
      <c r="D324" s="2">
        <v>-148</v>
      </c>
      <c r="F324" s="2">
        <v>-161</v>
      </c>
      <c r="G324" s="3"/>
      <c r="H324" s="2">
        <v>-2570</v>
      </c>
      <c r="I324" s="3"/>
      <c r="J324" s="2">
        <v>-72</v>
      </c>
      <c r="K324" s="3"/>
      <c r="L324" s="2">
        <v>-128</v>
      </c>
      <c r="M324" s="3"/>
      <c r="N324" s="2">
        <v>763</v>
      </c>
      <c r="O324" s="3"/>
      <c r="P324" s="2"/>
      <c r="Q324" s="3"/>
      <c r="R324" s="2"/>
    </row>
    <row r="325" spans="2:18" s="16" customFormat="1" hidden="1" outlineLevel="2" x14ac:dyDescent="0.35">
      <c r="B325" s="11" t="str">
        <f>CONCATENATE("          ", "7740", " - ", "INV. SHRINKAGE-LOGO CLOTHING")</f>
        <v xml:space="preserve">          7740 - INV. SHRINKAGE-LOGO CLOTHING</v>
      </c>
      <c r="D325" s="2">
        <v>1773</v>
      </c>
      <c r="F325" s="2">
        <v>14987</v>
      </c>
      <c r="G325" s="3"/>
      <c r="H325" s="2">
        <v>36874</v>
      </c>
      <c r="I325" s="3"/>
      <c r="J325" s="2">
        <v>39012</v>
      </c>
      <c r="K325" s="3"/>
      <c r="L325" s="2">
        <v>-33861</v>
      </c>
      <c r="M325" s="3"/>
      <c r="N325" s="2">
        <v>62007</v>
      </c>
      <c r="O325" s="3"/>
      <c r="P325" s="2"/>
      <c r="Q325" s="3"/>
      <c r="R325" s="2"/>
    </row>
    <row r="326" spans="2:18" s="16" customFormat="1" hidden="1" outlineLevel="2" x14ac:dyDescent="0.35">
      <c r="B326" s="11" t="str">
        <f>CONCATENATE("          ", "7741", " - ", "INV. SHRINKAGE-LOGO GIFTS")</f>
        <v xml:space="preserve">          7741 - INV. SHRINKAGE-LOGO GIFTS</v>
      </c>
      <c r="D326" s="2">
        <v>-1016</v>
      </c>
      <c r="F326" s="2">
        <v>2224</v>
      </c>
      <c r="G326" s="3"/>
      <c r="H326" s="2">
        <v>-7055</v>
      </c>
      <c r="I326" s="3"/>
      <c r="J326" s="2">
        <v>16045</v>
      </c>
      <c r="K326" s="3"/>
      <c r="L326" s="2">
        <v>-30911</v>
      </c>
      <c r="M326" s="3"/>
      <c r="N326" s="2">
        <v>30707</v>
      </c>
      <c r="O326" s="3"/>
      <c r="P326" s="2"/>
      <c r="Q326" s="3"/>
      <c r="R326" s="2"/>
    </row>
    <row r="327" spans="2:18" s="16" customFormat="1" hidden="1" outlineLevel="2" x14ac:dyDescent="0.35">
      <c r="B327" s="11" t="str">
        <f>CONCATENATE("          ", "7742", " - ", "INV. SHRINKAGE-EVERYDAY GIFTS")</f>
        <v xml:space="preserve">          7742 - INV. SHRINKAGE-EVERYDAY GIFTS</v>
      </c>
      <c r="D327" s="2">
        <v>3772</v>
      </c>
      <c r="F327" s="2">
        <v>-6641</v>
      </c>
      <c r="G327" s="3"/>
      <c r="H327" s="2">
        <v>-3911</v>
      </c>
      <c r="I327" s="3"/>
      <c r="J327" s="2">
        <v>-1081</v>
      </c>
      <c r="K327" s="3"/>
      <c r="L327" s="2">
        <v>10301</v>
      </c>
      <c r="M327" s="3"/>
      <c r="N327" s="2">
        <v>26197</v>
      </c>
      <c r="O327" s="3"/>
      <c r="P327" s="2"/>
      <c r="Q327" s="3"/>
      <c r="R327" s="2"/>
    </row>
    <row r="328" spans="2:18" s="16" customFormat="1" hidden="1" outlineLevel="2" x14ac:dyDescent="0.35">
      <c r="B328" s="11" t="str">
        <f>CONCATENATE("          ", "7743", " - ", "INV. SHRINKAGE-CARDS")</f>
        <v xml:space="preserve">          7743 - INV. SHRINKAGE-CARDS</v>
      </c>
      <c r="D328" s="2">
        <v>1910</v>
      </c>
      <c r="F328" s="2">
        <v>1426</v>
      </c>
      <c r="G328" s="3"/>
      <c r="H328" s="2">
        <v>-13</v>
      </c>
      <c r="I328" s="3"/>
      <c r="J328" s="2">
        <v>384</v>
      </c>
      <c r="K328" s="3"/>
      <c r="L328" s="2">
        <v>-1135</v>
      </c>
      <c r="M328" s="3"/>
      <c r="N328" s="2">
        <v>-12818</v>
      </c>
      <c r="O328" s="3"/>
      <c r="P328" s="2"/>
      <c r="Q328" s="3"/>
      <c r="R328" s="2"/>
    </row>
    <row r="329" spans="2:18" s="16" customFormat="1" hidden="1" outlineLevel="2" x14ac:dyDescent="0.35">
      <c r="B329" s="11" t="str">
        <f>CONCATENATE("          ", "7744", " - ", "INV. SHRINKAGE-ACCESSORIES")</f>
        <v xml:space="preserve">          7744 - INV. SHRINKAGE-ACCESSORIES</v>
      </c>
      <c r="D329" s="2">
        <v>-1141</v>
      </c>
      <c r="F329" s="2">
        <v>-6020</v>
      </c>
      <c r="G329" s="3"/>
      <c r="H329" s="2">
        <v>-1004</v>
      </c>
      <c r="I329" s="3"/>
      <c r="J329" s="2">
        <v>-1443</v>
      </c>
      <c r="K329" s="3"/>
      <c r="L329" s="2">
        <v>-141</v>
      </c>
      <c r="M329" s="3"/>
      <c r="N329" s="2">
        <v>-16780</v>
      </c>
      <c r="O329" s="3"/>
      <c r="P329" s="2"/>
      <c r="Q329" s="3"/>
      <c r="R329" s="2"/>
    </row>
    <row r="330" spans="2:18" s="16" customFormat="1" hidden="1" outlineLevel="2" x14ac:dyDescent="0.35">
      <c r="B330" s="11" t="str">
        <f>CONCATENATE("          ", "7745", " - ", "INV. SHRINKAGE-SPECIAL ORDERS")</f>
        <v xml:space="preserve">          7745 - INV. SHRINKAGE-SPECIAL ORDERS</v>
      </c>
      <c r="D330" s="2">
        <v>-4262</v>
      </c>
      <c r="F330" s="2">
        <v>3639</v>
      </c>
      <c r="G330" s="3"/>
      <c r="H330" s="2">
        <v>4600</v>
      </c>
      <c r="I330" s="3"/>
      <c r="J330" s="2">
        <v>-14224</v>
      </c>
      <c r="K330" s="3"/>
      <c r="L330" s="2">
        <v>-740</v>
      </c>
      <c r="M330" s="3"/>
      <c r="N330" s="2">
        <v>44531</v>
      </c>
      <c r="O330" s="3"/>
      <c r="P330" s="2"/>
      <c r="Q330" s="3"/>
      <c r="R330" s="2"/>
    </row>
    <row r="331" spans="2:18" s="16" customFormat="1" hidden="1" outlineLevel="2" x14ac:dyDescent="0.35">
      <c r="B331" s="11" t="str">
        <f>CONCATENATE("          ", "7781", " - ", "INV. SHRINKAGE-ELECTRONICS")</f>
        <v xml:space="preserve">          7781 - INV. SHRINKAGE-ELECTRONICS</v>
      </c>
      <c r="D331" s="2">
        <v>-435</v>
      </c>
      <c r="F331" s="2">
        <v>1734</v>
      </c>
      <c r="G331" s="3"/>
      <c r="H331" s="2">
        <v>-3870</v>
      </c>
      <c r="I331" s="3"/>
      <c r="J331" s="2">
        <v>3531</v>
      </c>
      <c r="K331" s="3"/>
      <c r="L331" s="2">
        <v>4453</v>
      </c>
      <c r="M331" s="3"/>
      <c r="N331" s="2">
        <v>-18533</v>
      </c>
      <c r="O331" s="3"/>
      <c r="P331" s="2"/>
      <c r="Q331" s="3"/>
      <c r="R331" s="2"/>
    </row>
    <row r="332" spans="2:18" s="16" customFormat="1" hidden="1" outlineLevel="2" x14ac:dyDescent="0.35">
      <c r="B332" s="11" t="str">
        <f>CONCATENATE("          ", "7782", " - ", "INV. SHRINKAGE-COMPUTER HARDWA")</f>
        <v xml:space="preserve">          7782 - INV. SHRINKAGE-COMPUTER HARDWA</v>
      </c>
      <c r="D332" s="2">
        <v>16374</v>
      </c>
      <c r="F332" s="2">
        <v>7058</v>
      </c>
      <c r="G332" s="3"/>
      <c r="H332" s="2">
        <v>48276</v>
      </c>
      <c r="I332" s="3"/>
      <c r="J332" s="2">
        <v>-17325</v>
      </c>
      <c r="K332" s="3"/>
      <c r="L332" s="2">
        <v>-30478</v>
      </c>
      <c r="M332" s="3"/>
      <c r="N332" s="2">
        <v>-30194</v>
      </c>
      <c r="O332" s="3"/>
      <c r="P332" s="2"/>
      <c r="Q332" s="3"/>
      <c r="R332" s="2"/>
    </row>
    <row r="333" spans="2:18" s="16" customFormat="1" hidden="1" outlineLevel="2" x14ac:dyDescent="0.35">
      <c r="B333" s="11" t="str">
        <f>CONCATENATE("          ", "7783", " - ", "INV. SHRINKAGE-COMPUTER EQUIPM")</f>
        <v xml:space="preserve">          7783 - INV. SHRINKAGE-COMPUTER EQUIPM</v>
      </c>
      <c r="D333" s="2">
        <v>-2181</v>
      </c>
      <c r="F333" s="2">
        <v>-8266</v>
      </c>
      <c r="G333" s="3"/>
      <c r="H333" s="2">
        <v>10018</v>
      </c>
      <c r="I333" s="3"/>
      <c r="J333" s="2">
        <v>5218</v>
      </c>
      <c r="K333" s="3"/>
      <c r="L333" s="2">
        <v>9125</v>
      </c>
      <c r="M333" s="3"/>
      <c r="N333" s="2">
        <v>2995</v>
      </c>
      <c r="O333" s="3"/>
      <c r="P333" s="2"/>
      <c r="Q333" s="3"/>
      <c r="R333" s="2"/>
    </row>
    <row r="334" spans="2:18" s="16" customFormat="1" hidden="1" outlineLevel="2" x14ac:dyDescent="0.35">
      <c r="B334" s="11" t="str">
        <f>CONCATENATE("          ", "7784", " - ", "INV. SHRINKAGE-SOFTWARE LICENS")</f>
        <v xml:space="preserve">          7784 - INV. SHRINKAGE-SOFTWARE LICENS</v>
      </c>
      <c r="D334" s="2">
        <v>154</v>
      </c>
      <c r="F334" s="2">
        <v>-1145</v>
      </c>
      <c r="G334" s="3"/>
      <c r="H334" s="2">
        <v>-3591</v>
      </c>
      <c r="I334" s="3"/>
      <c r="J334" s="2">
        <v>-591</v>
      </c>
      <c r="K334" s="3"/>
      <c r="L334" s="2">
        <v>-357</v>
      </c>
      <c r="M334" s="3"/>
      <c r="N334" s="2">
        <v>1394</v>
      </c>
      <c r="O334" s="3"/>
      <c r="P334" s="2"/>
      <c r="Q334" s="3"/>
      <c r="R334" s="2"/>
    </row>
    <row r="335" spans="2:18" s="16" customFormat="1" hidden="1" outlineLevel="2" x14ac:dyDescent="0.35">
      <c r="B335" s="11" t="str">
        <f>CONCATENATE("          ", "7785", " - ", "INV. SHRINKAGE-SOFTWARE")</f>
        <v xml:space="preserve">          7785 - INV. SHRINKAGE-SOFTWARE</v>
      </c>
      <c r="D335" s="2">
        <v>255</v>
      </c>
      <c r="F335" s="2">
        <v>-70</v>
      </c>
      <c r="G335" s="3"/>
      <c r="H335" s="2">
        <v>-15498</v>
      </c>
      <c r="I335" s="3"/>
      <c r="J335" s="2">
        <v>136</v>
      </c>
      <c r="K335" s="3"/>
      <c r="L335" s="2">
        <v>-72</v>
      </c>
      <c r="M335" s="3"/>
      <c r="N335" s="2">
        <v>-3743</v>
      </c>
      <c r="O335" s="3"/>
      <c r="P335" s="2"/>
      <c r="Q335" s="3"/>
      <c r="R335" s="2"/>
    </row>
    <row r="336" spans="2:18" s="16" customFormat="1" hidden="1" outlineLevel="2" x14ac:dyDescent="0.35">
      <c r="B336" s="11" t="str">
        <f>CONCATENATE("          ", "7786", " - ", "INV. SHRINKAGE-COMPUTER SUPPLI")</f>
        <v xml:space="preserve">          7786 - INV. SHRINKAGE-COMPUTER SUPPLI</v>
      </c>
      <c r="D336" s="2">
        <v>-2142</v>
      </c>
      <c r="F336" s="2">
        <v>2675</v>
      </c>
      <c r="G336" s="3"/>
      <c r="H336" s="2">
        <v>-9851</v>
      </c>
      <c r="I336" s="3"/>
      <c r="J336" s="2">
        <v>4230</v>
      </c>
      <c r="K336" s="3"/>
      <c r="L336" s="2">
        <v>248</v>
      </c>
      <c r="M336" s="3"/>
      <c r="N336" s="2">
        <v>5038</v>
      </c>
      <c r="O336" s="3"/>
      <c r="P336" s="2"/>
      <c r="Q336" s="3"/>
      <c r="R336" s="2"/>
    </row>
    <row r="337" spans="1:18" s="16" customFormat="1" hidden="1" outlineLevel="2" x14ac:dyDescent="0.35">
      <c r="B337" s="11" t="str">
        <f>CONCATENATE("          ", "7788", " - ", "INV. SHRINKAGE-MUSIC")</f>
        <v xml:space="preserve">          7788 - INV. SHRINKAGE-MUSIC</v>
      </c>
      <c r="D337" s="2"/>
      <c r="F337" s="2">
        <v>161</v>
      </c>
      <c r="G337" s="3"/>
      <c r="H337" s="2">
        <v>-1381</v>
      </c>
      <c r="I337" s="3"/>
      <c r="J337" s="2">
        <v>498</v>
      </c>
      <c r="K337" s="3"/>
      <c r="L337" s="2">
        <v>-467</v>
      </c>
      <c r="M337" s="3"/>
      <c r="N337" s="2">
        <v>152</v>
      </c>
      <c r="O337" s="3"/>
      <c r="P337" s="2"/>
      <c r="Q337" s="3"/>
      <c r="R337" s="2"/>
    </row>
    <row r="338" spans="1:18" s="16" customFormat="1" hidden="1" outlineLevel="2" x14ac:dyDescent="0.35">
      <c r="B338" s="11" t="str">
        <f>CONCATENATE("          ", "7791", " - ", "INV. SHRINKAGE-GRAD ANNOUNCEME")</f>
        <v xml:space="preserve">          7791 - INV. SHRINKAGE-GRAD ANNOUNCEME</v>
      </c>
      <c r="D338" s="2">
        <v>665</v>
      </c>
      <c r="F338" s="2">
        <v>-54</v>
      </c>
      <c r="G338" s="3"/>
      <c r="H338" s="2">
        <v>-468</v>
      </c>
      <c r="I338" s="3"/>
      <c r="J338" s="2">
        <v>-1014</v>
      </c>
      <c r="K338" s="3"/>
      <c r="L338" s="2"/>
      <c r="M338" s="3"/>
      <c r="N338" s="2"/>
      <c r="O338" s="3"/>
      <c r="P338" s="2"/>
      <c r="Q338" s="3"/>
      <c r="R338" s="2"/>
    </row>
    <row r="339" spans="1:18" s="16" customFormat="1" hidden="1" outlineLevel="2" x14ac:dyDescent="0.35">
      <c r="B339" s="11" t="str">
        <f>CONCATENATE("          ", "7792", " - ", "INV. SHRINKAGE-GRAD MERCH")</f>
        <v xml:space="preserve">          7792 - INV. SHRINKAGE-GRAD MERCH</v>
      </c>
      <c r="D339" s="2">
        <v>-8344</v>
      </c>
      <c r="F339" s="2">
        <v>668</v>
      </c>
      <c r="G339" s="3"/>
      <c r="H339" s="2">
        <v>-8318</v>
      </c>
      <c r="I339" s="3"/>
      <c r="J339" s="2">
        <v>-10227</v>
      </c>
      <c r="K339" s="3"/>
      <c r="L339" s="2">
        <v>-3925</v>
      </c>
      <c r="M339" s="3"/>
      <c r="N339" s="2">
        <v>535</v>
      </c>
      <c r="O339" s="3"/>
      <c r="P339" s="2"/>
      <c r="Q339" s="3"/>
      <c r="R339" s="2"/>
    </row>
    <row r="340" spans="1:18" s="16" customFormat="1" hidden="1" outlineLevel="2" x14ac:dyDescent="0.35">
      <c r="B340" s="11" t="str">
        <f>CONCATENATE("          ", "7795", " - ", "INV. SHRINKAGE-CUSTOMER SERVIC")</f>
        <v xml:space="preserve">          7795 - INV. SHRINKAGE-CUSTOMER SERVIC</v>
      </c>
      <c r="D340" s="2">
        <v>185</v>
      </c>
      <c r="F340" s="2">
        <v>-1730</v>
      </c>
      <c r="G340" s="3"/>
      <c r="H340" s="2">
        <v>-5292</v>
      </c>
      <c r="I340" s="3"/>
      <c r="J340" s="2">
        <v>-45</v>
      </c>
      <c r="K340" s="3"/>
      <c r="L340" s="2">
        <v>-146</v>
      </c>
      <c r="M340" s="3"/>
      <c r="N340" s="2">
        <v>-132</v>
      </c>
      <c r="O340" s="3"/>
      <c r="P340" s="2"/>
      <c r="Q340" s="3"/>
      <c r="R340" s="2"/>
    </row>
    <row r="341" spans="1:18" s="15" customFormat="1" outlineLevel="1" collapsed="1" x14ac:dyDescent="0.35">
      <c r="A341" s="7"/>
      <c r="B341" s="20" t="str">
        <f>CONCATENATE("     ","Professional Services                             ")</f>
        <v xml:space="preserve">     Professional Services                             </v>
      </c>
      <c r="C341" s="7"/>
      <c r="D341" s="1">
        <f>SUM(OSRRefD21_15x_0)</f>
        <v>44412.9</v>
      </c>
      <c r="E341" s="19"/>
      <c r="F341" s="1">
        <f>SUM(OSRRefF21_15x_0)</f>
        <v>24522.54</v>
      </c>
      <c r="G341" s="4"/>
      <c r="H341" s="1">
        <f>SUM(OSRRefH21_15x_0)</f>
        <v>46737.55</v>
      </c>
      <c r="I341" s="4"/>
      <c r="J341" s="1">
        <f>SUM(OSRRefJ21_15x_0)</f>
        <v>31295.96</v>
      </c>
      <c r="K341" s="4"/>
      <c r="L341" s="1">
        <f>SUM(OSRRefL21_15x_0)</f>
        <v>9956.43</v>
      </c>
      <c r="M341" s="4"/>
      <c r="N341" s="1">
        <f>SUM(OSRRefN21_15x_0)</f>
        <v>17696.52</v>
      </c>
      <c r="O341" s="4"/>
      <c r="P341" s="1">
        <f>SUM(OSRRefP21_15x_0)</f>
        <v>7300</v>
      </c>
      <c r="Q341" s="4"/>
      <c r="R341" s="1">
        <f>SUM(OSRRefR21_15x_0)</f>
        <v>1750</v>
      </c>
    </row>
    <row r="342" spans="1:18" s="16" customFormat="1" hidden="1" outlineLevel="2" x14ac:dyDescent="0.35">
      <c r="B342" s="11" t="str">
        <f>CONCATENATE("          ", "6332", " - ", "CONSULTANT FEES")</f>
        <v xml:space="preserve">          6332 - CONSULTANT FEES</v>
      </c>
      <c r="D342" s="2">
        <v>27177.82</v>
      </c>
      <c r="F342" s="2">
        <v>24522.54</v>
      </c>
      <c r="G342" s="3"/>
      <c r="H342" s="2">
        <v>4355.7700000000004</v>
      </c>
      <c r="I342" s="3"/>
      <c r="J342" s="2">
        <v>2204.5</v>
      </c>
      <c r="K342" s="3"/>
      <c r="L342" s="2"/>
      <c r="M342" s="3"/>
      <c r="N342" s="2"/>
      <c r="O342" s="3"/>
      <c r="P342" s="2"/>
      <c r="Q342" s="3"/>
      <c r="R342" s="2"/>
    </row>
    <row r="343" spans="1:18" s="16" customFormat="1" hidden="1" outlineLevel="2" x14ac:dyDescent="0.35">
      <c r="B343" s="11" t="str">
        <f>CONCATENATE("          ", "6336", " - ", "PROFESSIONAL SERVICES")</f>
        <v xml:space="preserve">          6336 - PROFESSIONAL SERVICES</v>
      </c>
      <c r="D343" s="2">
        <v>17235.080000000002</v>
      </c>
      <c r="F343" s="2"/>
      <c r="G343" s="3"/>
      <c r="H343" s="2">
        <v>42381.78</v>
      </c>
      <c r="I343" s="3"/>
      <c r="J343" s="2">
        <v>29091.46</v>
      </c>
      <c r="K343" s="3"/>
      <c r="L343" s="2">
        <v>9956.43</v>
      </c>
      <c r="M343" s="3"/>
      <c r="N343" s="2">
        <v>17696.52</v>
      </c>
      <c r="O343" s="3"/>
      <c r="P343" s="2">
        <v>7300</v>
      </c>
      <c r="Q343" s="3"/>
      <c r="R343" s="2">
        <v>1750</v>
      </c>
    </row>
    <row r="344" spans="1:18" s="15" customFormat="1" outlineLevel="1" collapsed="1" x14ac:dyDescent="0.35">
      <c r="A344" s="7"/>
      <c r="B344" s="20" t="str">
        <f>CONCATENATE("     ","R/H Commissions                                   ")</f>
        <v xml:space="preserve">     R/H Commissions                                   </v>
      </c>
      <c r="C344" s="7"/>
      <c r="D344" s="1">
        <f>SUM(OSRRefD21_16x_0)</f>
        <v>751532.92</v>
      </c>
      <c r="E344" s="19"/>
      <c r="F344" s="1">
        <f>SUM(OSRRefF21_16x_0)</f>
        <v>847345.28</v>
      </c>
      <c r="G344" s="4"/>
      <c r="H344" s="1">
        <f>SUM(OSRRefH21_16x_0)</f>
        <v>785042.57</v>
      </c>
      <c r="I344" s="4"/>
      <c r="J344" s="1">
        <f>SUM(OSRRefJ21_16x_0)</f>
        <v>786835.59</v>
      </c>
      <c r="K344" s="4"/>
      <c r="L344" s="1">
        <f>SUM(OSRRefL21_16x_0)</f>
        <v>853864.66</v>
      </c>
      <c r="M344" s="4"/>
      <c r="N344" s="1">
        <f>SUM(OSRRefN21_16x_0)</f>
        <v>703130.05</v>
      </c>
      <c r="O344" s="4"/>
      <c r="P344" s="1">
        <f>SUM(OSRRefP21_16x_0)</f>
        <v>319179</v>
      </c>
      <c r="Q344" s="4"/>
      <c r="R344" s="1">
        <f>SUM(OSRRefR21_16x_0)</f>
        <v>703152</v>
      </c>
    </row>
    <row r="345" spans="1:18" s="16" customFormat="1" hidden="1" outlineLevel="2" x14ac:dyDescent="0.35">
      <c r="B345" s="11" t="str">
        <f>CONCATENATE("          ", "6387", " - ", "COMMISSION DUE HOUSING")</f>
        <v xml:space="preserve">          6387 - COMMISSION DUE HOUSING</v>
      </c>
      <c r="D345" s="2">
        <v>751532.92</v>
      </c>
      <c r="F345" s="2">
        <v>847345.28</v>
      </c>
      <c r="G345" s="3"/>
      <c r="H345" s="2">
        <v>785042.57</v>
      </c>
      <c r="I345" s="3"/>
      <c r="J345" s="2">
        <v>786835.59</v>
      </c>
      <c r="K345" s="3"/>
      <c r="L345" s="2">
        <v>853864.66</v>
      </c>
      <c r="M345" s="3"/>
      <c r="N345" s="2">
        <v>703130.05</v>
      </c>
      <c r="O345" s="3"/>
      <c r="P345" s="2">
        <v>319179</v>
      </c>
      <c r="Q345" s="3"/>
      <c r="R345" s="2">
        <v>703152</v>
      </c>
    </row>
    <row r="346" spans="1:18" s="15" customFormat="1" outlineLevel="1" collapsed="1" x14ac:dyDescent="0.35">
      <c r="A346" s="7"/>
      <c r="B346" s="20" t="str">
        <f>CONCATENATE("     ","Rent                                              ")</f>
        <v xml:space="preserve">     Rent                                              </v>
      </c>
      <c r="C346" s="7"/>
      <c r="D346" s="1">
        <f>SUM(OSRRefD21_17x_0)</f>
        <v>113500</v>
      </c>
      <c r="E346" s="19"/>
      <c r="F346" s="1">
        <f>SUM(OSRRefF21_17x_0)</f>
        <v>114000</v>
      </c>
      <c r="G346" s="4"/>
      <c r="H346" s="1">
        <f>SUM(OSRRefH21_17x_0)</f>
        <v>119384</v>
      </c>
      <c r="I346" s="4"/>
      <c r="J346" s="1">
        <f>SUM(OSRRefJ21_17x_0)</f>
        <v>114962.38</v>
      </c>
      <c r="K346" s="4"/>
      <c r="L346" s="1">
        <f>SUM(OSRRefL21_17x_0)</f>
        <v>118901.08</v>
      </c>
      <c r="M346" s="4"/>
      <c r="N346" s="1">
        <f>SUM(OSRRefN21_17x_0)</f>
        <v>118800</v>
      </c>
      <c r="O346" s="4"/>
      <c r="P346" s="1">
        <f>SUM(OSRRefP21_17x_0)</f>
        <v>106117</v>
      </c>
      <c r="Q346" s="4"/>
      <c r="R346" s="1">
        <f>SUM(OSRRefR21_17x_0)</f>
        <v>105000</v>
      </c>
    </row>
    <row r="347" spans="1:18" s="16" customFormat="1" hidden="1" outlineLevel="2" x14ac:dyDescent="0.35">
      <c r="B347" s="11" t="str">
        <f>CONCATENATE("          ", "6273", " - ", "RENT")</f>
        <v xml:space="preserve">          6273 - RENT</v>
      </c>
      <c r="D347" s="2">
        <v>113500</v>
      </c>
      <c r="F347" s="2">
        <v>114000</v>
      </c>
      <c r="G347" s="3"/>
      <c r="H347" s="2">
        <v>119384</v>
      </c>
      <c r="I347" s="3"/>
      <c r="J347" s="2">
        <v>114962.38</v>
      </c>
      <c r="K347" s="3"/>
      <c r="L347" s="2">
        <v>118901.08</v>
      </c>
      <c r="M347" s="3"/>
      <c r="N347" s="2">
        <v>118800</v>
      </c>
      <c r="O347" s="3"/>
      <c r="P347" s="2">
        <v>106117</v>
      </c>
      <c r="Q347" s="3"/>
      <c r="R347" s="2">
        <v>105000</v>
      </c>
    </row>
    <row r="348" spans="1:18" s="15" customFormat="1" outlineLevel="1" collapsed="1" x14ac:dyDescent="0.35">
      <c r="A348" s="7"/>
      <c r="B348" s="20" t="str">
        <f>CONCATENATE("     ","Repair and Maintenance                            ")</f>
        <v xml:space="preserve">     Repair and Maintenance                            </v>
      </c>
      <c r="C348" s="7"/>
      <c r="D348" s="1">
        <f>SUM(OSRRefD21_18x_0)</f>
        <v>713308.64999999991</v>
      </c>
      <c r="E348" s="19"/>
      <c r="F348" s="1">
        <f>SUM(OSRRefF21_18x_0)</f>
        <v>699972.13</v>
      </c>
      <c r="G348" s="4"/>
      <c r="H348" s="1">
        <f>SUM(OSRRefH21_18x_0)</f>
        <v>755480.46000000008</v>
      </c>
      <c r="I348" s="4"/>
      <c r="J348" s="1">
        <f>SUM(OSRRefJ21_18x_0)</f>
        <v>650576.69999999995</v>
      </c>
      <c r="K348" s="4"/>
      <c r="L348" s="1">
        <f>SUM(OSRRefL21_18x_0)</f>
        <v>727698.59000000008</v>
      </c>
      <c r="M348" s="4"/>
      <c r="N348" s="1">
        <f>SUM(OSRRefN21_18x_0)</f>
        <v>596377.39999999991</v>
      </c>
      <c r="O348" s="4"/>
      <c r="P348" s="1">
        <f>SUM(OSRRefP21_18x_0)</f>
        <v>480394</v>
      </c>
      <c r="Q348" s="4"/>
      <c r="R348" s="1">
        <f>SUM(OSRRefR21_18x_0)</f>
        <v>470289</v>
      </c>
    </row>
    <row r="349" spans="1:18" s="16" customFormat="1" hidden="1" outlineLevel="2" x14ac:dyDescent="0.35">
      <c r="B349" s="11" t="str">
        <f>CONCATENATE("          ", "6371", " - ", "COMPUTER SOFTWARE MAINTENANCE")</f>
        <v xml:space="preserve">          6371 - COMPUTER SOFTWARE MAINTENANCE</v>
      </c>
      <c r="D349" s="2">
        <v>108684.81</v>
      </c>
      <c r="F349" s="2">
        <v>115996.65</v>
      </c>
      <c r="G349" s="3"/>
      <c r="H349" s="2">
        <v>171834.59</v>
      </c>
      <c r="I349" s="3"/>
      <c r="J349" s="2">
        <v>98605.9</v>
      </c>
      <c r="K349" s="3"/>
      <c r="L349" s="2">
        <v>173107.04</v>
      </c>
      <c r="M349" s="3"/>
      <c r="N349" s="2">
        <v>104343.41</v>
      </c>
      <c r="O349" s="3"/>
      <c r="P349" s="2">
        <v>238788</v>
      </c>
      <c r="Q349" s="3"/>
      <c r="R349" s="2">
        <v>220723</v>
      </c>
    </row>
    <row r="350" spans="1:18" s="16" customFormat="1" hidden="1" outlineLevel="2" x14ac:dyDescent="0.35">
      <c r="B350" s="11" t="str">
        <f>CONCATENATE("          ", "6372", " - ", "COMPUTER HARDWARE MAINTENANCE")</f>
        <v xml:space="preserve">          6372 - COMPUTER HARDWARE MAINTENANCE</v>
      </c>
      <c r="D350" s="2">
        <v>174.3</v>
      </c>
      <c r="F350" s="2">
        <v>12.74</v>
      </c>
      <c r="G350" s="3"/>
      <c r="H350" s="2">
        <v>-0.4</v>
      </c>
      <c r="I350" s="3"/>
      <c r="J350" s="2">
        <v>1057.01</v>
      </c>
      <c r="K350" s="3"/>
      <c r="L350" s="2">
        <v>932.75</v>
      </c>
      <c r="M350" s="3"/>
      <c r="N350" s="2">
        <v>8193.19</v>
      </c>
      <c r="O350" s="3"/>
      <c r="P350" s="2">
        <v>21520</v>
      </c>
      <c r="Q350" s="3"/>
      <c r="R350" s="2">
        <v>88020</v>
      </c>
    </row>
    <row r="351" spans="1:18" s="16" customFormat="1" hidden="1" outlineLevel="2" x14ac:dyDescent="0.35">
      <c r="B351" s="11" t="str">
        <f>CONCATENATE("          ", "6373", " - ", "MAINTENANCE CONTRACTS")</f>
        <v xml:space="preserve">          6373 - MAINTENANCE CONTRACTS</v>
      </c>
      <c r="D351" s="2">
        <v>406441.85</v>
      </c>
      <c r="F351" s="2">
        <v>406482.24</v>
      </c>
      <c r="G351" s="3"/>
      <c r="H351" s="2">
        <v>358404.15</v>
      </c>
      <c r="I351" s="3"/>
      <c r="J351" s="2">
        <v>376943.91</v>
      </c>
      <c r="K351" s="3"/>
      <c r="L351" s="2">
        <v>337160.99</v>
      </c>
      <c r="M351" s="3"/>
      <c r="N351" s="2">
        <v>311305.74</v>
      </c>
      <c r="O351" s="3"/>
      <c r="P351" s="2">
        <v>89376</v>
      </c>
      <c r="Q351" s="3"/>
      <c r="R351" s="2">
        <v>110579</v>
      </c>
    </row>
    <row r="352" spans="1:18" s="16" customFormat="1" hidden="1" outlineLevel="2" x14ac:dyDescent="0.35">
      <c r="B352" s="11" t="str">
        <f>CONCATENATE("          ", "6375", " - ", "OUTSIDE REPAIRS &amp; MAINTENANCE")</f>
        <v xml:space="preserve">          6375 - OUTSIDE REPAIRS &amp; MAINTENANCE</v>
      </c>
      <c r="D352" s="2">
        <v>198007.69</v>
      </c>
      <c r="F352" s="2">
        <v>177480.5</v>
      </c>
      <c r="G352" s="3"/>
      <c r="H352" s="2">
        <v>225242.12</v>
      </c>
      <c r="I352" s="3"/>
      <c r="J352" s="2">
        <v>173969.88</v>
      </c>
      <c r="K352" s="3"/>
      <c r="L352" s="2">
        <v>216497.81</v>
      </c>
      <c r="M352" s="3"/>
      <c r="N352" s="2">
        <v>172535.06</v>
      </c>
      <c r="O352" s="3"/>
      <c r="P352" s="2">
        <v>130710</v>
      </c>
      <c r="Q352" s="3"/>
      <c r="R352" s="2">
        <v>50967</v>
      </c>
    </row>
    <row r="353" spans="1:18" s="15" customFormat="1" outlineLevel="1" collapsed="1" x14ac:dyDescent="0.35">
      <c r="A353" s="7"/>
      <c r="B353" s="20" t="str">
        <f>CONCATENATE("     ","Royalty &amp; Commissions                             ")</f>
        <v xml:space="preserve">     Royalty &amp; Commissions                             </v>
      </c>
      <c r="C353" s="7"/>
      <c r="D353" s="1">
        <f>SUM(OSRRefD21_19x_0)</f>
        <v>500357.69</v>
      </c>
      <c r="E353" s="19"/>
      <c r="F353" s="1">
        <f>SUM(OSRRefF21_19x_0)</f>
        <v>610497.05000000005</v>
      </c>
      <c r="G353" s="4"/>
      <c r="H353" s="1">
        <f>SUM(OSRRefH21_19x_0)</f>
        <v>607920.56999999995</v>
      </c>
      <c r="I353" s="4"/>
      <c r="J353" s="1">
        <f>SUM(OSRRefJ21_19x_0)</f>
        <v>695237.5</v>
      </c>
      <c r="K353" s="4"/>
      <c r="L353" s="1">
        <f>SUM(OSRRefL21_19x_0)</f>
        <v>648244.34</v>
      </c>
      <c r="M353" s="4"/>
      <c r="N353" s="1">
        <f>SUM(OSRRefN21_19x_0)</f>
        <v>381769.01</v>
      </c>
      <c r="O353" s="4"/>
      <c r="P353" s="1">
        <f>SUM(OSRRefP21_19x_0)</f>
        <v>121722</v>
      </c>
      <c r="Q353" s="4"/>
      <c r="R353" s="1">
        <f>SUM(OSRRefR21_19x_0)</f>
        <v>123180</v>
      </c>
    </row>
    <row r="354" spans="1:18" s="16" customFormat="1" hidden="1" outlineLevel="2" x14ac:dyDescent="0.35">
      <c r="B354" s="11" t="str">
        <f>CONCATENATE("          ", "6252", " - ", "ROYALTY DUE CSTV")</f>
        <v xml:space="preserve">          6252 - ROYALTY DUE CSTV</v>
      </c>
      <c r="D354" s="2">
        <v>13851.28</v>
      </c>
      <c r="F354" s="2">
        <v>13563.83</v>
      </c>
      <c r="G354" s="3"/>
      <c r="H354" s="2">
        <v>9575.91</v>
      </c>
      <c r="I354" s="3"/>
      <c r="J354" s="2">
        <v>8647.8700000000008</v>
      </c>
      <c r="K354" s="3"/>
      <c r="L354" s="2"/>
      <c r="M354" s="3"/>
      <c r="N354" s="2"/>
      <c r="O354" s="3"/>
      <c r="P354" s="2">
        <v>13020</v>
      </c>
      <c r="Q354" s="3"/>
      <c r="R354" s="2">
        <v>19008</v>
      </c>
    </row>
    <row r="355" spans="1:18" s="16" customFormat="1" hidden="1" outlineLevel="2" x14ac:dyDescent="0.35">
      <c r="B355" s="11" t="str">
        <f>CONCATENATE("          ", "6253", " - ", "ROYALTY DUE ATHLETICS-LRG")</f>
        <v xml:space="preserve">          6253 - ROYALTY DUE ATHLETICS-LRG</v>
      </c>
      <c r="D355" s="2">
        <v>22772.2</v>
      </c>
      <c r="F355" s="2">
        <v>30884.55</v>
      </c>
      <c r="G355" s="3"/>
      <c r="H355" s="2">
        <v>27720.32</v>
      </c>
      <c r="I355" s="3"/>
      <c r="J355" s="2">
        <v>24884.23</v>
      </c>
      <c r="K355" s="3"/>
      <c r="L355" s="2">
        <v>41365.99</v>
      </c>
      <c r="M355" s="3"/>
      <c r="N355" s="2">
        <v>32870.44</v>
      </c>
      <c r="O355" s="3"/>
      <c r="P355" s="2">
        <v>48444</v>
      </c>
      <c r="Q355" s="3"/>
      <c r="R355" s="2">
        <v>38502</v>
      </c>
    </row>
    <row r="356" spans="1:18" s="16" customFormat="1" hidden="1" outlineLevel="2" x14ac:dyDescent="0.35">
      <c r="B356" s="11" t="str">
        <f>CONCATENATE("          ", "6254", " - ", "ROYALTY &amp; COMMISSIONS")</f>
        <v xml:space="preserve">          6254 - ROYALTY &amp; COMMISSIONS</v>
      </c>
      <c r="D356" s="2">
        <v>203449.33</v>
      </c>
      <c r="F356" s="2">
        <v>264758.8</v>
      </c>
      <c r="G356" s="3"/>
      <c r="H356" s="2">
        <v>272126.48</v>
      </c>
      <c r="I356" s="3"/>
      <c r="J356" s="2">
        <v>389820.91</v>
      </c>
      <c r="K356" s="3"/>
      <c r="L356" s="2">
        <v>351103.17</v>
      </c>
      <c r="M356" s="3"/>
      <c r="N356" s="2">
        <v>161620.87</v>
      </c>
      <c r="O356" s="3"/>
      <c r="P356" s="2">
        <v>13788</v>
      </c>
      <c r="Q356" s="3"/>
      <c r="R356" s="2">
        <v>4500</v>
      </c>
    </row>
    <row r="357" spans="1:18" s="16" customFormat="1" hidden="1" outlineLevel="2" x14ac:dyDescent="0.35">
      <c r="B357" s="11" t="str">
        <f>CONCATENATE("          ", "6255", " - ", "COMMISSIONS-PENNY/COPY/UNIPRIN")</f>
        <v xml:space="preserve">          6255 - COMMISSIONS-PENNY/COPY/UNIPRIN</v>
      </c>
      <c r="D357" s="2">
        <v>77184.759999999995</v>
      </c>
      <c r="F357" s="2"/>
      <c r="G357" s="3"/>
      <c r="H357" s="2"/>
      <c r="I357" s="3"/>
      <c r="J357" s="2"/>
      <c r="K357" s="3"/>
      <c r="L357" s="2"/>
      <c r="M357" s="3"/>
      <c r="N357" s="2"/>
      <c r="O357" s="3"/>
      <c r="P357" s="2"/>
      <c r="Q357" s="3"/>
      <c r="R357" s="2"/>
    </row>
    <row r="358" spans="1:18" s="16" customFormat="1" hidden="1" outlineLevel="2" x14ac:dyDescent="0.35">
      <c r="B358" s="11" t="str">
        <f>CONCATENATE("          ", "6259", " - ", "ROYALTY &amp; COMMISSIONS")</f>
        <v xml:space="preserve">          6259 - ROYALTY &amp; COMMISSIONS</v>
      </c>
      <c r="D358" s="2">
        <v>183100.12</v>
      </c>
      <c r="F358" s="2">
        <v>301289.87</v>
      </c>
      <c r="G358" s="3"/>
      <c r="H358" s="2">
        <v>298497.86</v>
      </c>
      <c r="I358" s="3"/>
      <c r="J358" s="2">
        <v>271884.49</v>
      </c>
      <c r="K358" s="3"/>
      <c r="L358" s="2">
        <v>255775.18</v>
      </c>
      <c r="M358" s="3"/>
      <c r="N358" s="2">
        <v>187277.7</v>
      </c>
      <c r="O358" s="3"/>
      <c r="P358" s="2">
        <v>46470</v>
      </c>
      <c r="Q358" s="3"/>
      <c r="R358" s="2">
        <v>61170</v>
      </c>
    </row>
    <row r="359" spans="1:18" s="15" customFormat="1" outlineLevel="1" collapsed="1" x14ac:dyDescent="0.35">
      <c r="A359" s="7"/>
      <c r="B359" s="20" t="str">
        <f>CONCATENATE("     ","Services                                          ")</f>
        <v xml:space="preserve">     Services                                          </v>
      </c>
      <c r="C359" s="7"/>
      <c r="D359" s="1">
        <f>SUM(OSRRefD21_20x_0)</f>
        <v>465380.9</v>
      </c>
      <c r="E359" s="19"/>
      <c r="F359" s="1">
        <f>SUM(OSRRefF21_20x_0)</f>
        <v>508159.41</v>
      </c>
      <c r="G359" s="4"/>
      <c r="H359" s="1">
        <f>SUM(OSRRefH21_20x_0)</f>
        <v>564894.77</v>
      </c>
      <c r="I359" s="4"/>
      <c r="J359" s="1">
        <f>SUM(OSRRefJ21_20x_0)</f>
        <v>542864.66</v>
      </c>
      <c r="K359" s="4"/>
      <c r="L359" s="1">
        <f>SUM(OSRRefL21_20x_0)</f>
        <v>545991.74</v>
      </c>
      <c r="M359" s="4"/>
      <c r="N359" s="1">
        <f>SUM(OSRRefN21_20x_0)</f>
        <v>516608.15</v>
      </c>
      <c r="O359" s="4"/>
      <c r="P359" s="1">
        <f>SUM(OSRRefP21_20x_0)</f>
        <v>389406</v>
      </c>
      <c r="Q359" s="4"/>
      <c r="R359" s="1">
        <f>SUM(OSRRefR21_20x_0)</f>
        <v>441832</v>
      </c>
    </row>
    <row r="360" spans="1:18" s="16" customFormat="1" hidden="1" outlineLevel="2" x14ac:dyDescent="0.35">
      <c r="B360" s="11" t="str">
        <f>CONCATENATE("          ", "6281", " - ", "STORAGE FEE")</f>
        <v xml:space="preserve">          6281 - STORAGE FEE</v>
      </c>
      <c r="D360" s="2"/>
      <c r="F360" s="2"/>
      <c r="G360" s="3"/>
      <c r="H360" s="2">
        <v>40</v>
      </c>
      <c r="I360" s="3"/>
      <c r="J360" s="2"/>
      <c r="K360" s="3"/>
      <c r="L360" s="2"/>
      <c r="M360" s="3"/>
      <c r="N360" s="2"/>
      <c r="O360" s="3"/>
      <c r="P360" s="2"/>
      <c r="Q360" s="3"/>
      <c r="R360" s="2"/>
    </row>
    <row r="361" spans="1:18" s="16" customFormat="1" hidden="1" outlineLevel="2" x14ac:dyDescent="0.35">
      <c r="B361" s="11" t="str">
        <f>CONCATENATE("          ", "6282", " - ", "JANITORIAL/EXTERMINATOR EXPENS")</f>
        <v xml:space="preserve">          6282 - JANITORIAL/EXTERMINATOR EXPENS</v>
      </c>
      <c r="D361" s="2">
        <v>36055.57</v>
      </c>
      <c r="F361" s="2">
        <v>39200.379999999997</v>
      </c>
      <c r="G361" s="3"/>
      <c r="H361" s="2">
        <v>41140.480000000003</v>
      </c>
      <c r="I361" s="3"/>
      <c r="J361" s="2">
        <v>43782.06</v>
      </c>
      <c r="K361" s="3"/>
      <c r="L361" s="2">
        <v>40641.64</v>
      </c>
      <c r="M361" s="3"/>
      <c r="N361" s="2">
        <v>44969.91</v>
      </c>
      <c r="O361" s="3"/>
      <c r="P361" s="2">
        <v>83220</v>
      </c>
      <c r="Q361" s="3"/>
      <c r="R361" s="2">
        <v>86714</v>
      </c>
    </row>
    <row r="362" spans="1:18" s="16" customFormat="1" hidden="1" outlineLevel="2" x14ac:dyDescent="0.35">
      <c r="B362" s="11" t="str">
        <f>CONCATENATE("          ", "6283", " - ", "PLANT SERVICE")</f>
        <v xml:space="preserve">          6283 - PLANT SERVICE</v>
      </c>
      <c r="D362" s="2">
        <v>5614.32</v>
      </c>
      <c r="F362" s="2">
        <v>3828</v>
      </c>
      <c r="G362" s="3"/>
      <c r="H362" s="2">
        <v>4712.29</v>
      </c>
      <c r="I362" s="3"/>
      <c r="J362" s="2">
        <v>4463.63</v>
      </c>
      <c r="K362" s="3"/>
      <c r="L362" s="2">
        <v>4341.9399999999996</v>
      </c>
      <c r="M362" s="3"/>
      <c r="N362" s="2">
        <v>2340</v>
      </c>
      <c r="O362" s="3"/>
      <c r="P362" s="2">
        <v>310</v>
      </c>
      <c r="Q362" s="3"/>
      <c r="R362" s="2">
        <v>1200</v>
      </c>
    </row>
    <row r="363" spans="1:18" s="16" customFormat="1" hidden="1" outlineLevel="2" x14ac:dyDescent="0.35">
      <c r="B363" s="11" t="str">
        <f>CONCATENATE("          ", "6284", " - ", "TRASH REMOVAL EXPENSE")</f>
        <v xml:space="preserve">          6284 - TRASH REMOVAL EXPENSE</v>
      </c>
      <c r="D363" s="2">
        <v>37968.480000000003</v>
      </c>
      <c r="F363" s="2">
        <v>47708.74</v>
      </c>
      <c r="G363" s="3"/>
      <c r="H363" s="2">
        <v>56396.79</v>
      </c>
      <c r="I363" s="3"/>
      <c r="J363" s="2">
        <v>61055.01</v>
      </c>
      <c r="K363" s="3"/>
      <c r="L363" s="2">
        <v>64049.52</v>
      </c>
      <c r="M363" s="3"/>
      <c r="N363" s="2">
        <v>69712.84</v>
      </c>
      <c r="O363" s="3"/>
      <c r="P363" s="2">
        <v>46406</v>
      </c>
      <c r="Q363" s="3"/>
      <c r="R363" s="2">
        <v>20160</v>
      </c>
    </row>
    <row r="364" spans="1:18" s="16" customFormat="1" hidden="1" outlineLevel="2" x14ac:dyDescent="0.35">
      <c r="B364" s="11" t="str">
        <f>CONCATENATE("          ", "6285", " - ", "JANITORIAL SERVICES")</f>
        <v xml:space="preserve">          6285 - JANITORIAL SERVICES</v>
      </c>
      <c r="D364" s="2">
        <v>272243.31</v>
      </c>
      <c r="F364" s="2">
        <v>298657.56</v>
      </c>
      <c r="G364" s="3"/>
      <c r="H364" s="2">
        <v>336206.9</v>
      </c>
      <c r="I364" s="3"/>
      <c r="J364" s="2">
        <v>327543.08</v>
      </c>
      <c r="K364" s="3"/>
      <c r="L364" s="2">
        <v>339914.37</v>
      </c>
      <c r="M364" s="3"/>
      <c r="N364" s="2">
        <v>324178.06</v>
      </c>
      <c r="O364" s="3"/>
      <c r="P364" s="2">
        <v>204229</v>
      </c>
      <c r="Q364" s="3"/>
      <c r="R364" s="2">
        <v>270419</v>
      </c>
    </row>
    <row r="365" spans="1:18" s="16" customFormat="1" hidden="1" outlineLevel="2" x14ac:dyDescent="0.35">
      <c r="B365" s="11" t="str">
        <f>CONCATENATE("          ", "6286", " - ", "LAUNDRY EXPENSE")</f>
        <v xml:space="preserve">          6286 - LAUNDRY EXPENSE</v>
      </c>
      <c r="D365" s="2">
        <v>113499.22</v>
      </c>
      <c r="F365" s="2">
        <v>118764.73</v>
      </c>
      <c r="G365" s="3"/>
      <c r="H365" s="2">
        <v>126398.31</v>
      </c>
      <c r="I365" s="3"/>
      <c r="J365" s="2">
        <v>106020.88</v>
      </c>
      <c r="K365" s="3"/>
      <c r="L365" s="2">
        <v>97044.27</v>
      </c>
      <c r="M365" s="3"/>
      <c r="N365" s="2">
        <v>75407.34</v>
      </c>
      <c r="O365" s="3"/>
      <c r="P365" s="2">
        <v>55241</v>
      </c>
      <c r="Q365" s="3"/>
      <c r="R365" s="2">
        <v>63339</v>
      </c>
    </row>
    <row r="366" spans="1:18" s="15" customFormat="1" outlineLevel="1" collapsed="1" x14ac:dyDescent="0.35">
      <c r="A366" s="7"/>
      <c r="B366" s="20" t="str">
        <f>CONCATENATE("     ","Subscriptions &amp; Dues                              ")</f>
        <v xml:space="preserve">     Subscriptions &amp; Dues                              </v>
      </c>
      <c r="C366" s="7"/>
      <c r="D366" s="1">
        <f>SUM(OSRRefD21_21x_0)</f>
        <v>90269.18</v>
      </c>
      <c r="E366" s="19"/>
      <c r="F366" s="1">
        <f>SUM(OSRRefF21_21x_0)</f>
        <v>88498.38</v>
      </c>
      <c r="G366" s="4"/>
      <c r="H366" s="1">
        <f>SUM(OSRRefH21_21x_0)</f>
        <v>53868.979999999996</v>
      </c>
      <c r="I366" s="4"/>
      <c r="J366" s="1">
        <f>SUM(OSRRefJ21_21x_0)</f>
        <v>72921.75</v>
      </c>
      <c r="K366" s="4"/>
      <c r="L366" s="1">
        <f>SUM(OSRRefL21_21x_0)</f>
        <v>30681.550000000003</v>
      </c>
      <c r="M366" s="4"/>
      <c r="N366" s="1">
        <f>SUM(OSRRefN21_21x_0)</f>
        <v>14025.349999999999</v>
      </c>
      <c r="O366" s="4"/>
      <c r="P366" s="1">
        <f>SUM(OSRRefP21_21x_0)</f>
        <v>22838</v>
      </c>
      <c r="Q366" s="4"/>
      <c r="R366" s="1">
        <f>SUM(OSRRefR21_21x_0)</f>
        <v>22452</v>
      </c>
    </row>
    <row r="367" spans="1:18" s="16" customFormat="1" hidden="1" outlineLevel="2" x14ac:dyDescent="0.35">
      <c r="B367" s="11" t="str">
        <f>CONCATENATE("          ", "6258", " - ", "MEMBERSHIP DUES")</f>
        <v xml:space="preserve">          6258 - MEMBERSHIP DUES</v>
      </c>
      <c r="D367" s="2">
        <v>80549.429999999993</v>
      </c>
      <c r="F367" s="2">
        <v>63492.45</v>
      </c>
      <c r="G367" s="3"/>
      <c r="H367" s="2">
        <v>43932.88</v>
      </c>
      <c r="I367" s="3"/>
      <c r="J367" s="2">
        <v>56171.18</v>
      </c>
      <c r="K367" s="3"/>
      <c r="L367" s="2">
        <v>12028.94</v>
      </c>
      <c r="M367" s="3"/>
      <c r="N367" s="2">
        <v>6251.16</v>
      </c>
      <c r="O367" s="3"/>
      <c r="P367" s="2">
        <v>16545</v>
      </c>
      <c r="Q367" s="3"/>
      <c r="R367" s="2">
        <v>12010</v>
      </c>
    </row>
    <row r="368" spans="1:18" s="16" customFormat="1" hidden="1" outlineLevel="2" x14ac:dyDescent="0.35">
      <c r="B368" s="11" t="str">
        <f>CONCATENATE("          ", "6275", " - ", "SUBSCRIPTIONS")</f>
        <v xml:space="preserve">          6275 - SUBSCRIPTIONS</v>
      </c>
      <c r="D368" s="2">
        <v>9719.75</v>
      </c>
      <c r="F368" s="2">
        <v>25005.93</v>
      </c>
      <c r="G368" s="3"/>
      <c r="H368" s="2">
        <v>9936.1</v>
      </c>
      <c r="I368" s="3"/>
      <c r="J368" s="2">
        <v>16750.57</v>
      </c>
      <c r="K368" s="3"/>
      <c r="L368" s="2">
        <v>18652.61</v>
      </c>
      <c r="M368" s="3"/>
      <c r="N368" s="2">
        <v>7774.19</v>
      </c>
      <c r="O368" s="3"/>
      <c r="P368" s="2">
        <v>6293</v>
      </c>
      <c r="Q368" s="3"/>
      <c r="R368" s="2">
        <v>10442</v>
      </c>
    </row>
    <row r="369" spans="1:18" s="15" customFormat="1" outlineLevel="1" collapsed="1" x14ac:dyDescent="0.35">
      <c r="A369" s="7"/>
      <c r="B369" s="20" t="str">
        <f>CONCATENATE("     ","Supplies                                          ")</f>
        <v xml:space="preserve">     Supplies                                          </v>
      </c>
      <c r="C369" s="7"/>
      <c r="D369" s="1">
        <f>SUM(OSRRefD21_22x_0)</f>
        <v>891152.82</v>
      </c>
      <c r="E369" s="19"/>
      <c r="F369" s="1">
        <f>SUM(OSRRefF21_22x_0)</f>
        <v>734129.32000000007</v>
      </c>
      <c r="G369" s="4"/>
      <c r="H369" s="1">
        <f>SUM(OSRRefH21_22x_0)</f>
        <v>811569.72000000009</v>
      </c>
      <c r="I369" s="4"/>
      <c r="J369" s="1">
        <f>SUM(OSRRefJ21_22x_0)</f>
        <v>777387.96999999986</v>
      </c>
      <c r="K369" s="4"/>
      <c r="L369" s="1">
        <f>SUM(OSRRefL21_22x_0)</f>
        <v>743963.25</v>
      </c>
      <c r="M369" s="4"/>
      <c r="N369" s="1">
        <f>SUM(OSRRefN21_22x_0)</f>
        <v>592661.26</v>
      </c>
      <c r="O369" s="4"/>
      <c r="P369" s="1">
        <f>SUM(OSRRefP21_22x_0)</f>
        <v>592968</v>
      </c>
      <c r="Q369" s="4"/>
      <c r="R369" s="1">
        <f>SUM(OSRRefR21_22x_0)</f>
        <v>612113</v>
      </c>
    </row>
    <row r="370" spans="1:18" s="16" customFormat="1" hidden="1" outlineLevel="2" x14ac:dyDescent="0.35">
      <c r="B370" s="11" t="str">
        <f>CONCATENATE("          ", "6234", " - ", "EXPENDABLE SUPPLIES &amp; EQUIPMEN")</f>
        <v xml:space="preserve">          6234 - EXPENDABLE SUPPLIES &amp; EQUIPMEN</v>
      </c>
      <c r="D370" s="2">
        <v>48733.97</v>
      </c>
      <c r="F370" s="2">
        <v>22254.74</v>
      </c>
      <c r="G370" s="3"/>
      <c r="H370" s="2">
        <v>30453.95</v>
      </c>
      <c r="I370" s="3"/>
      <c r="J370" s="2">
        <v>20220.060000000001</v>
      </c>
      <c r="K370" s="3"/>
      <c r="L370" s="2">
        <v>13312.17</v>
      </c>
      <c r="M370" s="3"/>
      <c r="N370" s="2">
        <v>25858.02</v>
      </c>
      <c r="O370" s="3"/>
      <c r="P370" s="2">
        <v>88104</v>
      </c>
      <c r="Q370" s="3"/>
      <c r="R370" s="2">
        <v>77550</v>
      </c>
    </row>
    <row r="371" spans="1:18" s="16" customFormat="1" hidden="1" outlineLevel="2" x14ac:dyDescent="0.35">
      <c r="B371" s="11" t="str">
        <f>CONCATENATE("          ", "6235", " - ", "COVID-19 EXPENSES")</f>
        <v xml:space="preserve">          6235 - COVID-19 EXPENSES</v>
      </c>
      <c r="D371" s="2"/>
      <c r="F371" s="2"/>
      <c r="G371" s="3"/>
      <c r="H371" s="2"/>
      <c r="I371" s="3"/>
      <c r="J371" s="2"/>
      <c r="K371" s="3"/>
      <c r="L371" s="2"/>
      <c r="M371" s="3"/>
      <c r="N371" s="2">
        <v>7042.55</v>
      </c>
      <c r="O371" s="3"/>
      <c r="P371" s="2">
        <v>205100</v>
      </c>
      <c r="Q371" s="3"/>
      <c r="R371" s="2">
        <v>4725</v>
      </c>
    </row>
    <row r="372" spans="1:18" s="16" customFormat="1" hidden="1" outlineLevel="2" x14ac:dyDescent="0.35">
      <c r="B372" s="11" t="str">
        <f>CONCATENATE("          ", "6237", " - ", "JANITORIAL SUPPLIES")</f>
        <v xml:space="preserve">          6237 - JANITORIAL SUPPLIES</v>
      </c>
      <c r="D372" s="2">
        <v>109255.82</v>
      </c>
      <c r="F372" s="2">
        <v>138284.72</v>
      </c>
      <c r="G372" s="3"/>
      <c r="H372" s="2">
        <v>147518.63</v>
      </c>
      <c r="I372" s="3"/>
      <c r="J372" s="2">
        <v>179414.79</v>
      </c>
      <c r="K372" s="3"/>
      <c r="L372" s="2">
        <v>175171.22</v>
      </c>
      <c r="M372" s="3"/>
      <c r="N372" s="2">
        <v>136514.57999999999</v>
      </c>
      <c r="O372" s="3"/>
      <c r="P372" s="2">
        <v>113893</v>
      </c>
      <c r="Q372" s="3"/>
      <c r="R372" s="2">
        <v>122618</v>
      </c>
    </row>
    <row r="373" spans="1:18" s="16" customFormat="1" hidden="1" outlineLevel="2" x14ac:dyDescent="0.35">
      <c r="B373" s="11" t="str">
        <f>CONCATENATE("          ", "6239", " - ", "KITCHEN SUPPLIES")</f>
        <v xml:space="preserve">          6239 - KITCHEN SUPPLIES</v>
      </c>
      <c r="D373" s="2">
        <v>123212.55</v>
      </c>
      <c r="F373" s="2">
        <v>57407.22</v>
      </c>
      <c r="G373" s="3"/>
      <c r="H373" s="2">
        <v>70184.83</v>
      </c>
      <c r="I373" s="3"/>
      <c r="J373" s="2">
        <v>76279.929999999993</v>
      </c>
      <c r="K373" s="3"/>
      <c r="L373" s="2">
        <v>99880.86</v>
      </c>
      <c r="M373" s="3"/>
      <c r="N373" s="2">
        <v>73164.59</v>
      </c>
      <c r="O373" s="3"/>
      <c r="P373" s="2">
        <v>26543</v>
      </c>
      <c r="Q373" s="3"/>
      <c r="R373" s="2">
        <v>54049</v>
      </c>
    </row>
    <row r="374" spans="1:18" s="16" customFormat="1" hidden="1" outlineLevel="2" x14ac:dyDescent="0.35">
      <c r="B374" s="11" t="str">
        <f>CONCATENATE("          ", "6241", " - ", "OFFICE EXPENSE")</f>
        <v xml:space="preserve">          6241 - OFFICE EXPENSE</v>
      </c>
      <c r="D374" s="2">
        <v>94489.29</v>
      </c>
      <c r="F374" s="2">
        <v>113071.96</v>
      </c>
      <c r="G374" s="3"/>
      <c r="H374" s="2">
        <v>134256.15</v>
      </c>
      <c r="I374" s="3"/>
      <c r="J374" s="2">
        <v>145101.72</v>
      </c>
      <c r="K374" s="3"/>
      <c r="L374" s="2">
        <v>150197.01999999999</v>
      </c>
      <c r="M374" s="3"/>
      <c r="N374" s="2">
        <v>138534.59</v>
      </c>
      <c r="O374" s="3"/>
      <c r="P374" s="2">
        <v>24732</v>
      </c>
      <c r="Q374" s="3"/>
      <c r="R374" s="2">
        <v>28727</v>
      </c>
    </row>
    <row r="375" spans="1:18" s="16" customFormat="1" hidden="1" outlineLevel="2" x14ac:dyDescent="0.35">
      <c r="B375" s="11" t="str">
        <f>CONCATENATE("          ", "6243", " - ", "PAPER SUPPLIES")</f>
        <v xml:space="preserve">          6243 - PAPER SUPPLIES</v>
      </c>
      <c r="D375" s="2">
        <v>256815.41</v>
      </c>
      <c r="F375" s="2">
        <v>232683.28</v>
      </c>
      <c r="G375" s="3"/>
      <c r="H375" s="2">
        <v>210217.76</v>
      </c>
      <c r="I375" s="3"/>
      <c r="J375" s="2">
        <v>190242.46</v>
      </c>
      <c r="K375" s="3"/>
      <c r="L375" s="2">
        <v>170011.51</v>
      </c>
      <c r="M375" s="3"/>
      <c r="N375" s="2">
        <v>113380.86</v>
      </c>
      <c r="O375" s="3"/>
      <c r="P375" s="2">
        <v>42126</v>
      </c>
      <c r="Q375" s="3"/>
      <c r="R375" s="2">
        <v>204933</v>
      </c>
    </row>
    <row r="376" spans="1:18" s="16" customFormat="1" hidden="1" outlineLevel="2" x14ac:dyDescent="0.35">
      <c r="B376" s="11" t="str">
        <f>CONCATENATE("          ", "6244", " - ", "SAFETY SUPPLY EXPENSE")</f>
        <v xml:space="preserve">          6244 - SAFETY SUPPLY EXPENSE</v>
      </c>
      <c r="D376" s="2"/>
      <c r="F376" s="2"/>
      <c r="G376" s="3"/>
      <c r="H376" s="2"/>
      <c r="I376" s="3"/>
      <c r="J376" s="2"/>
      <c r="K376" s="3"/>
      <c r="L376" s="2"/>
      <c r="M376" s="3"/>
      <c r="N376" s="2"/>
      <c r="O376" s="3"/>
      <c r="P376" s="2">
        <v>1680</v>
      </c>
      <c r="Q376" s="3"/>
      <c r="R376" s="2">
        <v>6450</v>
      </c>
    </row>
    <row r="377" spans="1:18" s="16" customFormat="1" hidden="1" outlineLevel="2" x14ac:dyDescent="0.35">
      <c r="B377" s="11" t="str">
        <f>CONCATENATE("          ", "6245", " - ", "PRINTING")</f>
        <v xml:space="preserve">          6245 - PRINTING</v>
      </c>
      <c r="D377" s="2">
        <v>9644.07</v>
      </c>
      <c r="F377" s="2">
        <v>14371.03</v>
      </c>
      <c r="G377" s="3"/>
      <c r="H377" s="2">
        <v>29153.24</v>
      </c>
      <c r="I377" s="3"/>
      <c r="J377" s="2">
        <v>21501.57</v>
      </c>
      <c r="K377" s="3"/>
      <c r="L377" s="2">
        <v>19126.82</v>
      </c>
      <c r="M377" s="3"/>
      <c r="N377" s="2">
        <v>12954.34</v>
      </c>
      <c r="O377" s="3"/>
      <c r="P377" s="2">
        <v>8500</v>
      </c>
      <c r="Q377" s="3"/>
      <c r="R377" s="2">
        <v>12395</v>
      </c>
    </row>
    <row r="378" spans="1:18" s="16" customFormat="1" hidden="1" outlineLevel="2" x14ac:dyDescent="0.35">
      <c r="B378" s="11" t="str">
        <f>CONCATENATE("          ", "6246", " - ", "REPLACEMENTS")</f>
        <v xml:space="preserve">          6246 - REPLACEMENTS</v>
      </c>
      <c r="D378" s="2"/>
      <c r="F378" s="2"/>
      <c r="G378" s="3"/>
      <c r="H378" s="2"/>
      <c r="I378" s="3"/>
      <c r="J378" s="2">
        <v>1011.44</v>
      </c>
      <c r="K378" s="3"/>
      <c r="L378" s="2"/>
      <c r="M378" s="3"/>
      <c r="N378" s="2">
        <v>25.87</v>
      </c>
      <c r="O378" s="3"/>
      <c r="P378" s="2">
        <v>0</v>
      </c>
      <c r="Q378" s="3"/>
      <c r="R378" s="2"/>
    </row>
    <row r="379" spans="1:18" s="16" customFormat="1" hidden="1" outlineLevel="2" x14ac:dyDescent="0.35">
      <c r="B379" s="11" t="str">
        <f>CONCATENATE("          ", "6247", " - ", "STORE SUPPLIES")</f>
        <v xml:space="preserve">          6247 - STORE SUPPLIES</v>
      </c>
      <c r="D379" s="2">
        <v>222458.06</v>
      </c>
      <c r="F379" s="2">
        <v>130163.65</v>
      </c>
      <c r="G379" s="3"/>
      <c r="H379" s="2">
        <v>165960.35</v>
      </c>
      <c r="I379" s="3"/>
      <c r="J379" s="2">
        <v>114986.92</v>
      </c>
      <c r="K379" s="3"/>
      <c r="L379" s="2">
        <v>92867.520000000004</v>
      </c>
      <c r="M379" s="3"/>
      <c r="N379" s="2">
        <v>80350.679999999993</v>
      </c>
      <c r="O379" s="3"/>
      <c r="P379" s="2">
        <v>52525</v>
      </c>
      <c r="Q379" s="3"/>
      <c r="R379" s="2">
        <v>89766</v>
      </c>
    </row>
    <row r="380" spans="1:18" s="16" customFormat="1" hidden="1" outlineLevel="2" x14ac:dyDescent="0.35">
      <c r="B380" s="11" t="str">
        <f>CONCATENATE("          ", "6248", " - ", "UNIFORMS")</f>
        <v xml:space="preserve">          6248 - UNIFORMS</v>
      </c>
      <c r="D380" s="2">
        <v>26543.65</v>
      </c>
      <c r="F380" s="2">
        <v>25892.720000000001</v>
      </c>
      <c r="G380" s="3"/>
      <c r="H380" s="2">
        <v>23824.81</v>
      </c>
      <c r="I380" s="3"/>
      <c r="J380" s="2">
        <v>28629.08</v>
      </c>
      <c r="K380" s="3"/>
      <c r="L380" s="2">
        <v>23396.13</v>
      </c>
      <c r="M380" s="3"/>
      <c r="N380" s="2">
        <v>4835.18</v>
      </c>
      <c r="O380" s="3"/>
      <c r="P380" s="2">
        <v>29765</v>
      </c>
      <c r="Q380" s="3"/>
      <c r="R380" s="2">
        <v>10900</v>
      </c>
    </row>
    <row r="381" spans="1:18" s="15" customFormat="1" outlineLevel="1" collapsed="1" x14ac:dyDescent="0.35">
      <c r="A381" s="7"/>
      <c r="B381" s="20" t="str">
        <f>CONCATENATE("     ","Telephone/Data Lines                              ")</f>
        <v xml:space="preserve">     Telephone/Data Lines                              </v>
      </c>
      <c r="C381" s="7"/>
      <c r="D381" s="1">
        <f>SUM(OSRRefD21_23x_0)</f>
        <v>65958.69</v>
      </c>
      <c r="E381" s="19"/>
      <c r="F381" s="1">
        <f>SUM(OSRRefF21_23x_0)</f>
        <v>68995.360000000001</v>
      </c>
      <c r="G381" s="4"/>
      <c r="H381" s="1">
        <f>SUM(OSRRefH21_23x_0)</f>
        <v>65711.149999999994</v>
      </c>
      <c r="I381" s="4"/>
      <c r="J381" s="1">
        <f>SUM(OSRRefJ21_23x_0)</f>
        <v>76923.63</v>
      </c>
      <c r="K381" s="4"/>
      <c r="L381" s="1">
        <f>SUM(OSRRefL21_23x_0)</f>
        <v>77910.990000000005</v>
      </c>
      <c r="M381" s="4"/>
      <c r="N381" s="1">
        <f>SUM(OSRRefN21_23x_0)</f>
        <v>66671.989999999991</v>
      </c>
      <c r="O381" s="4"/>
      <c r="P381" s="1">
        <f>SUM(OSRRefP21_23x_0)</f>
        <v>57427</v>
      </c>
      <c r="Q381" s="4"/>
      <c r="R381" s="1">
        <f>SUM(OSRRefR21_23x_0)</f>
        <v>43792</v>
      </c>
    </row>
    <row r="382" spans="1:18" s="16" customFormat="1" hidden="1" outlineLevel="2" x14ac:dyDescent="0.35">
      <c r="B382" s="11" t="str">
        <f>CONCATENATE("          ", "6303", " - ", "DATA PHONE LINES")</f>
        <v xml:space="preserve">          6303 - DATA PHONE LINES</v>
      </c>
      <c r="D382" s="2">
        <v>3490</v>
      </c>
      <c r="F382" s="2">
        <v>4312.5600000000004</v>
      </c>
      <c r="G382" s="3"/>
      <c r="H382" s="2">
        <v>3553.95</v>
      </c>
      <c r="I382" s="3"/>
      <c r="J382" s="2">
        <v>3540</v>
      </c>
      <c r="K382" s="3"/>
      <c r="L382" s="2">
        <v>3540</v>
      </c>
      <c r="M382" s="3"/>
      <c r="N382" s="2">
        <v>2950</v>
      </c>
      <c r="O382" s="3"/>
      <c r="P382" s="2">
        <v>18037</v>
      </c>
      <c r="Q382" s="3"/>
      <c r="R382" s="2">
        <v>2920</v>
      </c>
    </row>
    <row r="383" spans="1:18" s="16" customFormat="1" hidden="1" outlineLevel="2" x14ac:dyDescent="0.35">
      <c r="B383" s="11" t="str">
        <f>CONCATENATE("          ", "6309", " - ", "TELEPHONE")</f>
        <v xml:space="preserve">          6309 - TELEPHONE</v>
      </c>
      <c r="D383" s="2">
        <v>62468.69</v>
      </c>
      <c r="F383" s="2">
        <v>64682.8</v>
      </c>
      <c r="G383" s="3"/>
      <c r="H383" s="2">
        <v>62157.2</v>
      </c>
      <c r="I383" s="3"/>
      <c r="J383" s="2">
        <v>73383.63</v>
      </c>
      <c r="K383" s="3"/>
      <c r="L383" s="2">
        <v>74370.990000000005</v>
      </c>
      <c r="M383" s="3"/>
      <c r="N383" s="2">
        <v>63721.99</v>
      </c>
      <c r="O383" s="3"/>
      <c r="P383" s="2">
        <v>39390</v>
      </c>
      <c r="Q383" s="3"/>
      <c r="R383" s="2">
        <v>40872</v>
      </c>
    </row>
    <row r="384" spans="1:18" s="15" customFormat="1" outlineLevel="1" collapsed="1" x14ac:dyDescent="0.35">
      <c r="A384" s="7"/>
      <c r="B384" s="20" t="str">
        <f>CONCATENATE("     ","Training                                          ")</f>
        <v xml:space="preserve">     Training                                          </v>
      </c>
      <c r="C384" s="7"/>
      <c r="D384" s="1">
        <f>SUM(OSRRefD21_24x_0)</f>
        <v>40586.49</v>
      </c>
      <c r="E384" s="19"/>
      <c r="F384" s="1">
        <f>SUM(OSRRefF21_24x_0)</f>
        <v>53397.2</v>
      </c>
      <c r="G384" s="4"/>
      <c r="H384" s="1">
        <f>SUM(OSRRefH21_24x_0)</f>
        <v>65556.210000000006</v>
      </c>
      <c r="I384" s="4"/>
      <c r="J384" s="1">
        <f>SUM(OSRRefJ21_24x_0)</f>
        <v>43149.88</v>
      </c>
      <c r="K384" s="4"/>
      <c r="L384" s="1">
        <f>SUM(OSRRefL21_24x_0)</f>
        <v>43479.08</v>
      </c>
      <c r="M384" s="4"/>
      <c r="N384" s="1">
        <f>SUM(OSRRefN21_24x_0)</f>
        <v>38044.239999999998</v>
      </c>
      <c r="O384" s="4"/>
      <c r="P384" s="1">
        <f>SUM(OSRRefP21_24x_0)</f>
        <v>30860</v>
      </c>
      <c r="Q384" s="4"/>
      <c r="R384" s="1">
        <f>SUM(OSRRefR21_24x_0)</f>
        <v>21410</v>
      </c>
    </row>
    <row r="385" spans="1:18" s="16" customFormat="1" hidden="1" outlineLevel="2" x14ac:dyDescent="0.35">
      <c r="B385" s="11" t="str">
        <f>CONCATENATE("          ", "6376", " - ", "TRAINING")</f>
        <v xml:space="preserve">          6376 - TRAINING</v>
      </c>
      <c r="D385" s="2">
        <v>40586.49</v>
      </c>
      <c r="F385" s="2">
        <v>53397.2</v>
      </c>
      <c r="G385" s="3"/>
      <c r="H385" s="2">
        <v>65556.210000000006</v>
      </c>
      <c r="I385" s="3"/>
      <c r="J385" s="2">
        <v>43149.88</v>
      </c>
      <c r="K385" s="3"/>
      <c r="L385" s="2">
        <v>43479.08</v>
      </c>
      <c r="M385" s="3"/>
      <c r="N385" s="2">
        <v>38044.239999999998</v>
      </c>
      <c r="O385" s="3"/>
      <c r="P385" s="2">
        <v>30860</v>
      </c>
      <c r="Q385" s="3"/>
      <c r="R385" s="2">
        <v>21410</v>
      </c>
    </row>
    <row r="386" spans="1:18" s="15" customFormat="1" outlineLevel="1" collapsed="1" x14ac:dyDescent="0.35">
      <c r="A386" s="7"/>
      <c r="B386" s="20" t="str">
        <f>CONCATENATE("     ","Travel                                            ")</f>
        <v xml:space="preserve">     Travel                                            </v>
      </c>
      <c r="C386" s="7"/>
      <c r="D386" s="1">
        <f>SUM(OSRRefD21_25x_0)</f>
        <v>16473.34</v>
      </c>
      <c r="E386" s="19"/>
      <c r="F386" s="1">
        <f>SUM(OSRRefF21_25x_0)</f>
        <v>18684.719999999998</v>
      </c>
      <c r="G386" s="4"/>
      <c r="H386" s="1">
        <f>SUM(OSRRefH21_25x_0)</f>
        <v>21392.05</v>
      </c>
      <c r="I386" s="4"/>
      <c r="J386" s="1">
        <f>SUM(OSRRefJ21_25x_0)</f>
        <v>16134.07</v>
      </c>
      <c r="K386" s="4"/>
      <c r="L386" s="1">
        <f>SUM(OSRRefL21_25x_0)</f>
        <v>12571.97</v>
      </c>
      <c r="M386" s="4"/>
      <c r="N386" s="1">
        <f>SUM(OSRRefN21_25x_0)</f>
        <v>9441.3100000000013</v>
      </c>
      <c r="O386" s="4"/>
      <c r="P386" s="1">
        <f>SUM(OSRRefP21_25x_0)</f>
        <v>5900</v>
      </c>
      <c r="Q386" s="4"/>
      <c r="R386" s="1">
        <f>SUM(OSRRefR21_25x_0)</f>
        <v>3550</v>
      </c>
    </row>
    <row r="387" spans="1:18" s="16" customFormat="1" hidden="1" outlineLevel="2" x14ac:dyDescent="0.35">
      <c r="B387" s="11" t="str">
        <f>CONCATENATE("          ", "6292", " - ", "TRAVEL/CONFERENCE")</f>
        <v xml:space="preserve">          6292 - TRAVEL/CONFERENCE</v>
      </c>
      <c r="D387" s="2">
        <v>10668.01</v>
      </c>
      <c r="F387" s="2">
        <v>15611.28</v>
      </c>
      <c r="G387" s="3"/>
      <c r="H387" s="2">
        <v>14764.96</v>
      </c>
      <c r="I387" s="3"/>
      <c r="J387" s="2">
        <v>10979.16</v>
      </c>
      <c r="K387" s="3"/>
      <c r="L387" s="2">
        <v>7504.69</v>
      </c>
      <c r="M387" s="3"/>
      <c r="N387" s="2">
        <v>7216.54</v>
      </c>
      <c r="O387" s="3"/>
      <c r="P387" s="2">
        <v>5100</v>
      </c>
      <c r="Q387" s="3"/>
      <c r="R387" s="2">
        <v>2700</v>
      </c>
    </row>
    <row r="388" spans="1:18" s="16" customFormat="1" hidden="1" outlineLevel="2" x14ac:dyDescent="0.35">
      <c r="B388" s="11" t="str">
        <f>CONCATENATE("          ", "6294", " - ", "TRAVEL OPERATIONAL")</f>
        <v xml:space="preserve">          6294 - TRAVEL OPERATIONAL</v>
      </c>
      <c r="D388" s="2">
        <v>3421</v>
      </c>
      <c r="F388" s="2">
        <v>1577.25</v>
      </c>
      <c r="G388" s="3"/>
      <c r="H388" s="2">
        <v>5042.46</v>
      </c>
      <c r="I388" s="3"/>
      <c r="J388" s="2">
        <v>2747.58</v>
      </c>
      <c r="K388" s="3"/>
      <c r="L388" s="2">
        <v>2953.09</v>
      </c>
      <c r="M388" s="3"/>
      <c r="N388" s="2">
        <v>418.6</v>
      </c>
      <c r="O388" s="3"/>
      <c r="P388" s="2">
        <v>300</v>
      </c>
      <c r="Q388" s="3"/>
      <c r="R388" s="2">
        <v>300</v>
      </c>
    </row>
    <row r="389" spans="1:18" s="16" customFormat="1" hidden="1" outlineLevel="2" x14ac:dyDescent="0.35">
      <c r="B389" s="11" t="str">
        <f>CONCATENATE("          ", "6298", " - ", "VEHICLE MILEAGE")</f>
        <v xml:space="preserve">          6298 - VEHICLE MILEAGE</v>
      </c>
      <c r="D389" s="2">
        <v>2384.33</v>
      </c>
      <c r="F389" s="2">
        <v>1496.19</v>
      </c>
      <c r="G389" s="3"/>
      <c r="H389" s="2">
        <v>1584.63</v>
      </c>
      <c r="I389" s="3"/>
      <c r="J389" s="2">
        <v>2407.33</v>
      </c>
      <c r="K389" s="3"/>
      <c r="L389" s="2">
        <v>2114.19</v>
      </c>
      <c r="M389" s="3"/>
      <c r="N389" s="2">
        <v>1806.17</v>
      </c>
      <c r="O389" s="3"/>
      <c r="P389" s="2">
        <v>500</v>
      </c>
      <c r="Q389" s="3"/>
      <c r="R389" s="2">
        <v>550</v>
      </c>
    </row>
    <row r="390" spans="1:18" s="15" customFormat="1" outlineLevel="1" collapsed="1" x14ac:dyDescent="0.35">
      <c r="A390" s="7"/>
      <c r="B390" s="20" t="str">
        <f>CONCATENATE("     ","Utilities                                         ")</f>
        <v xml:space="preserve">     Utilities                                         </v>
      </c>
      <c r="C390" s="7"/>
      <c r="D390" s="1">
        <f>SUM(OSRRefD21_26x_0)</f>
        <v>296411.83</v>
      </c>
      <c r="E390" s="19"/>
      <c r="F390" s="1">
        <f>SUM(OSRRefF21_26x_0)</f>
        <v>371152.5</v>
      </c>
      <c r="G390" s="4"/>
      <c r="H390" s="1">
        <f>SUM(OSRRefH21_26x_0)</f>
        <v>285292.77</v>
      </c>
      <c r="I390" s="4"/>
      <c r="J390" s="1">
        <f>SUM(OSRRefJ21_26x_0)</f>
        <v>230507.97</v>
      </c>
      <c r="K390" s="4"/>
      <c r="L390" s="1">
        <f>SUM(OSRRefL21_26x_0)</f>
        <v>209434.67</v>
      </c>
      <c r="M390" s="4"/>
      <c r="N390" s="1">
        <f>SUM(OSRRefN21_26x_0)</f>
        <v>306059.32</v>
      </c>
      <c r="O390" s="4"/>
      <c r="P390" s="1">
        <f>SUM(OSRRefP21_26x_0)</f>
        <v>126334</v>
      </c>
      <c r="Q390" s="4"/>
      <c r="R390" s="1">
        <f>SUM(OSRRefR21_26x_0)</f>
        <v>180120</v>
      </c>
    </row>
    <row r="391" spans="1:18" s="16" customFormat="1" hidden="1" outlineLevel="2" x14ac:dyDescent="0.35">
      <c r="B391" s="11" t="str">
        <f>CONCATENATE("          ", "6274", " - ", "UTILITIES")</f>
        <v xml:space="preserve">          6274 - UTILITIES</v>
      </c>
      <c r="D391" s="2">
        <v>296411.83</v>
      </c>
      <c r="F391" s="2">
        <v>371152.5</v>
      </c>
      <c r="G391" s="3"/>
      <c r="H391" s="2">
        <v>285292.77</v>
      </c>
      <c r="I391" s="3"/>
      <c r="J391" s="2">
        <v>230507.97</v>
      </c>
      <c r="K391" s="3"/>
      <c r="L391" s="2">
        <v>209434.67</v>
      </c>
      <c r="M391" s="3"/>
      <c r="N391" s="2">
        <v>306059.32</v>
      </c>
      <c r="O391" s="3"/>
      <c r="P391" s="2">
        <v>126334</v>
      </c>
      <c r="Q391" s="3"/>
      <c r="R391" s="2">
        <v>180120</v>
      </c>
    </row>
    <row r="392" spans="1:18" x14ac:dyDescent="0.35">
      <c r="A392" s="12"/>
      <c r="B392" s="12"/>
      <c r="C392" s="12"/>
      <c r="D392" s="1"/>
      <c r="F392" s="1"/>
      <c r="H392" s="1"/>
      <c r="J392" s="1"/>
      <c r="L392" s="1"/>
      <c r="N392" s="1"/>
      <c r="P392" s="1"/>
      <c r="R392" s="1"/>
    </row>
    <row r="393" spans="1:18" s="7" customFormat="1" collapsed="1" x14ac:dyDescent="0.35">
      <c r="A393" s="36"/>
      <c r="B393" s="34" t="s">
        <v>295</v>
      </c>
      <c r="D393" s="6">
        <f>SUM(OSRRefD24x_0)</f>
        <v>1446953.25</v>
      </c>
      <c r="E393" s="12"/>
      <c r="F393" s="6">
        <f>SUM(OSRRefF24x_0)</f>
        <v>1323623.77</v>
      </c>
      <c r="G393" s="5"/>
      <c r="H393" s="6">
        <f>SUM(OSRRefH24x_0)</f>
        <v>1739654.4600000002</v>
      </c>
      <c r="I393" s="5"/>
      <c r="J393" s="6">
        <f>SUM(OSRRefJ24x_0)</f>
        <v>1791787.41</v>
      </c>
      <c r="K393" s="5"/>
      <c r="L393" s="6">
        <f>SUM(OSRRefL24x_0)</f>
        <v>2116306.59</v>
      </c>
      <c r="M393" s="5"/>
      <c r="N393" s="6">
        <f>SUM(OSRRefN24x_0)</f>
        <v>1972386.5100000002</v>
      </c>
      <c r="O393" s="5"/>
      <c r="P393" s="6">
        <f>SUM(OSRRefP24x_0)</f>
        <v>1324948</v>
      </c>
      <c r="Q393" s="5"/>
      <c r="R393" s="6">
        <f>SUM(OSRRefR24x_0)</f>
        <v>1484381.25</v>
      </c>
    </row>
    <row r="394" spans="1:18" s="7" customFormat="1" hidden="1" outlineLevel="1" x14ac:dyDescent="0.35">
      <c r="A394" s="36"/>
      <c r="B394" s="11" t="str">
        <f>CONCATENATE("          ", "4096", " - ", "TAXABLE SALES-CUSTOMER SERVICE")</f>
        <v xml:space="preserve">          4096 - TAXABLE SALES-CUSTOMER SERVICE</v>
      </c>
      <c r="D394" s="11">
        <f>--810</f>
        <v>810</v>
      </c>
      <c r="E394" s="16"/>
      <c r="F394" s="11">
        <f>--4.95</f>
        <v>4.95</v>
      </c>
      <c r="G394" s="3"/>
      <c r="H394" s="11">
        <f>0</f>
        <v>0</v>
      </c>
      <c r="I394" s="3"/>
      <c r="J394" s="11">
        <f>0</f>
        <v>0</v>
      </c>
      <c r="K394" s="3"/>
      <c r="L394" s="11">
        <f>0</f>
        <v>0</v>
      </c>
      <c r="M394" s="3"/>
      <c r="N394" s="11">
        <f>0</f>
        <v>0</v>
      </c>
      <c r="O394" s="3"/>
      <c r="P394" s="11"/>
      <c r="Q394" s="3"/>
      <c r="R394" s="11"/>
    </row>
    <row r="395" spans="1:18" s="7" customFormat="1" hidden="1" outlineLevel="1" x14ac:dyDescent="0.35">
      <c r="A395" s="36"/>
      <c r="B395" s="11" t="str">
        <f>CONCATENATE("          ", "4098", " - ", "TAXABLE SALES-GRAD RENTALS")</f>
        <v xml:space="preserve">          4098 - TAXABLE SALES-GRAD RENTALS</v>
      </c>
      <c r="D395" s="11">
        <f>--244356.74</f>
        <v>244356.74</v>
      </c>
      <c r="E395" s="16"/>
      <c r="F395" s="11">
        <f>--178590.88</f>
        <v>178590.88</v>
      </c>
      <c r="G395" s="3"/>
      <c r="H395" s="11">
        <f>--122982.11</f>
        <v>122982.11</v>
      </c>
      <c r="I395" s="3"/>
      <c r="J395" s="11">
        <f>--103080.07</f>
        <v>103080.07</v>
      </c>
      <c r="K395" s="3"/>
      <c r="L395" s="11">
        <f>--86267.28</f>
        <v>86267.28</v>
      </c>
      <c r="M395" s="3"/>
      <c r="N395" s="11">
        <f>--1946.85</f>
        <v>1946.85</v>
      </c>
      <c r="O395" s="3"/>
      <c r="P395" s="11"/>
      <c r="Q395" s="3"/>
      <c r="R395" s="11"/>
    </row>
    <row r="396" spans="1:18" s="7" customFormat="1" hidden="1" outlineLevel="1" x14ac:dyDescent="0.35">
      <c r="A396" s="36"/>
      <c r="B396" s="11" t="str">
        <f>CONCATENATE("          ", "4187", " - ", "NON-TAXABLE SALES-COMPUTER REP")</f>
        <v xml:space="preserve">          4187 - NON-TAXABLE SALES-COMPUTER REP</v>
      </c>
      <c r="D396" s="11">
        <f>--10541.05</f>
        <v>10541.05</v>
      </c>
      <c r="E396" s="16"/>
      <c r="F396" s="11">
        <f>--6439.41</f>
        <v>6439.41</v>
      </c>
      <c r="G396" s="3"/>
      <c r="H396" s="11">
        <f>-482.68</f>
        <v>-482.68</v>
      </c>
      <c r="I396" s="3"/>
      <c r="J396" s="11">
        <f>--12235.17</f>
        <v>12235.17</v>
      </c>
      <c r="K396" s="3"/>
      <c r="L396" s="11">
        <f>--7817.04</f>
        <v>7817.04</v>
      </c>
      <c r="M396" s="3"/>
      <c r="N396" s="11">
        <f>--16449.71</f>
        <v>16449.71</v>
      </c>
      <c r="O396" s="3"/>
      <c r="P396" s="11"/>
      <c r="Q396" s="3"/>
      <c r="R396" s="11"/>
    </row>
    <row r="397" spans="1:18" s="7" customFormat="1" hidden="1" outlineLevel="1" x14ac:dyDescent="0.35">
      <c r="A397" s="36"/>
      <c r="B397" s="11" t="str">
        <f>CONCATENATE("          ", "4196", " - ", "NON-TAXABLE SALES-CUSTOMER SER")</f>
        <v xml:space="preserve">          4196 - NON-TAXABLE SALES-CUSTOMER SER</v>
      </c>
      <c r="D397" s="11">
        <f>--125</f>
        <v>125</v>
      </c>
      <c r="E397" s="16"/>
      <c r="F397" s="11">
        <f>0</f>
        <v>0</v>
      </c>
      <c r="G397" s="3"/>
      <c r="H397" s="11">
        <f t="shared" ref="H397:H398" si="28">0</f>
        <v>0</v>
      </c>
      <c r="I397" s="3"/>
      <c r="J397" s="11">
        <f>0</f>
        <v>0</v>
      </c>
      <c r="K397" s="3"/>
      <c r="L397" s="11">
        <f>0</f>
        <v>0</v>
      </c>
      <c r="M397" s="3"/>
      <c r="N397" s="11">
        <f>0</f>
        <v>0</v>
      </c>
      <c r="O397" s="3"/>
      <c r="P397" s="11"/>
      <c r="Q397" s="3"/>
      <c r="R397" s="11"/>
    </row>
    <row r="398" spans="1:18" s="7" customFormat="1" hidden="1" outlineLevel="1" x14ac:dyDescent="0.35">
      <c r="A398" s="36"/>
      <c r="B398" s="11" t="str">
        <f>CONCATENATE("          ", "4197", " - ", "NON-TAXABLE SALES-RETURNED CHE")</f>
        <v xml:space="preserve">          4197 - NON-TAXABLE SALES-RETURNED CHE</v>
      </c>
      <c r="D398" s="11">
        <f>--20</f>
        <v>20</v>
      </c>
      <c r="E398" s="16"/>
      <c r="F398" s="11">
        <f>--70</f>
        <v>70</v>
      </c>
      <c r="G398" s="3"/>
      <c r="H398" s="11">
        <f t="shared" si="28"/>
        <v>0</v>
      </c>
      <c r="I398" s="3"/>
      <c r="J398" s="11">
        <f>--227.5</f>
        <v>227.5</v>
      </c>
      <c r="K398" s="3"/>
      <c r="L398" s="11">
        <f>--335</f>
        <v>335</v>
      </c>
      <c r="M398" s="3"/>
      <c r="N398" s="11">
        <f>--30</f>
        <v>30</v>
      </c>
      <c r="O398" s="3"/>
      <c r="P398" s="11"/>
      <c r="Q398" s="3"/>
      <c r="R398" s="11"/>
    </row>
    <row r="399" spans="1:18" s="7" customFormat="1" hidden="1" outlineLevel="1" x14ac:dyDescent="0.35">
      <c r="A399" s="36"/>
      <c r="B399" s="11" t="str">
        <f>CONCATENATE("          ", "4198", " - ", "NON-TAXABLE SALES-GRAD RENTALS")</f>
        <v xml:space="preserve">          4198 - NON-TAXABLE SALES-GRAD RENTALS</v>
      </c>
      <c r="D399" s="11">
        <f>--740</f>
        <v>740</v>
      </c>
      <c r="E399" s="16"/>
      <c r="F399" s="11">
        <f>--79118.7</f>
        <v>79118.7</v>
      </c>
      <c r="G399" s="3"/>
      <c r="H399" s="11">
        <f>--182844.41</f>
        <v>182844.41</v>
      </c>
      <c r="I399" s="3"/>
      <c r="J399" s="11">
        <f>--192651.25</f>
        <v>192651.25</v>
      </c>
      <c r="K399" s="3"/>
      <c r="L399" s="11">
        <f>--449104.41</f>
        <v>449104.41</v>
      </c>
      <c r="M399" s="3"/>
      <c r="N399" s="11">
        <f>--163.76</f>
        <v>163.76</v>
      </c>
      <c r="O399" s="3"/>
      <c r="P399" s="11"/>
      <c r="Q399" s="3"/>
      <c r="R399" s="11"/>
    </row>
    <row r="400" spans="1:18" s="7" customFormat="1" hidden="1" outlineLevel="1" x14ac:dyDescent="0.35">
      <c r="A400" s="36"/>
      <c r="B400" s="11" t="str">
        <f>CONCATENATE("          ", "4287", " - ", "SALES RETURN TAXABLE-COMPUTER")</f>
        <v xml:space="preserve">          4287 - SALES RETURN TAXABLE-COMPUTER</v>
      </c>
      <c r="D400" s="11">
        <f>0</f>
        <v>0</v>
      </c>
      <c r="E400" s="16"/>
      <c r="F400" s="11">
        <f t="shared" ref="F400:F401" si="29">0</f>
        <v>0</v>
      </c>
      <c r="G400" s="3"/>
      <c r="H400" s="11">
        <f>-30</f>
        <v>-30</v>
      </c>
      <c r="I400" s="3"/>
      <c r="J400" s="11">
        <f t="shared" ref="J400:J401" si="30">0</f>
        <v>0</v>
      </c>
      <c r="K400" s="3"/>
      <c r="L400" s="11">
        <f t="shared" ref="L400:L402" si="31">0</f>
        <v>0</v>
      </c>
      <c r="M400" s="3"/>
      <c r="N400" s="11">
        <f t="shared" ref="N400:N402" si="32">0</f>
        <v>0</v>
      </c>
      <c r="O400" s="3"/>
      <c r="P400" s="11"/>
      <c r="Q400" s="3"/>
      <c r="R400" s="11"/>
    </row>
    <row r="401" spans="1:18" s="7" customFormat="1" hidden="1" outlineLevel="1" x14ac:dyDescent="0.35">
      <c r="A401" s="36"/>
      <c r="B401" s="11" t="str">
        <f>CONCATENATE("          ", "4296", " - ", "SALES RETURN TAXABLE-CUSTOMER")</f>
        <v xml:space="preserve">          4296 - SALES RETURN TAXABLE-CUSTOMER</v>
      </c>
      <c r="D401" s="11">
        <f>-810</f>
        <v>-810</v>
      </c>
      <c r="E401" s="16"/>
      <c r="F401" s="11">
        <f t="shared" si="29"/>
        <v>0</v>
      </c>
      <c r="G401" s="3"/>
      <c r="H401" s="11">
        <f>0</f>
        <v>0</v>
      </c>
      <c r="I401" s="3"/>
      <c r="J401" s="11">
        <f t="shared" si="30"/>
        <v>0</v>
      </c>
      <c r="K401" s="3"/>
      <c r="L401" s="11">
        <f t="shared" si="31"/>
        <v>0</v>
      </c>
      <c r="M401" s="3"/>
      <c r="N401" s="11">
        <f t="shared" si="32"/>
        <v>0</v>
      </c>
      <c r="O401" s="3"/>
      <c r="P401" s="11"/>
      <c r="Q401" s="3"/>
      <c r="R401" s="11"/>
    </row>
    <row r="402" spans="1:18" s="7" customFormat="1" hidden="1" outlineLevel="1" x14ac:dyDescent="0.35">
      <c r="A402" s="36"/>
      <c r="B402" s="11" t="str">
        <f>CONCATENATE("          ", "4298", " - ", "SALES RETURN TAXABLE-GRAD RENT")</f>
        <v xml:space="preserve">          4298 - SALES RETURN TAXABLE-GRAD RENT</v>
      </c>
      <c r="D402" s="11">
        <f>-3554</f>
        <v>-3554</v>
      </c>
      <c r="E402" s="16"/>
      <c r="F402" s="11">
        <f>-646.95</f>
        <v>-646.95000000000005</v>
      </c>
      <c r="G402" s="3"/>
      <c r="H402" s="11">
        <f>-1223.7</f>
        <v>-1223.7</v>
      </c>
      <c r="I402" s="3"/>
      <c r="J402" s="11">
        <f>-196</f>
        <v>-196</v>
      </c>
      <c r="K402" s="3"/>
      <c r="L402" s="11">
        <f t="shared" si="31"/>
        <v>0</v>
      </c>
      <c r="M402" s="3"/>
      <c r="N402" s="11">
        <f t="shared" si="32"/>
        <v>0</v>
      </c>
      <c r="O402" s="3"/>
      <c r="P402" s="11"/>
      <c r="Q402" s="3"/>
      <c r="R402" s="11"/>
    </row>
    <row r="403" spans="1:18" s="7" customFormat="1" hidden="1" outlineLevel="1" x14ac:dyDescent="0.35">
      <c r="A403" s="36"/>
      <c r="B403" s="11" t="str">
        <f>CONCATENATE("          ", "4387", " - ", "SALES RETURN NON TAXABLE-COMPU")</f>
        <v xml:space="preserve">          4387 - SALES RETURN NON TAXABLE-COMPU</v>
      </c>
      <c r="D403" s="11">
        <f>-839</f>
        <v>-839</v>
      </c>
      <c r="E403" s="16"/>
      <c r="F403" s="11">
        <f t="shared" ref="F403:F406" si="33">0</f>
        <v>0</v>
      </c>
      <c r="G403" s="3"/>
      <c r="H403" s="11">
        <f t="shared" ref="H403:H406" si="34">0</f>
        <v>0</v>
      </c>
      <c r="I403" s="3"/>
      <c r="J403" s="11">
        <f>-184.33</f>
        <v>-184.33</v>
      </c>
      <c r="K403" s="3"/>
      <c r="L403" s="11">
        <f>--95.44</f>
        <v>95.44</v>
      </c>
      <c r="M403" s="3"/>
      <c r="N403" s="11">
        <f>-7889</f>
        <v>-7889</v>
      </c>
      <c r="O403" s="3"/>
      <c r="P403" s="11"/>
      <c r="Q403" s="3"/>
      <c r="R403" s="11"/>
    </row>
    <row r="404" spans="1:18" s="7" customFormat="1" hidden="1" outlineLevel="1" x14ac:dyDescent="0.35">
      <c r="A404" s="36"/>
      <c r="B404" s="11" t="str">
        <f>CONCATENATE("          ", "4396", " - ", "SALES RETURN NON TAXABLE-CUSTO")</f>
        <v xml:space="preserve">          4396 - SALES RETURN NON TAXABLE-CUSTO</v>
      </c>
      <c r="D404" s="11">
        <f>-100</f>
        <v>-100</v>
      </c>
      <c r="E404" s="16"/>
      <c r="F404" s="11">
        <f t="shared" si="33"/>
        <v>0</v>
      </c>
      <c r="G404" s="3"/>
      <c r="H404" s="11">
        <f t="shared" si="34"/>
        <v>0</v>
      </c>
      <c r="I404" s="3"/>
      <c r="J404" s="11">
        <f t="shared" ref="J404:J405" si="35">0</f>
        <v>0</v>
      </c>
      <c r="K404" s="3"/>
      <c r="L404" s="11">
        <f t="shared" ref="L404:L405" si="36">0</f>
        <v>0</v>
      </c>
      <c r="M404" s="3"/>
      <c r="N404" s="11">
        <f t="shared" ref="N404:N405" si="37">0</f>
        <v>0</v>
      </c>
      <c r="O404" s="3"/>
      <c r="P404" s="11"/>
      <c r="Q404" s="3"/>
      <c r="R404" s="11"/>
    </row>
    <row r="405" spans="1:18" s="7" customFormat="1" hidden="1" outlineLevel="1" x14ac:dyDescent="0.35">
      <c r="A405" s="36"/>
      <c r="B405" s="11" t="str">
        <f>CONCATENATE("          ", "4398", " - ", "SALES RETURN NON TAXABLE-GRAD")</f>
        <v xml:space="preserve">          4398 - SALES RETURN NON TAXABLE-GRAD</v>
      </c>
      <c r="D405" s="11">
        <f>-374</f>
        <v>-374</v>
      </c>
      <c r="E405" s="16"/>
      <c r="F405" s="11">
        <f t="shared" si="33"/>
        <v>0</v>
      </c>
      <c r="G405" s="3"/>
      <c r="H405" s="11">
        <f t="shared" si="34"/>
        <v>0</v>
      </c>
      <c r="I405" s="3"/>
      <c r="J405" s="11">
        <f t="shared" si="35"/>
        <v>0</v>
      </c>
      <c r="K405" s="3"/>
      <c r="L405" s="11">
        <f t="shared" si="36"/>
        <v>0</v>
      </c>
      <c r="M405" s="3"/>
      <c r="N405" s="11">
        <f t="shared" si="37"/>
        <v>0</v>
      </c>
      <c r="O405" s="3"/>
      <c r="P405" s="11"/>
      <c r="Q405" s="3"/>
      <c r="R405" s="11"/>
    </row>
    <row r="406" spans="1:18" s="7" customFormat="1" hidden="1" outlineLevel="1" x14ac:dyDescent="0.35">
      <c r="A406" s="36"/>
      <c r="B406" s="11" t="str">
        <f>CONCATENATE("          ", "5087", " - ", "PURCHASES @ COST-COMPUTER REPA")</f>
        <v xml:space="preserve">          5087 - PURCHASES @ COST-COMPUTER REPA</v>
      </c>
      <c r="D406" s="11">
        <f>0</f>
        <v>0</v>
      </c>
      <c r="E406" s="16"/>
      <c r="F406" s="11">
        <f t="shared" si="33"/>
        <v>0</v>
      </c>
      <c r="G406" s="3"/>
      <c r="H406" s="11">
        <f t="shared" si="34"/>
        <v>0</v>
      </c>
      <c r="I406" s="3"/>
      <c r="J406" s="11">
        <f>-138.63</f>
        <v>-138.63</v>
      </c>
      <c r="K406" s="3"/>
      <c r="L406" s="11">
        <f>-312.26</f>
        <v>-312.26</v>
      </c>
      <c r="M406" s="3"/>
      <c r="N406" s="11">
        <f>-72.06</f>
        <v>-72.06</v>
      </c>
      <c r="O406" s="3"/>
      <c r="P406" s="11"/>
      <c r="Q406" s="3"/>
      <c r="R406" s="11"/>
    </row>
    <row r="407" spans="1:18" s="7" customFormat="1" hidden="1" outlineLevel="1" x14ac:dyDescent="0.35">
      <c r="A407" s="36"/>
      <c r="B407" s="11" t="str">
        <f>CONCATENATE("          ", "5096", " - ", "PURCHASES @ COST-CUSTOMER SERV")</f>
        <v xml:space="preserve">          5096 - PURCHASES @ COST-CUSTOMER SERV</v>
      </c>
      <c r="D407" s="11">
        <f>-2437.5</f>
        <v>-2437.5</v>
      </c>
      <c r="E407" s="16"/>
      <c r="F407" s="11">
        <f>-4043.75</f>
        <v>-4043.75</v>
      </c>
      <c r="G407" s="3"/>
      <c r="H407" s="11">
        <f>-2337.5</f>
        <v>-2337.5</v>
      </c>
      <c r="I407" s="3"/>
      <c r="J407" s="11">
        <f>0</f>
        <v>0</v>
      </c>
      <c r="K407" s="3"/>
      <c r="L407" s="11">
        <f>0</f>
        <v>0</v>
      </c>
      <c r="M407" s="3"/>
      <c r="N407" s="11">
        <f>0</f>
        <v>0</v>
      </c>
      <c r="O407" s="3"/>
      <c r="P407" s="11"/>
      <c r="Q407" s="3"/>
      <c r="R407" s="11"/>
    </row>
    <row r="408" spans="1:18" s="7" customFormat="1" hidden="1" outlineLevel="1" x14ac:dyDescent="0.35">
      <c r="A408" s="36"/>
      <c r="B408" s="11" t="str">
        <f>CONCATENATE("          ", "9150", " - ", "MISC. INCOME")</f>
        <v xml:space="preserve">          9150 - MISC. INCOME</v>
      </c>
      <c r="D408" s="11">
        <f>--670431.08</f>
        <v>670431.07999999996</v>
      </c>
      <c r="E408" s="16"/>
      <c r="F408" s="11">
        <f>--578436.92</f>
        <v>578436.92000000004</v>
      </c>
      <c r="G408" s="3"/>
      <c r="H408" s="11">
        <f>--942860.62</f>
        <v>942860.62</v>
      </c>
      <c r="I408" s="3"/>
      <c r="J408" s="11">
        <f>--1035048.28</f>
        <v>1035048.28</v>
      </c>
      <c r="K408" s="3"/>
      <c r="L408" s="11">
        <f>--1108413.01</f>
        <v>1108413.01</v>
      </c>
      <c r="M408" s="3"/>
      <c r="N408" s="11">
        <f>--889242.05</f>
        <v>889242.05</v>
      </c>
      <c r="O408" s="3"/>
      <c r="P408" s="11">
        <v>342075</v>
      </c>
      <c r="Q408" s="3"/>
      <c r="R408" s="11">
        <v>229549</v>
      </c>
    </row>
    <row r="409" spans="1:18" s="7" customFormat="1" hidden="1" outlineLevel="1" x14ac:dyDescent="0.35">
      <c r="A409" s="36"/>
      <c r="B409" s="11" t="str">
        <f>CONCATENATE("          ", "9151", " - ", "MISC. INCOME")</f>
        <v xml:space="preserve">          9151 - MISC. INCOME</v>
      </c>
      <c r="D409" s="11">
        <f>--500</f>
        <v>500</v>
      </c>
      <c r="E409" s="16"/>
      <c r="F409" s="11">
        <f>0</f>
        <v>0</v>
      </c>
      <c r="G409" s="3"/>
      <c r="H409" s="11">
        <f>-1529.14</f>
        <v>-1529.14</v>
      </c>
      <c r="I409" s="3"/>
      <c r="J409" s="11">
        <f>--896.01</f>
        <v>896.01</v>
      </c>
      <c r="K409" s="3"/>
      <c r="L409" s="11">
        <f>--498.26</f>
        <v>498.26</v>
      </c>
      <c r="M409" s="3"/>
      <c r="N409" s="11">
        <f>--150694.63</f>
        <v>150694.63</v>
      </c>
      <c r="O409" s="3"/>
      <c r="P409" s="11">
        <v>958778</v>
      </c>
      <c r="Q409" s="3"/>
      <c r="R409" s="11">
        <v>988820.12</v>
      </c>
    </row>
    <row r="410" spans="1:18" s="7" customFormat="1" hidden="1" outlineLevel="1" x14ac:dyDescent="0.35">
      <c r="A410" s="36"/>
      <c r="B410" s="11" t="str">
        <f>CONCATENATE("          ", "9152", " - ", "MISC. INCOME")</f>
        <v xml:space="preserve">          9152 - MISC. INCOME</v>
      </c>
      <c r="D410" s="11">
        <f>--22409.17</f>
        <v>22409.17</v>
      </c>
      <c r="E410" s="16"/>
      <c r="F410" s="11">
        <f>--19372.95</f>
        <v>19372.95</v>
      </c>
      <c r="G410" s="3"/>
      <c r="H410" s="11">
        <f>--12546.55</f>
        <v>12546.55</v>
      </c>
      <c r="I410" s="3"/>
      <c r="J410" s="11">
        <f>--10296.66</f>
        <v>10296.66</v>
      </c>
      <c r="K410" s="3"/>
      <c r="L410" s="11">
        <f>--13830.34</f>
        <v>13830.34</v>
      </c>
      <c r="M410" s="3"/>
      <c r="N410" s="11">
        <f>--10637.6</f>
        <v>10637.6</v>
      </c>
      <c r="O410" s="3"/>
      <c r="P410" s="11"/>
      <c r="Q410" s="3"/>
      <c r="R410" s="11"/>
    </row>
    <row r="411" spans="1:18" s="7" customFormat="1" hidden="1" outlineLevel="1" x14ac:dyDescent="0.35">
      <c r="A411" s="36"/>
      <c r="B411" s="11" t="str">
        <f>CONCATENATE("          ", "9153", " - ", "MISC. INCOME")</f>
        <v xml:space="preserve">          9153 - MISC. INCOME</v>
      </c>
      <c r="D411" s="11">
        <f>0</f>
        <v>0</v>
      </c>
      <c r="E411" s="16"/>
      <c r="F411" s="11">
        <f>0</f>
        <v>0</v>
      </c>
      <c r="G411" s="3"/>
      <c r="H411" s="11">
        <f>0</f>
        <v>0</v>
      </c>
      <c r="I411" s="3"/>
      <c r="J411" s="11">
        <f>0</f>
        <v>0</v>
      </c>
      <c r="K411" s="3"/>
      <c r="L411" s="11">
        <f>--180</f>
        <v>180</v>
      </c>
      <c r="M411" s="3"/>
      <c r="N411" s="11">
        <f>--450</f>
        <v>450</v>
      </c>
      <c r="O411" s="3"/>
      <c r="P411" s="11"/>
      <c r="Q411" s="3"/>
      <c r="R411" s="11"/>
    </row>
    <row r="412" spans="1:18" s="7" customFormat="1" hidden="1" outlineLevel="1" x14ac:dyDescent="0.35">
      <c r="A412" s="36"/>
      <c r="B412" s="11" t="str">
        <f>CONCATENATE("          ", "9160", " - ", "MISC. INCOME")</f>
        <v xml:space="preserve">          9160 - MISC. INCOME</v>
      </c>
      <c r="D412" s="11">
        <f>--148323.71</f>
        <v>148323.71</v>
      </c>
      <c r="E412" s="16"/>
      <c r="F412" s="11">
        <f>--104595.7</f>
        <v>104595.7</v>
      </c>
      <c r="G412" s="3"/>
      <c r="H412" s="11">
        <f>--138170.02</f>
        <v>138170.01999999999</v>
      </c>
      <c r="I412" s="3"/>
      <c r="J412" s="11">
        <f>--120150.63</f>
        <v>120150.63</v>
      </c>
      <c r="K412" s="3"/>
      <c r="L412" s="11">
        <f>--131731.08</f>
        <v>131731.07999999999</v>
      </c>
      <c r="M412" s="3"/>
      <c r="N412" s="11">
        <f>--177564.34</f>
        <v>177564.34</v>
      </c>
      <c r="O412" s="3"/>
      <c r="P412" s="11">
        <v>24095</v>
      </c>
      <c r="Q412" s="3"/>
      <c r="R412" s="11">
        <v>266012.13</v>
      </c>
    </row>
    <row r="413" spans="1:18" s="7" customFormat="1" hidden="1" outlineLevel="1" x14ac:dyDescent="0.35">
      <c r="A413" s="36"/>
      <c r="B413" s="11" t="str">
        <f>CONCATENATE("          ", "9163", " - ", "MISC. INCOME")</f>
        <v xml:space="preserve">          9163 - MISC. INCOME</v>
      </c>
      <c r="D413" s="11">
        <f>--85172.9</f>
        <v>85172.9</v>
      </c>
      <c r="E413" s="16"/>
      <c r="F413" s="11">
        <f>--85136.5</f>
        <v>85136.5</v>
      </c>
      <c r="G413" s="3"/>
      <c r="H413" s="11">
        <f>--83000.84</f>
        <v>83000.84</v>
      </c>
      <c r="I413" s="3"/>
      <c r="J413" s="11">
        <f>--67876.6</f>
        <v>67876.600000000006</v>
      </c>
      <c r="K413" s="3"/>
      <c r="L413" s="11">
        <f>--68330.75</f>
        <v>68330.75</v>
      </c>
      <c r="M413" s="3"/>
      <c r="N413" s="11">
        <f>--488733.84</f>
        <v>488733.84</v>
      </c>
      <c r="O413" s="3"/>
      <c r="P413" s="11"/>
      <c r="Q413" s="3"/>
      <c r="R413" s="11"/>
    </row>
    <row r="414" spans="1:18" s="7" customFormat="1" hidden="1" outlineLevel="1" x14ac:dyDescent="0.35">
      <c r="A414" s="36"/>
      <c r="B414" s="11" t="str">
        <f>CONCATENATE("          ", "9165", " - ", "OTHER INCOME")</f>
        <v xml:space="preserve">          9165 - OTHER INCOME</v>
      </c>
      <c r="D414" s="11">
        <f>--271638.1</f>
        <v>271638.09999999998</v>
      </c>
      <c r="E414" s="16"/>
      <c r="F414" s="11">
        <f>--276548.46</f>
        <v>276548.46000000002</v>
      </c>
      <c r="G414" s="3"/>
      <c r="H414" s="11">
        <f>--262852.93</f>
        <v>262852.93</v>
      </c>
      <c r="I414" s="3"/>
      <c r="J414" s="11">
        <f>--249844.2</f>
        <v>249844.2</v>
      </c>
      <c r="K414" s="3"/>
      <c r="L414" s="11">
        <f>--250016.24</f>
        <v>250016.24</v>
      </c>
      <c r="M414" s="3"/>
      <c r="N414" s="11">
        <f>--244434.79</f>
        <v>244434.79</v>
      </c>
      <c r="O414" s="3"/>
      <c r="P414" s="11"/>
      <c r="Q414" s="3"/>
      <c r="R414" s="11"/>
    </row>
    <row r="415" spans="1:18" x14ac:dyDescent="0.35">
      <c r="A415" s="12"/>
      <c r="B415" s="7"/>
      <c r="C415" s="7"/>
      <c r="D415" s="6"/>
      <c r="F415" s="6"/>
      <c r="H415" s="6"/>
      <c r="J415" s="6"/>
      <c r="L415" s="6"/>
      <c r="N415" s="6"/>
      <c r="P415" s="6"/>
      <c r="R415" s="6"/>
    </row>
    <row r="416" spans="1:18" s="15" customFormat="1" x14ac:dyDescent="0.35">
      <c r="A416" s="7"/>
      <c r="B416" s="22" t="s">
        <v>279</v>
      </c>
      <c r="C416" s="22"/>
      <c r="D416" s="10">
        <f>+D240-D243+D393</f>
        <v>4919934.6700000092</v>
      </c>
      <c r="E416" s="12"/>
      <c r="F416" s="10">
        <f>+F240-F243+F393</f>
        <v>5563787.9399999902</v>
      </c>
      <c r="G416" s="5"/>
      <c r="H416" s="10">
        <f>+H240-H243+H393</f>
        <v>5196234.5100000249</v>
      </c>
      <c r="I416" s="5"/>
      <c r="J416" s="10">
        <f>+J240-J243+J393</f>
        <v>4567325.5099999793</v>
      </c>
      <c r="K416" s="5"/>
      <c r="L416" s="10">
        <f>+L240-L243+L393</f>
        <v>4935297.8600000143</v>
      </c>
      <c r="M416" s="5"/>
      <c r="N416" s="10">
        <f>+N240-N243+N393</f>
        <v>1808111.3999999859</v>
      </c>
      <c r="O416" s="5"/>
      <c r="P416" s="10">
        <f>+P240-P243+P393</f>
        <v>-1810187.9718338642</v>
      </c>
      <c r="Q416" s="5"/>
      <c r="R416" s="10">
        <f>+R240-R243+R393</f>
        <v>599315.89353754558</v>
      </c>
    </row>
    <row r="417" spans="1:18" s="27" customFormat="1" x14ac:dyDescent="0.35">
      <c r="A417" s="18"/>
      <c r="B417" s="31"/>
      <c r="C417" s="18"/>
      <c r="D417" s="9">
        <f>IFERROR(D416/D10, 0)</f>
        <v>0.14133464020660827</v>
      </c>
      <c r="E417" s="18"/>
      <c r="F417" s="9">
        <f>IFERROR(F416/F10, 0)</f>
        <v>0.15186491473496813</v>
      </c>
      <c r="G417" s="14"/>
      <c r="H417" s="9">
        <f>IFERROR(H416/H10, 0)</f>
        <v>0.14318467593314549</v>
      </c>
      <c r="I417" s="14"/>
      <c r="J417" s="9">
        <f>IFERROR(J416/J10, 0)</f>
        <v>0.12974092030825535</v>
      </c>
      <c r="K417" s="14"/>
      <c r="L417" s="9">
        <f>IFERROR(L416/L10, 0)</f>
        <v>0.1380973058001993</v>
      </c>
      <c r="M417" s="14"/>
      <c r="N417" s="9">
        <f>IFERROR(N416/N10, 0)</f>
        <v>6.3140664881584721E-2</v>
      </c>
      <c r="O417" s="14"/>
      <c r="P417" s="9">
        <f>IFERROR(P416/P10, 0)</f>
        <v>-0.10623060373878014</v>
      </c>
      <c r="Q417" s="14"/>
      <c r="R417" s="9">
        <f>IFERROR(R416/R10, 0)</f>
        <v>2.5738709659359406E-2</v>
      </c>
    </row>
    <row r="418" spans="1:18" s="27" customFormat="1" x14ac:dyDescent="0.35">
      <c r="A418" s="18"/>
      <c r="B418" s="31"/>
      <c r="C418" s="18"/>
      <c r="D418" s="13"/>
      <c r="E418" s="18"/>
      <c r="F418" s="13"/>
      <c r="G418" s="14"/>
      <c r="H418" s="13"/>
      <c r="I418" s="14"/>
      <c r="J418" s="13"/>
      <c r="K418" s="14"/>
      <c r="L418" s="13"/>
      <c r="M418" s="14"/>
      <c r="N418" s="13"/>
      <c r="O418" s="14"/>
      <c r="P418" s="13"/>
      <c r="Q418" s="14"/>
      <c r="R418" s="13"/>
    </row>
    <row r="419" spans="1:18" s="15" customFormat="1" x14ac:dyDescent="0.35">
      <c r="A419" s="37"/>
      <c r="B419" s="7" t="s">
        <v>127</v>
      </c>
      <c r="C419" s="7"/>
      <c r="D419" s="6">
        <v>7564591.6399999997</v>
      </c>
      <c r="E419" s="12"/>
      <c r="F419" s="6">
        <v>5215449.2300000004</v>
      </c>
      <c r="G419" s="5"/>
      <c r="H419" s="6">
        <v>4852240.22</v>
      </c>
      <c r="I419" s="5"/>
      <c r="J419" s="6">
        <v>4724774.75</v>
      </c>
      <c r="K419" s="5"/>
      <c r="L419" s="6">
        <v>2547288.4900000002</v>
      </c>
      <c r="M419" s="5"/>
      <c r="N419" s="6">
        <v>4336174.96</v>
      </c>
      <c r="O419" s="5"/>
      <c r="P419" s="6">
        <v>2879203</v>
      </c>
      <c r="Q419" s="5"/>
      <c r="R419" s="6">
        <v>2640336</v>
      </c>
    </row>
    <row r="420" spans="1:18" x14ac:dyDescent="0.35">
      <c r="A420" s="12"/>
      <c r="B420" s="7"/>
      <c r="C420" s="7"/>
      <c r="D420" s="6"/>
      <c r="F420" s="6"/>
      <c r="H420" s="6"/>
      <c r="J420" s="6"/>
      <c r="L420" s="6"/>
      <c r="N420" s="6"/>
      <c r="P420" s="6"/>
      <c r="R420" s="6"/>
    </row>
    <row r="421" spans="1:18" s="15" customFormat="1" x14ac:dyDescent="0.35">
      <c r="A421" s="7"/>
      <c r="B421" s="22" t="s">
        <v>126</v>
      </c>
      <c r="C421" s="22"/>
      <c r="D421" s="10">
        <f>+D416-D419</f>
        <v>-2644656.9699999904</v>
      </c>
      <c r="E421" s="12"/>
      <c r="F421" s="10">
        <f>+F416-F419</f>
        <v>348338.70999998972</v>
      </c>
      <c r="G421" s="5"/>
      <c r="H421" s="10">
        <f>+H416-H419</f>
        <v>343994.29000002518</v>
      </c>
      <c r="I421" s="5"/>
      <c r="J421" s="10">
        <f>+J416-J419</f>
        <v>-157449.24000002071</v>
      </c>
      <c r="K421" s="5"/>
      <c r="L421" s="10">
        <f>+L416-L419</f>
        <v>2388009.3700000141</v>
      </c>
      <c r="M421" s="5"/>
      <c r="N421" s="10">
        <f>+N416-N419</f>
        <v>-2528063.560000014</v>
      </c>
      <c r="O421" s="5"/>
      <c r="P421" s="10">
        <f>+P416-P419</f>
        <v>-4689390.9718338642</v>
      </c>
      <c r="Q421" s="5"/>
      <c r="R421" s="10">
        <f>+R416-R419</f>
        <v>-2041020.1064624544</v>
      </c>
    </row>
    <row r="422" spans="1:18" s="27" customFormat="1" x14ac:dyDescent="0.35">
      <c r="A422" s="18"/>
      <c r="B422" s="18"/>
      <c r="C422" s="18"/>
      <c r="D422" s="9">
        <f>IFERROR(D421/D10, 0)</f>
        <v>-7.5972887120642749E-2</v>
      </c>
      <c r="E422" s="18"/>
      <c r="F422" s="9">
        <f>IFERROR(F421/F10, 0)</f>
        <v>9.5079879146215841E-3</v>
      </c>
      <c r="G422" s="14"/>
      <c r="H422" s="9">
        <f>IFERROR(H421/H10, 0)</f>
        <v>9.4789237940890846E-3</v>
      </c>
      <c r="I422" s="14"/>
      <c r="J422" s="9">
        <f>IFERROR(J421/J10, 0)</f>
        <v>-4.472553851200798E-3</v>
      </c>
      <c r="K422" s="14"/>
      <c r="L422" s="9">
        <f>IFERROR(L421/L10, 0)</f>
        <v>6.6820214215527057E-2</v>
      </c>
      <c r="M422" s="14"/>
      <c r="N422" s="9">
        <f>IFERROR(N421/N10, 0)</f>
        <v>-8.828195765001437E-2</v>
      </c>
      <c r="O422" s="14"/>
      <c r="P422" s="9">
        <f>IFERROR(P421/P10, 0)</f>
        <v>-0.27519619059252942</v>
      </c>
      <c r="Q422" s="14"/>
      <c r="R422" s="9">
        <f>IFERROR(R421/R10, 0)</f>
        <v>-8.7655315828631314E-2</v>
      </c>
    </row>
    <row r="423" spans="1:18" s="27" customFormat="1" x14ac:dyDescent="0.35">
      <c r="A423" s="18"/>
      <c r="B423" s="18"/>
      <c r="C423" s="18"/>
      <c r="D423" s="13"/>
      <c r="E423" s="18"/>
      <c r="F423" s="13"/>
      <c r="G423" s="14"/>
      <c r="H423" s="13"/>
      <c r="I423" s="14"/>
      <c r="J423" s="13"/>
      <c r="K423" s="14"/>
      <c r="L423" s="13"/>
      <c r="M423" s="14"/>
      <c r="N423" s="13"/>
      <c r="O423" s="14"/>
      <c r="P423" s="13"/>
      <c r="Q423" s="14"/>
      <c r="R423" s="13"/>
    </row>
    <row r="424" spans="1:18" s="15" customFormat="1" x14ac:dyDescent="0.35">
      <c r="A424" s="36"/>
      <c r="B424" s="45" t="s">
        <v>187</v>
      </c>
      <c r="C424" s="7"/>
      <c r="D424" s="30">
        <f>IFERROR(-155365.56, 0)</f>
        <v>-155365.56</v>
      </c>
      <c r="E424" s="12"/>
      <c r="F424" s="30">
        <f>IFERROR(-311726.97, 0)</f>
        <v>-311726.96999999997</v>
      </c>
      <c r="G424" s="5"/>
      <c r="H424" s="30">
        <f>IFERROR(--524364.72, 0)</f>
        <v>524364.72</v>
      </c>
      <c r="I424" s="5"/>
      <c r="J424" s="30">
        <f>IFERROR(--306614.11, 0)</f>
        <v>306614.11</v>
      </c>
      <c r="K424" s="5"/>
      <c r="L424" s="30">
        <f>IFERROR(-494428.15, 0)</f>
        <v>-494428.15</v>
      </c>
      <c r="M424" s="5"/>
      <c r="N424" s="30">
        <f>IFERROR(-36911.48, 0)</f>
        <v>-36911.480000000003</v>
      </c>
      <c r="O424" s="5"/>
      <c r="P424" s="30">
        <f t="shared" ref="P424:P425" si="38">IFERROR(--180000, 0)</f>
        <v>180000</v>
      </c>
      <c r="Q424" s="5"/>
      <c r="R424" s="30">
        <f>IFERROR(--180000, 0)</f>
        <v>180000</v>
      </c>
    </row>
    <row r="425" spans="1:18" s="15" customFormat="1" x14ac:dyDescent="0.35">
      <c r="A425" s="36"/>
      <c r="B425" s="7" t="s">
        <v>80</v>
      </c>
      <c r="C425" s="7"/>
      <c r="D425" s="30">
        <f>IFERROR(--321343.72, 0)</f>
        <v>321343.71999999997</v>
      </c>
      <c r="E425" s="12"/>
      <c r="F425" s="30">
        <f>IFERROR(--171244.92, 0)</f>
        <v>171244.92</v>
      </c>
      <c r="G425" s="5"/>
      <c r="H425" s="30">
        <f>IFERROR(--634542.42, 0)</f>
        <v>634542.42000000004</v>
      </c>
      <c r="I425" s="5"/>
      <c r="J425" s="30">
        <f>IFERROR(--644093.46, 0)</f>
        <v>644093.46</v>
      </c>
      <c r="K425" s="5"/>
      <c r="L425" s="30">
        <f>IFERROR(--839538.06, 0)</f>
        <v>839538.06</v>
      </c>
      <c r="M425" s="5"/>
      <c r="N425" s="30">
        <f>IFERROR(--324468.28, 0)</f>
        <v>324468.28000000003</v>
      </c>
      <c r="O425" s="5"/>
      <c r="P425" s="30">
        <f t="shared" si="38"/>
        <v>180000</v>
      </c>
      <c r="Q425" s="5"/>
      <c r="R425" s="30">
        <f>IFERROR(--200000, 0)</f>
        <v>200000</v>
      </c>
    </row>
    <row r="426" spans="1:18" x14ac:dyDescent="0.35">
      <c r="A426" s="12"/>
      <c r="B426" s="12"/>
      <c r="C426" s="12"/>
      <c r="D426" s="6"/>
      <c r="F426" s="6"/>
      <c r="H426" s="6"/>
      <c r="J426" s="6"/>
      <c r="L426" s="6"/>
      <c r="N426" s="6"/>
      <c r="P426" s="6"/>
      <c r="R426" s="6"/>
    </row>
    <row r="427" spans="1:18" s="15" customFormat="1" x14ac:dyDescent="0.35">
      <c r="A427" s="7"/>
      <c r="B427" s="22" t="s">
        <v>296</v>
      </c>
      <c r="C427" s="22"/>
      <c r="D427" s="10">
        <f>SUM(D421:D426)</f>
        <v>-2478678.885972878</v>
      </c>
      <c r="E427" s="12"/>
      <c r="F427" s="10">
        <f>SUM(F421:F426)</f>
        <v>207856.6695079777</v>
      </c>
      <c r="G427" s="5"/>
      <c r="H427" s="10">
        <f>SUM(H421:H426)</f>
        <v>1502901.4394789492</v>
      </c>
      <c r="I427" s="5"/>
      <c r="J427" s="10">
        <f>SUM(J421:J426)</f>
        <v>793258.32552742539</v>
      </c>
      <c r="K427" s="5"/>
      <c r="L427" s="10">
        <f>SUM(L421:L426)</f>
        <v>2733119.3468202283</v>
      </c>
      <c r="M427" s="5"/>
      <c r="N427" s="10">
        <f>SUM(N421:N426)</f>
        <v>-2240506.8482819712</v>
      </c>
      <c r="O427" s="5"/>
      <c r="P427" s="10">
        <f>SUM(P421:P426)</f>
        <v>-4329391.2470300552</v>
      </c>
      <c r="Q427" s="5"/>
      <c r="R427" s="10">
        <f>SUM(R421:R426)</f>
        <v>-1661020.1941177703</v>
      </c>
    </row>
    <row r="428" spans="1:18" s="27" customFormat="1" x14ac:dyDescent="0.35">
      <c r="A428" s="18"/>
      <c r="B428" s="41"/>
      <c r="C428" s="18"/>
      <c r="D428" s="9">
        <f>IFERROR(D427/D10, 0)</f>
        <v>-7.1204845599442207E-2</v>
      </c>
      <c r="E428" s="18"/>
      <c r="F428" s="9">
        <f>IFERROR(F427/F10, 0)</f>
        <v>5.6734972167044057E-3</v>
      </c>
      <c r="G428" s="14"/>
      <c r="H428" s="9">
        <f>IFERROR(H427/H10, 0)</f>
        <v>4.1413153151020926E-2</v>
      </c>
      <c r="I428" s="14"/>
      <c r="J428" s="9">
        <f>IFERROR(J427/J10, 0)</f>
        <v>2.2533551631207085E-2</v>
      </c>
      <c r="K428" s="14"/>
      <c r="L428" s="9">
        <f>IFERROR(L427/L10, 0)</f>
        <v>7.6476927823414684E-2</v>
      </c>
      <c r="M428" s="14"/>
      <c r="N428" s="9">
        <f>IFERROR(N427/N10, 0)</f>
        <v>-7.8240252272215441E-2</v>
      </c>
      <c r="O428" s="14"/>
      <c r="P428" s="9">
        <f>IFERROR(P427/P10, 0)</f>
        <v>-0.25406966190779828</v>
      </c>
      <c r="Q428" s="14"/>
      <c r="R428" s="9">
        <f>IFERROR(R427/R10, 0)</f>
        <v>-7.1335529352270971E-2</v>
      </c>
    </row>
    <row r="429" spans="1:18" x14ac:dyDescent="0.35">
      <c r="A429" s="12"/>
      <c r="B429" s="40">
        <v>44319.883435104166</v>
      </c>
      <c r="D429" s="24"/>
      <c r="F429" s="24"/>
      <c r="H429" s="24"/>
      <c r="J429" s="24"/>
      <c r="L429" s="24"/>
      <c r="N429" s="24"/>
      <c r="P429" s="24"/>
      <c r="R429" s="24"/>
    </row>
    <row r="430" spans="1:18" x14ac:dyDescent="0.35">
      <c r="A430" s="12"/>
      <c r="B430" s="39" t="s">
        <v>23</v>
      </c>
      <c r="D430" s="24"/>
      <c r="F430" s="24"/>
      <c r="H430" s="24"/>
      <c r="J430" s="24"/>
      <c r="L430" s="24"/>
      <c r="N430" s="24"/>
      <c r="P430" s="24"/>
      <c r="R430" s="24"/>
    </row>
    <row r="431" spans="1:18" x14ac:dyDescent="0.35">
      <c r="A431" s="12"/>
      <c r="D431" s="24"/>
      <c r="F431" s="24"/>
      <c r="H431" s="24"/>
      <c r="J431" s="24"/>
      <c r="L431" s="24"/>
      <c r="N431" s="24"/>
      <c r="P431" s="24"/>
      <c r="R431" s="24"/>
    </row>
    <row r="432" spans="1:18" x14ac:dyDescent="0.35">
      <c r="D432" s="24"/>
      <c r="F432" s="24"/>
      <c r="H432" s="24"/>
      <c r="J432" s="24"/>
      <c r="L432" s="24"/>
      <c r="N432" s="24"/>
      <c r="P432" s="24"/>
      <c r="R432" s="24"/>
    </row>
  </sheetData>
  <pageMargins left="0.5" right="0.5" top="0.5" bottom="0.5" header="0.3" footer="0.3"/>
  <pageSetup scale="59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18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8779162.110000005</v>
      </c>
      <c r="F10" s="8">
        <f>SUM(OSRRefF11x_0)</f>
        <v>7960931.0199999958</v>
      </c>
      <c r="G10" s="8"/>
      <c r="H10" s="8">
        <f>SUM(OSRRefH11x_0)</f>
        <v>7182795.8499999968</v>
      </c>
      <c r="I10" s="8"/>
      <c r="J10" s="8">
        <f>SUM(OSRRefJ11x_0)</f>
        <v>6857625.3500000015</v>
      </c>
      <c r="K10" s="8"/>
      <c r="L10" s="8">
        <f>SUM(OSRRefL11x_0)</f>
        <v>6047838.7199999997</v>
      </c>
      <c r="M10" s="8"/>
      <c r="N10" s="8">
        <f>SUM(OSRRefN11x_0)</f>
        <v>4951110.9999999981</v>
      </c>
      <c r="O10" s="8"/>
      <c r="P10" s="8">
        <f>SUM(OSRRefP11x_0)</f>
        <v>4474784</v>
      </c>
      <c r="Q10" s="8"/>
      <c r="R10" s="8">
        <f>SUM(OSRRefR11x_0)</f>
        <v>4771541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--1532.75</f>
        <v>1532.75</v>
      </c>
      <c r="M11" s="3"/>
      <c r="N11" s="11">
        <f>0</f>
        <v>0</v>
      </c>
      <c r="O11" s="3"/>
      <c r="P11" s="11">
        <v>4474784</v>
      </c>
      <c r="Q11" s="3"/>
      <c r="R11" s="11">
        <v>4771541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-5629087.99*-1</f>
        <v>5629087.9900000002</v>
      </c>
      <c r="F12" s="11">
        <f>-4830911.55*-1</f>
        <v>4830911.55</v>
      </c>
      <c r="G12" s="3"/>
      <c r="H12" s="11">
        <f>-4243327.57*-1</f>
        <v>4243327.57</v>
      </c>
      <c r="I12" s="3"/>
      <c r="J12" s="11">
        <f>--3955085.18</f>
        <v>3955085.18</v>
      </c>
      <c r="K12" s="3"/>
      <c r="L12" s="11">
        <f>--3126487.75</f>
        <v>3126487.75</v>
      </c>
      <c r="M12" s="3"/>
      <c r="N12" s="11">
        <f>--2451163.71</f>
        <v>2451163.71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-1780006.45*-1</f>
        <v>1780006.45</v>
      </c>
      <c r="F13" s="11">
        <f>-1930957.06*-1</f>
        <v>1930957.06</v>
      </c>
      <c r="G13" s="3"/>
      <c r="H13" s="11">
        <f>-1615125.52*-1</f>
        <v>1615125.52</v>
      </c>
      <c r="I13" s="3"/>
      <c r="J13" s="11">
        <f>--1442432.66</f>
        <v>1442432.66</v>
      </c>
      <c r="K13" s="3"/>
      <c r="L13" s="11">
        <f>--1404207.63</f>
        <v>1404207.63</v>
      </c>
      <c r="M13" s="3"/>
      <c r="N13" s="11">
        <f>--1271803.19</f>
        <v>1271803.19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--5496.9</f>
        <v>5496.9</v>
      </c>
      <c r="K14" s="3"/>
      <c r="L14" s="11">
        <f>--15422.64</f>
        <v>15422.64</v>
      </c>
      <c r="M14" s="3"/>
      <c r="N14" s="11">
        <f>--34659.88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--46</f>
        <v>46</v>
      </c>
      <c r="K15" s="3"/>
      <c r="L15" s="11">
        <f>--70418.64</f>
        <v>70418.64</v>
      </c>
      <c r="M15" s="3"/>
      <c r="N15" s="11">
        <f>--42195.3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>-43.1*-1</f>
        <v>43.1</v>
      </c>
      <c r="F16" s="11">
        <f>-2508.97*-1</f>
        <v>2508.9699999999998</v>
      </c>
      <c r="G16" s="3"/>
      <c r="H16" s="11">
        <f>-0.01*-1</f>
        <v>0.01</v>
      </c>
      <c r="I16" s="3"/>
      <c r="J16" s="11">
        <f>--48.23</f>
        <v>48.23</v>
      </c>
      <c r="K16" s="3"/>
      <c r="L16" s="11">
        <f>--9.71</f>
        <v>9.7100000000000009</v>
      </c>
      <c r="M16" s="3"/>
      <c r="N16" s="11">
        <f>--1052.48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"4012", " - ", "TAXABLE SALES-MAGAZINES")</f>
        <v xml:space="preserve">          4012 - TAXABLE SALES-MAGAZINES</v>
      </c>
      <c r="D17" s="11">
        <f>-53.7*-1</f>
        <v>53.7</v>
      </c>
      <c r="F17" s="11">
        <f>-41.75*-1</f>
        <v>41.75</v>
      </c>
      <c r="G17" s="3"/>
      <c r="H17" s="11">
        <f>-35.8*-1</f>
        <v>35.799999999999997</v>
      </c>
      <c r="I17" s="3"/>
      <c r="J17" s="11">
        <f>0</f>
        <v>0</v>
      </c>
      <c r="K17" s="3"/>
      <c r="L17" s="11">
        <f>0</f>
        <v>0</v>
      </c>
      <c r="M17" s="3"/>
      <c r="N17" s="11">
        <f>0</f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"4013", " - ", "TAXABLE SALES-TRADE BOOKS")</f>
        <v xml:space="preserve">          4013 - TAXABLE SALES-TRADE BOOKS</v>
      </c>
      <c r="D18" s="11">
        <f>-35038.5*-1</f>
        <v>35038.5</v>
      </c>
      <c r="F18" s="11">
        <f>-31521.3*-1</f>
        <v>31521.3</v>
      </c>
      <c r="G18" s="3"/>
      <c r="H18" s="11">
        <f>-14354.06*-1</f>
        <v>14354.06</v>
      </c>
      <c r="I18" s="3"/>
      <c r="J18" s="11">
        <f>--8260.64</f>
        <v>8260.64</v>
      </c>
      <c r="K18" s="3"/>
      <c r="L18" s="11">
        <f>--7463.59</f>
        <v>7463.59</v>
      </c>
      <c r="M18" s="3"/>
      <c r="N18" s="11">
        <f>--2778.35</f>
        <v>2778.35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"4014", " - ", "TAXABLE SALES-REMAINDERS")</f>
        <v xml:space="preserve">          4014 - TAXABLE SALES-REMAINDERS</v>
      </c>
      <c r="D19" s="11">
        <f>-2636.61*-1</f>
        <v>2636.61</v>
      </c>
      <c r="F19" s="11">
        <f>-2182.49*-1</f>
        <v>2182.4899999999998</v>
      </c>
      <c r="G19" s="3"/>
      <c r="H19" s="11">
        <f>-688.63*-1</f>
        <v>688.63</v>
      </c>
      <c r="I19" s="3"/>
      <c r="J19" s="11">
        <f>--3759.76</f>
        <v>3759.76</v>
      </c>
      <c r="K19" s="3"/>
      <c r="L19" s="11">
        <f>--2221.33</f>
        <v>2221.33</v>
      </c>
      <c r="M19" s="3"/>
      <c r="N19" s="11">
        <f>--1233.88</f>
        <v>1233.8800000000001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"4015", " - ", "TAXABLE SALES-CALENDARS")</f>
        <v xml:space="preserve">          4015 - TAXABLE SALES-CALENDARS</v>
      </c>
      <c r="D20" s="11">
        <f>-4640.46*-1</f>
        <v>4640.46</v>
      </c>
      <c r="F20" s="11">
        <f>-4253.53*-1</f>
        <v>4253.53</v>
      </c>
      <c r="G20" s="3"/>
      <c r="H20" s="11">
        <f>-166.8*-1</f>
        <v>166.8</v>
      </c>
      <c r="I20" s="3"/>
      <c r="J20" s="11">
        <f t="shared" ref="J20:J21" si="0">0</f>
        <v>0</v>
      </c>
      <c r="K20" s="3"/>
      <c r="L20" s="11">
        <f t="shared" ref="L20:L21" si="1">0</f>
        <v>0</v>
      </c>
      <c r="M20" s="3"/>
      <c r="N20" s="11">
        <f t="shared" ref="N20:N21" si="2"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"4017", " - ", "TAXABLE SALES-DORM/HOUSEWARES")</f>
        <v xml:space="preserve">          4017 - TAXABLE SALES-DORM/HOUSEWARES</v>
      </c>
      <c r="D21" s="11">
        <f>-515.69*-1</f>
        <v>515.69000000000005</v>
      </c>
      <c r="F21" s="11">
        <f>-2054.11*-1</f>
        <v>2054.11</v>
      </c>
      <c r="G21" s="3"/>
      <c r="H21" s="11">
        <f>-44.7*-1</f>
        <v>44.7</v>
      </c>
      <c r="I21" s="3"/>
      <c r="J21" s="11">
        <f t="shared" si="0"/>
        <v>0</v>
      </c>
      <c r="K21" s="3"/>
      <c r="L21" s="11">
        <f t="shared" si="1"/>
        <v>0</v>
      </c>
      <c r="M21" s="3"/>
      <c r="N21" s="11">
        <f t="shared" si="2"/>
        <v>0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"4018", " - ", "TAXABLE SALES-STUDY GUIDES")</f>
        <v xml:space="preserve">          4018 - TAXABLE SALES-STUDY GUIDES</v>
      </c>
      <c r="D22" s="11">
        <f>-15442.23*-1</f>
        <v>15442.23</v>
      </c>
      <c r="F22" s="11">
        <f>-9203.96*-1</f>
        <v>9203.9599999999991</v>
      </c>
      <c r="G22" s="3"/>
      <c r="H22" s="11">
        <f>-8469.9*-1</f>
        <v>8469.9</v>
      </c>
      <c r="I22" s="3"/>
      <c r="J22" s="11">
        <f>--7616.72</f>
        <v>7616.72</v>
      </c>
      <c r="K22" s="3"/>
      <c r="L22" s="11">
        <f>--6524.46</f>
        <v>6524.46</v>
      </c>
      <c r="M22" s="3"/>
      <c r="N22" s="11">
        <f>--4179.3</f>
        <v>4179.3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"4019", " - ", "TAXABLE SALES-BOOK RELATED")</f>
        <v xml:space="preserve">          4019 - TAXABLE SALES-BOOK RELATED</v>
      </c>
      <c r="D23" s="11">
        <f>-12332.23*-1</f>
        <v>12332.23</v>
      </c>
      <c r="F23" s="11">
        <f>-11333.49*-1</f>
        <v>11333.49</v>
      </c>
      <c r="G23" s="3"/>
      <c r="H23" s="11">
        <f>-3438.4*-1</f>
        <v>3438.4</v>
      </c>
      <c r="I23" s="3"/>
      <c r="J23" s="11">
        <f>0</f>
        <v>0</v>
      </c>
      <c r="K23" s="3"/>
      <c r="L23" s="11">
        <f>0</f>
        <v>0</v>
      </c>
      <c r="M23" s="3"/>
      <c r="N23" s="11">
        <f>0</f>
        <v>0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"4100", " - ", "NON-TAXABLE SALES")</f>
        <v xml:space="preserve">          4100 - NON-TAXABLE SALES</v>
      </c>
      <c r="D24" s="11">
        <f>-1174665.03*-1</f>
        <v>1174665.03</v>
      </c>
      <c r="F24" s="11">
        <f>-957549.38*-1</f>
        <v>957549.38</v>
      </c>
      <c r="G24" s="3"/>
      <c r="H24" s="11">
        <f>-812045.06*-1</f>
        <v>812045.06</v>
      </c>
      <c r="I24" s="3"/>
      <c r="J24" s="11">
        <f>--961357.32</f>
        <v>961357.32</v>
      </c>
      <c r="K24" s="3"/>
      <c r="L24" s="11">
        <f>--792359.45</f>
        <v>792359.45</v>
      </c>
      <c r="M24" s="3"/>
      <c r="N24" s="11">
        <f>--591246.5</f>
        <v>591246.5</v>
      </c>
      <c r="O24" s="3"/>
      <c r="P24" s="11"/>
      <c r="Q24" s="3"/>
      <c r="R24" s="11">
        <v>0</v>
      </c>
    </row>
    <row r="25" spans="2:18" s="16" customFormat="1" hidden="1" outlineLevel="1" x14ac:dyDescent="0.35">
      <c r="B25" s="35" t="str">
        <f>CONCATENATE("          ", "4101", " - ", "NON-TAXABLE SALES-NEW TEXT")</f>
        <v xml:space="preserve">          4101 - NON-TAXABLE SALES-NEW TEXT</v>
      </c>
      <c r="D25" s="11">
        <f>-333541.05*-1</f>
        <v>333541.05</v>
      </c>
      <c r="F25" s="11">
        <f>-331768.56*-1</f>
        <v>331768.56</v>
      </c>
      <c r="G25" s="3"/>
      <c r="H25" s="11">
        <f>-436453.6*-1</f>
        <v>436453.6</v>
      </c>
      <c r="I25" s="3"/>
      <c r="J25" s="11">
        <f>--176688.8</f>
        <v>176688.8</v>
      </c>
      <c r="K25" s="3"/>
      <c r="L25" s="11">
        <f>--281995.26</f>
        <v>281995.26</v>
      </c>
      <c r="M25" s="3"/>
      <c r="N25" s="11">
        <f>--153953.68</f>
        <v>153953.68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"4102", " - ", "NON-TAXABLE SALES-USED TEXT")</f>
        <v xml:space="preserve">          4102 - NON-TAXABLE SALES-USED TEXT</v>
      </c>
      <c r="D26" s="11">
        <f>-169093.51*-1</f>
        <v>169093.51</v>
      </c>
      <c r="F26" s="11">
        <f>-105992.28*-1</f>
        <v>105992.28</v>
      </c>
      <c r="G26" s="3"/>
      <c r="H26" s="11">
        <f>-102473.76*-1</f>
        <v>102473.76</v>
      </c>
      <c r="I26" s="3"/>
      <c r="J26" s="11">
        <f>--115900.77</f>
        <v>115900.77</v>
      </c>
      <c r="K26" s="3"/>
      <c r="L26" s="11">
        <f>--98541.39</f>
        <v>98541.39</v>
      </c>
      <c r="M26" s="3"/>
      <c r="N26" s="11">
        <f>--71943.61</f>
        <v>71943.61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"4103", " - ", "NON-TAXABLE SALES-RENTAL TEXT")</f>
        <v xml:space="preserve">          4103 - NON-TAXABLE SALES-RENTAL TEXT</v>
      </c>
      <c r="D27" s="11">
        <f>0*-1</f>
        <v>0</v>
      </c>
      <c r="F27" s="11">
        <f>0*-1</f>
        <v>0</v>
      </c>
      <c r="G27" s="3"/>
      <c r="H27" s="11">
        <f>0*-1</f>
        <v>0</v>
      </c>
      <c r="I27" s="3"/>
      <c r="J27" s="11">
        <f>0</f>
        <v>0</v>
      </c>
      <c r="K27" s="3"/>
      <c r="L27" s="11">
        <f>--830.85</f>
        <v>830.85</v>
      </c>
      <c r="M27" s="3"/>
      <c r="N27" s="11">
        <f>--664.97</f>
        <v>664.97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"4104", " - ", "NON-TAXABLE SALES-DIGITAL TEXT")</f>
        <v xml:space="preserve">          4104 - NON-TAXABLE SALES-DIGITAL TEXT</v>
      </c>
      <c r="D28" s="11">
        <f>-35063.14*-1</f>
        <v>35063.14</v>
      </c>
      <c r="F28" s="11">
        <f>-87423.09*-1</f>
        <v>87423.09</v>
      </c>
      <c r="G28" s="3"/>
      <c r="H28" s="11">
        <f>-168064.67*-1</f>
        <v>168064.67</v>
      </c>
      <c r="I28" s="3"/>
      <c r="J28" s="11">
        <f>--514704.82</f>
        <v>514704.82</v>
      </c>
      <c r="K28" s="3"/>
      <c r="L28" s="11">
        <f>--535221.75</f>
        <v>535221.75</v>
      </c>
      <c r="M28" s="3"/>
      <c r="N28" s="11">
        <f>--533640.31</f>
        <v>533640.31000000006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"4111", " - ", "NON-TAXABLE SALES-NO VALUE TEX")</f>
        <v xml:space="preserve">          4111 - NON-TAXABLE SALES-NO VALUE TEX</v>
      </c>
      <c r="D29" s="11">
        <f>-43256.3*-1</f>
        <v>43256.3</v>
      </c>
      <c r="F29" s="11">
        <f>-43259.52*-1</f>
        <v>43259.519999999997</v>
      </c>
      <c r="G29" s="3"/>
      <c r="H29" s="11">
        <f>-44203.6*-1</f>
        <v>44203.6</v>
      </c>
      <c r="I29" s="3"/>
      <c r="J29" s="11">
        <f>--38359.07</f>
        <v>38359.07</v>
      </c>
      <c r="K29" s="3"/>
      <c r="L29" s="11">
        <f>--25086.75</f>
        <v>25086.75</v>
      </c>
      <c r="M29" s="3"/>
      <c r="N29" s="11">
        <f>--16342.67</f>
        <v>16342.67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"4113", " - ", "NON-TAXABLE SALES-TRADE BOOKS")</f>
        <v xml:space="preserve">          4113 - NON-TAXABLE SALES-TRADE BOOKS</v>
      </c>
      <c r="D30" s="11">
        <f>-1319.69*-1</f>
        <v>1319.69</v>
      </c>
      <c r="F30" s="11">
        <f>-1790.87*-1</f>
        <v>1790.87</v>
      </c>
      <c r="G30" s="3"/>
      <c r="H30" s="11">
        <f>-5971.51*-1</f>
        <v>5971.51</v>
      </c>
      <c r="I30" s="3"/>
      <c r="J30" s="11">
        <f>--1947.27</f>
        <v>1947.27</v>
      </c>
      <c r="K30" s="3"/>
      <c r="L30" s="11">
        <f>--5373</f>
        <v>5373</v>
      </c>
      <c r="M30" s="3"/>
      <c r="N30" s="11">
        <f>--8266.16</f>
        <v>8266.16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"4114", " - ", "NON-TAXABLE SALES-REMAINDERS")</f>
        <v xml:space="preserve">          4114 - NON-TAXABLE SALES-REMAINDERS</v>
      </c>
      <c r="D31" s="11">
        <f>0*-1</f>
        <v>0</v>
      </c>
      <c r="F31" s="11">
        <f>0*-1</f>
        <v>0</v>
      </c>
      <c r="G31" s="3"/>
      <c r="H31" s="11">
        <f t="shared" ref="H31:H32" si="3">0*-1</f>
        <v>0</v>
      </c>
      <c r="I31" s="3"/>
      <c r="J31" s="11">
        <f t="shared" ref="J31:J32" si="4">0</f>
        <v>0</v>
      </c>
      <c r="K31" s="3"/>
      <c r="L31" s="11">
        <f t="shared" ref="L31:L32" si="5">0</f>
        <v>0</v>
      </c>
      <c r="M31" s="3"/>
      <c r="N31" s="11">
        <f>--3.19</f>
        <v>3.19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"4115", " - ", "NON-TAXABLE SALES-CALENDARS")</f>
        <v xml:space="preserve">          4115 - NON-TAXABLE SALES-CALENDARS</v>
      </c>
      <c r="D32" s="11">
        <f>-2*-1</f>
        <v>2</v>
      </c>
      <c r="F32" s="11">
        <f>-158.37*-1</f>
        <v>158.37</v>
      </c>
      <c r="G32" s="3"/>
      <c r="H32" s="11">
        <f t="shared" si="3"/>
        <v>0</v>
      </c>
      <c r="I32" s="3"/>
      <c r="J32" s="11">
        <f t="shared" si="4"/>
        <v>0</v>
      </c>
      <c r="K32" s="3"/>
      <c r="L32" s="11">
        <f t="shared" si="5"/>
        <v>0</v>
      </c>
      <c r="M32" s="3"/>
      <c r="N32" s="11">
        <f>0</f>
        <v>0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"4118", " - ", "NON-TAXABLE SALES-STUDY GUIDES")</f>
        <v xml:space="preserve">          4118 - NON-TAXABLE SALES-STUDY GUIDES</v>
      </c>
      <c r="D33" s="11">
        <f>-353.8*-1</f>
        <v>353.8</v>
      </c>
      <c r="F33" s="11">
        <f>-548.94*-1</f>
        <v>548.94000000000005</v>
      </c>
      <c r="G33" s="3"/>
      <c r="H33" s="11">
        <f>-571.8*-1</f>
        <v>571.79999999999995</v>
      </c>
      <c r="I33" s="3"/>
      <c r="J33" s="11">
        <f>--4573.16</f>
        <v>4573.16</v>
      </c>
      <c r="K33" s="3"/>
      <c r="L33" s="11">
        <f>--2773.48</f>
        <v>2773.48</v>
      </c>
      <c r="M33" s="3"/>
      <c r="N33" s="11">
        <f>--126.03</f>
        <v>126.03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"4119", " - ", "NON-TAXABLE SALES-BOOK RELATED")</f>
        <v xml:space="preserve">          4119 - NON-TAXABLE SALES-BOOK RELATED</v>
      </c>
      <c r="D34" s="11">
        <f>-151.27*-1</f>
        <v>151.27000000000001</v>
      </c>
      <c r="F34" s="11">
        <f>-120.62*-1</f>
        <v>120.62</v>
      </c>
      <c r="G34" s="3"/>
      <c r="H34" s="11">
        <f>-88.12*-1</f>
        <v>88.12</v>
      </c>
      <c r="I34" s="3"/>
      <c r="J34" s="11">
        <f>0</f>
        <v>0</v>
      </c>
      <c r="K34" s="3"/>
      <c r="L34" s="11">
        <f>0</f>
        <v>0</v>
      </c>
      <c r="M34" s="3"/>
      <c r="N34" s="11">
        <f>0</f>
        <v>0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"4201", " - ", "SALES RETURN TAXABLE-NEW TEXT")</f>
        <v xml:space="preserve">          4201 - SALES RETURN TAXABLE-NEW TEXT</v>
      </c>
      <c r="D35" s="11">
        <f>365569.91*-1</f>
        <v>-365569.91</v>
      </c>
      <c r="F35" s="11">
        <f>331351.34*-1</f>
        <v>-331351.34000000003</v>
      </c>
      <c r="G35" s="3"/>
      <c r="H35" s="11">
        <f>338311.16*-1</f>
        <v>-338311.16</v>
      </c>
      <c r="I35" s="3"/>
      <c r="J35" s="11">
        <f>-274197.84</f>
        <v>-274197.84000000003</v>
      </c>
      <c r="K35" s="3"/>
      <c r="L35" s="11">
        <f>-180616.86</f>
        <v>-180616.86</v>
      </c>
      <c r="M35" s="3"/>
      <c r="N35" s="11">
        <f>-121451.61</f>
        <v>-121451.61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"4202", " - ", "SALES RETURN TAXABLE-USED TEXT")</f>
        <v xml:space="preserve">          4202 - SALES RETURN TAXABLE-USED TEXT</v>
      </c>
      <c r="D36" s="11">
        <f>119446.59*-1</f>
        <v>-119446.59</v>
      </c>
      <c r="F36" s="11">
        <f>111075.8*-1</f>
        <v>-111075.8</v>
      </c>
      <c r="G36" s="3"/>
      <c r="H36" s="11">
        <f>93513.58*-1</f>
        <v>-93513.58</v>
      </c>
      <c r="I36" s="3"/>
      <c r="J36" s="11">
        <f>-66220.07</f>
        <v>-66220.070000000007</v>
      </c>
      <c r="K36" s="3"/>
      <c r="L36" s="11">
        <f>-47688.8</f>
        <v>-47688.800000000003</v>
      </c>
      <c r="M36" s="3"/>
      <c r="N36" s="11">
        <f>-45799.46</f>
        <v>-45799.46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"4203", " - ", "SALES RETURN TAXABLE-RENTAL TE")</f>
        <v xml:space="preserve">          4203 - SALES RETURN TAXABLE-RENTAL TE</v>
      </c>
      <c r="D37" s="11">
        <f>0*-1</f>
        <v>0</v>
      </c>
      <c r="F37" s="11">
        <f>0*-1</f>
        <v>0</v>
      </c>
      <c r="G37" s="3"/>
      <c r="H37" s="11">
        <f>0*-1</f>
        <v>0</v>
      </c>
      <c r="I37" s="3"/>
      <c r="J37" s="11">
        <f>-457.7</f>
        <v>-457.7</v>
      </c>
      <c r="K37" s="3"/>
      <c r="L37" s="11">
        <f>-1699.5</f>
        <v>-1699.5</v>
      </c>
      <c r="M37" s="3"/>
      <c r="N37" s="11">
        <f>-144.99</f>
        <v>-144.99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"4204", " - ", "SALES RETURN TAXABLE-DIGITAL T")</f>
        <v xml:space="preserve">          4204 - SALES RETURN TAXABLE-DIGITAL T</v>
      </c>
      <c r="D38" s="11">
        <f>10124.95*-1</f>
        <v>-10124.950000000001</v>
      </c>
      <c r="F38" s="11">
        <f>20461.65*-1</f>
        <v>-20461.650000000001</v>
      </c>
      <c r="G38" s="3"/>
      <c r="H38" s="11">
        <f>30518.8*-1</f>
        <v>-30518.799999999999</v>
      </c>
      <c r="I38" s="3"/>
      <c r="J38" s="11">
        <f>-202.45</f>
        <v>-202.45</v>
      </c>
      <c r="K38" s="3"/>
      <c r="L38" s="11">
        <f>-27147</f>
        <v>-27147</v>
      </c>
      <c r="M38" s="3"/>
      <c r="N38" s="11">
        <f>-17255.33</f>
        <v>-17255.330000000002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"4211", " - ", "SALES RETURN TAXABLE-NO VALUE")</f>
        <v xml:space="preserve">          4211 - SALES RETURN TAXABLE-NO VALUE</v>
      </c>
      <c r="D39" s="11">
        <f t="shared" ref="D39:D40" si="6">0*-1</f>
        <v>0</v>
      </c>
      <c r="F39" s="11">
        <f>0*-1</f>
        <v>0</v>
      </c>
      <c r="G39" s="3"/>
      <c r="H39" s="11">
        <f>0*-1</f>
        <v>0</v>
      </c>
      <c r="I39" s="3"/>
      <c r="J39" s="11">
        <f>-90.83</f>
        <v>-90.83</v>
      </c>
      <c r="K39" s="3"/>
      <c r="L39" s="11">
        <f t="shared" ref="L39:L40" si="7">0</f>
        <v>0</v>
      </c>
      <c r="M39" s="3"/>
      <c r="N39" s="11">
        <f t="shared" ref="N39:N40" si="8">0</f>
        <v>0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"4212", " - ", "SALES RETURN TAXABLE-MAGAZINES")</f>
        <v xml:space="preserve">          4212 - SALES RETURN TAXABLE-MAGAZINES</v>
      </c>
      <c r="D40" s="11">
        <f t="shared" si="6"/>
        <v>0</v>
      </c>
      <c r="F40" s="11">
        <f>26.85*-1</f>
        <v>-26.85</v>
      </c>
      <c r="G40" s="3"/>
      <c r="H40" s="11">
        <f>8.95*-1</f>
        <v>-8.9499999999999993</v>
      </c>
      <c r="I40" s="3"/>
      <c r="J40" s="11">
        <f>0</f>
        <v>0</v>
      </c>
      <c r="K40" s="3"/>
      <c r="L40" s="11">
        <f t="shared" si="7"/>
        <v>0</v>
      </c>
      <c r="M40" s="3"/>
      <c r="N40" s="11">
        <f t="shared" si="8"/>
        <v>0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"4213", " - ", "NON-TAXABLE SALES-TRADE BOOKS")</f>
        <v xml:space="preserve">          4213 - NON-TAXABLE SALES-TRADE BOOKS</v>
      </c>
      <c r="D41" s="11">
        <f>690.05*-1</f>
        <v>-690.05</v>
      </c>
      <c r="F41" s="11">
        <f>1060.39*-1</f>
        <v>-1060.3900000000001</v>
      </c>
      <c r="G41" s="3"/>
      <c r="H41" s="11">
        <f>1372.89*-1</f>
        <v>-1372.89</v>
      </c>
      <c r="I41" s="3"/>
      <c r="J41" s="11">
        <f>-283.02</f>
        <v>-283.02</v>
      </c>
      <c r="K41" s="3"/>
      <c r="L41" s="11">
        <f>-1554.3</f>
        <v>-1554.3</v>
      </c>
      <c r="M41" s="3"/>
      <c r="N41" s="11">
        <f>-2869.37</f>
        <v>-2869.37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"4214", " - ", "SALES RETURN TAXABLE-REMAINDER")</f>
        <v xml:space="preserve">          4214 - SALES RETURN TAXABLE-REMAINDER</v>
      </c>
      <c r="D42" s="11">
        <f>0*-1</f>
        <v>0</v>
      </c>
      <c r="F42" s="11">
        <f>9.73*-1</f>
        <v>-9.73</v>
      </c>
      <c r="G42" s="3"/>
      <c r="H42" s="11">
        <f t="shared" ref="H42:H44" si="9">0*-1</f>
        <v>0</v>
      </c>
      <c r="I42" s="3"/>
      <c r="J42" s="11">
        <f t="shared" ref="J42:J44" si="10">0</f>
        <v>0</v>
      </c>
      <c r="K42" s="3"/>
      <c r="L42" s="11">
        <f>-19.84</f>
        <v>-19.84</v>
      </c>
      <c r="M42" s="3"/>
      <c r="N42" s="11">
        <f>-11.94</f>
        <v>-11.94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"4215", " - ", "SALES RETURN TAXABLE-CALENDARS")</f>
        <v xml:space="preserve">          4215 - SALES RETURN TAXABLE-CALENDARS</v>
      </c>
      <c r="D43" s="11">
        <f>23.98*-1</f>
        <v>-23.98</v>
      </c>
      <c r="F43" s="11">
        <f>21.86*-1</f>
        <v>-21.86</v>
      </c>
      <c r="G43" s="3"/>
      <c r="H43" s="11">
        <f t="shared" si="9"/>
        <v>0</v>
      </c>
      <c r="I43" s="3"/>
      <c r="J43" s="11">
        <f t="shared" si="10"/>
        <v>0</v>
      </c>
      <c r="K43" s="3"/>
      <c r="L43" s="11">
        <f t="shared" ref="L43:L44" si="11">0</f>
        <v>0</v>
      </c>
      <c r="M43" s="3"/>
      <c r="N43" s="11">
        <f t="shared" ref="N43:N44" si="12">0</f>
        <v>0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"4217", " - ", "NON-TAXABLE SALES-DORM/HOUSEWA")</f>
        <v xml:space="preserve">          4217 - NON-TAXABLE SALES-DORM/HOUSEWA</v>
      </c>
      <c r="D44" s="11">
        <f>45.97*-1</f>
        <v>-45.97</v>
      </c>
      <c r="F44" s="11">
        <f>10.87*-1</f>
        <v>-10.87</v>
      </c>
      <c r="G44" s="3"/>
      <c r="H44" s="11">
        <f t="shared" si="9"/>
        <v>0</v>
      </c>
      <c r="I44" s="3"/>
      <c r="J44" s="11">
        <f t="shared" si="10"/>
        <v>0</v>
      </c>
      <c r="K44" s="3"/>
      <c r="L44" s="11">
        <f t="shared" si="11"/>
        <v>0</v>
      </c>
      <c r="M44" s="3"/>
      <c r="N44" s="11">
        <f t="shared" si="12"/>
        <v>0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"4218", " - ", "SALES RETURN TAXABLE-STUDY GUI")</f>
        <v xml:space="preserve">          4218 - SALES RETURN TAXABLE-STUDY GUI</v>
      </c>
      <c r="D45" s="11">
        <f>503.09*-1</f>
        <v>-503.09</v>
      </c>
      <c r="F45" s="11">
        <f>273.78*-1</f>
        <v>-273.77999999999997</v>
      </c>
      <c r="G45" s="3"/>
      <c r="H45" s="11">
        <f>349.67*-1</f>
        <v>-349.67</v>
      </c>
      <c r="I45" s="3"/>
      <c r="J45" s="11">
        <f>-234.52</f>
        <v>-234.52</v>
      </c>
      <c r="K45" s="3"/>
      <c r="L45" s="11">
        <f>-67.6</f>
        <v>-67.599999999999994</v>
      </c>
      <c r="M45" s="3"/>
      <c r="N45" s="11">
        <f>-39.25</f>
        <v>-39.25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"4219", " - ", "SALES RETURN TAXABLE-BOOK RELA")</f>
        <v xml:space="preserve">          4219 - SALES RETURN TAXABLE-BOOK RELA</v>
      </c>
      <c r="D46" s="11">
        <f>106.68*-1</f>
        <v>-106.68</v>
      </c>
      <c r="F46" s="11">
        <f>236.39*-1</f>
        <v>-236.39</v>
      </c>
      <c r="G46" s="3"/>
      <c r="H46" s="11">
        <f>70.95*-1</f>
        <v>-70.95</v>
      </c>
      <c r="I46" s="3"/>
      <c r="J46" s="11">
        <f>0</f>
        <v>0</v>
      </c>
      <c r="K46" s="3"/>
      <c r="L46" s="11">
        <f>0</f>
        <v>0</v>
      </c>
      <c r="M46" s="3"/>
      <c r="N46" s="11">
        <f>0</f>
        <v>0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"4301", " - ", "SALES RETURN NON TAXABLE-NEW T")</f>
        <v xml:space="preserve">          4301 - SALES RETURN NON TAXABLE-NEW T</v>
      </c>
      <c r="D47" s="11">
        <f>23238.51*-1</f>
        <v>-23238.51</v>
      </c>
      <c r="F47" s="11">
        <f>41726.46*-1</f>
        <v>-41726.46</v>
      </c>
      <c r="G47" s="3"/>
      <c r="H47" s="11">
        <f>37606.44*-1</f>
        <v>-37606.44</v>
      </c>
      <c r="I47" s="3"/>
      <c r="J47" s="11">
        <f>--6537.73</f>
        <v>6537.73</v>
      </c>
      <c r="K47" s="3"/>
      <c r="L47" s="11">
        <f>-51917.32</f>
        <v>-51917.32</v>
      </c>
      <c r="M47" s="3"/>
      <c r="N47" s="11">
        <f>-21543.36</f>
        <v>-21543.360000000001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"4302", " - ", "SALES RETURN NON TAXABLE-TEXT")</f>
        <v xml:space="preserve">          4302 - SALES RETURN NON TAXABLE-TEXT</v>
      </c>
      <c r="D48" s="11">
        <f>5954.54*-1</f>
        <v>-5954.54</v>
      </c>
      <c r="F48" s="11">
        <f>7432.62*-1</f>
        <v>-7432.62</v>
      </c>
      <c r="G48" s="3"/>
      <c r="H48" s="11">
        <f>6604.68*-1</f>
        <v>-6604.68</v>
      </c>
      <c r="I48" s="3"/>
      <c r="J48" s="11">
        <f>-5507.21</f>
        <v>-5507.21</v>
      </c>
      <c r="K48" s="3"/>
      <c r="L48" s="11">
        <f>-6780.29</f>
        <v>-6780.29</v>
      </c>
      <c r="M48" s="3"/>
      <c r="N48" s="11">
        <f>-1475.62</f>
        <v>-1475.62</v>
      </c>
      <c r="O48" s="3"/>
      <c r="P48" s="11"/>
      <c r="Q48" s="3"/>
      <c r="R48" s="11"/>
    </row>
    <row r="49" spans="1:18" s="16" customFormat="1" hidden="1" outlineLevel="1" x14ac:dyDescent="0.35">
      <c r="B49" s="35" t="str">
        <f>CONCATENATE("          ", "4303", " - ", "SALES RETURN NON-TAXABLE-RENTA")</f>
        <v xml:space="preserve">          4303 - SALES RETURN NON-TAXABLE-RENTA</v>
      </c>
      <c r="D49" s="11">
        <f>0*-1</f>
        <v>0</v>
      </c>
      <c r="F49" s="11">
        <f>0*-1</f>
        <v>0</v>
      </c>
      <c r="G49" s="3"/>
      <c r="H49" s="11">
        <f>0*-1</f>
        <v>0</v>
      </c>
      <c r="I49" s="3"/>
      <c r="J49" s="11">
        <f>0</f>
        <v>0</v>
      </c>
      <c r="K49" s="3"/>
      <c r="L49" s="11">
        <f>-509.85</f>
        <v>-509.85</v>
      </c>
      <c r="M49" s="3"/>
      <c r="N49" s="11">
        <f>-184.99</f>
        <v>-184.99</v>
      </c>
      <c r="O49" s="3"/>
      <c r="P49" s="11"/>
      <c r="Q49" s="3"/>
      <c r="R49" s="11"/>
    </row>
    <row r="50" spans="1:18" s="16" customFormat="1" hidden="1" outlineLevel="1" x14ac:dyDescent="0.35">
      <c r="B50" s="35" t="str">
        <f>CONCATENATE("          ", "4304", " - ", "SALES RETURN NON TAXABLE-DIGIT")</f>
        <v xml:space="preserve">          4304 - SALES RETURN NON TAXABLE-DIGIT</v>
      </c>
      <c r="D50" s="11">
        <f>469.45*-1</f>
        <v>-469.45</v>
      </c>
      <c r="F50" s="11">
        <f>1065.09*-1</f>
        <v>-1065.0899999999999</v>
      </c>
      <c r="G50" s="3"/>
      <c r="H50" s="11">
        <f>1950.45*-1</f>
        <v>-1950.45</v>
      </c>
      <c r="I50" s="3"/>
      <c r="J50" s="11">
        <f>-34135.02</f>
        <v>-34135.019999999997</v>
      </c>
      <c r="K50" s="3"/>
      <c r="L50" s="11">
        <f>-6171.97</f>
        <v>-6171.97</v>
      </c>
      <c r="M50" s="3"/>
      <c r="N50" s="11">
        <f>-19873.2</f>
        <v>-19873.2</v>
      </c>
      <c r="O50" s="3"/>
      <c r="P50" s="11"/>
      <c r="Q50" s="3"/>
      <c r="R50" s="11"/>
    </row>
    <row r="51" spans="1:18" s="16" customFormat="1" hidden="1" outlineLevel="1" x14ac:dyDescent="0.35">
      <c r="B51" s="35" t="str">
        <f>CONCATENATE("          ", "4311", " - ", "SALES RETURN NON TAXABLE-NO VA")</f>
        <v xml:space="preserve">          4311 - SALES RETURN NON TAXABLE-NO VA</v>
      </c>
      <c r="D51" s="11">
        <f>1157.4*-1</f>
        <v>-1157.4000000000001</v>
      </c>
      <c r="F51" s="11">
        <f>2960.66*-1</f>
        <v>-2960.66</v>
      </c>
      <c r="G51" s="3"/>
      <c r="H51" s="11">
        <f>2203.9*-1</f>
        <v>-2203.9</v>
      </c>
      <c r="I51" s="3"/>
      <c r="J51" s="11">
        <f>-1836.02</f>
        <v>-1836.02</v>
      </c>
      <c r="K51" s="3"/>
      <c r="L51" s="11">
        <f>-2399.84</f>
        <v>-2399.84</v>
      </c>
      <c r="M51" s="3"/>
      <c r="N51" s="11">
        <f>-1011.65</f>
        <v>-1011.65</v>
      </c>
      <c r="O51" s="3"/>
      <c r="P51" s="11"/>
      <c r="Q51" s="3"/>
      <c r="R51" s="11"/>
    </row>
    <row r="52" spans="1:18" s="16" customFormat="1" hidden="1" outlineLevel="1" x14ac:dyDescent="0.35">
      <c r="B52" s="35" t="str">
        <f>CONCATENATE("          ", "4313", " - ", "SALES RETURN NON TAXABLE-TRADE")</f>
        <v xml:space="preserve">          4313 - SALES RETURN NON TAXABLE-TRADE</v>
      </c>
      <c r="D52" s="11">
        <f>63.74*-1</f>
        <v>-63.74</v>
      </c>
      <c r="F52" s="11">
        <f>17.35*-1</f>
        <v>-17.350000000000001</v>
      </c>
      <c r="G52" s="3"/>
      <c r="H52" s="11">
        <f>0*-1</f>
        <v>0</v>
      </c>
      <c r="I52" s="3"/>
      <c r="J52" s="11">
        <f>0</f>
        <v>0</v>
      </c>
      <c r="K52" s="3"/>
      <c r="L52" s="11">
        <f>-800</f>
        <v>-800</v>
      </c>
      <c r="M52" s="3"/>
      <c r="N52" s="11">
        <f>-2481.44</f>
        <v>-2481.44</v>
      </c>
      <c r="O52" s="3"/>
      <c r="P52" s="11"/>
      <c r="Q52" s="3"/>
      <c r="R52" s="11"/>
    </row>
    <row r="53" spans="1:18" s="16" customFormat="1" hidden="1" outlineLevel="1" x14ac:dyDescent="0.35">
      <c r="B53" s="35" t="str">
        <f>CONCATENATE("          ", "4318", " - ", "SALES RETURN NON TAXABLE-STUDY")</f>
        <v xml:space="preserve">          4318 - SALES RETURN NON TAXABLE-STUDY</v>
      </c>
      <c r="D53" s="11">
        <f>0*-1</f>
        <v>0</v>
      </c>
      <c r="F53" s="11">
        <f t="shared" ref="F53:F54" si="13">0*-1</f>
        <v>0</v>
      </c>
      <c r="G53" s="3"/>
      <c r="H53" s="11">
        <f>5.95*-1</f>
        <v>-5.95</v>
      </c>
      <c r="I53" s="3"/>
      <c r="J53" s="11">
        <f>-2025</f>
        <v>-2025</v>
      </c>
      <c r="K53" s="3"/>
      <c r="L53" s="11">
        <f>-1258.54</f>
        <v>-1258.54</v>
      </c>
      <c r="M53" s="3"/>
      <c r="N53" s="11">
        <f t="shared" ref="N53:N54" si="14">0</f>
        <v>0</v>
      </c>
      <c r="O53" s="3"/>
      <c r="P53" s="11"/>
      <c r="Q53" s="3"/>
      <c r="R53" s="11"/>
    </row>
    <row r="54" spans="1:18" s="16" customFormat="1" hidden="1" outlineLevel="1" x14ac:dyDescent="0.35">
      <c r="B54" s="35" t="str">
        <f>CONCATENATE("          ", "4319", " - ", "SALES RETURN NON TAXABLE-BOOK")</f>
        <v xml:space="preserve">          4319 - SALES RETURN NON TAXABLE-BOOK</v>
      </c>
      <c r="D54" s="11">
        <f>5.19*-1</f>
        <v>-5.19</v>
      </c>
      <c r="F54" s="11">
        <f t="shared" si="13"/>
        <v>0</v>
      </c>
      <c r="G54" s="3"/>
      <c r="H54" s="11">
        <f>0*-1</f>
        <v>0</v>
      </c>
      <c r="I54" s="3"/>
      <c r="J54" s="11">
        <f>0</f>
        <v>0</v>
      </c>
      <c r="K54" s="3"/>
      <c r="L54" s="11">
        <f>0</f>
        <v>0</v>
      </c>
      <c r="M54" s="3"/>
      <c r="N54" s="11">
        <f t="shared" si="14"/>
        <v>0</v>
      </c>
      <c r="O54" s="3"/>
      <c r="P54" s="11"/>
      <c r="Q54" s="3"/>
      <c r="R54" s="11"/>
    </row>
    <row r="55" spans="1:18" s="12" customFormat="1" x14ac:dyDescent="0.35">
      <c r="B55" s="7"/>
      <c r="D55" s="6"/>
      <c r="F55" s="6"/>
      <c r="G55" s="5"/>
      <c r="H55" s="6"/>
      <c r="I55" s="5"/>
      <c r="J55" s="6"/>
      <c r="K55" s="5"/>
      <c r="L55" s="6"/>
      <c r="M55" s="5"/>
      <c r="N55" s="6"/>
      <c r="O55" s="5"/>
      <c r="P55" s="6"/>
      <c r="Q55" s="5"/>
      <c r="R55" s="6"/>
    </row>
    <row r="56" spans="1:18" s="12" customFormat="1" collapsed="1" x14ac:dyDescent="0.35">
      <c r="B56" s="7" t="s">
        <v>278</v>
      </c>
      <c r="D56" s="8">
        <f>SUM(OSRRefD14x_0)</f>
        <v>6654738.9799999995</v>
      </c>
      <c r="E56" s="8"/>
      <c r="F56" s="8">
        <f>SUM(OSRRefF14x_0)</f>
        <v>5786114.2599999988</v>
      </c>
      <c r="G56" s="8"/>
      <c r="H56" s="8">
        <f>SUM(OSRRefH14x_0)</f>
        <v>5234013.6500000004</v>
      </c>
      <c r="I56" s="8"/>
      <c r="J56" s="8">
        <f>SUM(OSRRefJ14x_0)</f>
        <v>4938091.5900000008</v>
      </c>
      <c r="K56" s="8"/>
      <c r="L56" s="8">
        <f>SUM(OSRRefL14x_0)</f>
        <v>4397343.8000000017</v>
      </c>
      <c r="M56" s="8"/>
      <c r="N56" s="8">
        <f>SUM(OSRRefN14x_0)</f>
        <v>3627976.85</v>
      </c>
      <c r="O56" s="8"/>
      <c r="P56" s="8">
        <f>SUM(OSRRefP14x_0)</f>
        <v>3254694</v>
      </c>
      <c r="Q56" s="8"/>
      <c r="R56" s="8">
        <f>SUM(OSRRefR14x_0)</f>
        <v>3451278</v>
      </c>
    </row>
    <row r="57" spans="1:18" s="44" customFormat="1" hidden="1" outlineLevel="1" x14ac:dyDescent="0.35">
      <c r="A57" s="16"/>
      <c r="B57" s="35" t="str">
        <f>CONCATENATE("          ", "5000", " - ", "PURCHASES @ COST")</f>
        <v xml:space="preserve">          5000 - PURCHASES @ COST</v>
      </c>
      <c r="C57" s="16"/>
      <c r="D57" s="11"/>
      <c r="E57" s="16"/>
      <c r="F57" s="11"/>
      <c r="G57" s="3"/>
      <c r="H57" s="11"/>
      <c r="I57" s="3"/>
      <c r="J57" s="11">
        <v>172.8</v>
      </c>
      <c r="K57" s="3"/>
      <c r="L57" s="11">
        <v>0</v>
      </c>
      <c r="M57" s="3"/>
      <c r="N57" s="11">
        <v>0</v>
      </c>
      <c r="O57" s="3"/>
      <c r="P57" s="11">
        <v>3254694</v>
      </c>
      <c r="Q57" s="3"/>
      <c r="R57" s="11">
        <v>3451278</v>
      </c>
    </row>
    <row r="58" spans="1:18" s="44" customFormat="1" hidden="1" outlineLevel="1" x14ac:dyDescent="0.35">
      <c r="A58" s="16"/>
      <c r="B58" s="35" t="str">
        <f>CONCATENATE("          ", "5001", " - ", "PURCHASES @ COST-NEW TEXT")</f>
        <v xml:space="preserve">          5001 - PURCHASES @ COST-NEW TEXT</v>
      </c>
      <c r="C58" s="16"/>
      <c r="D58" s="11">
        <v>4879202.72</v>
      </c>
      <c r="E58" s="16"/>
      <c r="F58" s="11">
        <v>3900047.23</v>
      </c>
      <c r="G58" s="3"/>
      <c r="H58" s="11">
        <v>3863075.84</v>
      </c>
      <c r="I58" s="3"/>
      <c r="J58" s="11">
        <v>3273700.71</v>
      </c>
      <c r="K58" s="3"/>
      <c r="L58" s="11">
        <v>2431202.9900000002</v>
      </c>
      <c r="M58" s="3"/>
      <c r="N58" s="11">
        <v>1662669.27</v>
      </c>
      <c r="O58" s="3"/>
      <c r="P58" s="11"/>
      <c r="Q58" s="3"/>
      <c r="R58" s="11"/>
    </row>
    <row r="59" spans="1:18" s="44" customFormat="1" hidden="1" outlineLevel="1" x14ac:dyDescent="0.35">
      <c r="A59" s="16"/>
      <c r="B59" s="35" t="str">
        <f>CONCATENATE("          ", "5002", " - ", "PURCHASES @ COST-USED TEXT")</f>
        <v xml:space="preserve">          5002 - PURCHASES @ COST-USED TEXT</v>
      </c>
      <c r="C59" s="16"/>
      <c r="D59" s="11">
        <v>1724866.84</v>
      </c>
      <c r="E59" s="16"/>
      <c r="F59" s="11">
        <v>1525233.92</v>
      </c>
      <c r="G59" s="3"/>
      <c r="H59" s="11">
        <v>1225459.8899999999</v>
      </c>
      <c r="I59" s="3"/>
      <c r="J59" s="11">
        <v>1258537.1399999999</v>
      </c>
      <c r="K59" s="3"/>
      <c r="L59" s="11">
        <v>1006777.41</v>
      </c>
      <c r="M59" s="3"/>
      <c r="N59" s="11">
        <v>731343.19</v>
      </c>
      <c r="O59" s="3"/>
      <c r="P59" s="11"/>
      <c r="Q59" s="3"/>
      <c r="R59" s="11"/>
    </row>
    <row r="60" spans="1:18" s="44" customFormat="1" hidden="1" outlineLevel="1" x14ac:dyDescent="0.35">
      <c r="A60" s="16"/>
      <c r="B60" s="35" t="str">
        <f>CONCATENATE("          ", "5003", " - ", "PURCHASES @ COST-RENTAL TEXT")</f>
        <v xml:space="preserve">          5003 - PURCHASES @ COST-RENTAL TEXT</v>
      </c>
      <c r="C60" s="16"/>
      <c r="D60" s="11"/>
      <c r="E60" s="16"/>
      <c r="F60" s="11"/>
      <c r="G60" s="3"/>
      <c r="H60" s="11"/>
      <c r="I60" s="3"/>
      <c r="J60" s="11">
        <v>6149.3</v>
      </c>
      <c r="K60" s="3"/>
      <c r="L60" s="11">
        <v>15917.98</v>
      </c>
      <c r="M60" s="3"/>
      <c r="N60" s="11">
        <v>24578.2</v>
      </c>
      <c r="O60" s="3"/>
      <c r="P60" s="11"/>
      <c r="Q60" s="3"/>
      <c r="R60" s="11"/>
    </row>
    <row r="61" spans="1:18" s="44" customFormat="1" hidden="1" outlineLevel="1" x14ac:dyDescent="0.35">
      <c r="A61" s="16"/>
      <c r="B61" s="35" t="str">
        <f>CONCATENATE("          ", "5004", " - ", "PURCHASES @ COST-DIGITAL TEXT")</f>
        <v xml:space="preserve">          5004 - PURCHASES @ COST-DIGITAL TEXT</v>
      </c>
      <c r="C61" s="16"/>
      <c r="D61" s="11">
        <v>132546.79999999999</v>
      </c>
      <c r="E61" s="16"/>
      <c r="F61" s="11">
        <v>145666.69</v>
      </c>
      <c r="G61" s="3"/>
      <c r="H61" s="11">
        <v>240791.2</v>
      </c>
      <c r="I61" s="3"/>
      <c r="J61" s="11">
        <v>358061.45</v>
      </c>
      <c r="K61" s="3"/>
      <c r="L61" s="11">
        <v>507143.45</v>
      </c>
      <c r="M61" s="3"/>
      <c r="N61" s="11">
        <v>451308.6</v>
      </c>
      <c r="O61" s="3"/>
      <c r="P61" s="11"/>
      <c r="Q61" s="3"/>
      <c r="R61" s="11"/>
    </row>
    <row r="62" spans="1:18" s="44" customFormat="1" hidden="1" outlineLevel="1" x14ac:dyDescent="0.35">
      <c r="A62" s="16"/>
      <c r="B62" s="35" t="str">
        <f>CONCATENATE("          ", "5011", " - ", "PURCHASES @ COST-NO VALUE TEXT")</f>
        <v xml:space="preserve">          5011 - PURCHASES @ COST-NO VALUE TEXT</v>
      </c>
      <c r="C62" s="16"/>
      <c r="D62" s="11">
        <v>6675</v>
      </c>
      <c r="E62" s="16"/>
      <c r="F62" s="11">
        <v>7296</v>
      </c>
      <c r="G62" s="3"/>
      <c r="H62" s="11">
        <v>5721</v>
      </c>
      <c r="I62" s="3"/>
      <c r="J62" s="11">
        <v>6765</v>
      </c>
      <c r="K62" s="3"/>
      <c r="L62" s="11">
        <v>5295</v>
      </c>
      <c r="M62" s="3"/>
      <c r="N62" s="11">
        <v>6462</v>
      </c>
      <c r="O62" s="3"/>
      <c r="P62" s="11"/>
      <c r="Q62" s="3"/>
      <c r="R62" s="11"/>
    </row>
    <row r="63" spans="1:18" s="44" customFormat="1" hidden="1" outlineLevel="1" x14ac:dyDescent="0.35">
      <c r="A63" s="16"/>
      <c r="B63" s="35" t="str">
        <f>CONCATENATE("          ", "5013", " - ", "PURCHASES @ COST-TRADE BOOKS")</f>
        <v xml:space="preserve">          5013 - PURCHASES @ COST-TRADE BOOKS</v>
      </c>
      <c r="C63" s="16"/>
      <c r="D63" s="11">
        <v>22540.52</v>
      </c>
      <c r="E63" s="16"/>
      <c r="F63" s="11">
        <v>15597.77</v>
      </c>
      <c r="G63" s="3"/>
      <c r="H63" s="11">
        <v>7202.91</v>
      </c>
      <c r="I63" s="3"/>
      <c r="J63" s="11">
        <v>7603.03</v>
      </c>
      <c r="K63" s="3"/>
      <c r="L63" s="11">
        <v>6715.59</v>
      </c>
      <c r="M63" s="3"/>
      <c r="N63" s="11">
        <v>2777.09</v>
      </c>
      <c r="O63" s="3"/>
      <c r="P63" s="11"/>
      <c r="Q63" s="3"/>
      <c r="R63" s="11"/>
    </row>
    <row r="64" spans="1:18" s="44" customFormat="1" hidden="1" outlineLevel="1" x14ac:dyDescent="0.35">
      <c r="A64" s="16"/>
      <c r="B64" s="35" t="str">
        <f>CONCATENATE("          ", "5014", " - ", "PURCHASES @ COST-REMAINDERS")</f>
        <v xml:space="preserve">          5014 - PURCHASES @ COST-REMAINDERS</v>
      </c>
      <c r="C64" s="16"/>
      <c r="D64" s="11"/>
      <c r="E64" s="16"/>
      <c r="F64" s="11">
        <v>1282.8599999999999</v>
      </c>
      <c r="G64" s="3"/>
      <c r="H64" s="11">
        <v>-15.28</v>
      </c>
      <c r="I64" s="3"/>
      <c r="J64" s="11">
        <v>2568.8000000000002</v>
      </c>
      <c r="K64" s="3"/>
      <c r="L64" s="11">
        <v>1261.47</v>
      </c>
      <c r="M64" s="3"/>
      <c r="N64" s="11">
        <v>732.61</v>
      </c>
      <c r="O64" s="3"/>
      <c r="P64" s="11"/>
      <c r="Q64" s="3"/>
      <c r="R64" s="11"/>
    </row>
    <row r="65" spans="1:18" s="44" customFormat="1" hidden="1" outlineLevel="1" x14ac:dyDescent="0.35">
      <c r="A65" s="16"/>
      <c r="B65" s="35" t="str">
        <f>CONCATENATE("          ", "5015", " - ", "PURCHASES @ COST-CALENDARS")</f>
        <v xml:space="preserve">          5015 - PURCHASES @ COST-CALENDARS</v>
      </c>
      <c r="C65" s="16"/>
      <c r="D65" s="11">
        <v>2530.37</v>
      </c>
      <c r="E65" s="16"/>
      <c r="F65" s="11">
        <v>2652.31</v>
      </c>
      <c r="G65" s="3"/>
      <c r="H65" s="11"/>
      <c r="I65" s="3"/>
      <c r="J65" s="11"/>
      <c r="K65" s="3"/>
      <c r="L65" s="11"/>
      <c r="M65" s="3"/>
      <c r="N65" s="11"/>
      <c r="O65" s="3"/>
      <c r="P65" s="11"/>
      <c r="Q65" s="3"/>
      <c r="R65" s="11"/>
    </row>
    <row r="66" spans="1:18" s="44" customFormat="1" hidden="1" outlineLevel="1" x14ac:dyDescent="0.35">
      <c r="A66" s="16"/>
      <c r="B66" s="35" t="str">
        <f>CONCATENATE("          ", "5017", " - ", "PURCHASES @ COST-DORM/HOUSEWAR")</f>
        <v xml:space="preserve">          5017 - PURCHASES @ COST-DORM/HOUSEWAR</v>
      </c>
      <c r="C66" s="16"/>
      <c r="D66" s="11">
        <v>1398.97</v>
      </c>
      <c r="E66" s="16"/>
      <c r="F66" s="11"/>
      <c r="G66" s="3"/>
      <c r="H66" s="11"/>
      <c r="I66" s="3"/>
      <c r="J66" s="11"/>
      <c r="K66" s="3"/>
      <c r="L66" s="11"/>
      <c r="M66" s="3"/>
      <c r="N66" s="11"/>
      <c r="O66" s="3"/>
      <c r="P66" s="11"/>
      <c r="Q66" s="3"/>
      <c r="R66" s="11"/>
    </row>
    <row r="67" spans="1:18" s="44" customFormat="1" hidden="1" outlineLevel="1" x14ac:dyDescent="0.35">
      <c r="A67" s="16"/>
      <c r="B67" s="35" t="str">
        <f>CONCATENATE("          ", "5018", " - ", "PURCHASES @ COST-STUDY GUIDES")</f>
        <v xml:space="preserve">          5018 - PURCHASES @ COST-STUDY GUIDES</v>
      </c>
      <c r="C67" s="16"/>
      <c r="D67" s="11">
        <v>5816.04</v>
      </c>
      <c r="E67" s="16"/>
      <c r="F67" s="11">
        <v>4459.92</v>
      </c>
      <c r="G67" s="3"/>
      <c r="H67" s="11">
        <v>4716.9799999999996</v>
      </c>
      <c r="I67" s="3"/>
      <c r="J67" s="11">
        <v>6227.2</v>
      </c>
      <c r="K67" s="3"/>
      <c r="L67" s="11">
        <v>3717</v>
      </c>
      <c r="M67" s="3"/>
      <c r="N67" s="11">
        <v>-454.52</v>
      </c>
      <c r="O67" s="3"/>
      <c r="P67" s="11"/>
      <c r="Q67" s="3"/>
      <c r="R67" s="11"/>
    </row>
    <row r="68" spans="1:18" s="44" customFormat="1" hidden="1" outlineLevel="1" x14ac:dyDescent="0.35">
      <c r="A68" s="16"/>
      <c r="B68" s="35" t="str">
        <f>CONCATENATE("          ", "5019", " - ", "PURCHASES @ COST-BOOK RELATED")</f>
        <v xml:space="preserve">          5019 - PURCHASES @ COST-BOOK RELATED</v>
      </c>
      <c r="C68" s="16"/>
      <c r="D68" s="11">
        <v>5234.41</v>
      </c>
      <c r="E68" s="16"/>
      <c r="F68" s="11">
        <v>6089.85</v>
      </c>
      <c r="G68" s="3"/>
      <c r="H68" s="11">
        <v>0</v>
      </c>
      <c r="I68" s="3"/>
      <c r="J68" s="11"/>
      <c r="K68" s="3"/>
      <c r="L68" s="11"/>
      <c r="M68" s="3"/>
      <c r="N68" s="11"/>
      <c r="O68" s="3"/>
      <c r="P68" s="11"/>
      <c r="Q68" s="3"/>
      <c r="R68" s="11"/>
    </row>
    <row r="69" spans="1:18" s="44" customFormat="1" hidden="1" outlineLevel="1" x14ac:dyDescent="0.35">
      <c r="A69" s="16"/>
      <c r="B69" s="35" t="str">
        <f>CONCATENATE("          ", "5200", " - ", "PURCHASES OFFSET")</f>
        <v xml:space="preserve">          5200 - PURCHASES OFFSET</v>
      </c>
      <c r="C69" s="16"/>
      <c r="D69" s="11">
        <v>-4922127</v>
      </c>
      <c r="E69" s="16"/>
      <c r="F69" s="11">
        <v>-3916021</v>
      </c>
      <c r="G69" s="3"/>
      <c r="H69" s="11">
        <v>-3986920</v>
      </c>
      <c r="I69" s="3"/>
      <c r="J69" s="11">
        <v>-3268384</v>
      </c>
      <c r="K69" s="3"/>
      <c r="L69" s="11">
        <v>-2524887</v>
      </c>
      <c r="M69" s="3"/>
      <c r="N69" s="11">
        <v>-1792162</v>
      </c>
      <c r="O69" s="3"/>
      <c r="P69" s="11"/>
      <c r="Q69" s="3"/>
      <c r="R69" s="11"/>
    </row>
    <row r="70" spans="1:18" s="44" customFormat="1" hidden="1" outlineLevel="1" x14ac:dyDescent="0.35">
      <c r="A70" s="16"/>
      <c r="B70" s="35" t="str">
        <f>CONCATENATE("          ", "5300", " - ", "COG$ OFFSET")</f>
        <v xml:space="preserve">          5300 - COG$ OFFSET</v>
      </c>
      <c r="C70" s="16"/>
      <c r="D70" s="11">
        <v>4656918</v>
      </c>
      <c r="E70" s="16"/>
      <c r="F70" s="11">
        <v>3987855</v>
      </c>
      <c r="G70" s="3"/>
      <c r="H70" s="11">
        <v>3784953</v>
      </c>
      <c r="I70" s="3"/>
      <c r="J70" s="11">
        <v>3193519</v>
      </c>
      <c r="K70" s="3"/>
      <c r="L70" s="11">
        <v>2863313</v>
      </c>
      <c r="M70" s="3"/>
      <c r="N70" s="11">
        <v>2452013</v>
      </c>
      <c r="O70" s="3"/>
      <c r="P70" s="11"/>
      <c r="Q70" s="3"/>
      <c r="R70" s="11"/>
    </row>
    <row r="71" spans="1:18" s="44" customFormat="1" hidden="1" outlineLevel="1" x14ac:dyDescent="0.35">
      <c r="A71" s="16"/>
      <c r="B71" s="35" t="str">
        <f>CONCATENATE("          ", "5500", " - ", "FREIGHT-IN")</f>
        <v xml:space="preserve">          5500 - FREIGHT-IN</v>
      </c>
      <c r="C71" s="16"/>
      <c r="D71" s="11"/>
      <c r="E71" s="16"/>
      <c r="F71" s="11"/>
      <c r="G71" s="3"/>
      <c r="H71" s="11"/>
      <c r="I71" s="3"/>
      <c r="J71" s="11">
        <v>25.78</v>
      </c>
      <c r="K71" s="3"/>
      <c r="L71" s="11">
        <v>174.83</v>
      </c>
      <c r="M71" s="3"/>
      <c r="N71" s="11">
        <v>108.38</v>
      </c>
      <c r="O71" s="3"/>
      <c r="P71" s="11"/>
      <c r="Q71" s="3"/>
      <c r="R71" s="11"/>
    </row>
    <row r="72" spans="1:18" s="44" customFormat="1" hidden="1" outlineLevel="1" x14ac:dyDescent="0.35">
      <c r="A72" s="16"/>
      <c r="B72" s="35" t="str">
        <f>CONCATENATE("          ", "5501", " - ", "FREIGHT-IN-NEW TEXT")</f>
        <v xml:space="preserve">          5501 - FREIGHT-IN-NEW TEXT</v>
      </c>
      <c r="C72" s="16"/>
      <c r="D72" s="11">
        <v>113122.15</v>
      </c>
      <c r="E72" s="16"/>
      <c r="F72" s="11">
        <v>81075.98</v>
      </c>
      <c r="G72" s="3"/>
      <c r="H72" s="11">
        <v>66269.36</v>
      </c>
      <c r="I72" s="3"/>
      <c r="J72" s="11">
        <v>72413.94</v>
      </c>
      <c r="K72" s="3"/>
      <c r="L72" s="11">
        <v>66019.19</v>
      </c>
      <c r="M72" s="3"/>
      <c r="N72" s="11">
        <v>72230.789999999994</v>
      </c>
      <c r="O72" s="3"/>
      <c r="P72" s="11"/>
      <c r="Q72" s="3"/>
      <c r="R72" s="11"/>
    </row>
    <row r="73" spans="1:18" s="44" customFormat="1" hidden="1" outlineLevel="1" x14ac:dyDescent="0.35">
      <c r="A73" s="16"/>
      <c r="B73" s="35" t="str">
        <f>CONCATENATE("          ", "5502", " - ", "FREIGHT-IN-USED TEXT")</f>
        <v xml:space="preserve">          5502 - FREIGHT-IN-USED TEXT</v>
      </c>
      <c r="C73" s="16"/>
      <c r="D73" s="11">
        <v>25064.61</v>
      </c>
      <c r="E73" s="16"/>
      <c r="F73" s="11">
        <v>23788.51</v>
      </c>
      <c r="G73" s="3"/>
      <c r="H73" s="11">
        <v>22503.66</v>
      </c>
      <c r="I73" s="3"/>
      <c r="J73" s="11">
        <v>20515.400000000001</v>
      </c>
      <c r="K73" s="3"/>
      <c r="L73" s="11">
        <v>14394.46</v>
      </c>
      <c r="M73" s="3"/>
      <c r="N73" s="11">
        <v>16200.12</v>
      </c>
      <c r="O73" s="3"/>
      <c r="P73" s="11"/>
      <c r="Q73" s="3"/>
      <c r="R73" s="11"/>
    </row>
    <row r="74" spans="1:18" s="44" customFormat="1" hidden="1" outlineLevel="1" x14ac:dyDescent="0.35">
      <c r="A74" s="16"/>
      <c r="B74" s="35" t="str">
        <f>CONCATENATE("          ", "5504", " - ", "FREIGHT-IN-DIGITAL TEXT")</f>
        <v xml:space="preserve">          5504 - FREIGHT-IN-DIGITAL TEXT</v>
      </c>
      <c r="C74" s="16"/>
      <c r="D74" s="11">
        <v>10</v>
      </c>
      <c r="E74" s="16"/>
      <c r="F74" s="11"/>
      <c r="G74" s="3"/>
      <c r="H74" s="11">
        <v>36.46</v>
      </c>
      <c r="I74" s="3"/>
      <c r="J74" s="11">
        <v>84.51</v>
      </c>
      <c r="K74" s="3"/>
      <c r="L74" s="11">
        <v>243.53</v>
      </c>
      <c r="M74" s="3"/>
      <c r="N74" s="11">
        <v>118.75</v>
      </c>
      <c r="O74" s="3"/>
      <c r="P74" s="11"/>
      <c r="Q74" s="3"/>
      <c r="R74" s="11"/>
    </row>
    <row r="75" spans="1:18" s="44" customFormat="1" hidden="1" outlineLevel="1" x14ac:dyDescent="0.35">
      <c r="A75" s="16"/>
      <c r="B75" s="35" t="str">
        <f>CONCATENATE("          ", "5505", " - ", "FREIGHT-IN-NCSU")</f>
        <v xml:space="preserve">          5505 - FREIGHT-IN-NCSU</v>
      </c>
      <c r="C75" s="16"/>
      <c r="D75" s="11"/>
      <c r="E75" s="16"/>
      <c r="F75" s="11"/>
      <c r="G75" s="3"/>
      <c r="H75" s="11"/>
      <c r="I75" s="3"/>
      <c r="J75" s="11"/>
      <c r="K75" s="3"/>
      <c r="L75" s="11">
        <v>0</v>
      </c>
      <c r="M75" s="3"/>
      <c r="N75" s="11"/>
      <c r="O75" s="3"/>
      <c r="P75" s="11"/>
      <c r="Q75" s="3"/>
      <c r="R75" s="11"/>
    </row>
    <row r="76" spans="1:18" s="44" customFormat="1" hidden="1" outlineLevel="1" x14ac:dyDescent="0.35">
      <c r="A76" s="16"/>
      <c r="B76" s="35" t="str">
        <f>CONCATENATE("          ", "5507", " - ", "FREIGHT-IN-NPUB")</f>
        <v xml:space="preserve">          5507 - FREIGHT-IN-NPUB</v>
      </c>
      <c r="C76" s="16"/>
      <c r="D76" s="11"/>
      <c r="E76" s="16"/>
      <c r="F76" s="11"/>
      <c r="G76" s="3"/>
      <c r="H76" s="11"/>
      <c r="I76" s="3"/>
      <c r="J76" s="11">
        <v>1.75</v>
      </c>
      <c r="K76" s="3"/>
      <c r="L76" s="11"/>
      <c r="M76" s="3"/>
      <c r="N76" s="11"/>
      <c r="O76" s="3"/>
      <c r="P76" s="11"/>
      <c r="Q76" s="3"/>
      <c r="R76" s="11"/>
    </row>
    <row r="77" spans="1:18" s="44" customFormat="1" hidden="1" outlineLevel="1" x14ac:dyDescent="0.35">
      <c r="A77" s="16"/>
      <c r="B77" s="35" t="str">
        <f>CONCATENATE("          ", "5513", " - ", "FREIGHT-IN-TRADE BOOKS")</f>
        <v xml:space="preserve">          5513 - FREIGHT-IN-TRADE BOOKS</v>
      </c>
      <c r="C77" s="16"/>
      <c r="D77" s="11">
        <v>689.7</v>
      </c>
      <c r="E77" s="16"/>
      <c r="F77" s="11">
        <v>584.27</v>
      </c>
      <c r="G77" s="3"/>
      <c r="H77" s="11">
        <v>202.25</v>
      </c>
      <c r="I77" s="3"/>
      <c r="J77" s="11">
        <v>129.78</v>
      </c>
      <c r="K77" s="3"/>
      <c r="L77" s="11">
        <v>54.9</v>
      </c>
      <c r="M77" s="3"/>
      <c r="N77" s="11">
        <v>30.24</v>
      </c>
      <c r="O77" s="3"/>
      <c r="P77" s="11"/>
      <c r="Q77" s="3"/>
      <c r="R77" s="11"/>
    </row>
    <row r="78" spans="1:18" s="44" customFormat="1" hidden="1" outlineLevel="1" x14ac:dyDescent="0.35">
      <c r="A78" s="16"/>
      <c r="B78" s="35" t="str">
        <f>CONCATENATE("          ", "5514", " - ", "FREIGHT-IN-REMAINDERS")</f>
        <v xml:space="preserve">          5514 - FREIGHT-IN-REMAINDERS</v>
      </c>
      <c r="C78" s="16"/>
      <c r="D78" s="11"/>
      <c r="E78" s="16"/>
      <c r="F78" s="11">
        <v>243.14</v>
      </c>
      <c r="G78" s="3"/>
      <c r="H78" s="11"/>
      <c r="I78" s="3"/>
      <c r="J78" s="11"/>
      <c r="K78" s="3"/>
      <c r="L78" s="11"/>
      <c r="M78" s="3"/>
      <c r="N78" s="11"/>
      <c r="O78" s="3"/>
      <c r="P78" s="11"/>
      <c r="Q78" s="3"/>
      <c r="R78" s="11"/>
    </row>
    <row r="79" spans="1:18" s="44" customFormat="1" hidden="1" outlineLevel="1" x14ac:dyDescent="0.35">
      <c r="A79" s="16"/>
      <c r="B79" s="35" t="str">
        <f>CONCATENATE("          ", "5515", " - ", "FREIGHT-IN-CALENDARS")</f>
        <v xml:space="preserve">          5515 - FREIGHT-IN-CALENDARS</v>
      </c>
      <c r="C79" s="16"/>
      <c r="D79" s="11">
        <v>9.69</v>
      </c>
      <c r="E79" s="16"/>
      <c r="F79" s="11"/>
      <c r="G79" s="3"/>
      <c r="H79" s="11"/>
      <c r="I79" s="3"/>
      <c r="J79" s="11"/>
      <c r="K79" s="3"/>
      <c r="L79" s="11"/>
      <c r="M79" s="3"/>
      <c r="N79" s="11"/>
      <c r="O79" s="3"/>
      <c r="P79" s="11"/>
      <c r="Q79" s="3"/>
      <c r="R79" s="11"/>
    </row>
    <row r="80" spans="1:18" s="44" customFormat="1" hidden="1" outlineLevel="1" x14ac:dyDescent="0.35">
      <c r="A80" s="16"/>
      <c r="B80" s="35" t="str">
        <f>CONCATENATE("          ", "5517", " - ", "FREIGHT-IN-DORM/HOUSEWARES")</f>
        <v xml:space="preserve">          5517 - FREIGHT-IN-DORM/HOUSEWARES</v>
      </c>
      <c r="C80" s="16"/>
      <c r="D80" s="11">
        <v>33</v>
      </c>
      <c r="E80" s="16"/>
      <c r="F80" s="11"/>
      <c r="G80" s="3"/>
      <c r="H80" s="11"/>
      <c r="I80" s="3"/>
      <c r="J80" s="11"/>
      <c r="K80" s="3"/>
      <c r="L80" s="11"/>
      <c r="M80" s="3"/>
      <c r="N80" s="11"/>
      <c r="O80" s="3"/>
      <c r="P80" s="11"/>
      <c r="Q80" s="3"/>
      <c r="R80" s="11"/>
    </row>
    <row r="81" spans="1:18" s="44" customFormat="1" hidden="1" outlineLevel="1" x14ac:dyDescent="0.35">
      <c r="A81" s="16"/>
      <c r="B81" s="35" t="str">
        <f>CONCATENATE("          ", "5518", " - ", "FREIGHT-IN-STUDY GUIDES")</f>
        <v xml:space="preserve">          5518 - FREIGHT-IN-STUDY GUIDES</v>
      </c>
      <c r="C81" s="16"/>
      <c r="D81" s="11">
        <v>37.56</v>
      </c>
      <c r="E81" s="16"/>
      <c r="F81" s="11">
        <v>11.63</v>
      </c>
      <c r="G81" s="3"/>
      <c r="H81" s="11">
        <v>16.38</v>
      </c>
      <c r="I81" s="3"/>
      <c r="J81" s="11"/>
      <c r="K81" s="3"/>
      <c r="L81" s="11"/>
      <c r="M81" s="3"/>
      <c r="N81" s="11">
        <v>21.13</v>
      </c>
      <c r="O81" s="3"/>
      <c r="P81" s="11"/>
      <c r="Q81" s="3"/>
      <c r="R81" s="11"/>
    </row>
    <row r="82" spans="1:18" s="44" customFormat="1" hidden="1" outlineLevel="1" x14ac:dyDescent="0.35">
      <c r="A82" s="16"/>
      <c r="B82" s="35" t="str">
        <f>CONCATENATE("          ", "5519", " - ", "FREIGHT-IN-BOOK RELATED")</f>
        <v xml:space="preserve">          5519 - FREIGHT-IN-BOOK RELATED</v>
      </c>
      <c r="C82" s="16"/>
      <c r="D82" s="11">
        <v>169.6</v>
      </c>
      <c r="E82" s="16"/>
      <c r="F82" s="11">
        <v>250.18</v>
      </c>
      <c r="G82" s="3"/>
      <c r="H82" s="11"/>
      <c r="I82" s="3"/>
      <c r="J82" s="11"/>
      <c r="K82" s="3"/>
      <c r="L82" s="11"/>
      <c r="M82" s="3"/>
      <c r="N82" s="11"/>
      <c r="O82" s="3"/>
      <c r="P82" s="11"/>
      <c r="Q82" s="3"/>
      <c r="R82" s="11"/>
    </row>
    <row r="83" spans="1:18" x14ac:dyDescent="0.35">
      <c r="A83" s="12"/>
      <c r="B83" s="7"/>
      <c r="C83" s="7"/>
      <c r="D83" s="6"/>
      <c r="F83" s="6"/>
      <c r="H83" s="6"/>
      <c r="J83" s="6"/>
      <c r="L83" s="6"/>
      <c r="N83" s="6"/>
      <c r="P83" s="6"/>
      <c r="R83" s="6"/>
    </row>
    <row r="84" spans="1:18" s="15" customFormat="1" x14ac:dyDescent="0.35">
      <c r="A84" s="7"/>
      <c r="B84" s="22" t="s">
        <v>107</v>
      </c>
      <c r="C84" s="22"/>
      <c r="D84" s="10">
        <f>+D10-D56</f>
        <v>2124423.1300000055</v>
      </c>
      <c r="E84" s="12"/>
      <c r="F84" s="10">
        <f>+F10-F56</f>
        <v>2174816.759999997</v>
      </c>
      <c r="G84" s="5"/>
      <c r="H84" s="10">
        <f>+H10-H56</f>
        <v>1948782.1999999965</v>
      </c>
      <c r="I84" s="5"/>
      <c r="J84" s="10">
        <f>+J10-J56</f>
        <v>1919533.7600000007</v>
      </c>
      <c r="K84" s="5"/>
      <c r="L84" s="10">
        <f>+L10-L56</f>
        <v>1650494.9199999981</v>
      </c>
      <c r="M84" s="5"/>
      <c r="N84" s="10">
        <f>+N10-N56</f>
        <v>1323134.149999998</v>
      </c>
      <c r="O84" s="5"/>
      <c r="P84" s="10">
        <f>+P10-P56</f>
        <v>1220090</v>
      </c>
      <c r="Q84" s="5"/>
      <c r="R84" s="10">
        <f>+R10-R56</f>
        <v>1320263</v>
      </c>
    </row>
    <row r="85" spans="1:18" s="27" customFormat="1" x14ac:dyDescent="0.35">
      <c r="A85" s="18"/>
      <c r="B85" s="31"/>
      <c r="C85" s="18"/>
      <c r="D85" s="9">
        <f>IFERROR(D84/D10, 0)</f>
        <v>0.24198472512315919</v>
      </c>
      <c r="E85" s="13"/>
      <c r="F85" s="9">
        <f>IFERROR(F84/F10, 0)</f>
        <v>0.27318623343629955</v>
      </c>
      <c r="G85" s="26"/>
      <c r="H85" s="9">
        <f>IFERROR(H84/H10, 0)</f>
        <v>0.27131248620966963</v>
      </c>
      <c r="I85" s="26"/>
      <c r="J85" s="9">
        <f>IFERROR(J84/J10, 0)</f>
        <v>0.2799123110451055</v>
      </c>
      <c r="K85" s="26"/>
      <c r="L85" s="9">
        <f>IFERROR(L84/L10, 0)</f>
        <v>0.27290656983657102</v>
      </c>
      <c r="M85" s="26"/>
      <c r="N85" s="9">
        <f>IFERROR(N84/N10, 0)</f>
        <v>0.26723984778365878</v>
      </c>
      <c r="O85" s="26"/>
      <c r="P85" s="9">
        <f>IFERROR(P84/P10, 0)</f>
        <v>0.27265897080171914</v>
      </c>
      <c r="Q85" s="26"/>
      <c r="R85" s="9">
        <f>IFERROR(R84/R10, 0)</f>
        <v>0.27669530661058972</v>
      </c>
    </row>
    <row r="86" spans="1:18" s="27" customFormat="1" x14ac:dyDescent="0.35">
      <c r="A86" s="18"/>
      <c r="B86" s="31"/>
      <c r="C86" s="18"/>
      <c r="D86" s="13"/>
      <c r="E86" s="13"/>
      <c r="F86" s="13"/>
      <c r="G86" s="26"/>
      <c r="H86" s="13"/>
      <c r="I86" s="26"/>
      <c r="J86" s="13"/>
      <c r="K86" s="26"/>
      <c r="L86" s="13"/>
      <c r="M86" s="26"/>
      <c r="N86" s="13"/>
      <c r="O86" s="26"/>
      <c r="P86" s="13"/>
      <c r="Q86" s="26"/>
      <c r="R86" s="13"/>
    </row>
    <row r="87" spans="1:18" s="15" customFormat="1" x14ac:dyDescent="0.35">
      <c r="A87" s="7"/>
      <c r="B87" s="34" t="s">
        <v>314</v>
      </c>
      <c r="C87" s="7"/>
      <c r="D87" s="8">
        <f>SUM(OSRRefD21x_0)</f>
        <v>847049.05999999982</v>
      </c>
      <c r="E87" s="19"/>
      <c r="F87" s="8">
        <f>SUM(OSRRefF21x_0)</f>
        <v>571813.86000000022</v>
      </c>
      <c r="G87" s="4"/>
      <c r="H87" s="8">
        <f>SUM(OSRRefH21x_0)</f>
        <v>644492.25</v>
      </c>
      <c r="I87" s="4"/>
      <c r="J87" s="8">
        <f>SUM(OSRRefJ21x_0)</f>
        <v>505276.25000000012</v>
      </c>
      <c r="K87" s="4"/>
      <c r="L87" s="8">
        <f>SUM(OSRRefL21x_0)</f>
        <v>533676.05000000005</v>
      </c>
      <c r="M87" s="4"/>
      <c r="N87" s="8">
        <f>SUM(OSRRefN21x_0)</f>
        <v>512310.92</v>
      </c>
      <c r="O87" s="4"/>
      <c r="P87" s="8">
        <f>SUM(OSRRefP21x_0)</f>
        <v>701682.16080832505</v>
      </c>
      <c r="Q87" s="4"/>
      <c r="R87" s="8">
        <f>SUM(OSRRefR21x_0)</f>
        <v>653759.38269291713</v>
      </c>
    </row>
    <row r="88" spans="1:18" s="15" customFormat="1" outlineLevel="1" collapsed="1" x14ac:dyDescent="0.35">
      <c r="A88" s="7"/>
      <c r="B88" s="20" t="str">
        <f>CONCATENATE("     ","*Benefits                                         ")</f>
        <v xml:space="preserve">     *Benefits                                         </v>
      </c>
      <c r="C88" s="7"/>
      <c r="D88" s="1">
        <f>SUM(OSRRefD21_0x_0)</f>
        <v>163155.42000000001</v>
      </c>
      <c r="E88" s="19"/>
      <c r="F88" s="1">
        <f>SUM(OSRRefF21_0x_0)</f>
        <v>145047.62</v>
      </c>
      <c r="G88" s="4"/>
      <c r="H88" s="1">
        <f>SUM(OSRRefH21_0x_0)</f>
        <v>127945.27</v>
      </c>
      <c r="I88" s="4"/>
      <c r="J88" s="1">
        <f>SUM(OSRRefJ21_0x_0)</f>
        <v>140332.02000000002</v>
      </c>
      <c r="K88" s="4"/>
      <c r="L88" s="1">
        <f>SUM(OSRRefL21_0x_0)</f>
        <v>143646.07999999999</v>
      </c>
      <c r="M88" s="4"/>
      <c r="N88" s="1">
        <f>SUM(OSRRefN21_0x_0)</f>
        <v>126499.94000000002</v>
      </c>
      <c r="O88" s="4"/>
      <c r="P88" s="1">
        <f>SUM(OSRRefP21_0x_0)</f>
        <v>148876.62919032498</v>
      </c>
      <c r="Q88" s="4"/>
      <c r="R88" s="1">
        <f>SUM(OSRRefR21_0x_0)</f>
        <v>175010.80660461698</v>
      </c>
    </row>
    <row r="89" spans="1:18" s="16" customFormat="1" hidden="1" outlineLevel="2" x14ac:dyDescent="0.35">
      <c r="B89" s="11" t="str">
        <f>CONCATENATE("          ", "6111", " - ", "F.I.C.A.")</f>
        <v xml:space="preserve">          6111 - F.I.C.A.</v>
      </c>
      <c r="D89" s="2">
        <v>25026.66</v>
      </c>
      <c r="F89" s="2">
        <v>23206.29</v>
      </c>
      <c r="G89" s="3"/>
      <c r="H89" s="2">
        <v>22610.560000000001</v>
      </c>
      <c r="I89" s="3"/>
      <c r="J89" s="2">
        <v>23941.49</v>
      </c>
      <c r="K89" s="3"/>
      <c r="L89" s="2">
        <v>24218.91</v>
      </c>
      <c r="M89" s="3"/>
      <c r="N89" s="2">
        <v>21700.400000000001</v>
      </c>
      <c r="O89" s="3"/>
      <c r="P89" s="2">
        <v>22997.1111747</v>
      </c>
      <c r="Q89" s="3"/>
      <c r="R89" s="2">
        <v>27743.513858786999</v>
      </c>
    </row>
    <row r="90" spans="1:18" s="16" customFormat="1" hidden="1" outlineLevel="2" x14ac:dyDescent="0.35">
      <c r="B90" s="11" t="str">
        <f>CONCATENATE("          ", "6112", " - ", "COMPENSATION INSURANCE")</f>
        <v xml:space="preserve">          6112 - COMPENSATION INSURANCE</v>
      </c>
      <c r="D90" s="2">
        <v>1182.27</v>
      </c>
      <c r="F90" s="2">
        <v>2501.5300000000002</v>
      </c>
      <c r="G90" s="3"/>
      <c r="H90" s="2">
        <v>1578.78</v>
      </c>
      <c r="I90" s="3"/>
      <c r="J90" s="2">
        <v>949.38</v>
      </c>
      <c r="K90" s="3"/>
      <c r="L90" s="2">
        <v>1017.08</v>
      </c>
      <c r="M90" s="3"/>
      <c r="N90" s="2">
        <v>1246.55</v>
      </c>
      <c r="O90" s="3"/>
      <c r="P90" s="2">
        <v>7763.9587093749997</v>
      </c>
      <c r="Q90" s="3"/>
      <c r="R90" s="2">
        <v>6778.5019052400003</v>
      </c>
    </row>
    <row r="91" spans="1:18" s="16" customFormat="1" hidden="1" outlineLevel="2" x14ac:dyDescent="0.35">
      <c r="B91" s="11" t="str">
        <f>CONCATENATE("          ", "6113", " - ", "GROUP INSURANCE")</f>
        <v xml:space="preserve">          6113 - GROUP INSURANCE</v>
      </c>
      <c r="D91" s="2">
        <v>63734.42</v>
      </c>
      <c r="F91" s="2">
        <v>56455.28</v>
      </c>
      <c r="G91" s="3"/>
      <c r="H91" s="2">
        <v>52627.46</v>
      </c>
      <c r="I91" s="3"/>
      <c r="J91" s="2">
        <v>62087.26</v>
      </c>
      <c r="K91" s="3"/>
      <c r="L91" s="2">
        <v>63693.34</v>
      </c>
      <c r="M91" s="3"/>
      <c r="N91" s="2">
        <v>50500.68</v>
      </c>
      <c r="O91" s="3"/>
      <c r="P91" s="2">
        <v>57180</v>
      </c>
      <c r="Q91" s="3"/>
      <c r="R91" s="2">
        <v>64992</v>
      </c>
    </row>
    <row r="92" spans="1:18" s="16" customFormat="1" hidden="1" outlineLevel="2" x14ac:dyDescent="0.35">
      <c r="B92" s="11" t="str">
        <f>CONCATENATE("          ", "6114", " - ", "STATE UNEMPLOYMENT INSURANCE")</f>
        <v xml:space="preserve">          6114 - STATE UNEMPLOYMENT INSURANCE</v>
      </c>
      <c r="D92" s="2">
        <v>2146.5300000000002</v>
      </c>
      <c r="F92" s="2">
        <v>2060.41</v>
      </c>
      <c r="G92" s="3"/>
      <c r="H92" s="2">
        <v>911.93</v>
      </c>
      <c r="I92" s="3"/>
      <c r="J92" s="2">
        <v>1094.9000000000001</v>
      </c>
      <c r="K92" s="3"/>
      <c r="L92" s="2">
        <v>927.11</v>
      </c>
      <c r="M92" s="3"/>
      <c r="N92" s="2">
        <v>0</v>
      </c>
      <c r="O92" s="3"/>
      <c r="P92" s="2">
        <v>1091.1509537500001</v>
      </c>
      <c r="Q92" s="3"/>
      <c r="R92" s="2">
        <v>912.49064108999903</v>
      </c>
    </row>
    <row r="93" spans="1:18" s="16" customFormat="1" hidden="1" outlineLevel="2" x14ac:dyDescent="0.35">
      <c r="B93" s="11" t="str">
        <f>CONCATENATE("          ", "6115", " - ", "P.E.R.S.")</f>
        <v xml:space="preserve">          6115 - P.E.R.S.</v>
      </c>
      <c r="D93" s="2">
        <v>25298.560000000001</v>
      </c>
      <c r="F93" s="2">
        <v>16767.77</v>
      </c>
      <c r="G93" s="3"/>
      <c r="H93" s="2">
        <v>14457.07</v>
      </c>
      <c r="I93" s="3"/>
      <c r="J93" s="2">
        <v>14797.32</v>
      </c>
      <c r="K93" s="3"/>
      <c r="L93" s="2">
        <v>15019.93</v>
      </c>
      <c r="M93" s="3"/>
      <c r="N93" s="2">
        <v>17203.09</v>
      </c>
      <c r="O93" s="3"/>
      <c r="P93" s="2">
        <v>16490.993640000001</v>
      </c>
      <c r="Q93" s="3"/>
      <c r="R93" s="2">
        <v>21640.8761614</v>
      </c>
    </row>
    <row r="94" spans="1:18" s="16" customFormat="1" hidden="1" outlineLevel="2" x14ac:dyDescent="0.35">
      <c r="B94" s="11" t="str">
        <f>CONCATENATE("          ", "6116", " - ", "EDUCATIONAL BENEFITS")</f>
        <v xml:space="preserve">          6116 - EDUCATIONAL BENEFITS</v>
      </c>
      <c r="D94" s="2"/>
      <c r="F94" s="2"/>
      <c r="G94" s="3"/>
      <c r="H94" s="2"/>
      <c r="I94" s="3"/>
      <c r="J94" s="2"/>
      <c r="K94" s="3"/>
      <c r="L94" s="2"/>
      <c r="M94" s="3"/>
      <c r="N94" s="2"/>
      <c r="O94" s="3"/>
      <c r="P94" s="2">
        <v>0</v>
      </c>
      <c r="Q94" s="3"/>
      <c r="R94" s="2">
        <v>0</v>
      </c>
    </row>
    <row r="95" spans="1:18" s="16" customFormat="1" hidden="1" outlineLevel="2" x14ac:dyDescent="0.35">
      <c r="B95" s="11" t="str">
        <f>CONCATENATE("          ", "6117", " - ", "RETIREMENT STAFF HOURLY")</f>
        <v xml:space="preserve">          6117 - RETIREMENT STAFF HOURLY</v>
      </c>
      <c r="D95" s="2">
        <v>3685.08</v>
      </c>
      <c r="F95" s="2">
        <v>2920.37</v>
      </c>
      <c r="G95" s="3"/>
      <c r="H95" s="2">
        <v>2954.32</v>
      </c>
      <c r="I95" s="3"/>
      <c r="J95" s="2">
        <v>3000.45</v>
      </c>
      <c r="K95" s="3"/>
      <c r="L95" s="2">
        <v>3156.29</v>
      </c>
      <c r="M95" s="3"/>
      <c r="N95" s="2">
        <v>2010.19</v>
      </c>
      <c r="O95" s="3"/>
      <c r="P95" s="2"/>
      <c r="Q95" s="3"/>
      <c r="R95" s="2"/>
    </row>
    <row r="96" spans="1:18" s="16" customFormat="1" hidden="1" outlineLevel="2" x14ac:dyDescent="0.35">
      <c r="B96" s="11" t="str">
        <f>CONCATENATE("          ", "6118", " - ", "VACATION")</f>
        <v xml:space="preserve">          6118 - VACATION</v>
      </c>
      <c r="D96" s="2">
        <v>16481.810000000001</v>
      </c>
      <c r="F96" s="2">
        <v>17699.75</v>
      </c>
      <c r="G96" s="3"/>
      <c r="H96" s="2">
        <v>13645.41</v>
      </c>
      <c r="I96" s="3"/>
      <c r="J96" s="2">
        <v>13311.59</v>
      </c>
      <c r="K96" s="3"/>
      <c r="L96" s="2">
        <v>18390.509999999998</v>
      </c>
      <c r="M96" s="3"/>
      <c r="N96" s="2">
        <v>13353.38</v>
      </c>
      <c r="O96" s="3"/>
      <c r="P96" s="2">
        <v>17500.700359999999</v>
      </c>
      <c r="Q96" s="3"/>
      <c r="R96" s="2">
        <v>21959.516044700002</v>
      </c>
    </row>
    <row r="97" spans="1:18" s="16" customFormat="1" hidden="1" outlineLevel="2" x14ac:dyDescent="0.35">
      <c r="B97" s="11" t="str">
        <f>CONCATENATE("          ", "6119", " - ", "SICK LEAVE")</f>
        <v xml:space="preserve">          6119 - SICK LEAVE</v>
      </c>
      <c r="D97" s="2">
        <v>14510.11</v>
      </c>
      <c r="F97" s="2">
        <v>14368.35</v>
      </c>
      <c r="G97" s="3"/>
      <c r="H97" s="2">
        <v>11124.82</v>
      </c>
      <c r="I97" s="3"/>
      <c r="J97" s="2">
        <v>12421.62</v>
      </c>
      <c r="K97" s="3"/>
      <c r="L97" s="2">
        <v>8754.35</v>
      </c>
      <c r="M97" s="3"/>
      <c r="N97" s="2">
        <v>13903.49</v>
      </c>
      <c r="O97" s="3"/>
      <c r="P97" s="2">
        <v>16852.714352499999</v>
      </c>
      <c r="Q97" s="3"/>
      <c r="R97" s="2">
        <v>18383.9079934</v>
      </c>
    </row>
    <row r="98" spans="1:18" s="16" customFormat="1" hidden="1" outlineLevel="2" x14ac:dyDescent="0.35">
      <c r="B98" s="11" t="str">
        <f>CONCATENATE("          ", "6156", " - ", "EMPLOYEE MEALS")</f>
        <v xml:space="preserve">          6156 - EMPLOYEE MEALS</v>
      </c>
      <c r="D98" s="2">
        <v>11089.98</v>
      </c>
      <c r="F98" s="2">
        <v>9067.8700000000008</v>
      </c>
      <c r="G98" s="3"/>
      <c r="H98" s="2">
        <v>8034.92</v>
      </c>
      <c r="I98" s="3"/>
      <c r="J98" s="2">
        <v>8728.01</v>
      </c>
      <c r="K98" s="3"/>
      <c r="L98" s="2">
        <v>8468.56</v>
      </c>
      <c r="M98" s="3"/>
      <c r="N98" s="2">
        <v>6582.16</v>
      </c>
      <c r="O98" s="3"/>
      <c r="P98" s="2">
        <v>9000</v>
      </c>
      <c r="Q98" s="3"/>
      <c r="R98" s="2">
        <v>12600</v>
      </c>
    </row>
    <row r="99" spans="1:18" s="15" customFormat="1" outlineLevel="1" collapsed="1" x14ac:dyDescent="0.35">
      <c r="A99" s="7"/>
      <c r="B99" s="20" t="str">
        <f>CONCATENATE("     ","*Payroll                                          ")</f>
        <v xml:space="preserve">     *Payroll                                          </v>
      </c>
      <c r="C99" s="7"/>
      <c r="D99" s="1">
        <f>SUM(OSRRefD21_1x_0)</f>
        <v>343347.52999999997</v>
      </c>
      <c r="E99" s="19"/>
      <c r="F99" s="1">
        <f>SUM(OSRRefF21_1x_0)</f>
        <v>314294.39</v>
      </c>
      <c r="G99" s="4"/>
      <c r="H99" s="1">
        <f>SUM(OSRRefH21_1x_0)</f>
        <v>344427.38</v>
      </c>
      <c r="I99" s="4"/>
      <c r="J99" s="1">
        <f>SUM(OSRRefJ21_1x_0)</f>
        <v>342225.42</v>
      </c>
      <c r="K99" s="4"/>
      <c r="L99" s="1">
        <f>SUM(OSRRefL21_1x_0)</f>
        <v>344412.47999999992</v>
      </c>
      <c r="M99" s="4"/>
      <c r="N99" s="1">
        <f>SUM(OSRRefN21_1x_0)</f>
        <v>331883.89999999997</v>
      </c>
      <c r="O99" s="4"/>
      <c r="P99" s="1">
        <f>SUM(OSRRefP21_1x_0)</f>
        <v>392375.53161800001</v>
      </c>
      <c r="Q99" s="4"/>
      <c r="R99" s="1">
        <f>SUM(OSRRefR21_1x_0)</f>
        <v>402138.57608829997</v>
      </c>
    </row>
    <row r="100" spans="1:18" s="16" customFormat="1" hidden="1" outlineLevel="2" x14ac:dyDescent="0.35">
      <c r="B100" s="11" t="str">
        <f>CONCATENATE("          ", "6001", " - ", "ADMINISTRATIVE SALARIES")</f>
        <v xml:space="preserve">          6001 - ADMINISTRATIVE SALARIES</v>
      </c>
      <c r="D100" s="2"/>
      <c r="F100" s="2"/>
      <c r="G100" s="3"/>
      <c r="H100" s="2">
        <v>-1273.3599999999999</v>
      </c>
      <c r="I100" s="3"/>
      <c r="J100" s="2"/>
      <c r="K100" s="3"/>
      <c r="L100" s="2">
        <v>0</v>
      </c>
      <c r="M100" s="3"/>
      <c r="N100" s="2">
        <v>0</v>
      </c>
      <c r="O100" s="3"/>
      <c r="P100" s="2">
        <v>0</v>
      </c>
      <c r="Q100" s="3"/>
      <c r="R100" s="2">
        <v>0</v>
      </c>
    </row>
    <row r="101" spans="1:18" s="16" customFormat="1" hidden="1" outlineLevel="2" x14ac:dyDescent="0.35">
      <c r="B101" s="11" t="str">
        <f>CONCATENATE("          ", "6002", " - ", "STAFF SALARIES")</f>
        <v xml:space="preserve">          6002 - STAFF SALARIES</v>
      </c>
      <c r="D101" s="2">
        <v>187632.37</v>
      </c>
      <c r="F101" s="2">
        <v>186351.13</v>
      </c>
      <c r="G101" s="3"/>
      <c r="H101" s="2">
        <v>161205.20000000001</v>
      </c>
      <c r="I101" s="3"/>
      <c r="J101" s="2">
        <v>164595.28</v>
      </c>
      <c r="K101" s="3"/>
      <c r="L101" s="2">
        <v>166496.35999999999</v>
      </c>
      <c r="M101" s="3"/>
      <c r="N101" s="2">
        <v>186567.11</v>
      </c>
      <c r="O101" s="3"/>
      <c r="P101" s="2">
        <v>170394.276828</v>
      </c>
      <c r="Q101" s="3"/>
      <c r="R101" s="2">
        <v>224818.11010429999</v>
      </c>
    </row>
    <row r="102" spans="1:18" s="16" customFormat="1" hidden="1" outlineLevel="2" x14ac:dyDescent="0.35">
      <c r="B102" s="11" t="str">
        <f>CONCATENATE("          ", "6003", " - ", "STAFF HOURLY-9 MONTH")</f>
        <v xml:space="preserve">          6003 - STAFF HOURLY-9 MONTH</v>
      </c>
      <c r="D102" s="2"/>
      <c r="F102" s="2"/>
      <c r="G102" s="3"/>
      <c r="H102" s="2"/>
      <c r="I102" s="3"/>
      <c r="J102" s="2"/>
      <c r="K102" s="3"/>
      <c r="L102" s="2"/>
      <c r="M102" s="3"/>
      <c r="N102" s="2"/>
      <c r="O102" s="3"/>
      <c r="P102" s="2">
        <v>0</v>
      </c>
      <c r="Q102" s="3"/>
      <c r="R102" s="2">
        <v>0</v>
      </c>
    </row>
    <row r="103" spans="1:18" s="16" customFormat="1" hidden="1" outlineLevel="2" x14ac:dyDescent="0.35">
      <c r="B103" s="11" t="str">
        <f>CONCATENATE("          ", "6004", " - ", "STAFF HOURLY")</f>
        <v xml:space="preserve">          6004 - STAFF HOURLY</v>
      </c>
      <c r="D103" s="2">
        <v>96901.9</v>
      </c>
      <c r="F103" s="2">
        <v>68642.95</v>
      </c>
      <c r="G103" s="3"/>
      <c r="H103" s="2">
        <v>70975.56</v>
      </c>
      <c r="I103" s="3"/>
      <c r="J103" s="2">
        <v>74492.289999999994</v>
      </c>
      <c r="K103" s="3"/>
      <c r="L103" s="2">
        <v>73255.8</v>
      </c>
      <c r="M103" s="3"/>
      <c r="N103" s="2">
        <v>51297.07</v>
      </c>
      <c r="O103" s="3"/>
      <c r="P103" s="2">
        <v>68714.751040000003</v>
      </c>
      <c r="Q103" s="3"/>
      <c r="R103" s="2">
        <v>77071.575983999996</v>
      </c>
    </row>
    <row r="104" spans="1:18" s="16" customFormat="1" hidden="1" outlineLevel="2" x14ac:dyDescent="0.35">
      <c r="B104" s="11" t="str">
        <f>CONCATENATE("          ", "6005", " - ", "TEMPORARY WAGES-HOURLY")</f>
        <v xml:space="preserve">          6005 - TEMPORARY WAGES-HOURLY</v>
      </c>
      <c r="D104" s="2">
        <v>9870.2999999999993</v>
      </c>
      <c r="F104" s="2">
        <v>13008.45</v>
      </c>
      <c r="G104" s="3"/>
      <c r="H104" s="2">
        <v>30051.07</v>
      </c>
      <c r="I104" s="3"/>
      <c r="J104" s="2">
        <v>40025.51</v>
      </c>
      <c r="K104" s="3"/>
      <c r="L104" s="2">
        <v>39906.78</v>
      </c>
      <c r="M104" s="3"/>
      <c r="N104" s="2">
        <v>26163.919999999998</v>
      </c>
      <c r="O104" s="3"/>
      <c r="P104" s="2">
        <v>43415.76</v>
      </c>
      <c r="Q104" s="3"/>
      <c r="R104" s="2">
        <v>36028.160000000003</v>
      </c>
    </row>
    <row r="105" spans="1:18" s="16" customFormat="1" hidden="1" outlineLevel="2" x14ac:dyDescent="0.35">
      <c r="B105" s="11" t="str">
        <f>CONCATENATE("          ", "6006", " - ", "TEMPORARY PART TIME")</f>
        <v xml:space="preserve">          6006 - TEMPORARY PART TIME</v>
      </c>
      <c r="D105" s="2">
        <v>2693.36</v>
      </c>
      <c r="F105" s="2">
        <v>2352.88</v>
      </c>
      <c r="G105" s="3"/>
      <c r="H105" s="2">
        <v>10337.31</v>
      </c>
      <c r="I105" s="3"/>
      <c r="J105" s="2">
        <v>7894.47</v>
      </c>
      <c r="K105" s="3"/>
      <c r="L105" s="2">
        <v>3834.31</v>
      </c>
      <c r="M105" s="3"/>
      <c r="N105" s="2">
        <v>6181.55</v>
      </c>
      <c r="O105" s="3"/>
      <c r="P105" s="2">
        <v>0</v>
      </c>
      <c r="Q105" s="3"/>
      <c r="R105" s="2">
        <v>0</v>
      </c>
    </row>
    <row r="106" spans="1:18" s="16" customFormat="1" hidden="1" outlineLevel="2" x14ac:dyDescent="0.35">
      <c r="B106" s="11" t="str">
        <f>CONCATENATE("          ", "6007", " - ", "STUDENT HOURLY")</f>
        <v xml:space="preserve">          6007 - STUDENT HOURLY</v>
      </c>
      <c r="D106" s="2">
        <v>43598.54</v>
      </c>
      <c r="F106" s="2">
        <v>41976.98</v>
      </c>
      <c r="G106" s="3"/>
      <c r="H106" s="2">
        <v>72995.100000000006</v>
      </c>
      <c r="I106" s="3"/>
      <c r="J106" s="2">
        <v>55015.74</v>
      </c>
      <c r="K106" s="3"/>
      <c r="L106" s="2">
        <v>60919.23</v>
      </c>
      <c r="M106" s="3"/>
      <c r="N106" s="2">
        <v>61674.25</v>
      </c>
      <c r="O106" s="3"/>
      <c r="P106" s="2">
        <v>34091.050000000003</v>
      </c>
      <c r="Q106" s="3"/>
      <c r="R106" s="2">
        <v>28247.685000000001</v>
      </c>
    </row>
    <row r="107" spans="1:18" s="16" customFormat="1" hidden="1" outlineLevel="2" x14ac:dyDescent="0.35">
      <c r="B107" s="11" t="str">
        <f>CONCATENATE("          ", "6008", " - ", "STUDENT HOURLY-FICA EXEMPT")</f>
        <v xml:space="preserve">          6008 - STUDENT HOURLY-FICA EXEMPT</v>
      </c>
      <c r="D107" s="2"/>
      <c r="F107" s="2"/>
      <c r="G107" s="3"/>
      <c r="H107" s="2">
        <v>136.5</v>
      </c>
      <c r="I107" s="3"/>
      <c r="J107" s="2">
        <v>202.13</v>
      </c>
      <c r="K107" s="3"/>
      <c r="L107" s="2"/>
      <c r="M107" s="3"/>
      <c r="N107" s="2"/>
      <c r="O107" s="3"/>
      <c r="P107" s="2">
        <v>75759.693750000006</v>
      </c>
      <c r="Q107" s="3"/>
      <c r="R107" s="2">
        <v>35973.044999999998</v>
      </c>
    </row>
    <row r="108" spans="1:18" s="16" customFormat="1" hidden="1" outlineLevel="2" x14ac:dyDescent="0.35">
      <c r="B108" s="11" t="str">
        <f>CONCATENATE("          ", "6009", " - ", "TEMPORARY-SEASONAL")</f>
        <v xml:space="preserve">          6009 - TEMPORARY-SEASONAL</v>
      </c>
      <c r="D108" s="2">
        <v>2651.06</v>
      </c>
      <c r="F108" s="2">
        <v>1962</v>
      </c>
      <c r="G108" s="3"/>
      <c r="H108" s="2"/>
      <c r="I108" s="3"/>
      <c r="J108" s="2"/>
      <c r="K108" s="3"/>
      <c r="L108" s="2"/>
      <c r="M108" s="3"/>
      <c r="N108" s="2"/>
      <c r="O108" s="3"/>
      <c r="P108" s="2">
        <v>0</v>
      </c>
      <c r="Q108" s="3"/>
      <c r="R108" s="2">
        <v>0</v>
      </c>
    </row>
    <row r="109" spans="1:18" s="16" customFormat="1" hidden="1" outlineLevel="2" x14ac:dyDescent="0.35">
      <c r="B109" s="11" t="str">
        <f>CONCATENATE("          ", "6010", " - ", "GRATUITY")</f>
        <v xml:space="preserve">          6010 - GRATUITY</v>
      </c>
      <c r="D109" s="2"/>
      <c r="F109" s="2"/>
      <c r="G109" s="3"/>
      <c r="H109" s="2"/>
      <c r="I109" s="3"/>
      <c r="J109" s="2"/>
      <c r="K109" s="3"/>
      <c r="L109" s="2"/>
      <c r="M109" s="3"/>
      <c r="N109" s="2"/>
      <c r="O109" s="3"/>
      <c r="P109" s="2">
        <v>0</v>
      </c>
      <c r="Q109" s="3"/>
      <c r="R109" s="2">
        <v>0</v>
      </c>
    </row>
    <row r="110" spans="1:18" s="15" customFormat="1" outlineLevel="1" collapsed="1" x14ac:dyDescent="0.35">
      <c r="A110" s="7"/>
      <c r="B110" s="20" t="str">
        <f>CONCATENATE("     ","Advertising/Promo                                 ")</f>
        <v xml:space="preserve">     Advertising/Promo                                 </v>
      </c>
      <c r="C110" s="7"/>
      <c r="D110" s="1">
        <f>SUM(OSRRefD21_2x_0)</f>
        <v>41574.269999999997</v>
      </c>
      <c r="E110" s="19"/>
      <c r="F110" s="1">
        <f>SUM(OSRRefF21_2x_0)</f>
        <v>9622.18</v>
      </c>
      <c r="G110" s="4"/>
      <c r="H110" s="1">
        <f>SUM(OSRRefH21_2x_0)</f>
        <v>6488.38</v>
      </c>
      <c r="I110" s="4"/>
      <c r="J110" s="1">
        <f>SUM(OSRRefJ21_2x_0)</f>
        <v>5903.74</v>
      </c>
      <c r="K110" s="4"/>
      <c r="L110" s="1">
        <f>SUM(OSRRefL21_2x_0)</f>
        <v>6510.95</v>
      </c>
      <c r="M110" s="4"/>
      <c r="N110" s="1">
        <f>SUM(OSRRefN21_2x_0)</f>
        <v>3981.59</v>
      </c>
      <c r="O110" s="4"/>
      <c r="P110" s="1">
        <f>SUM(OSRRefP21_2x_0)</f>
        <v>3000</v>
      </c>
      <c r="Q110" s="4"/>
      <c r="R110" s="1">
        <f>SUM(OSRRefR21_2x_0)</f>
        <v>3300</v>
      </c>
    </row>
    <row r="111" spans="1:18" s="16" customFormat="1" hidden="1" outlineLevel="2" x14ac:dyDescent="0.35">
      <c r="B111" s="11" t="str">
        <f>CONCATENATE("          ", "6362", " - ", "ADVERTISING EXPENSE")</f>
        <v xml:space="preserve">          6362 - ADVERTISING EXPENSE</v>
      </c>
      <c r="D111" s="2">
        <v>41574.269999999997</v>
      </c>
      <c r="F111" s="2">
        <v>9622.18</v>
      </c>
      <c r="G111" s="3"/>
      <c r="H111" s="2">
        <v>6488.38</v>
      </c>
      <c r="I111" s="3"/>
      <c r="J111" s="2">
        <v>5903.74</v>
      </c>
      <c r="K111" s="3"/>
      <c r="L111" s="2">
        <v>6510.95</v>
      </c>
      <c r="M111" s="3"/>
      <c r="N111" s="2">
        <v>3981.59</v>
      </c>
      <c r="O111" s="3"/>
      <c r="P111" s="2">
        <v>3000</v>
      </c>
      <c r="Q111" s="3"/>
      <c r="R111" s="2">
        <v>3300</v>
      </c>
    </row>
    <row r="112" spans="1:18" s="15" customFormat="1" outlineLevel="1" collapsed="1" x14ac:dyDescent="0.35">
      <c r="A112" s="7"/>
      <c r="B112" s="20" t="str">
        <f>CONCATENATE("     ","Discounts and Markdowns                           ")</f>
        <v xml:space="preserve">     Discounts and Markdowns                           </v>
      </c>
      <c r="C112" s="7"/>
      <c r="D112" s="1">
        <f>SUM(OSRRefD21_3x_0)</f>
        <v>57818.79</v>
      </c>
      <c r="E112" s="19"/>
      <c r="F112" s="1">
        <f>SUM(OSRRefF21_3x_0)</f>
        <v>29084.77</v>
      </c>
      <c r="G112" s="4"/>
      <c r="H112" s="1">
        <f>SUM(OSRRefH21_3x_0)</f>
        <v>25933.86</v>
      </c>
      <c r="I112" s="4"/>
      <c r="J112" s="1">
        <f>SUM(OSRRefJ21_3x_0)</f>
        <v>15233.87</v>
      </c>
      <c r="K112" s="4"/>
      <c r="L112" s="1">
        <f>SUM(OSRRefL21_3x_0)</f>
        <v>33246.07</v>
      </c>
      <c r="M112" s="4"/>
      <c r="N112" s="1">
        <f>SUM(OSRRefN21_3x_0)</f>
        <v>629.67000000000007</v>
      </c>
      <c r="O112" s="4"/>
      <c r="P112" s="1">
        <f>SUM(OSRRefP21_3x_0)</f>
        <v>20000</v>
      </c>
      <c r="Q112" s="4"/>
      <c r="R112" s="1">
        <f>SUM(OSRRefR21_3x_0)</f>
        <v>0</v>
      </c>
    </row>
    <row r="113" spans="1:18" s="16" customFormat="1" hidden="1" outlineLevel="2" x14ac:dyDescent="0.35">
      <c r="B113" s="11" t="str">
        <f>CONCATENATE("          ", "6382", " - ", "DISCOUNTS/MARK DOWNS")</f>
        <v xml:space="preserve">          6382 - DISCOUNTS/MARK DOWNS</v>
      </c>
      <c r="D113" s="2">
        <v>57818.79</v>
      </c>
      <c r="F113" s="2">
        <v>29084.77</v>
      </c>
      <c r="G113" s="3"/>
      <c r="H113" s="2">
        <v>25933.86</v>
      </c>
      <c r="I113" s="3"/>
      <c r="J113" s="2">
        <v>15231</v>
      </c>
      <c r="K113" s="3"/>
      <c r="L113" s="2">
        <v>33456.300000000003</v>
      </c>
      <c r="M113" s="3"/>
      <c r="N113" s="2">
        <v>1081.94</v>
      </c>
      <c r="O113" s="3"/>
      <c r="P113" s="2">
        <v>20000</v>
      </c>
      <c r="Q113" s="3"/>
      <c r="R113" s="2"/>
    </row>
    <row r="114" spans="1:18" s="16" customFormat="1" hidden="1" outlineLevel="2" x14ac:dyDescent="0.35">
      <c r="B114" s="11" t="str">
        <f>CONCATENATE("          ", "9175", " - ", "EARNED DISCOUNTS")</f>
        <v xml:space="preserve">          9175 - EARNED DISCOUNTS</v>
      </c>
      <c r="D114" s="2"/>
      <c r="F114" s="2"/>
      <c r="G114" s="3"/>
      <c r="H114" s="2"/>
      <c r="I114" s="3"/>
      <c r="J114" s="2">
        <v>2.87</v>
      </c>
      <c r="K114" s="3"/>
      <c r="L114" s="2">
        <v>-210.23</v>
      </c>
      <c r="M114" s="3"/>
      <c r="N114" s="2">
        <v>-452.27</v>
      </c>
      <c r="O114" s="3"/>
      <c r="P114" s="2"/>
      <c r="Q114" s="3"/>
      <c r="R114" s="2"/>
    </row>
    <row r="115" spans="1:18" s="15" customFormat="1" outlineLevel="1" collapsed="1" x14ac:dyDescent="0.35">
      <c r="A115" s="7"/>
      <c r="B115" s="20" t="str">
        <f>CONCATENATE("     ","Employees' Appreciation                           ")</f>
        <v xml:space="preserve">     Employees' Appreciation                           </v>
      </c>
      <c r="C115" s="7"/>
      <c r="D115" s="1">
        <f>SUM(OSRRefD21_4x_0)</f>
        <v>263.04000000000002</v>
      </c>
      <c r="E115" s="19"/>
      <c r="F115" s="1">
        <f>SUM(OSRRefF21_4x_0)</f>
        <v>934.55</v>
      </c>
      <c r="G115" s="4"/>
      <c r="H115" s="1">
        <f>SUM(OSRRefH21_4x_0)</f>
        <v>569.41</v>
      </c>
      <c r="I115" s="4"/>
      <c r="J115" s="1">
        <f>SUM(OSRRefJ21_4x_0)</f>
        <v>310.36</v>
      </c>
      <c r="K115" s="4"/>
      <c r="L115" s="1">
        <f>SUM(OSRRefL21_4x_0)</f>
        <v>545.34</v>
      </c>
      <c r="M115" s="4"/>
      <c r="N115" s="1">
        <f>SUM(OSRRefN21_4x_0)</f>
        <v>120.18</v>
      </c>
      <c r="O115" s="4"/>
      <c r="P115" s="1">
        <f>SUM(OSRRefP21_4x_0)</f>
        <v>900</v>
      </c>
      <c r="Q115" s="4"/>
      <c r="R115" s="1">
        <f>SUM(OSRRefR21_4x_0)</f>
        <v>600</v>
      </c>
    </row>
    <row r="116" spans="1:18" s="16" customFormat="1" hidden="1" outlineLevel="2" x14ac:dyDescent="0.35">
      <c r="B116" s="11" t="str">
        <f>CONCATENATE("          ", "6277", " - ", "EMPLOYEE APPRECIATION")</f>
        <v xml:space="preserve">          6277 - EMPLOYEE APPRECIATION</v>
      </c>
      <c r="D116" s="2">
        <v>263.04000000000002</v>
      </c>
      <c r="F116" s="2">
        <v>934.55</v>
      </c>
      <c r="G116" s="3"/>
      <c r="H116" s="2">
        <v>569.41</v>
      </c>
      <c r="I116" s="3"/>
      <c r="J116" s="2">
        <v>310.36</v>
      </c>
      <c r="K116" s="3"/>
      <c r="L116" s="2">
        <v>545.34</v>
      </c>
      <c r="M116" s="3"/>
      <c r="N116" s="2">
        <v>120.18</v>
      </c>
      <c r="O116" s="3"/>
      <c r="P116" s="2">
        <v>900</v>
      </c>
      <c r="Q116" s="3"/>
      <c r="R116" s="2">
        <v>600</v>
      </c>
    </row>
    <row r="117" spans="1:18" s="15" customFormat="1" outlineLevel="1" collapsed="1" x14ac:dyDescent="0.35">
      <c r="A117" s="7"/>
      <c r="B117" s="20" t="str">
        <f>CONCATENATE("     ","Equipment Rental                                  ")</f>
        <v xml:space="preserve">     Equipment Rental                                  </v>
      </c>
      <c r="C117" s="7"/>
      <c r="D117" s="1">
        <f>SUM(OSRRefD21_5x_0)</f>
        <v>1713.9</v>
      </c>
      <c r="E117" s="19"/>
      <c r="F117" s="1">
        <f>SUM(OSRRefF21_5x_0)</f>
        <v>2056.6799999999998</v>
      </c>
      <c r="G117" s="4"/>
      <c r="H117" s="1">
        <f>SUM(OSRRefH21_5x_0)</f>
        <v>1301.68</v>
      </c>
      <c r="I117" s="4"/>
      <c r="J117" s="1">
        <f>SUM(OSRRefJ21_5x_0)</f>
        <v>1094.71</v>
      </c>
      <c r="K117" s="4"/>
      <c r="L117" s="1">
        <f>SUM(OSRRefL21_5x_0)</f>
        <v>1095.1199999999999</v>
      </c>
      <c r="M117" s="4"/>
      <c r="N117" s="1">
        <f>SUM(OSRRefN21_5x_0)</f>
        <v>1095.1199999999999</v>
      </c>
      <c r="O117" s="4"/>
      <c r="P117" s="1">
        <f>SUM(OSRRefP21_5x_0)</f>
        <v>1200</v>
      </c>
      <c r="Q117" s="4"/>
      <c r="R117" s="1">
        <f>SUM(OSRRefR21_5x_0)</f>
        <v>1200</v>
      </c>
    </row>
    <row r="118" spans="1:18" s="16" customFormat="1" hidden="1" outlineLevel="2" x14ac:dyDescent="0.35">
      <c r="B118" s="11" t="str">
        <f>CONCATENATE("          ", "6351", " - ", "EQUIPMENT RENTAL")</f>
        <v xml:space="preserve">          6351 - EQUIPMENT RENTAL</v>
      </c>
      <c r="D118" s="2">
        <v>1713.9</v>
      </c>
      <c r="F118" s="2">
        <v>2056.6799999999998</v>
      </c>
      <c r="G118" s="3"/>
      <c r="H118" s="2">
        <v>1301.68</v>
      </c>
      <c r="I118" s="3"/>
      <c r="J118" s="2">
        <v>1094.71</v>
      </c>
      <c r="K118" s="3"/>
      <c r="L118" s="2">
        <v>1095.1199999999999</v>
      </c>
      <c r="M118" s="3"/>
      <c r="N118" s="2">
        <v>1095.1199999999999</v>
      </c>
      <c r="O118" s="3"/>
      <c r="P118" s="2">
        <v>1200</v>
      </c>
      <c r="Q118" s="3"/>
      <c r="R118" s="2">
        <v>1200</v>
      </c>
    </row>
    <row r="119" spans="1:18" s="15" customFormat="1" outlineLevel="1" collapsed="1" x14ac:dyDescent="0.35">
      <c r="A119" s="7"/>
      <c r="B119" s="20" t="str">
        <f>CONCATENATE("     ","Freight out/Postage                               ")</f>
        <v xml:space="preserve">     Freight out/Postage                               </v>
      </c>
      <c r="C119" s="7"/>
      <c r="D119" s="1">
        <f>SUM(OSRRefD21_6x_0)</f>
        <v>28074.850000000002</v>
      </c>
      <c r="E119" s="19"/>
      <c r="F119" s="1">
        <f>SUM(OSRRefF21_6x_0)</f>
        <v>24975.73</v>
      </c>
      <c r="G119" s="4"/>
      <c r="H119" s="1">
        <f>SUM(OSRRefH21_6x_0)</f>
        <v>23842.78</v>
      </c>
      <c r="I119" s="4"/>
      <c r="J119" s="1">
        <f>SUM(OSRRefJ21_6x_0)</f>
        <v>25983.02</v>
      </c>
      <c r="K119" s="4"/>
      <c r="L119" s="1">
        <f>SUM(OSRRefL21_6x_0)</f>
        <v>34098.36</v>
      </c>
      <c r="M119" s="4"/>
      <c r="N119" s="1">
        <f>SUM(OSRRefN21_6x_0)</f>
        <v>30550.66</v>
      </c>
      <c r="O119" s="4"/>
      <c r="P119" s="1">
        <f>SUM(OSRRefP21_6x_0)</f>
        <v>25000</v>
      </c>
      <c r="Q119" s="4"/>
      <c r="R119" s="1">
        <f>SUM(OSRRefR21_6x_0)</f>
        <v>17500</v>
      </c>
    </row>
    <row r="120" spans="1:18" s="16" customFormat="1" hidden="1" outlineLevel="2" x14ac:dyDescent="0.35">
      <c r="B120" s="11" t="str">
        <f>CONCATENATE("          ", "6305", " - ", "FREIGHT OUT")</f>
        <v xml:space="preserve">          6305 - FREIGHT OUT</v>
      </c>
      <c r="D120" s="2">
        <v>28012.720000000001</v>
      </c>
      <c r="F120" s="2">
        <v>24921.96</v>
      </c>
      <c r="G120" s="3"/>
      <c r="H120" s="2">
        <v>23843.03</v>
      </c>
      <c r="I120" s="3"/>
      <c r="J120" s="2">
        <v>25943.11</v>
      </c>
      <c r="K120" s="3"/>
      <c r="L120" s="2">
        <v>34093.57</v>
      </c>
      <c r="M120" s="3"/>
      <c r="N120" s="2">
        <v>30546.71</v>
      </c>
      <c r="O120" s="3"/>
      <c r="P120" s="2">
        <v>25000</v>
      </c>
      <c r="Q120" s="3"/>
      <c r="R120" s="2">
        <v>17500</v>
      </c>
    </row>
    <row r="121" spans="1:18" s="16" customFormat="1" hidden="1" outlineLevel="2" x14ac:dyDescent="0.35">
      <c r="B121" s="11" t="str">
        <f>CONCATENATE("          ", "6307", " - ", "POSTAGE")</f>
        <v xml:space="preserve">          6307 - POSTAGE</v>
      </c>
      <c r="D121" s="2">
        <v>62.13</v>
      </c>
      <c r="F121" s="2">
        <v>53.77</v>
      </c>
      <c r="G121" s="3"/>
      <c r="H121" s="2">
        <v>-0.25</v>
      </c>
      <c r="I121" s="3"/>
      <c r="J121" s="2">
        <v>39.909999999999997</v>
      </c>
      <c r="K121" s="3"/>
      <c r="L121" s="2">
        <v>4.79</v>
      </c>
      <c r="M121" s="3"/>
      <c r="N121" s="2">
        <v>3.95</v>
      </c>
      <c r="O121" s="3"/>
      <c r="P121" s="2"/>
      <c r="Q121" s="3"/>
      <c r="R121" s="2"/>
    </row>
    <row r="122" spans="1:18" s="15" customFormat="1" outlineLevel="1" collapsed="1" x14ac:dyDescent="0.35">
      <c r="A122" s="7"/>
      <c r="B122" s="20" t="str">
        <f>CONCATENATE("     ","General                                           ")</f>
        <v xml:space="preserve">     General                                           </v>
      </c>
      <c r="C122" s="7"/>
      <c r="D122" s="1">
        <f>SUM(OSRRefD21_7x_0)</f>
        <v>44.86</v>
      </c>
      <c r="E122" s="19"/>
      <c r="F122" s="1">
        <f>SUM(OSRRefF21_7x_0)</f>
        <v>18663.43</v>
      </c>
      <c r="G122" s="4"/>
      <c r="H122" s="1">
        <f>SUM(OSRRefH21_7x_0)</f>
        <v>18744.759999999998</v>
      </c>
      <c r="I122" s="4"/>
      <c r="J122" s="1">
        <f>SUM(OSRRefJ21_7x_0)</f>
        <v>25863.78</v>
      </c>
      <c r="K122" s="4"/>
      <c r="L122" s="1">
        <f>SUM(OSRRefL21_7x_0)</f>
        <v>19809.28</v>
      </c>
      <c r="M122" s="4"/>
      <c r="N122" s="1">
        <f>SUM(OSRRefN21_7x_0)</f>
        <v>5979.79</v>
      </c>
      <c r="O122" s="4"/>
      <c r="P122" s="1">
        <f>SUM(OSRRefP21_7x_0)</f>
        <v>2750</v>
      </c>
      <c r="Q122" s="4"/>
      <c r="R122" s="1">
        <f>SUM(OSRRefR21_7x_0)</f>
        <v>2750</v>
      </c>
    </row>
    <row r="123" spans="1:18" s="16" customFormat="1" hidden="1" outlineLevel="2" x14ac:dyDescent="0.35">
      <c r="B123" s="11" t="str">
        <f>CONCATENATE("          ", "6269", " - ", "ENTERTAINMENT")</f>
        <v xml:space="preserve">          6269 - ENTERTAINMENT</v>
      </c>
      <c r="D123" s="2"/>
      <c r="F123" s="2"/>
      <c r="G123" s="3"/>
      <c r="H123" s="2"/>
      <c r="I123" s="3"/>
      <c r="J123" s="2"/>
      <c r="K123" s="3"/>
      <c r="L123" s="2"/>
      <c r="M123" s="3"/>
      <c r="N123" s="2"/>
      <c r="O123" s="3"/>
      <c r="P123" s="2">
        <v>2750</v>
      </c>
      <c r="Q123" s="3"/>
      <c r="R123" s="2"/>
    </row>
    <row r="124" spans="1:18" s="16" customFormat="1" hidden="1" outlineLevel="2" x14ac:dyDescent="0.35">
      <c r="B124" s="11" t="str">
        <f>CONCATENATE("          ", "6279", " - ", "GENERAL EXPENSE")</f>
        <v xml:space="preserve">          6279 - GENERAL EXPENSE</v>
      </c>
      <c r="D124" s="2">
        <v>44.86</v>
      </c>
      <c r="F124" s="2">
        <v>18663.43</v>
      </c>
      <c r="G124" s="3"/>
      <c r="H124" s="2">
        <v>18744.759999999998</v>
      </c>
      <c r="I124" s="3"/>
      <c r="J124" s="2">
        <v>25863.78</v>
      </c>
      <c r="K124" s="3"/>
      <c r="L124" s="2">
        <v>19809.28</v>
      </c>
      <c r="M124" s="3"/>
      <c r="N124" s="2">
        <v>5979.79</v>
      </c>
      <c r="O124" s="3"/>
      <c r="P124" s="2"/>
      <c r="Q124" s="3"/>
      <c r="R124" s="2">
        <v>2750</v>
      </c>
    </row>
    <row r="125" spans="1:18" s="15" customFormat="1" outlineLevel="1" collapsed="1" x14ac:dyDescent="0.35">
      <c r="A125" s="7"/>
      <c r="B125" s="20" t="str">
        <f>CONCATENATE("     ","Inventory Adjustment                              ")</f>
        <v xml:space="preserve">     Inventory Adjustment                              </v>
      </c>
      <c r="C125" s="7"/>
      <c r="D125" s="1">
        <f>SUM(OSRRefD21_8x_0)</f>
        <v>88662</v>
      </c>
      <c r="E125" s="19"/>
      <c r="F125" s="1">
        <f>SUM(OSRRefF21_8x_0)</f>
        <v>-66821</v>
      </c>
      <c r="G125" s="4"/>
      <c r="H125" s="1">
        <f>SUM(OSRRefH21_8x_0)</f>
        <v>11472</v>
      </c>
      <c r="I125" s="4"/>
      <c r="J125" s="1">
        <f>SUM(OSRRefJ21_8x_0)</f>
        <v>-139387</v>
      </c>
      <c r="K125" s="4"/>
      <c r="L125" s="1">
        <f>SUM(OSRRefL21_8x_0)</f>
        <v>-94916</v>
      </c>
      <c r="M125" s="4"/>
      <c r="N125" s="1">
        <f>SUM(OSRRefN21_8x_0)</f>
        <v>-33417</v>
      </c>
      <c r="O125" s="4"/>
      <c r="P125" s="1">
        <f>SUM(OSRRefP21_8x_0)</f>
        <v>60000</v>
      </c>
      <c r="Q125" s="4"/>
      <c r="R125" s="1">
        <f>SUM(OSRRefR21_8x_0)</f>
        <v>30000</v>
      </c>
    </row>
    <row r="126" spans="1:18" s="16" customFormat="1" hidden="1" outlineLevel="2" x14ac:dyDescent="0.35">
      <c r="B126" s="11" t="str">
        <f>CONCATENATE("          ", "6408", " - ", "INVENTORY ADJUSTMENT")</f>
        <v xml:space="preserve">          6408 - INVENTORY ADJUSTMENT</v>
      </c>
      <c r="D126" s="2">
        <v>0</v>
      </c>
      <c r="F126" s="2">
        <v>0</v>
      </c>
      <c r="G126" s="3"/>
      <c r="H126" s="2">
        <v>0</v>
      </c>
      <c r="I126" s="3"/>
      <c r="J126" s="2">
        <v>0</v>
      </c>
      <c r="K126" s="3"/>
      <c r="L126" s="2">
        <v>0</v>
      </c>
      <c r="M126" s="3"/>
      <c r="N126" s="2">
        <v>0</v>
      </c>
      <c r="O126" s="3"/>
      <c r="P126" s="2">
        <v>60000</v>
      </c>
      <c r="Q126" s="3"/>
      <c r="R126" s="2">
        <v>30000</v>
      </c>
    </row>
    <row r="127" spans="1:18" s="16" customFormat="1" hidden="1" outlineLevel="2" x14ac:dyDescent="0.35">
      <c r="B127" s="11" t="str">
        <f>CONCATENATE("          ", "7701", " - ", "INV. SHRINKAGE-NEW TEXT")</f>
        <v xml:space="preserve">          7701 - INV. SHRINKAGE-NEW TEXT</v>
      </c>
      <c r="D127" s="2">
        <v>27329</v>
      </c>
      <c r="F127" s="2">
        <v>-45934</v>
      </c>
      <c r="G127" s="3"/>
      <c r="H127" s="2">
        <v>425827</v>
      </c>
      <c r="I127" s="3"/>
      <c r="J127" s="2">
        <v>36055</v>
      </c>
      <c r="K127" s="3"/>
      <c r="L127" s="2">
        <v>-79917</v>
      </c>
      <c r="M127" s="3"/>
      <c r="N127" s="2">
        <v>-4346</v>
      </c>
      <c r="O127" s="3"/>
      <c r="P127" s="2"/>
      <c r="Q127" s="3"/>
      <c r="R127" s="2"/>
    </row>
    <row r="128" spans="1:18" s="16" customFormat="1" hidden="1" outlineLevel="2" x14ac:dyDescent="0.35">
      <c r="B128" s="11" t="str">
        <f>CONCATENATE("          ", "7702", " - ", "INV. SHRINKAGE-USED TEXT")</f>
        <v xml:space="preserve">          7702 - INV. SHRINKAGE-USED TEXT</v>
      </c>
      <c r="D128" s="2">
        <v>58945</v>
      </c>
      <c r="F128" s="2">
        <v>-5994</v>
      </c>
      <c r="G128" s="3"/>
      <c r="H128" s="2">
        <v>-306482</v>
      </c>
      <c r="I128" s="3"/>
      <c r="J128" s="2">
        <v>-43858</v>
      </c>
      <c r="K128" s="3"/>
      <c r="L128" s="2">
        <v>-5215</v>
      </c>
      <c r="M128" s="3"/>
      <c r="N128" s="2">
        <v>-29494</v>
      </c>
      <c r="O128" s="3"/>
      <c r="P128" s="2"/>
      <c r="Q128" s="3"/>
      <c r="R128" s="2"/>
    </row>
    <row r="129" spans="1:18" s="16" customFormat="1" hidden="1" outlineLevel="2" x14ac:dyDescent="0.35">
      <c r="B129" s="11" t="str">
        <f>CONCATENATE("          ", "7703", " - ", "INV. SHRINKAGE-RENTAL TEXT")</f>
        <v xml:space="preserve">          7703 - INV. SHRINKAGE-RENTAL TEXT</v>
      </c>
      <c r="D129" s="2"/>
      <c r="F129" s="2"/>
      <c r="G129" s="3"/>
      <c r="H129" s="2"/>
      <c r="I129" s="3"/>
      <c r="J129" s="2">
        <v>-19135</v>
      </c>
      <c r="K129" s="3"/>
      <c r="L129" s="2">
        <v>30858</v>
      </c>
      <c r="M129" s="3"/>
      <c r="N129" s="2">
        <v>526</v>
      </c>
      <c r="O129" s="3"/>
      <c r="P129" s="2"/>
      <c r="Q129" s="3"/>
      <c r="R129" s="2"/>
    </row>
    <row r="130" spans="1:18" s="16" customFormat="1" hidden="1" outlineLevel="2" x14ac:dyDescent="0.35">
      <c r="B130" s="11" t="str">
        <f>CONCATENATE("          ", "7704", " - ", "INV. SHRINKAGE-DIGITAL TEXT")</f>
        <v xml:space="preserve">          7704 - INV. SHRINKAGE-DIGITAL TEXT</v>
      </c>
      <c r="D130" s="2">
        <v>-9157</v>
      </c>
      <c r="F130" s="2">
        <v>-13898</v>
      </c>
      <c r="G130" s="3"/>
      <c r="H130" s="2">
        <v>-106620</v>
      </c>
      <c r="I130" s="3"/>
      <c r="J130" s="2">
        <v>-101331</v>
      </c>
      <c r="K130" s="3"/>
      <c r="L130" s="2">
        <v>-37301</v>
      </c>
      <c r="M130" s="3"/>
      <c r="N130" s="2">
        <v>816</v>
      </c>
      <c r="O130" s="3"/>
      <c r="P130" s="2"/>
      <c r="Q130" s="3"/>
      <c r="R130" s="2"/>
    </row>
    <row r="131" spans="1:18" s="16" customFormat="1" hidden="1" outlineLevel="2" x14ac:dyDescent="0.35">
      <c r="B131" s="11" t="str">
        <f>CONCATENATE("          ", "7711", " - ", "INV. SHRINKAGE-NO VALUE TEXT")</f>
        <v xml:space="preserve">          7711 - INV. SHRINKAGE-NO VALUE TEXT</v>
      </c>
      <c r="D131" s="2"/>
      <c r="F131" s="2">
        <v>-191</v>
      </c>
      <c r="G131" s="3"/>
      <c r="H131" s="2">
        <v>6</v>
      </c>
      <c r="I131" s="3"/>
      <c r="J131" s="2">
        <v>-8956</v>
      </c>
      <c r="K131" s="3"/>
      <c r="L131" s="2">
        <v>-2516</v>
      </c>
      <c r="M131" s="3"/>
      <c r="N131" s="2">
        <v>-1126</v>
      </c>
      <c r="O131" s="3"/>
      <c r="P131" s="2"/>
      <c r="Q131" s="3"/>
      <c r="R131" s="2"/>
    </row>
    <row r="132" spans="1:18" s="16" customFormat="1" hidden="1" outlineLevel="2" x14ac:dyDescent="0.35">
      <c r="B132" s="11" t="str">
        <f>CONCATENATE("          ", "7712", " - ", "INV. SHRINKAGE-MAGAZINES")</f>
        <v xml:space="preserve">          7712 - INV. SHRINKAGE-MAGAZINES</v>
      </c>
      <c r="D132" s="2">
        <v>-54</v>
      </c>
      <c r="F132" s="2">
        <v>-15</v>
      </c>
      <c r="G132" s="3"/>
      <c r="H132" s="2">
        <v>-27</v>
      </c>
      <c r="I132" s="3"/>
      <c r="J132" s="2"/>
      <c r="K132" s="3"/>
      <c r="L132" s="2"/>
      <c r="M132" s="3"/>
      <c r="N132" s="2"/>
      <c r="O132" s="3"/>
      <c r="P132" s="2"/>
      <c r="Q132" s="3"/>
      <c r="R132" s="2"/>
    </row>
    <row r="133" spans="1:18" s="16" customFormat="1" hidden="1" outlineLevel="2" x14ac:dyDescent="0.35">
      <c r="B133" s="11" t="str">
        <f>CONCATENATE("          ", "7713", " - ", "INV. SHRINKAGE-TRADE BOOKS")</f>
        <v xml:space="preserve">          7713 - INV. SHRINKAGE-TRADE BOOKS</v>
      </c>
      <c r="D133" s="2">
        <v>10694</v>
      </c>
      <c r="F133" s="2">
        <v>-962</v>
      </c>
      <c r="G133" s="3"/>
      <c r="H133" s="2">
        <v>-496</v>
      </c>
      <c r="I133" s="3"/>
      <c r="J133" s="2">
        <v>-234</v>
      </c>
      <c r="K133" s="3"/>
      <c r="L133" s="2">
        <v>732</v>
      </c>
      <c r="M133" s="3"/>
      <c r="N133" s="2">
        <v>-422</v>
      </c>
      <c r="O133" s="3"/>
      <c r="P133" s="2"/>
      <c r="Q133" s="3"/>
      <c r="R133" s="2"/>
    </row>
    <row r="134" spans="1:18" s="16" customFormat="1" hidden="1" outlineLevel="2" x14ac:dyDescent="0.35">
      <c r="B134" s="11" t="str">
        <f>CONCATENATE("          ", "7714", " - ", "INV. SHRINKAGE-REMAINDERS")</f>
        <v xml:space="preserve">          7714 - INV. SHRINKAGE-REMAINDERS</v>
      </c>
      <c r="D134" s="2">
        <v>-182</v>
      </c>
      <c r="F134" s="2">
        <v>-97</v>
      </c>
      <c r="G134" s="3"/>
      <c r="H134" s="2">
        <v>-110</v>
      </c>
      <c r="I134" s="3"/>
      <c r="J134" s="2">
        <v>-1904</v>
      </c>
      <c r="K134" s="3"/>
      <c r="L134" s="2">
        <v>-23</v>
      </c>
      <c r="M134" s="3"/>
      <c r="N134" s="2">
        <v>171</v>
      </c>
      <c r="O134" s="3"/>
      <c r="P134" s="2"/>
      <c r="Q134" s="3"/>
      <c r="R134" s="2"/>
    </row>
    <row r="135" spans="1:18" s="16" customFormat="1" hidden="1" outlineLevel="2" x14ac:dyDescent="0.35">
      <c r="B135" s="11" t="str">
        <f>CONCATENATE("          ", "7715", " - ", "INV. SHRINKAGE-CALENDARS")</f>
        <v xml:space="preserve">          7715 - INV. SHRINKAGE-CALENDARS</v>
      </c>
      <c r="D135" s="2">
        <v>-12</v>
      </c>
      <c r="F135" s="2">
        <v>-383</v>
      </c>
      <c r="G135" s="3"/>
      <c r="H135" s="2">
        <v>-154</v>
      </c>
      <c r="I135" s="3"/>
      <c r="J135" s="2"/>
      <c r="K135" s="3"/>
      <c r="L135" s="2"/>
      <c r="M135" s="3"/>
      <c r="N135" s="2"/>
      <c r="O135" s="3"/>
      <c r="P135" s="2"/>
      <c r="Q135" s="3"/>
      <c r="R135" s="2"/>
    </row>
    <row r="136" spans="1:18" s="16" customFormat="1" hidden="1" outlineLevel="2" x14ac:dyDescent="0.35">
      <c r="B136" s="11" t="str">
        <f>CONCATENATE("          ", "7717", " - ", "INV. SHRINKAGE-DORM/HOUSEWARES")</f>
        <v xml:space="preserve">          7717 - INV. SHRINKAGE-DORM/HOUSEWARES</v>
      </c>
      <c r="D136" s="2">
        <v>62</v>
      </c>
      <c r="F136" s="2">
        <v>-148</v>
      </c>
      <c r="G136" s="3"/>
      <c r="H136" s="2">
        <v>-513</v>
      </c>
      <c r="I136" s="3"/>
      <c r="J136" s="2"/>
      <c r="K136" s="3"/>
      <c r="L136" s="2"/>
      <c r="M136" s="3"/>
      <c r="N136" s="2"/>
      <c r="O136" s="3"/>
      <c r="P136" s="2"/>
      <c r="Q136" s="3"/>
      <c r="R136" s="2"/>
    </row>
    <row r="137" spans="1:18" s="16" customFormat="1" hidden="1" outlineLevel="2" x14ac:dyDescent="0.35">
      <c r="B137" s="11" t="str">
        <f>CONCATENATE("          ", "7718", " - ", "INV. SHRINKAGE-STUDY GUIDES")</f>
        <v xml:space="preserve">          7718 - INV. SHRINKAGE-STUDY GUIDES</v>
      </c>
      <c r="D137" s="2">
        <v>599</v>
      </c>
      <c r="F137" s="2">
        <v>368</v>
      </c>
      <c r="G137" s="3"/>
      <c r="H137" s="2">
        <v>-28</v>
      </c>
      <c r="I137" s="3"/>
      <c r="J137" s="2">
        <v>-24</v>
      </c>
      <c r="K137" s="3"/>
      <c r="L137" s="2">
        <v>-1534</v>
      </c>
      <c r="M137" s="3"/>
      <c r="N137" s="2">
        <v>458</v>
      </c>
      <c r="O137" s="3"/>
      <c r="P137" s="2"/>
      <c r="Q137" s="3"/>
      <c r="R137" s="2"/>
    </row>
    <row r="138" spans="1:18" s="16" customFormat="1" hidden="1" outlineLevel="2" x14ac:dyDescent="0.35">
      <c r="B138" s="11" t="str">
        <f>CONCATENATE("          ", "7719", " - ", "INV. SHRINKAGE-BOOK RELATED")</f>
        <v xml:space="preserve">          7719 - INV. SHRINKAGE-BOOK RELATED</v>
      </c>
      <c r="D138" s="2">
        <v>438</v>
      </c>
      <c r="F138" s="2">
        <v>433</v>
      </c>
      <c r="G138" s="3"/>
      <c r="H138" s="2">
        <v>69</v>
      </c>
      <c r="I138" s="3"/>
      <c r="J138" s="2"/>
      <c r="K138" s="3"/>
      <c r="L138" s="2"/>
      <c r="M138" s="3"/>
      <c r="N138" s="2"/>
      <c r="O138" s="3"/>
      <c r="P138" s="2"/>
      <c r="Q138" s="3"/>
      <c r="R138" s="2"/>
    </row>
    <row r="139" spans="1:18" s="15" customFormat="1" outlineLevel="1" collapsed="1" x14ac:dyDescent="0.35">
      <c r="A139" s="7"/>
      <c r="B139" s="20" t="str">
        <f>CONCATENATE("     ","Professional Services                             ")</f>
        <v xml:space="preserve">     Professional Services                             </v>
      </c>
      <c r="C139" s="7"/>
      <c r="D139" s="1">
        <f>SUM(OSRRefD21_9x_0)</f>
        <v>1990.22</v>
      </c>
      <c r="E139" s="19"/>
      <c r="F139" s="1">
        <f>SUM(OSRRefF21_9x_0)</f>
        <v>0</v>
      </c>
      <c r="G139" s="4"/>
      <c r="H139" s="1">
        <f>SUM(OSRRefH21_9x_0)</f>
        <v>0</v>
      </c>
      <c r="I139" s="4"/>
      <c r="J139" s="1">
        <f>SUM(OSRRefJ21_9x_0)</f>
        <v>0</v>
      </c>
      <c r="K139" s="4"/>
      <c r="L139" s="1">
        <f>SUM(OSRRefL21_9x_0)</f>
        <v>0</v>
      </c>
      <c r="M139" s="4"/>
      <c r="N139" s="1">
        <f>SUM(OSRRefN21_9x_0)</f>
        <v>0</v>
      </c>
      <c r="O139" s="4"/>
      <c r="P139" s="1">
        <f>SUM(OSRRefP21_9x_0)</f>
        <v>0</v>
      </c>
      <c r="Q139" s="4"/>
      <c r="R139" s="1">
        <f>SUM(OSRRefR21_9x_0)</f>
        <v>0</v>
      </c>
    </row>
    <row r="140" spans="1:18" s="16" customFormat="1" hidden="1" outlineLevel="2" x14ac:dyDescent="0.35">
      <c r="B140" s="11" t="str">
        <f>CONCATENATE("          ", "6336", " - ", "PROFESSIONAL SERVICES")</f>
        <v xml:space="preserve">          6336 - PROFESSIONAL SERVICES</v>
      </c>
      <c r="D140" s="2">
        <v>1990.22</v>
      </c>
      <c r="F140" s="2"/>
      <c r="G140" s="3"/>
      <c r="H140" s="2"/>
      <c r="I140" s="3"/>
      <c r="J140" s="2"/>
      <c r="K140" s="3"/>
      <c r="L140" s="2"/>
      <c r="M140" s="3"/>
      <c r="N140" s="2"/>
      <c r="O140" s="3"/>
      <c r="P140" s="2"/>
      <c r="Q140" s="3"/>
      <c r="R140" s="2"/>
    </row>
    <row r="141" spans="1:18" s="15" customFormat="1" outlineLevel="1" collapsed="1" x14ac:dyDescent="0.35">
      <c r="A141" s="7"/>
      <c r="B141" s="20" t="str">
        <f>CONCATENATE("     ","Repair and Maintenance                            ")</f>
        <v xml:space="preserve">     Repair and Maintenance                            </v>
      </c>
      <c r="C141" s="7"/>
      <c r="D141" s="1">
        <f>SUM(OSRRefD21_10x_0)</f>
        <v>18071.349999999999</v>
      </c>
      <c r="E141" s="19"/>
      <c r="F141" s="1">
        <f>SUM(OSRRefF21_10x_0)</f>
        <v>17708.55</v>
      </c>
      <c r="G141" s="4"/>
      <c r="H141" s="1">
        <f>SUM(OSRRefH21_10x_0)</f>
        <v>17415.599999999999</v>
      </c>
      <c r="I141" s="4"/>
      <c r="J141" s="1">
        <f>SUM(OSRRefJ21_10x_0)</f>
        <v>17582.64</v>
      </c>
      <c r="K141" s="4"/>
      <c r="L141" s="1">
        <f>SUM(OSRRefL21_10x_0)</f>
        <v>6822.55</v>
      </c>
      <c r="M141" s="4"/>
      <c r="N141" s="1">
        <f>SUM(OSRRefN21_10x_0)</f>
        <v>11855.98</v>
      </c>
      <c r="O141" s="4"/>
      <c r="P141" s="1">
        <f>SUM(OSRRefP21_10x_0)</f>
        <v>13680</v>
      </c>
      <c r="Q141" s="4"/>
      <c r="R141" s="1">
        <f>SUM(OSRRefR21_10x_0)</f>
        <v>960</v>
      </c>
    </row>
    <row r="142" spans="1:18" s="16" customFormat="1" hidden="1" outlineLevel="2" x14ac:dyDescent="0.35">
      <c r="B142" s="11" t="str">
        <f>CONCATENATE("          ", "6371", " - ", "COMPUTER SOFTWARE MAINTENANCE")</f>
        <v xml:space="preserve">          6371 - COMPUTER SOFTWARE MAINTENANCE</v>
      </c>
      <c r="D142" s="2">
        <v>17100</v>
      </c>
      <c r="F142" s="2">
        <v>17100</v>
      </c>
      <c r="G142" s="3"/>
      <c r="H142" s="2">
        <v>17100</v>
      </c>
      <c r="I142" s="3"/>
      <c r="J142" s="2">
        <v>17100</v>
      </c>
      <c r="K142" s="3"/>
      <c r="L142" s="2">
        <v>5950</v>
      </c>
      <c r="M142" s="3"/>
      <c r="N142" s="2">
        <v>11550</v>
      </c>
      <c r="O142" s="3"/>
      <c r="P142" s="2">
        <v>12000</v>
      </c>
      <c r="Q142" s="3"/>
      <c r="R142" s="2">
        <v>0</v>
      </c>
    </row>
    <row r="143" spans="1:18" s="16" customFormat="1" hidden="1" outlineLevel="2" x14ac:dyDescent="0.35">
      <c r="B143" s="11" t="str">
        <f>CONCATENATE("          ", "6373", " - ", "MAINTENANCE CONTRACTS")</f>
        <v xml:space="preserve">          6373 - MAINTENANCE CONTRACTS</v>
      </c>
      <c r="D143" s="2">
        <v>631.35</v>
      </c>
      <c r="F143" s="2">
        <v>557.28</v>
      </c>
      <c r="G143" s="3"/>
      <c r="H143" s="2">
        <v>178.32</v>
      </c>
      <c r="I143" s="3"/>
      <c r="J143" s="2">
        <v>326.64</v>
      </c>
      <c r="K143" s="3"/>
      <c r="L143" s="2">
        <v>326.55</v>
      </c>
      <c r="M143" s="3"/>
      <c r="N143" s="2">
        <v>305.98</v>
      </c>
      <c r="O143" s="3"/>
      <c r="P143" s="2">
        <v>480</v>
      </c>
      <c r="Q143" s="3"/>
      <c r="R143" s="2">
        <v>480</v>
      </c>
    </row>
    <row r="144" spans="1:18" s="16" customFormat="1" hidden="1" outlineLevel="2" x14ac:dyDescent="0.35">
      <c r="B144" s="11" t="str">
        <f>CONCATENATE("          ", "6375", " - ", "OUTSIDE REPAIRS &amp; MAINTENANCE")</f>
        <v xml:space="preserve">          6375 - OUTSIDE REPAIRS &amp; MAINTENANCE</v>
      </c>
      <c r="D144" s="2">
        <v>340</v>
      </c>
      <c r="F144" s="2">
        <v>51.27</v>
      </c>
      <c r="G144" s="3"/>
      <c r="H144" s="2">
        <v>137.28</v>
      </c>
      <c r="I144" s="3"/>
      <c r="J144" s="2">
        <v>156</v>
      </c>
      <c r="K144" s="3"/>
      <c r="L144" s="2">
        <v>546</v>
      </c>
      <c r="M144" s="3"/>
      <c r="N144" s="2"/>
      <c r="O144" s="3"/>
      <c r="P144" s="2">
        <v>1200</v>
      </c>
      <c r="Q144" s="3"/>
      <c r="R144" s="2">
        <v>480</v>
      </c>
    </row>
    <row r="145" spans="1:18" s="15" customFormat="1" outlineLevel="1" collapsed="1" x14ac:dyDescent="0.35">
      <c r="A145" s="7"/>
      <c r="B145" s="20" t="str">
        <f>CONCATENATE("     ","Royalty &amp; Commissions                             ")</f>
        <v xml:space="preserve">     Royalty &amp; Commissions                             </v>
      </c>
      <c r="C145" s="7"/>
      <c r="D145" s="1">
        <f>SUM(OSRRefD21_11x_0)</f>
        <v>0</v>
      </c>
      <c r="E145" s="19"/>
      <c r="F145" s="1">
        <f>SUM(OSRRefF21_11x_0)</f>
        <v>0</v>
      </c>
      <c r="G145" s="4"/>
      <c r="H145" s="1">
        <f>SUM(OSRRefH21_11x_0)</f>
        <v>0</v>
      </c>
      <c r="I145" s="4"/>
      <c r="J145" s="1">
        <f>SUM(OSRRefJ21_11x_0)</f>
        <v>0</v>
      </c>
      <c r="K145" s="4"/>
      <c r="L145" s="1">
        <f>SUM(OSRRefL21_11x_0)</f>
        <v>0</v>
      </c>
      <c r="M145" s="4"/>
      <c r="N145" s="1">
        <f>SUM(OSRRefN21_11x_0)</f>
        <v>0</v>
      </c>
      <c r="O145" s="4"/>
      <c r="P145" s="1">
        <f>SUM(OSRRefP21_11x_0)</f>
        <v>0</v>
      </c>
      <c r="Q145" s="4"/>
      <c r="R145" s="1">
        <f>SUM(OSRRefR21_11x_0)</f>
        <v>0</v>
      </c>
    </row>
    <row r="146" spans="1:18" s="16" customFormat="1" hidden="1" outlineLevel="2" x14ac:dyDescent="0.35">
      <c r="B146" s="11" t="str">
        <f>CONCATENATE("          ", "6259", " - ", "ROYALTY &amp; COMMISSIONS")</f>
        <v xml:space="preserve">          6259 - ROYALTY &amp; COMMISSIONS</v>
      </c>
      <c r="D146" s="2">
        <v>0</v>
      </c>
      <c r="F146" s="2"/>
      <c r="G146" s="3"/>
      <c r="H146" s="2"/>
      <c r="I146" s="3"/>
      <c r="J146" s="2"/>
      <c r="K146" s="3"/>
      <c r="L146" s="2"/>
      <c r="M146" s="3"/>
      <c r="N146" s="2"/>
      <c r="O146" s="3"/>
      <c r="P146" s="2"/>
      <c r="Q146" s="3"/>
      <c r="R146" s="2"/>
    </row>
    <row r="147" spans="1:18" s="15" customFormat="1" outlineLevel="1" collapsed="1" x14ac:dyDescent="0.35">
      <c r="A147" s="7"/>
      <c r="B147" s="20" t="str">
        <f>CONCATENATE("     ","Subscriptions &amp; Dues                              ")</f>
        <v xml:space="preserve">     Subscriptions &amp; Dues                              </v>
      </c>
      <c r="C147" s="7"/>
      <c r="D147" s="1">
        <f>SUM(OSRRefD21_12x_0)</f>
        <v>67138.58</v>
      </c>
      <c r="E147" s="19"/>
      <c r="F147" s="1">
        <f>SUM(OSRRefF21_12x_0)</f>
        <v>45195.14</v>
      </c>
      <c r="G147" s="4"/>
      <c r="H147" s="1">
        <f>SUM(OSRRefH21_12x_0)</f>
        <v>28153.82</v>
      </c>
      <c r="I147" s="4"/>
      <c r="J147" s="1">
        <f>SUM(OSRRefJ21_12x_0)</f>
        <v>34944.39</v>
      </c>
      <c r="K147" s="4"/>
      <c r="L147" s="1">
        <f>SUM(OSRRefL21_12x_0)</f>
        <v>7419.75</v>
      </c>
      <c r="M147" s="4"/>
      <c r="N147" s="1">
        <f>SUM(OSRRefN21_12x_0)</f>
        <v>6291.84</v>
      </c>
      <c r="O147" s="4"/>
      <c r="P147" s="1">
        <f>SUM(OSRRefP21_12x_0)</f>
        <v>5400</v>
      </c>
      <c r="Q147" s="4"/>
      <c r="R147" s="1">
        <f>SUM(OSRRefR21_12x_0)</f>
        <v>5500</v>
      </c>
    </row>
    <row r="148" spans="1:18" s="16" customFormat="1" hidden="1" outlineLevel="2" x14ac:dyDescent="0.35">
      <c r="B148" s="11" t="str">
        <f>CONCATENATE("          ", "6258", " - ", "MEMBERSHIP DUES")</f>
        <v xml:space="preserve">          6258 - MEMBERSHIP DUES</v>
      </c>
      <c r="D148" s="2">
        <v>67039.58</v>
      </c>
      <c r="F148" s="2">
        <v>45195.14</v>
      </c>
      <c r="G148" s="3"/>
      <c r="H148" s="2">
        <v>26463.82</v>
      </c>
      <c r="I148" s="3"/>
      <c r="J148" s="2">
        <v>33198.620000000003</v>
      </c>
      <c r="K148" s="3"/>
      <c r="L148" s="2">
        <v>5621.61</v>
      </c>
      <c r="M148" s="3"/>
      <c r="N148" s="2">
        <v>4439.76</v>
      </c>
      <c r="O148" s="3"/>
      <c r="P148" s="2">
        <v>3600</v>
      </c>
      <c r="Q148" s="3"/>
      <c r="R148" s="2">
        <v>3600</v>
      </c>
    </row>
    <row r="149" spans="1:18" s="16" customFormat="1" hidden="1" outlineLevel="2" x14ac:dyDescent="0.35">
      <c r="B149" s="11" t="str">
        <f>CONCATENATE("          ", "6275", " - ", "SUBSCRIPTIONS")</f>
        <v xml:space="preserve">          6275 - SUBSCRIPTIONS</v>
      </c>
      <c r="D149" s="2">
        <v>99</v>
      </c>
      <c r="F149" s="2"/>
      <c r="G149" s="3"/>
      <c r="H149" s="2">
        <v>1690</v>
      </c>
      <c r="I149" s="3"/>
      <c r="J149" s="2">
        <v>1745.77</v>
      </c>
      <c r="K149" s="3"/>
      <c r="L149" s="2">
        <v>1798.14</v>
      </c>
      <c r="M149" s="3"/>
      <c r="N149" s="2">
        <v>1852.08</v>
      </c>
      <c r="O149" s="3"/>
      <c r="P149" s="2">
        <v>1800</v>
      </c>
      <c r="Q149" s="3"/>
      <c r="R149" s="2">
        <v>1900</v>
      </c>
    </row>
    <row r="150" spans="1:18" s="15" customFormat="1" outlineLevel="1" collapsed="1" x14ac:dyDescent="0.35">
      <c r="A150" s="7"/>
      <c r="B150" s="20" t="str">
        <f>CONCATENATE("     ","Supplies                                          ")</f>
        <v xml:space="preserve">     Supplies                                          </v>
      </c>
      <c r="C150" s="7"/>
      <c r="D150" s="1">
        <f>SUM(OSRRefD21_13x_0)</f>
        <v>18718.8</v>
      </c>
      <c r="E150" s="19"/>
      <c r="F150" s="1">
        <f>SUM(OSRRefF21_13x_0)</f>
        <v>15343.04</v>
      </c>
      <c r="G150" s="4"/>
      <c r="H150" s="1">
        <f>SUM(OSRRefH21_13x_0)</f>
        <v>23148.38</v>
      </c>
      <c r="I150" s="4"/>
      <c r="J150" s="1">
        <f>SUM(OSRRefJ21_13x_0)</f>
        <v>21323.95</v>
      </c>
      <c r="K150" s="4"/>
      <c r="L150" s="1">
        <f>SUM(OSRRefL21_13x_0)</f>
        <v>18324.07</v>
      </c>
      <c r="M150" s="4"/>
      <c r="N150" s="1">
        <f>SUM(OSRRefN21_13x_0)</f>
        <v>14036.529999999999</v>
      </c>
      <c r="O150" s="4"/>
      <c r="P150" s="1">
        <f>SUM(OSRRefP21_13x_0)</f>
        <v>14000</v>
      </c>
      <c r="Q150" s="4"/>
      <c r="R150" s="1">
        <f>SUM(OSRRefR21_13x_0)</f>
        <v>10000</v>
      </c>
    </row>
    <row r="151" spans="1:18" s="16" customFormat="1" hidden="1" outlineLevel="2" x14ac:dyDescent="0.35">
      <c r="B151" s="11" t="str">
        <f>CONCATENATE("          ", "6234", " - ", "EXPENDABLE SUPPLIES &amp; EQUIPMEN")</f>
        <v xml:space="preserve">          6234 - EXPENDABLE SUPPLIES &amp; EQUIPMEN</v>
      </c>
      <c r="D151" s="2"/>
      <c r="F151" s="2">
        <v>348.79</v>
      </c>
      <c r="G151" s="3"/>
      <c r="H151" s="2">
        <v>445.38</v>
      </c>
      <c r="I151" s="3"/>
      <c r="J151" s="2"/>
      <c r="K151" s="3"/>
      <c r="L151" s="2">
        <v>272.45999999999998</v>
      </c>
      <c r="M151" s="3"/>
      <c r="N151" s="2"/>
      <c r="O151" s="3"/>
      <c r="P151" s="2"/>
      <c r="Q151" s="3"/>
      <c r="R151" s="2"/>
    </row>
    <row r="152" spans="1:18" s="16" customFormat="1" hidden="1" outlineLevel="2" x14ac:dyDescent="0.35">
      <c r="B152" s="11" t="str">
        <f>CONCATENATE("          ", "6241", " - ", "OFFICE EXPENSE")</f>
        <v xml:space="preserve">          6241 - OFFICE EXPENSE</v>
      </c>
      <c r="D152" s="2">
        <v>2802.19</v>
      </c>
      <c r="F152" s="2">
        <v>2044.66</v>
      </c>
      <c r="G152" s="3"/>
      <c r="H152" s="2">
        <v>3919.74</v>
      </c>
      <c r="I152" s="3"/>
      <c r="J152" s="2">
        <v>2083.09</v>
      </c>
      <c r="K152" s="3"/>
      <c r="L152" s="2">
        <v>8763.01</v>
      </c>
      <c r="M152" s="3"/>
      <c r="N152" s="2">
        <v>4341.16</v>
      </c>
      <c r="O152" s="3"/>
      <c r="P152" s="2">
        <v>4700</v>
      </c>
      <c r="Q152" s="3"/>
      <c r="R152" s="2">
        <v>4700</v>
      </c>
    </row>
    <row r="153" spans="1:18" s="16" customFormat="1" hidden="1" outlineLevel="2" x14ac:dyDescent="0.35">
      <c r="B153" s="11" t="str">
        <f>CONCATENATE("          ", "6245", " - ", "PRINTING")</f>
        <v xml:space="preserve">          6245 - PRINTING</v>
      </c>
      <c r="D153" s="2">
        <v>3313.1</v>
      </c>
      <c r="F153" s="2">
        <v>1701.26</v>
      </c>
      <c r="G153" s="3"/>
      <c r="H153" s="2">
        <v>3250.49</v>
      </c>
      <c r="I153" s="3"/>
      <c r="J153" s="2">
        <v>4346.24</v>
      </c>
      <c r="K153" s="3"/>
      <c r="L153" s="2">
        <v>611.15</v>
      </c>
      <c r="M153" s="3"/>
      <c r="N153" s="2">
        <v>5198.58</v>
      </c>
      <c r="O153" s="3"/>
      <c r="P153" s="2">
        <v>2600</v>
      </c>
      <c r="Q153" s="3"/>
      <c r="R153" s="2"/>
    </row>
    <row r="154" spans="1:18" s="16" customFormat="1" hidden="1" outlineLevel="2" x14ac:dyDescent="0.35">
      <c r="B154" s="11" t="str">
        <f>CONCATENATE("          ", "6247", " - ", "STORE SUPPLIES")</f>
        <v xml:space="preserve">          6247 - STORE SUPPLIES</v>
      </c>
      <c r="D154" s="2">
        <v>12603.51</v>
      </c>
      <c r="F154" s="2">
        <v>11248.33</v>
      </c>
      <c r="G154" s="3"/>
      <c r="H154" s="2">
        <v>15532.77</v>
      </c>
      <c r="I154" s="3"/>
      <c r="J154" s="2">
        <v>14894.62</v>
      </c>
      <c r="K154" s="3"/>
      <c r="L154" s="2">
        <v>8677.4500000000007</v>
      </c>
      <c r="M154" s="3"/>
      <c r="N154" s="2">
        <v>4496.79</v>
      </c>
      <c r="O154" s="3"/>
      <c r="P154" s="2">
        <v>6700</v>
      </c>
      <c r="Q154" s="3"/>
      <c r="R154" s="2">
        <v>5300</v>
      </c>
    </row>
    <row r="155" spans="1:18" s="15" customFormat="1" outlineLevel="1" collapsed="1" x14ac:dyDescent="0.35">
      <c r="A155" s="7"/>
      <c r="B155" s="20" t="str">
        <f>CONCATENATE("     ","Telephone/Data Lines                              ")</f>
        <v xml:space="preserve">     Telephone/Data Lines                              </v>
      </c>
      <c r="C155" s="7"/>
      <c r="D155" s="1">
        <f>SUM(OSRRefD21_14x_0)</f>
        <v>9524.5299999999988</v>
      </c>
      <c r="E155" s="19"/>
      <c r="F155" s="1">
        <f>SUM(OSRRefF21_14x_0)</f>
        <v>10121.58</v>
      </c>
      <c r="G155" s="4"/>
      <c r="H155" s="1">
        <f>SUM(OSRRefH21_14x_0)</f>
        <v>9179.619999999999</v>
      </c>
      <c r="I155" s="4"/>
      <c r="J155" s="1">
        <f>SUM(OSRRefJ21_14x_0)</f>
        <v>9777.5299999999988</v>
      </c>
      <c r="K155" s="4"/>
      <c r="L155" s="1">
        <f>SUM(OSRRefL21_14x_0)</f>
        <v>9463.4500000000007</v>
      </c>
      <c r="M155" s="4"/>
      <c r="N155" s="1">
        <f>SUM(OSRRefN21_14x_0)</f>
        <v>8561.64</v>
      </c>
      <c r="O155" s="4"/>
      <c r="P155" s="1">
        <f>SUM(OSRRefP21_14x_0)</f>
        <v>9500</v>
      </c>
      <c r="Q155" s="4"/>
      <c r="R155" s="1">
        <f>SUM(OSRRefR21_14x_0)</f>
        <v>4800</v>
      </c>
    </row>
    <row r="156" spans="1:18" s="16" customFormat="1" hidden="1" outlineLevel="2" x14ac:dyDescent="0.35">
      <c r="B156" s="11" t="str">
        <f>CONCATENATE("          ", "6303", " - ", "DATA PHONE LINES")</f>
        <v xml:space="preserve">          6303 - DATA PHONE LINES</v>
      </c>
      <c r="D156" s="2">
        <v>3490</v>
      </c>
      <c r="F156" s="2">
        <v>4183.8500000000004</v>
      </c>
      <c r="G156" s="3"/>
      <c r="H156" s="2">
        <v>3553.95</v>
      </c>
      <c r="I156" s="3"/>
      <c r="J156" s="2">
        <v>3540</v>
      </c>
      <c r="K156" s="3"/>
      <c r="L156" s="2">
        <v>3540</v>
      </c>
      <c r="M156" s="3"/>
      <c r="N156" s="2">
        <v>2950</v>
      </c>
      <c r="O156" s="3"/>
      <c r="P156" s="2">
        <v>3600</v>
      </c>
      <c r="Q156" s="3"/>
      <c r="R156" s="2">
        <v>0</v>
      </c>
    </row>
    <row r="157" spans="1:18" s="16" customFormat="1" hidden="1" outlineLevel="2" x14ac:dyDescent="0.35">
      <c r="B157" s="11" t="str">
        <f>CONCATENATE("          ", "6309", " - ", "TELEPHONE")</f>
        <v xml:space="preserve">          6309 - TELEPHONE</v>
      </c>
      <c r="D157" s="2">
        <v>6034.53</v>
      </c>
      <c r="F157" s="2">
        <v>5937.73</v>
      </c>
      <c r="G157" s="3"/>
      <c r="H157" s="2">
        <v>5625.67</v>
      </c>
      <c r="I157" s="3"/>
      <c r="J157" s="2">
        <v>6237.53</v>
      </c>
      <c r="K157" s="3"/>
      <c r="L157" s="2">
        <v>5923.45</v>
      </c>
      <c r="M157" s="3"/>
      <c r="N157" s="2">
        <v>5611.64</v>
      </c>
      <c r="O157" s="3"/>
      <c r="P157" s="2">
        <v>5900</v>
      </c>
      <c r="Q157" s="3"/>
      <c r="R157" s="2">
        <v>4800</v>
      </c>
    </row>
    <row r="158" spans="1:18" s="15" customFormat="1" outlineLevel="1" collapsed="1" x14ac:dyDescent="0.35">
      <c r="A158" s="7"/>
      <c r="B158" s="20" t="str">
        <f>CONCATENATE("     ","Training                                          ")</f>
        <v xml:space="preserve">     Training                                          </v>
      </c>
      <c r="C158" s="7"/>
      <c r="D158" s="1">
        <f>SUM(OSRRefD21_15x_0)</f>
        <v>6255.98</v>
      </c>
      <c r="E158" s="19"/>
      <c r="F158" s="1">
        <f>SUM(OSRRefF21_15x_0)</f>
        <v>5308.54</v>
      </c>
      <c r="G158" s="4"/>
      <c r="H158" s="1">
        <f>SUM(OSRRefH21_15x_0)</f>
        <v>5871.68</v>
      </c>
      <c r="I158" s="4"/>
      <c r="J158" s="1">
        <f>SUM(OSRRefJ21_15x_0)</f>
        <v>3905.12</v>
      </c>
      <c r="K158" s="4"/>
      <c r="L158" s="1">
        <f>SUM(OSRRefL21_15x_0)</f>
        <v>3130.28</v>
      </c>
      <c r="M158" s="4"/>
      <c r="N158" s="1">
        <f>SUM(OSRRefN21_15x_0)</f>
        <v>4157.1499999999996</v>
      </c>
      <c r="O158" s="4"/>
      <c r="P158" s="1">
        <f>SUM(OSRRefP21_15x_0)</f>
        <v>5000</v>
      </c>
      <c r="Q158" s="4"/>
      <c r="R158" s="1">
        <f>SUM(OSRRefR21_15x_0)</f>
        <v>0</v>
      </c>
    </row>
    <row r="159" spans="1:18" s="16" customFormat="1" hidden="1" outlineLevel="2" x14ac:dyDescent="0.35">
      <c r="B159" s="11" t="str">
        <f>CONCATENATE("          ", "6376", " - ", "TRAINING")</f>
        <v xml:space="preserve">          6376 - TRAINING</v>
      </c>
      <c r="D159" s="2">
        <v>6255.98</v>
      </c>
      <c r="F159" s="2">
        <v>5308.54</v>
      </c>
      <c r="G159" s="3"/>
      <c r="H159" s="2">
        <v>5871.68</v>
      </c>
      <c r="I159" s="3"/>
      <c r="J159" s="2">
        <v>3905.12</v>
      </c>
      <c r="K159" s="3"/>
      <c r="L159" s="2">
        <v>3130.28</v>
      </c>
      <c r="M159" s="3"/>
      <c r="N159" s="2">
        <v>4157.1499999999996</v>
      </c>
      <c r="O159" s="3"/>
      <c r="P159" s="2">
        <v>5000</v>
      </c>
      <c r="Q159" s="3"/>
      <c r="R159" s="2">
        <v>0</v>
      </c>
    </row>
    <row r="160" spans="1:18" s="15" customFormat="1" outlineLevel="1" collapsed="1" x14ac:dyDescent="0.35">
      <c r="A160" s="7"/>
      <c r="B160" s="20" t="str">
        <f>CONCATENATE("     ","Travel                                            ")</f>
        <v xml:space="preserve">     Travel                                            </v>
      </c>
      <c r="C160" s="7"/>
      <c r="D160" s="1">
        <f>SUM(OSRRefD21_16x_0)</f>
        <v>693.94</v>
      </c>
      <c r="E160" s="19"/>
      <c r="F160" s="1">
        <f>SUM(OSRRefF21_16x_0)</f>
        <v>278.66000000000003</v>
      </c>
      <c r="G160" s="4"/>
      <c r="H160" s="1">
        <f>SUM(OSRRefH21_16x_0)</f>
        <v>-2.37</v>
      </c>
      <c r="I160" s="4"/>
      <c r="J160" s="1">
        <f>SUM(OSRRefJ21_16x_0)</f>
        <v>182.7</v>
      </c>
      <c r="K160" s="4"/>
      <c r="L160" s="1">
        <f>SUM(OSRRefL21_16x_0)</f>
        <v>68.27</v>
      </c>
      <c r="M160" s="4"/>
      <c r="N160" s="1">
        <f>SUM(OSRRefN21_16x_0)</f>
        <v>83.93</v>
      </c>
      <c r="O160" s="4"/>
      <c r="P160" s="1">
        <f>SUM(OSRRefP21_16x_0)</f>
        <v>0</v>
      </c>
      <c r="Q160" s="4"/>
      <c r="R160" s="1">
        <f>SUM(OSRRefR21_16x_0)</f>
        <v>0</v>
      </c>
    </row>
    <row r="161" spans="1:18" s="16" customFormat="1" hidden="1" outlineLevel="2" x14ac:dyDescent="0.35">
      <c r="B161" s="11" t="str">
        <f>CONCATENATE("          ", "6292", " - ", "TRAVEL/CONFERENCE")</f>
        <v xml:space="preserve">          6292 - TRAVEL/CONFERENCE</v>
      </c>
      <c r="D161" s="2">
        <v>693.94</v>
      </c>
      <c r="F161" s="2">
        <v>278.66000000000003</v>
      </c>
      <c r="G161" s="3"/>
      <c r="H161" s="2">
        <v>-2.37</v>
      </c>
      <c r="I161" s="3"/>
      <c r="J161" s="2">
        <v>249.95</v>
      </c>
      <c r="K161" s="3"/>
      <c r="L161" s="2">
        <v>68.27</v>
      </c>
      <c r="M161" s="3"/>
      <c r="N161" s="2">
        <v>83.93</v>
      </c>
      <c r="O161" s="3"/>
      <c r="P161" s="2"/>
      <c r="Q161" s="3"/>
      <c r="R161" s="2"/>
    </row>
    <row r="162" spans="1:18" s="16" customFormat="1" hidden="1" outlineLevel="2" x14ac:dyDescent="0.35">
      <c r="B162" s="11" t="str">
        <f>CONCATENATE("          ", "6294", " - ", "TRAVEL OPERATIONAL")</f>
        <v xml:space="preserve">          6294 - TRAVEL OPERATIONAL</v>
      </c>
      <c r="D162" s="2"/>
      <c r="F162" s="2"/>
      <c r="G162" s="3"/>
      <c r="H162" s="2"/>
      <c r="I162" s="3"/>
      <c r="J162" s="2">
        <v>-67.25</v>
      </c>
      <c r="K162" s="3"/>
      <c r="L162" s="2"/>
      <c r="M162" s="3"/>
      <c r="N162" s="2"/>
      <c r="O162" s="3"/>
      <c r="P162" s="2"/>
      <c r="Q162" s="3"/>
      <c r="R162" s="2"/>
    </row>
    <row r="163" spans="1:18" s="15" customFormat="1" outlineLevel="1" collapsed="1" x14ac:dyDescent="0.35">
      <c r="A163" s="7"/>
      <c r="B163" s="20" t="str">
        <f>CONCATENATE("     ","Utilities                                         ")</f>
        <v xml:space="preserve">     Utilities                                         </v>
      </c>
      <c r="C163" s="7"/>
      <c r="D163" s="1">
        <f>SUM(OSRRefD21_17x_0)</f>
        <v>1</v>
      </c>
      <c r="E163" s="19"/>
      <c r="F163" s="1">
        <f>SUM(OSRRefF21_17x_0)</f>
        <v>0</v>
      </c>
      <c r="G163" s="4"/>
      <c r="H163" s="1">
        <f>SUM(OSRRefH21_17x_0)</f>
        <v>0</v>
      </c>
      <c r="I163" s="4"/>
      <c r="J163" s="1">
        <f>SUM(OSRRefJ21_17x_0)</f>
        <v>0</v>
      </c>
      <c r="K163" s="4"/>
      <c r="L163" s="1">
        <f>SUM(OSRRefL21_17x_0)</f>
        <v>0</v>
      </c>
      <c r="M163" s="4"/>
      <c r="N163" s="1">
        <f>SUM(OSRRefN21_17x_0)</f>
        <v>0</v>
      </c>
      <c r="O163" s="4"/>
      <c r="P163" s="1">
        <f>SUM(OSRRefP21_17x_0)</f>
        <v>0</v>
      </c>
      <c r="Q163" s="4"/>
      <c r="R163" s="1">
        <f>SUM(OSRRefR21_17x_0)</f>
        <v>0</v>
      </c>
    </row>
    <row r="164" spans="1:18" s="16" customFormat="1" hidden="1" outlineLevel="2" x14ac:dyDescent="0.35">
      <c r="B164" s="11" t="str">
        <f>CONCATENATE("          ", "6274", " - ", "UTILITIES")</f>
        <v xml:space="preserve">          6274 - UTILITIES</v>
      </c>
      <c r="D164" s="2">
        <v>1</v>
      </c>
      <c r="F164" s="2"/>
      <c r="G164" s="3"/>
      <c r="H164" s="2"/>
      <c r="I164" s="3"/>
      <c r="J164" s="2"/>
      <c r="K164" s="3"/>
      <c r="L164" s="2"/>
      <c r="M164" s="3"/>
      <c r="N164" s="2"/>
      <c r="O164" s="3"/>
      <c r="P164" s="2"/>
      <c r="Q164" s="3"/>
      <c r="R164" s="2"/>
    </row>
    <row r="165" spans="1:18" x14ac:dyDescent="0.35">
      <c r="A165" s="12"/>
      <c r="B165" s="12"/>
      <c r="C165" s="12"/>
      <c r="D165" s="1"/>
      <c r="F165" s="1"/>
      <c r="H165" s="1"/>
      <c r="J165" s="1"/>
      <c r="L165" s="1"/>
      <c r="N165" s="1"/>
      <c r="P165" s="1"/>
      <c r="R165" s="1"/>
    </row>
    <row r="166" spans="1:18" s="7" customFormat="1" collapsed="1" x14ac:dyDescent="0.35">
      <c r="A166" s="36"/>
      <c r="B166" s="34" t="s">
        <v>295</v>
      </c>
      <c r="D166" s="6">
        <f>SUM(OSRRefD24x_0)</f>
        <v>53496.44</v>
      </c>
      <c r="E166" s="12"/>
      <c r="F166" s="6">
        <f>SUM(OSRRefF24x_0)</f>
        <v>40487.160000000003</v>
      </c>
      <c r="G166" s="5"/>
      <c r="H166" s="6">
        <f>SUM(OSRRefH24x_0)</f>
        <v>44013.54</v>
      </c>
      <c r="I166" s="5"/>
      <c r="J166" s="6">
        <f>SUM(OSRRefJ24x_0)</f>
        <v>37408.71</v>
      </c>
      <c r="K166" s="5"/>
      <c r="L166" s="6">
        <f>SUM(OSRRefL24x_0)</f>
        <v>109875.87</v>
      </c>
      <c r="M166" s="5"/>
      <c r="N166" s="6">
        <f>SUM(OSRRefN24x_0)</f>
        <v>177870.38</v>
      </c>
      <c r="O166" s="5"/>
      <c r="P166" s="6">
        <f>SUM(OSRRefP24x_0)</f>
        <v>206180</v>
      </c>
      <c r="Q166" s="5"/>
      <c r="R166" s="6">
        <f>SUM(OSRRefR24x_0)</f>
        <v>374812.23</v>
      </c>
    </row>
    <row r="167" spans="1:18" s="7" customFormat="1" hidden="1" outlineLevel="1" x14ac:dyDescent="0.35">
      <c r="A167" s="36"/>
      <c r="B167" s="11" t="str">
        <f>CONCATENATE("          ", "9150", " - ", "MISC. INCOME")</f>
        <v xml:space="preserve">          9150 - MISC. INCOME</v>
      </c>
      <c r="D167" s="11">
        <f>--31087.27</f>
        <v>31087.27</v>
      </c>
      <c r="E167" s="16"/>
      <c r="F167" s="11">
        <f>--21114.21</f>
        <v>21114.21</v>
      </c>
      <c r="G167" s="3"/>
      <c r="H167" s="11">
        <f>--31468.99</f>
        <v>31468.99</v>
      </c>
      <c r="I167" s="3"/>
      <c r="J167" s="11">
        <f>--27112.05</f>
        <v>27112.05</v>
      </c>
      <c r="K167" s="3"/>
      <c r="L167" s="11">
        <f>--96045.53</f>
        <v>96045.53</v>
      </c>
      <c r="M167" s="3"/>
      <c r="N167" s="11">
        <f>--23186.55</f>
        <v>23186.55</v>
      </c>
      <c r="O167" s="3"/>
      <c r="P167" s="11">
        <v>33600</v>
      </c>
      <c r="Q167" s="3"/>
      <c r="R167" s="11">
        <v>41833</v>
      </c>
    </row>
    <row r="168" spans="1:18" s="7" customFormat="1" hidden="1" outlineLevel="1" x14ac:dyDescent="0.35">
      <c r="A168" s="36"/>
      <c r="B168" s="11" t="str">
        <f>CONCATENATE("          ", "9151", " - ", "MISC. INCOME")</f>
        <v xml:space="preserve">          9151 - MISC. INCOME</v>
      </c>
      <c r="D168" s="11">
        <f>0</f>
        <v>0</v>
      </c>
      <c r="E168" s="16"/>
      <c r="F168" s="11">
        <f>0</f>
        <v>0</v>
      </c>
      <c r="G168" s="3"/>
      <c r="H168" s="11">
        <f>0</f>
        <v>0</v>
      </c>
      <c r="I168" s="3"/>
      <c r="J168" s="11">
        <f>0</f>
        <v>0</v>
      </c>
      <c r="K168" s="3"/>
      <c r="L168" s="11">
        <f>0</f>
        <v>0</v>
      </c>
      <c r="M168" s="3"/>
      <c r="N168" s="11">
        <f>--144046.23</f>
        <v>144046.23000000001</v>
      </c>
      <c r="O168" s="3"/>
      <c r="P168" s="11">
        <v>172580</v>
      </c>
      <c r="Q168" s="3"/>
      <c r="R168" s="11">
        <v>332979.23</v>
      </c>
    </row>
    <row r="169" spans="1:18" s="7" customFormat="1" hidden="1" outlineLevel="1" x14ac:dyDescent="0.35">
      <c r="A169" s="36"/>
      <c r="B169" s="11" t="str">
        <f>CONCATENATE("          ", "9152", " - ", "MISC. INCOME")</f>
        <v xml:space="preserve">          9152 - MISC. INCOME</v>
      </c>
      <c r="D169" s="11">
        <f>--22409.17</f>
        <v>22409.17</v>
      </c>
      <c r="E169" s="16"/>
      <c r="F169" s="11">
        <f>--19372.95</f>
        <v>19372.95</v>
      </c>
      <c r="G169" s="3"/>
      <c r="H169" s="11">
        <f>--12544.55</f>
        <v>12544.55</v>
      </c>
      <c r="I169" s="3"/>
      <c r="J169" s="11">
        <f>--10296.66</f>
        <v>10296.66</v>
      </c>
      <c r="K169" s="3"/>
      <c r="L169" s="11">
        <f>--13830.34</f>
        <v>13830.34</v>
      </c>
      <c r="M169" s="3"/>
      <c r="N169" s="11">
        <f>--10637.6</f>
        <v>10637.6</v>
      </c>
      <c r="O169" s="3"/>
      <c r="P169" s="11"/>
      <c r="Q169" s="3"/>
      <c r="R169" s="11"/>
    </row>
    <row r="170" spans="1:18" s="7" customFormat="1" hidden="1" outlineLevel="1" x14ac:dyDescent="0.35">
      <c r="A170" s="36"/>
      <c r="B170" s="11" t="str">
        <f>CONCATENATE("          ", "9160", " - ", "MISC. INCOME")</f>
        <v xml:space="preserve">          9160 - MISC. INCOME</v>
      </c>
      <c r="D170" s="11">
        <f>0</f>
        <v>0</v>
      </c>
      <c r="E170" s="16"/>
      <c r="F170" s="11">
        <f>0</f>
        <v>0</v>
      </c>
      <c r="G170" s="3"/>
      <c r="H170" s="11">
        <f>0</f>
        <v>0</v>
      </c>
      <c r="I170" s="3"/>
      <c r="J170" s="11">
        <f>0</f>
        <v>0</v>
      </c>
      <c r="K170" s="3"/>
      <c r="L170" s="11">
        <f>0</f>
        <v>0</v>
      </c>
      <c r="M170" s="3"/>
      <c r="N170" s="11">
        <f>0</f>
        <v>0</v>
      </c>
      <c r="O170" s="3"/>
      <c r="P170" s="11"/>
      <c r="Q170" s="3"/>
      <c r="R170" s="11">
        <v>0</v>
      </c>
    </row>
    <row r="171" spans="1:18" x14ac:dyDescent="0.35">
      <c r="A171" s="12"/>
      <c r="B171" s="7"/>
      <c r="C171" s="7"/>
      <c r="D171" s="6"/>
      <c r="F171" s="6"/>
      <c r="H171" s="6"/>
      <c r="J171" s="6"/>
      <c r="L171" s="6"/>
      <c r="N171" s="6"/>
      <c r="P171" s="6"/>
      <c r="R171" s="6"/>
    </row>
    <row r="172" spans="1:18" s="15" customFormat="1" x14ac:dyDescent="0.35">
      <c r="A172" s="7"/>
      <c r="B172" s="22" t="s">
        <v>279</v>
      </c>
      <c r="C172" s="22"/>
      <c r="D172" s="10">
        <f>+D84-D87+D166</f>
        <v>1330870.5100000056</v>
      </c>
      <c r="E172" s="12"/>
      <c r="F172" s="10">
        <f>+F84-F87+F166</f>
        <v>1643490.0599999966</v>
      </c>
      <c r="G172" s="5"/>
      <c r="H172" s="10">
        <f>+H84-H87+H166</f>
        <v>1348303.4899999965</v>
      </c>
      <c r="I172" s="5"/>
      <c r="J172" s="10">
        <f>+J84-J87+J166</f>
        <v>1451666.2200000007</v>
      </c>
      <c r="K172" s="5"/>
      <c r="L172" s="10">
        <f>+L84-L87+L166</f>
        <v>1226694.7399999979</v>
      </c>
      <c r="M172" s="5"/>
      <c r="N172" s="10">
        <f>+N84-N87+N166</f>
        <v>988693.60999999812</v>
      </c>
      <c r="O172" s="5"/>
      <c r="P172" s="10">
        <f>+P84-P87+P166</f>
        <v>724587.83919167495</v>
      </c>
      <c r="Q172" s="5"/>
      <c r="R172" s="10">
        <f>+R84-R87+R166</f>
        <v>1041315.8473070828</v>
      </c>
    </row>
    <row r="173" spans="1:18" s="27" customFormat="1" x14ac:dyDescent="0.35">
      <c r="A173" s="18"/>
      <c r="B173" s="31"/>
      <c r="C173" s="18"/>
      <c r="D173" s="9">
        <f>IFERROR(D172/D10, 0)</f>
        <v>0.15159425162955611</v>
      </c>
      <c r="E173" s="18"/>
      <c r="F173" s="9">
        <f>IFERROR(F172/F10, 0)</f>
        <v>0.20644445428193114</v>
      </c>
      <c r="G173" s="14"/>
      <c r="H173" s="9">
        <f>IFERROR(H172/H10, 0)</f>
        <v>0.18771290708478053</v>
      </c>
      <c r="I173" s="14"/>
      <c r="J173" s="9">
        <f>IFERROR(J172/J10, 0)</f>
        <v>0.21168642874315091</v>
      </c>
      <c r="K173" s="14"/>
      <c r="L173" s="9">
        <f>IFERROR(L172/L10, 0)</f>
        <v>0.20283192009458842</v>
      </c>
      <c r="M173" s="14"/>
      <c r="N173" s="9">
        <f>IFERROR(N172/N10, 0)</f>
        <v>0.19969126323364564</v>
      </c>
      <c r="O173" s="14"/>
      <c r="P173" s="9">
        <f>IFERROR(P172/P10, 0)</f>
        <v>0.16192688612269887</v>
      </c>
      <c r="Q173" s="14"/>
      <c r="R173" s="9">
        <f>IFERROR(R172/R10, 0)</f>
        <v>0.21823470600107656</v>
      </c>
    </row>
    <row r="174" spans="1:18" s="27" customFormat="1" x14ac:dyDescent="0.35">
      <c r="A174" s="18"/>
      <c r="B174" s="31"/>
      <c r="C174" s="18"/>
      <c r="D174" s="13"/>
      <c r="E174" s="18"/>
      <c r="F174" s="13"/>
      <c r="G174" s="14"/>
      <c r="H174" s="13"/>
      <c r="I174" s="14"/>
      <c r="J174" s="13"/>
      <c r="K174" s="14"/>
      <c r="L174" s="13"/>
      <c r="M174" s="14"/>
      <c r="N174" s="13"/>
      <c r="O174" s="14"/>
      <c r="P174" s="13"/>
      <c r="Q174" s="14"/>
      <c r="R174" s="13"/>
    </row>
    <row r="175" spans="1:18" s="15" customFormat="1" x14ac:dyDescent="0.35">
      <c r="A175" s="37"/>
      <c r="B175" s="7" t="s">
        <v>127</v>
      </c>
      <c r="C175" s="7"/>
      <c r="D175" s="6">
        <v>1907778.36</v>
      </c>
      <c r="E175" s="12"/>
      <c r="F175" s="6">
        <v>1133293.69</v>
      </c>
      <c r="G175" s="5"/>
      <c r="H175" s="6">
        <v>960381.12</v>
      </c>
      <c r="I175" s="5"/>
      <c r="J175" s="6">
        <v>920385.72</v>
      </c>
      <c r="K175" s="5"/>
      <c r="L175" s="6">
        <v>431072.35</v>
      </c>
      <c r="M175" s="5"/>
      <c r="N175" s="6">
        <v>749710.21</v>
      </c>
      <c r="O175" s="5"/>
      <c r="P175" s="6">
        <v>756141</v>
      </c>
      <c r="Q175" s="5"/>
      <c r="R175" s="6">
        <v>541066</v>
      </c>
    </row>
    <row r="176" spans="1:18" x14ac:dyDescent="0.35">
      <c r="A176" s="12"/>
      <c r="B176" s="7"/>
      <c r="C176" s="7"/>
      <c r="D176" s="6"/>
      <c r="F176" s="6"/>
      <c r="H176" s="6"/>
      <c r="J176" s="6"/>
      <c r="L176" s="6"/>
      <c r="N176" s="6"/>
      <c r="P176" s="6"/>
      <c r="R176" s="6"/>
    </row>
    <row r="177" spans="1:18" s="15" customFormat="1" x14ac:dyDescent="0.35">
      <c r="A177" s="7"/>
      <c r="B177" s="22" t="s">
        <v>126</v>
      </c>
      <c r="C177" s="22"/>
      <c r="D177" s="10">
        <f>+D172-D175</f>
        <v>-576907.84999999451</v>
      </c>
      <c r="E177" s="12"/>
      <c r="F177" s="10">
        <f>+F172-F175</f>
        <v>510196.36999999662</v>
      </c>
      <c r="G177" s="5"/>
      <c r="H177" s="10">
        <f>+H172-H175</f>
        <v>387922.3699999965</v>
      </c>
      <c r="I177" s="5"/>
      <c r="J177" s="10">
        <f>+J172-J175</f>
        <v>531280.5000000007</v>
      </c>
      <c r="K177" s="5"/>
      <c r="L177" s="10">
        <f>+L172-L175</f>
        <v>795622.38999999792</v>
      </c>
      <c r="M177" s="5"/>
      <c r="N177" s="10">
        <f>+N172-N175</f>
        <v>238983.39999999816</v>
      </c>
      <c r="O177" s="5"/>
      <c r="P177" s="10">
        <f>+P172-P175</f>
        <v>-31553.160808325047</v>
      </c>
      <c r="Q177" s="5"/>
      <c r="R177" s="10">
        <f>+R172-R175</f>
        <v>500249.84730708285</v>
      </c>
    </row>
    <row r="178" spans="1:18" s="27" customFormat="1" x14ac:dyDescent="0.35">
      <c r="A178" s="18"/>
      <c r="B178" s="18"/>
      <c r="C178" s="18"/>
      <c r="D178" s="9">
        <f>IFERROR(D177/D10, 0)</f>
        <v>-6.5713315550109397E-2</v>
      </c>
      <c r="E178" s="18"/>
      <c r="F178" s="9">
        <f>IFERROR(F177/F10, 0)</f>
        <v>6.4087525531655323E-2</v>
      </c>
      <c r="G178" s="14"/>
      <c r="H178" s="9">
        <f>IFERROR(H177/H10, 0)</f>
        <v>5.4007155166465808E-2</v>
      </c>
      <c r="I178" s="14"/>
      <c r="J178" s="9">
        <f>IFERROR(J177/J10, 0)</f>
        <v>7.7472954978504413E-2</v>
      </c>
      <c r="K178" s="14"/>
      <c r="L178" s="9">
        <f>IFERROR(L177/L10, 0)</f>
        <v>0.13155482922666265</v>
      </c>
      <c r="M178" s="14"/>
      <c r="N178" s="9">
        <f>IFERROR(N177/N10, 0)</f>
        <v>4.8268641119134321E-2</v>
      </c>
      <c r="O178" s="14"/>
      <c r="P178" s="9">
        <f>IFERROR(P177/P10, 0)</f>
        <v>-7.0513260099984822E-3</v>
      </c>
      <c r="Q178" s="14"/>
      <c r="R178" s="9">
        <f>IFERROR(R177/R10, 0)</f>
        <v>0.10484031203065904</v>
      </c>
    </row>
    <row r="179" spans="1:18" s="27" customFormat="1" x14ac:dyDescent="0.35">
      <c r="A179" s="18"/>
      <c r="B179" s="18"/>
      <c r="C179" s="18"/>
      <c r="D179" s="13"/>
      <c r="E179" s="18"/>
      <c r="F179" s="13"/>
      <c r="G179" s="14"/>
      <c r="H179" s="13"/>
      <c r="I179" s="14"/>
      <c r="J179" s="13"/>
      <c r="K179" s="14"/>
      <c r="L179" s="13"/>
      <c r="M179" s="14"/>
      <c r="N179" s="13"/>
      <c r="O179" s="14"/>
      <c r="P179" s="13"/>
      <c r="Q179" s="14"/>
      <c r="R179" s="13"/>
    </row>
    <row r="180" spans="1:18" x14ac:dyDescent="0.35">
      <c r="A180" s="12"/>
      <c r="B180" s="12"/>
      <c r="C180" s="12"/>
      <c r="D180" s="6"/>
      <c r="F180" s="6"/>
      <c r="H180" s="6"/>
      <c r="J180" s="6"/>
      <c r="L180" s="6"/>
      <c r="N180" s="6"/>
      <c r="P180" s="6"/>
      <c r="R180" s="6"/>
    </row>
    <row r="181" spans="1:18" s="15" customFormat="1" x14ac:dyDescent="0.35">
      <c r="A181" s="7"/>
      <c r="B181" s="22" t="s">
        <v>296</v>
      </c>
      <c r="C181" s="22"/>
      <c r="D181" s="10">
        <f>SUM(D177:D180)</f>
        <v>-576907.91571331001</v>
      </c>
      <c r="E181" s="12"/>
      <c r="F181" s="10">
        <f>SUM(F177:F180)</f>
        <v>510196.43408752215</v>
      </c>
      <c r="G181" s="5"/>
      <c r="H181" s="10">
        <f>SUM(H177:H180)</f>
        <v>387922.42400715168</v>
      </c>
      <c r="I181" s="5"/>
      <c r="J181" s="10">
        <f>SUM(J177:J180)</f>
        <v>531280.57747295569</v>
      </c>
      <c r="K181" s="5"/>
      <c r="L181" s="10">
        <f>SUM(L177:L180)</f>
        <v>795622.52155482711</v>
      </c>
      <c r="M181" s="5"/>
      <c r="N181" s="10">
        <f>SUM(N177:N180)</f>
        <v>238983.44826863927</v>
      </c>
      <c r="O181" s="5"/>
      <c r="P181" s="10">
        <f>SUM(P177:P180)</f>
        <v>-31553.167859651057</v>
      </c>
      <c r="Q181" s="5"/>
      <c r="R181" s="10">
        <f>SUM(R177:R180)</f>
        <v>500249.95214739488</v>
      </c>
    </row>
    <row r="182" spans="1:18" s="27" customFormat="1" x14ac:dyDescent="0.35">
      <c r="A182" s="18"/>
      <c r="B182" s="41"/>
      <c r="C182" s="18"/>
      <c r="D182" s="9">
        <f>IFERROR(D181/D10, 0)</f>
        <v>-6.5713323035255997E-2</v>
      </c>
      <c r="E182" s="18"/>
      <c r="F182" s="9">
        <f>IFERROR(F181/F10, 0)</f>
        <v>6.4087533581910425E-2</v>
      </c>
      <c r="G182" s="14"/>
      <c r="H182" s="9">
        <f>IFERROR(H181/H10, 0)</f>
        <v>5.400716268542588E-2</v>
      </c>
      <c r="I182" s="14"/>
      <c r="J182" s="9">
        <f>IFERROR(J181/J10, 0)</f>
        <v>7.7472966275848765E-2</v>
      </c>
      <c r="K182" s="14"/>
      <c r="L182" s="9">
        <f>IFERROR(L181/L10, 0)</f>
        <v>0.13155485097903324</v>
      </c>
      <c r="M182" s="14"/>
      <c r="N182" s="9">
        <f>IFERROR(N181/N10, 0)</f>
        <v>4.8268650868186831E-2</v>
      </c>
      <c r="O182" s="14"/>
      <c r="P182" s="9">
        <f>IFERROR(P181/P10, 0)</f>
        <v>-7.051327585789852E-3</v>
      </c>
      <c r="Q182" s="14"/>
      <c r="R182" s="9">
        <f>IFERROR(R181/R10, 0)</f>
        <v>0.10484033400266179</v>
      </c>
    </row>
    <row r="183" spans="1:18" x14ac:dyDescent="0.35">
      <c r="A183" s="12"/>
      <c r="B183" s="40">
        <v>44319.883474803239</v>
      </c>
      <c r="D183" s="24"/>
      <c r="F183" s="24"/>
      <c r="H183" s="24"/>
      <c r="J183" s="24"/>
      <c r="L183" s="24"/>
      <c r="N183" s="24"/>
      <c r="P183" s="24"/>
      <c r="R183" s="24"/>
    </row>
    <row r="184" spans="1:18" x14ac:dyDescent="0.35">
      <c r="A184" s="12"/>
      <c r="B184" s="39" t="s">
        <v>23</v>
      </c>
      <c r="D184" s="24"/>
      <c r="F184" s="24"/>
      <c r="H184" s="24"/>
      <c r="J184" s="24"/>
      <c r="L184" s="24"/>
      <c r="N184" s="24"/>
      <c r="P184" s="24"/>
      <c r="R184" s="24"/>
    </row>
    <row r="185" spans="1:18" x14ac:dyDescent="0.35">
      <c r="A185" s="12"/>
      <c r="D185" s="24"/>
      <c r="F185" s="24"/>
      <c r="H185" s="24"/>
      <c r="J185" s="24"/>
      <c r="L185" s="24"/>
      <c r="N185" s="24"/>
      <c r="P185" s="24"/>
      <c r="R185" s="24"/>
    </row>
    <row r="186" spans="1:18" x14ac:dyDescent="0.35">
      <c r="D186" s="24"/>
      <c r="F186" s="24"/>
      <c r="H186" s="24"/>
      <c r="J186" s="24"/>
      <c r="L186" s="24"/>
      <c r="N186" s="24"/>
      <c r="P186" s="24"/>
      <c r="R186" s="24"/>
    </row>
  </sheetData>
  <pageMargins left="0.5" right="0.5" top="0.5" bottom="0.5" header="0.3" footer="0.3"/>
  <pageSetup scale="59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23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2935290.53</v>
      </c>
      <c r="F10" s="8">
        <f>SUM(OSRRefF11x_0)</f>
        <v>3288268.0100000002</v>
      </c>
      <c r="G10" s="8"/>
      <c r="H10" s="8">
        <f>SUM(OSRRefH11x_0)</f>
        <v>3566501.8999999994</v>
      </c>
      <c r="I10" s="8"/>
      <c r="J10" s="8">
        <f>SUM(OSRRefJ11x_0)</f>
        <v>3605726.4499999993</v>
      </c>
      <c r="K10" s="8"/>
      <c r="L10" s="8">
        <f>SUM(OSRRefL11x_0)</f>
        <v>3666643.5099999993</v>
      </c>
      <c r="M10" s="8"/>
      <c r="N10" s="8">
        <f>SUM(OSRRefN11x_0)</f>
        <v>2936241.2100000004</v>
      </c>
      <c r="O10" s="8"/>
      <c r="P10" s="8">
        <f>SUM(OSRRefP11x_0)</f>
        <v>4105165</v>
      </c>
      <c r="Q10" s="8"/>
      <c r="R10" s="8">
        <f>SUM(OSRRefR11x_0)</f>
        <v>3219129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 t="shared" ref="J11:J15" si="0">0</f>
        <v>0</v>
      </c>
      <c r="K11" s="3"/>
      <c r="L11" s="11">
        <f t="shared" ref="L11:L15" si="1">0</f>
        <v>0</v>
      </c>
      <c r="M11" s="3"/>
      <c r="N11" s="11">
        <f t="shared" ref="N11:N15" si="2">0</f>
        <v>0</v>
      </c>
      <c r="O11" s="3"/>
      <c r="P11" s="11">
        <v>4105165</v>
      </c>
      <c r="Q11" s="3"/>
      <c r="R11" s="11">
        <v>3219129</v>
      </c>
    </row>
    <row r="12" spans="1:18" s="16" customFormat="1" hidden="1" outlineLevel="1" x14ac:dyDescent="0.35">
      <c r="B12" s="35" t="str">
        <f>CONCATENATE("          ", "4013", " - ", "TAXABLE SALES-TRADE BOOKS")</f>
        <v xml:space="preserve">          4013 - TAXABLE SALES-TRADE BOOKS</v>
      </c>
      <c r="D12" s="11">
        <f>-486.87*-1</f>
        <v>486.87</v>
      </c>
      <c r="F12" s="11">
        <f>-350.03*-1</f>
        <v>350.03</v>
      </c>
      <c r="G12" s="3"/>
      <c r="H12" s="11">
        <f>-841.67*-1</f>
        <v>841.67</v>
      </c>
      <c r="I12" s="3"/>
      <c r="J12" s="11">
        <f t="shared" si="0"/>
        <v>0</v>
      </c>
      <c r="K12" s="3"/>
      <c r="L12" s="11">
        <f t="shared" si="1"/>
        <v>0</v>
      </c>
      <c r="M12" s="3"/>
      <c r="N12" s="11">
        <f t="shared" si="2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"4014", " - ", "TAXABLE SALES-REMAINDERS")</f>
        <v xml:space="preserve">          4014 - TAXABLE SALES-REMAINDERS</v>
      </c>
      <c r="D13" s="11">
        <f t="shared" ref="D13:D15" si="3">0*-1</f>
        <v>0</v>
      </c>
      <c r="F13" s="11">
        <f>0*-1</f>
        <v>0</v>
      </c>
      <c r="G13" s="3"/>
      <c r="H13" s="11">
        <f>-29.93*-1</f>
        <v>29.93</v>
      </c>
      <c r="I13" s="3"/>
      <c r="J13" s="11">
        <f t="shared" si="0"/>
        <v>0</v>
      </c>
      <c r="K13" s="3"/>
      <c r="L13" s="11">
        <f t="shared" si="1"/>
        <v>0</v>
      </c>
      <c r="M13" s="3"/>
      <c r="N13" s="11">
        <f t="shared" si="2"/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"4015", " - ", "TAXABLE SALES-CALENDARS")</f>
        <v xml:space="preserve">          4015 - TAXABLE SALES-CALENDARS</v>
      </c>
      <c r="D14" s="11">
        <f t="shared" si="3"/>
        <v>0</v>
      </c>
      <c r="F14" s="11">
        <f>-12.49*-1</f>
        <v>12.49</v>
      </c>
      <c r="G14" s="3"/>
      <c r="H14" s="11">
        <f>0*-1</f>
        <v>0</v>
      </c>
      <c r="I14" s="3"/>
      <c r="J14" s="11">
        <f t="shared" si="0"/>
        <v>0</v>
      </c>
      <c r="K14" s="3"/>
      <c r="L14" s="11">
        <f t="shared" si="1"/>
        <v>0</v>
      </c>
      <c r="M14" s="3"/>
      <c r="N14" s="11">
        <f t="shared" si="2"/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"4019", " - ", "TAXABLE SALES-BOOK RELATED")</f>
        <v xml:space="preserve">          4019 - TAXABLE SALES-BOOK RELATED</v>
      </c>
      <c r="D15" s="11">
        <f t="shared" si="3"/>
        <v>0</v>
      </c>
      <c r="F15" s="11">
        <f>0*-1</f>
        <v>0</v>
      </c>
      <c r="G15" s="3"/>
      <c r="H15" s="11">
        <f>-599.8*-1</f>
        <v>599.79999999999995</v>
      </c>
      <c r="I15" s="3"/>
      <c r="J15" s="11">
        <f t="shared" si="0"/>
        <v>0</v>
      </c>
      <c r="K15" s="3"/>
      <c r="L15" s="11">
        <f t="shared" si="1"/>
        <v>0</v>
      </c>
      <c r="M15" s="3"/>
      <c r="N15" s="11">
        <f t="shared" si="2"/>
        <v>0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"4025", " - ", "TAXABLE SALES-TEST FORMS")</f>
        <v xml:space="preserve">          4025 - TAXABLE SALES-TEST FORMS</v>
      </c>
      <c r="D16" s="11">
        <f>-70.93*-1</f>
        <v>70.930000000000007</v>
      </c>
      <c r="F16" s="11">
        <f>-87.88*-1</f>
        <v>87.88</v>
      </c>
      <c r="G16" s="3"/>
      <c r="H16" s="11">
        <f>-93.77*-1</f>
        <v>93.77</v>
      </c>
      <c r="I16" s="3"/>
      <c r="J16" s="11">
        <f>--17.31</f>
        <v>17.309999999999999</v>
      </c>
      <c r="K16" s="3"/>
      <c r="L16" s="11">
        <f>--16.53</f>
        <v>16.53</v>
      </c>
      <c r="M16" s="3"/>
      <c r="N16" s="11">
        <f>--13.62</f>
        <v>13.62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"4026", " - ", "TAXABLE SALES-WRITING INSTRUME")</f>
        <v xml:space="preserve">          4026 - TAXABLE SALES-WRITING INSTRUME</v>
      </c>
      <c r="D17" s="11">
        <f>-474.57*-1</f>
        <v>474.57</v>
      </c>
      <c r="F17" s="11">
        <f>-485.48*-1</f>
        <v>485.48</v>
      </c>
      <c r="G17" s="3"/>
      <c r="H17" s="11">
        <f>-294.59*-1</f>
        <v>294.58999999999997</v>
      </c>
      <c r="I17" s="3"/>
      <c r="J17" s="11">
        <f>--391.23</f>
        <v>391.23</v>
      </c>
      <c r="K17" s="3"/>
      <c r="L17" s="11">
        <f>--534.9</f>
        <v>534.9</v>
      </c>
      <c r="M17" s="3"/>
      <c r="N17" s="11">
        <f>--229.51</f>
        <v>229.51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"4027", " - ", "TAXABLE SALES-SCHOOL SUPPLIES")</f>
        <v xml:space="preserve">          4027 - TAXABLE SALES-SCHOOL SUPPLIES</v>
      </c>
      <c r="D18" s="11">
        <f>-239.51*-1</f>
        <v>239.51</v>
      </c>
      <c r="F18" s="11">
        <f>-395.22*-1</f>
        <v>395.22</v>
      </c>
      <c r="G18" s="3"/>
      <c r="H18" s="11">
        <f>-727.85*-1</f>
        <v>727.85</v>
      </c>
      <c r="I18" s="3"/>
      <c r="J18" s="11">
        <f>--238.89</f>
        <v>238.89</v>
      </c>
      <c r="K18" s="3"/>
      <c r="L18" s="11">
        <f>--310.93</f>
        <v>310.93</v>
      </c>
      <c r="M18" s="3"/>
      <c r="N18" s="11">
        <f>--161.59</f>
        <v>161.59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"4028", " - ", "TAXABLE SALES-ART/TECH")</f>
        <v xml:space="preserve">          4028 - TAXABLE SALES-ART/TECH</v>
      </c>
      <c r="D19" s="11">
        <f t="shared" ref="D19:D23" si="4">0*-1</f>
        <v>0</v>
      </c>
      <c r="F19" s="11">
        <f t="shared" ref="F19:F20" si="5">0*-1</f>
        <v>0</v>
      </c>
      <c r="G19" s="3"/>
      <c r="H19" s="11">
        <f>0*-1</f>
        <v>0</v>
      </c>
      <c r="I19" s="3"/>
      <c r="J19" s="11">
        <f>--49.9</f>
        <v>49.9</v>
      </c>
      <c r="K19" s="3"/>
      <c r="L19" s="11">
        <f t="shared" ref="L19:L22" si="6">0</f>
        <v>0</v>
      </c>
      <c r="M19" s="3"/>
      <c r="N19" s="11">
        <f t="shared" ref="N19:N23" si="7">0</f>
        <v>0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"4031", " - ", "TAXABLE SALES-FOOD")</f>
        <v xml:space="preserve">          4031 - TAXABLE SALES-FOOD</v>
      </c>
      <c r="D20" s="11">
        <f t="shared" si="4"/>
        <v>0</v>
      </c>
      <c r="F20" s="11">
        <f t="shared" si="5"/>
        <v>0</v>
      </c>
      <c r="G20" s="3"/>
      <c r="H20" s="11">
        <f>-7.05*-1</f>
        <v>7.05</v>
      </c>
      <c r="I20" s="3"/>
      <c r="J20" s="11">
        <f>0</f>
        <v>0</v>
      </c>
      <c r="K20" s="3"/>
      <c r="L20" s="11">
        <f t="shared" si="6"/>
        <v>0</v>
      </c>
      <c r="M20" s="3"/>
      <c r="N20" s="11">
        <f t="shared" si="7"/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"4032", " - ", "TAXABLE SALES-JUICE")</f>
        <v xml:space="preserve">          4032 - TAXABLE SALES-JUICE</v>
      </c>
      <c r="D21" s="11">
        <f t="shared" si="4"/>
        <v>0</v>
      </c>
      <c r="F21" s="11">
        <f>-5.08*-1</f>
        <v>5.08</v>
      </c>
      <c r="G21" s="3"/>
      <c r="H21" s="11">
        <f>-12.66*-1</f>
        <v>12.66</v>
      </c>
      <c r="I21" s="3"/>
      <c r="J21" s="11">
        <f>--7.13</f>
        <v>7.13</v>
      </c>
      <c r="K21" s="3"/>
      <c r="L21" s="11">
        <f t="shared" si="6"/>
        <v>0</v>
      </c>
      <c r="M21" s="3"/>
      <c r="N21" s="11">
        <f t="shared" si="7"/>
        <v>0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"4033", " - ", "TAXABLE SALES-CANDY")</f>
        <v xml:space="preserve">          4033 - TAXABLE SALES-CANDY</v>
      </c>
      <c r="D22" s="11">
        <f t="shared" si="4"/>
        <v>0</v>
      </c>
      <c r="F22" s="11">
        <f>0*-1</f>
        <v>0</v>
      </c>
      <c r="G22" s="3"/>
      <c r="H22" s="11">
        <f>-5.11*-1</f>
        <v>5.1100000000000003</v>
      </c>
      <c r="I22" s="3"/>
      <c r="J22" s="11">
        <f>0</f>
        <v>0</v>
      </c>
      <c r="K22" s="3"/>
      <c r="L22" s="11">
        <f t="shared" si="6"/>
        <v>0</v>
      </c>
      <c r="M22" s="3"/>
      <c r="N22" s="11">
        <f t="shared" si="7"/>
        <v>0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"4034", " - ", "TAXABLE SALES-SODA")</f>
        <v xml:space="preserve">          4034 - TAXABLE SALES-SODA</v>
      </c>
      <c r="D23" s="11">
        <f t="shared" si="4"/>
        <v>0</v>
      </c>
      <c r="F23" s="11">
        <f>-196.88*-1</f>
        <v>196.88</v>
      </c>
      <c r="G23" s="3"/>
      <c r="H23" s="11">
        <f>-117.8*-1</f>
        <v>117.8</v>
      </c>
      <c r="I23" s="3"/>
      <c r="J23" s="11">
        <f>--210</f>
        <v>210</v>
      </c>
      <c r="K23" s="3"/>
      <c r="L23" s="11">
        <f>--70.49</f>
        <v>70.489999999999995</v>
      </c>
      <c r="M23" s="3"/>
      <c r="N23" s="11">
        <f t="shared" si="7"/>
        <v>0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"4040", " - ", "TAXABLE SALES-LOGO CLOTHING")</f>
        <v xml:space="preserve">          4040 - TAXABLE SALES-LOGO CLOTHING</v>
      </c>
      <c r="D24" s="11">
        <f>-2091546.66*-1</f>
        <v>2091546.66</v>
      </c>
      <c r="F24" s="11">
        <f>-2361034.68*-1</f>
        <v>2361034.6800000002</v>
      </c>
      <c r="G24" s="3"/>
      <c r="H24" s="11">
        <f>-2542019.78*-1</f>
        <v>2542019.7799999998</v>
      </c>
      <c r="I24" s="3"/>
      <c r="J24" s="11">
        <f>--2496988.94</f>
        <v>2496988.94</v>
      </c>
      <c r="K24" s="3"/>
      <c r="L24" s="11">
        <f>--2503852.42</f>
        <v>2503852.42</v>
      </c>
      <c r="M24" s="3"/>
      <c r="N24" s="11">
        <f>--1941274.42</f>
        <v>1941274.42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"4041", " - ", "TAXABLE SALES-LOGO GIFTS")</f>
        <v xml:space="preserve">          4041 - TAXABLE SALES-LOGO GIFTS</v>
      </c>
      <c r="D25" s="11">
        <f>-581489.29*-1</f>
        <v>581489.29</v>
      </c>
      <c r="F25" s="11">
        <f>-650658.13*-1</f>
        <v>650658.13</v>
      </c>
      <c r="G25" s="3"/>
      <c r="H25" s="11">
        <f>-705162.9*-1</f>
        <v>705162.9</v>
      </c>
      <c r="I25" s="3"/>
      <c r="J25" s="11">
        <f>--695505.15</f>
        <v>695505.15</v>
      </c>
      <c r="K25" s="3"/>
      <c r="L25" s="11">
        <f>--663277.47</f>
        <v>663277.47</v>
      </c>
      <c r="M25" s="3"/>
      <c r="N25" s="11">
        <f>--380463.99</f>
        <v>380463.99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"4042", " - ", "TAXABLE SALES-EVERYDAY GIFTS")</f>
        <v xml:space="preserve">          4042 - TAXABLE SALES-EVERYDAY GIFTS</v>
      </c>
      <c r="D26" s="11">
        <f>-87375.02*-1</f>
        <v>87375.02</v>
      </c>
      <c r="F26" s="11">
        <f>-114115.71*-1</f>
        <v>114115.71</v>
      </c>
      <c r="G26" s="3"/>
      <c r="H26" s="11">
        <f>-126707.1*-1</f>
        <v>126707.1</v>
      </c>
      <c r="I26" s="3"/>
      <c r="J26" s="11">
        <f>--229245.82</f>
        <v>229245.82</v>
      </c>
      <c r="K26" s="3"/>
      <c r="L26" s="11">
        <f>--235702.4</f>
        <v>235702.39999999999</v>
      </c>
      <c r="M26" s="3"/>
      <c r="N26" s="11">
        <f>--208367.78</f>
        <v>208367.78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"4043", " - ", "TAXABLE SALES-CARDS")</f>
        <v xml:space="preserve">          4043 - TAXABLE SALES-CARDS</v>
      </c>
      <c r="D27" s="11">
        <f>-29077.91*-1</f>
        <v>29077.91</v>
      </c>
      <c r="F27" s="11">
        <f>-30065.27*-1</f>
        <v>30065.27</v>
      </c>
      <c r="G27" s="3"/>
      <c r="H27" s="11">
        <f>-10685.5*-1</f>
        <v>10685.5</v>
      </c>
      <c r="I27" s="3"/>
      <c r="J27" s="11">
        <f>--4683.05</f>
        <v>4683.05</v>
      </c>
      <c r="K27" s="3"/>
      <c r="L27" s="11">
        <f>--3734.35</f>
        <v>3734.35</v>
      </c>
      <c r="M27" s="3"/>
      <c r="N27" s="11">
        <f>--76402.42</f>
        <v>76402.42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"4044", " - ", "TAXABLE SALES-ACCESSORIES")</f>
        <v xml:space="preserve">          4044 - TAXABLE SALES-ACCESSORIES</v>
      </c>
      <c r="D28" s="11">
        <f>-72513.34*-1</f>
        <v>72513.34</v>
      </c>
      <c r="F28" s="11">
        <f>-88358.95*-1</f>
        <v>88358.95</v>
      </c>
      <c r="G28" s="3"/>
      <c r="H28" s="11">
        <f>-84153.67*-1</f>
        <v>84153.67</v>
      </c>
      <c r="I28" s="3"/>
      <c r="J28" s="11">
        <f>--74116.46</f>
        <v>74116.460000000006</v>
      </c>
      <c r="K28" s="3"/>
      <c r="L28" s="11">
        <f>--87817.61</f>
        <v>87817.61</v>
      </c>
      <c r="M28" s="3"/>
      <c r="N28" s="11">
        <f>--73365.88</f>
        <v>73365.88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"4045", " - ", "TAXABLE SALES-SPECIAL ORDERS")</f>
        <v xml:space="preserve">          4045 - TAXABLE SALES-SPECIAL ORDERS</v>
      </c>
      <c r="D29" s="11">
        <f>-121532.64*-1</f>
        <v>121532.64</v>
      </c>
      <c r="F29" s="11">
        <f>-102893.6*-1</f>
        <v>102893.6</v>
      </c>
      <c r="G29" s="3"/>
      <c r="H29" s="11">
        <f>-192412.91*-1</f>
        <v>192412.91</v>
      </c>
      <c r="I29" s="3"/>
      <c r="J29" s="11">
        <f>--185422.86</f>
        <v>185422.86</v>
      </c>
      <c r="K29" s="3"/>
      <c r="L29" s="11">
        <f>--219240.28</f>
        <v>219240.28</v>
      </c>
      <c r="M29" s="3"/>
      <c r="N29" s="11">
        <f>--123103.09</f>
        <v>123103.09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"4081", " - ", "TAXABLE SALES-ELECTRONICS")</f>
        <v xml:space="preserve">          4081 - TAXABLE SALES-ELECTRONICS</v>
      </c>
      <c r="D30" s="11">
        <f>-127.32*-1</f>
        <v>127.32</v>
      </c>
      <c r="F30" s="11">
        <f t="shared" ref="F30:F33" si="8">0*-1</f>
        <v>0</v>
      </c>
      <c r="G30" s="3"/>
      <c r="H30" s="11">
        <f>-19.98*-1</f>
        <v>19.98</v>
      </c>
      <c r="I30" s="3"/>
      <c r="J30" s="11">
        <f t="shared" ref="J30:J32" si="9">0</f>
        <v>0</v>
      </c>
      <c r="K30" s="3"/>
      <c r="L30" s="11">
        <f t="shared" ref="L30:L33" si="10">0</f>
        <v>0</v>
      </c>
      <c r="M30" s="3"/>
      <c r="N30" s="11">
        <f t="shared" ref="N30:N33" si="11">0</f>
        <v>0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"4083", " - ", "TAXABLE SALES-COMPUTER EQUIPME")</f>
        <v xml:space="preserve">          4083 - TAXABLE SALES-COMPUTER EQUIPME</v>
      </c>
      <c r="D31" s="11">
        <f>-239.4*-1</f>
        <v>239.4</v>
      </c>
      <c r="F31" s="11">
        <f t="shared" si="8"/>
        <v>0</v>
      </c>
      <c r="G31" s="3"/>
      <c r="H31" s="11">
        <f>-15.98*-1</f>
        <v>15.98</v>
      </c>
      <c r="I31" s="3"/>
      <c r="J31" s="11">
        <f t="shared" si="9"/>
        <v>0</v>
      </c>
      <c r="K31" s="3"/>
      <c r="L31" s="11">
        <f t="shared" si="10"/>
        <v>0</v>
      </c>
      <c r="M31" s="3"/>
      <c r="N31" s="11">
        <f t="shared" si="11"/>
        <v>0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"4086", " - ", "TAXABLE SALES-COMPUTER SUPPLIE")</f>
        <v xml:space="preserve">          4086 - TAXABLE SALES-COMPUTER SUPPLIE</v>
      </c>
      <c r="D32" s="11">
        <f t="shared" ref="D32:D33" si="12">0*-1</f>
        <v>0</v>
      </c>
      <c r="F32" s="11">
        <f t="shared" si="8"/>
        <v>0</v>
      </c>
      <c r="G32" s="3"/>
      <c r="H32" s="11">
        <f>-9.99*-1</f>
        <v>9.99</v>
      </c>
      <c r="I32" s="3"/>
      <c r="J32" s="11">
        <f t="shared" si="9"/>
        <v>0</v>
      </c>
      <c r="K32" s="3"/>
      <c r="L32" s="11">
        <f t="shared" si="10"/>
        <v>0</v>
      </c>
      <c r="M32" s="3"/>
      <c r="N32" s="11">
        <f t="shared" si="11"/>
        <v>0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"4088", " - ", "TAXABLE SALES-MUSIC")</f>
        <v xml:space="preserve">          4088 - TAXABLE SALES-MUSIC</v>
      </c>
      <c r="D33" s="11">
        <f t="shared" si="12"/>
        <v>0</v>
      </c>
      <c r="F33" s="11">
        <f t="shared" si="8"/>
        <v>0</v>
      </c>
      <c r="G33" s="3"/>
      <c r="H33" s="11">
        <f>0*-1</f>
        <v>0</v>
      </c>
      <c r="I33" s="3"/>
      <c r="J33" s="11">
        <f>--59</f>
        <v>59</v>
      </c>
      <c r="K33" s="3"/>
      <c r="L33" s="11">
        <f t="shared" si="10"/>
        <v>0</v>
      </c>
      <c r="M33" s="3"/>
      <c r="N33" s="11">
        <f t="shared" si="11"/>
        <v>0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"4092", " - ", "TAXABLE SALES-GRAD MERCH")</f>
        <v xml:space="preserve">          4092 - TAXABLE SALES-GRAD MERCH</v>
      </c>
      <c r="D34" s="11">
        <f>-575.2*-1</f>
        <v>575.20000000000005</v>
      </c>
      <c r="F34" s="11">
        <f>-36.95*-1</f>
        <v>36.950000000000003</v>
      </c>
      <c r="G34" s="3"/>
      <c r="H34" s="11">
        <f>-1752.25*-1</f>
        <v>1752.25</v>
      </c>
      <c r="I34" s="3"/>
      <c r="J34" s="11">
        <f>--1018.85</f>
        <v>1018.85</v>
      </c>
      <c r="K34" s="3"/>
      <c r="L34" s="11">
        <f>--364.55</f>
        <v>364.55</v>
      </c>
      <c r="M34" s="3"/>
      <c r="N34" s="11">
        <f>-39.95</f>
        <v>-39.950000000000003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"4095", " - ", "TAXABLE SALES-CUSTOMER SERVICE")</f>
        <v xml:space="preserve">          4095 - TAXABLE SALES-CUSTOMER SERVICE</v>
      </c>
      <c r="D35" s="11">
        <f>-390.21*-1</f>
        <v>390.21</v>
      </c>
      <c r="F35" s="11">
        <f>-124.35*-1</f>
        <v>124.35</v>
      </c>
      <c r="G35" s="3"/>
      <c r="H35" s="11">
        <f>-113.85*-1</f>
        <v>113.85</v>
      </c>
      <c r="I35" s="3"/>
      <c r="J35" s="11">
        <f>--45.54</f>
        <v>45.54</v>
      </c>
      <c r="K35" s="3"/>
      <c r="L35" s="11">
        <f>--52.47</f>
        <v>52.47</v>
      </c>
      <c r="M35" s="3"/>
      <c r="N35" s="11">
        <f>--29.7</f>
        <v>29.7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"4126", " - ", "NON-TAXABLE SALES-WRITING INST")</f>
        <v xml:space="preserve">          4126 - NON-TAXABLE SALES-WRITING INST</v>
      </c>
      <c r="D36" s="11">
        <f t="shared" ref="D36:D40" si="13">0*-1</f>
        <v>0</v>
      </c>
      <c r="F36" s="11">
        <f t="shared" ref="F36:F38" si="14">0*-1</f>
        <v>0</v>
      </c>
      <c r="G36" s="3"/>
      <c r="H36" s="11">
        <f>-2.94*-1</f>
        <v>2.94</v>
      </c>
      <c r="I36" s="3"/>
      <c r="J36" s="11">
        <f>0</f>
        <v>0</v>
      </c>
      <c r="K36" s="3"/>
      <c r="L36" s="11">
        <f t="shared" ref="L36:L39" si="15">0</f>
        <v>0</v>
      </c>
      <c r="M36" s="3"/>
      <c r="N36" s="11">
        <f t="shared" ref="N36:N39" si="16">0</f>
        <v>0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"4131", " - ", "NON-TAXABLE SALES-FOOD")</f>
        <v xml:space="preserve">          4131 - NON-TAXABLE SALES-FOOD</v>
      </c>
      <c r="D37" s="11">
        <f t="shared" si="13"/>
        <v>0</v>
      </c>
      <c r="F37" s="11">
        <f t="shared" si="14"/>
        <v>0</v>
      </c>
      <c r="G37" s="3"/>
      <c r="H37" s="11">
        <f>-205.8*-1</f>
        <v>205.8</v>
      </c>
      <c r="I37" s="3"/>
      <c r="J37" s="11">
        <f>--2.56</f>
        <v>2.56</v>
      </c>
      <c r="K37" s="3"/>
      <c r="L37" s="11">
        <f t="shared" si="15"/>
        <v>0</v>
      </c>
      <c r="M37" s="3"/>
      <c r="N37" s="11">
        <f t="shared" si="16"/>
        <v>0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"4133", " - ", "NON-TAXABLE SALES-CANDY")</f>
        <v xml:space="preserve">          4133 - NON-TAXABLE SALES-CANDY</v>
      </c>
      <c r="D38" s="11">
        <f t="shared" si="13"/>
        <v>0</v>
      </c>
      <c r="F38" s="11">
        <f t="shared" si="14"/>
        <v>0</v>
      </c>
      <c r="G38" s="3"/>
      <c r="H38" s="11">
        <f>-51.88*-1</f>
        <v>51.88</v>
      </c>
      <c r="I38" s="3"/>
      <c r="J38" s="11">
        <f>0</f>
        <v>0</v>
      </c>
      <c r="K38" s="3"/>
      <c r="L38" s="11">
        <f t="shared" si="15"/>
        <v>0</v>
      </c>
      <c r="M38" s="3"/>
      <c r="N38" s="11">
        <f t="shared" si="16"/>
        <v>0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"4134", " - ", "NON-TAXABLE SALES-SODA")</f>
        <v xml:space="preserve">          4134 - NON-TAXABLE SALES-SODA</v>
      </c>
      <c r="D39" s="11">
        <f t="shared" si="13"/>
        <v>0</v>
      </c>
      <c r="F39" s="11">
        <f>-4.04*-1</f>
        <v>4.04</v>
      </c>
      <c r="G39" s="3"/>
      <c r="H39" s="11">
        <f>-89.22*-1</f>
        <v>89.22</v>
      </c>
      <c r="I39" s="3"/>
      <c r="J39" s="11">
        <f>--71.31</f>
        <v>71.31</v>
      </c>
      <c r="K39" s="3"/>
      <c r="L39" s="11">
        <f t="shared" si="15"/>
        <v>0</v>
      </c>
      <c r="M39" s="3"/>
      <c r="N39" s="11">
        <f t="shared" si="16"/>
        <v>0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"4137", " - ", "NON-TAXABLE SALES-WATER")</f>
        <v xml:space="preserve">          4137 - NON-TAXABLE SALES-WATER</v>
      </c>
      <c r="D40" s="11">
        <f t="shared" si="13"/>
        <v>0</v>
      </c>
      <c r="F40" s="11">
        <f>-197.94*-1</f>
        <v>197.94</v>
      </c>
      <c r="G40" s="3"/>
      <c r="H40" s="11">
        <f>-175.96*-1</f>
        <v>175.96</v>
      </c>
      <c r="I40" s="3"/>
      <c r="J40" s="11">
        <f>--151.5</f>
        <v>151.5</v>
      </c>
      <c r="K40" s="3"/>
      <c r="L40" s="11">
        <f>--126</f>
        <v>126</v>
      </c>
      <c r="M40" s="3"/>
      <c r="N40" s="11">
        <f>--123</f>
        <v>123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"4140", " - ", "NON-TAXABLE SALES-LOGO CLOTHIN")</f>
        <v xml:space="preserve">          4140 - NON-TAXABLE SALES-LOGO CLOTHIN</v>
      </c>
      <c r="D41" s="11">
        <f>-66659.64*-1</f>
        <v>66659.64</v>
      </c>
      <c r="F41" s="11">
        <f>-54768.83*-1</f>
        <v>54768.83</v>
      </c>
      <c r="G41" s="3"/>
      <c r="H41" s="11">
        <f>-69204.87*-1</f>
        <v>69204.87</v>
      </c>
      <c r="I41" s="3"/>
      <c r="J41" s="11">
        <f>--67516.34</f>
        <v>67516.34</v>
      </c>
      <c r="K41" s="3"/>
      <c r="L41" s="11">
        <f>--62811.11</f>
        <v>62811.11</v>
      </c>
      <c r="M41" s="3"/>
      <c r="N41" s="11">
        <f>--176221.13</f>
        <v>176221.13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"4141", " - ", "NON-TAXABLE SALES-LOGO GIFTS")</f>
        <v xml:space="preserve">          4141 - NON-TAXABLE SALES-LOGO GIFTS</v>
      </c>
      <c r="D42" s="11">
        <f>-9151.07*-1</f>
        <v>9151.07</v>
      </c>
      <c r="F42" s="11">
        <f>-5903.68*-1</f>
        <v>5903.68</v>
      </c>
      <c r="G42" s="3"/>
      <c r="H42" s="11">
        <f>-4642.13*-1</f>
        <v>4642.13</v>
      </c>
      <c r="I42" s="3"/>
      <c r="J42" s="11">
        <f>--4196.71</f>
        <v>4196.71</v>
      </c>
      <c r="K42" s="3"/>
      <c r="L42" s="11">
        <f>--4889.83</f>
        <v>4889.83</v>
      </c>
      <c r="M42" s="3"/>
      <c r="N42" s="11">
        <f>--22573.35</f>
        <v>22573.35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"4142", " - ", "NON-TAXABLE SALES-EVERYDAY GIF")</f>
        <v xml:space="preserve">          4142 - NON-TAXABLE SALES-EVERYDAY GIF</v>
      </c>
      <c r="D43" s="11">
        <f>-11.85*-1</f>
        <v>11.85</v>
      </c>
      <c r="F43" s="11">
        <f>-1984.12*-1</f>
        <v>1984.12</v>
      </c>
      <c r="G43" s="3"/>
      <c r="H43" s="11">
        <f>-1626.49*-1</f>
        <v>1626.49</v>
      </c>
      <c r="I43" s="3"/>
      <c r="J43" s="11">
        <f>--5554.86</f>
        <v>5554.86</v>
      </c>
      <c r="K43" s="3"/>
      <c r="L43" s="11">
        <f>--7515.71</f>
        <v>7515.71</v>
      </c>
      <c r="M43" s="3"/>
      <c r="N43" s="11">
        <f>--7426.72</f>
        <v>7426.72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"4143", " - ", "NON-TAXABLE SALES-CARDS")</f>
        <v xml:space="preserve">          4143 - NON-TAXABLE SALES-CARDS</v>
      </c>
      <c r="D44" s="11">
        <f>-1.5*-1</f>
        <v>1.5</v>
      </c>
      <c r="F44" s="11">
        <f>-7.95*-1</f>
        <v>7.95</v>
      </c>
      <c r="G44" s="3"/>
      <c r="H44" s="11">
        <f>0*-1</f>
        <v>0</v>
      </c>
      <c r="I44" s="3"/>
      <c r="J44" s="11">
        <f>0</f>
        <v>0</v>
      </c>
      <c r="K44" s="3"/>
      <c r="L44" s="11">
        <f>0</f>
        <v>0</v>
      </c>
      <c r="M44" s="3"/>
      <c r="N44" s="11">
        <f>--19.98</f>
        <v>19.98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"4144", " - ", "NON-TAXABLE SALES-ACCESSORIES")</f>
        <v xml:space="preserve">          4144 - NON-TAXABLE SALES-ACCESSORIES</v>
      </c>
      <c r="D45" s="11">
        <f>-1524.08*-1</f>
        <v>1524.08</v>
      </c>
      <c r="F45" s="11">
        <f>-1919.05*-1</f>
        <v>1919.05</v>
      </c>
      <c r="G45" s="3"/>
      <c r="H45" s="11">
        <f>-7162.32*-1</f>
        <v>7162.32</v>
      </c>
      <c r="I45" s="3"/>
      <c r="J45" s="11">
        <f>--1934.37</f>
        <v>1934.37</v>
      </c>
      <c r="K45" s="3"/>
      <c r="L45" s="11">
        <f>--659.84</f>
        <v>659.84</v>
      </c>
      <c r="M45" s="3"/>
      <c r="N45" s="11">
        <f>--3710.92</f>
        <v>3710.92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"4145", " - ", "NON-TAXABLE SALES-SPECIAL ORDE")</f>
        <v xml:space="preserve">          4145 - NON-TAXABLE SALES-SPECIAL ORDE</v>
      </c>
      <c r="D46" s="11">
        <f>-207*-1</f>
        <v>207</v>
      </c>
      <c r="F46" s="11">
        <f>270*-1</f>
        <v>-270</v>
      </c>
      <c r="G46" s="3"/>
      <c r="H46" s="11">
        <f>-183*-1</f>
        <v>183</v>
      </c>
      <c r="I46" s="3"/>
      <c r="J46" s="11">
        <f>--5341.94</f>
        <v>5341.94</v>
      </c>
      <c r="K46" s="3"/>
      <c r="L46" s="11">
        <f>--2382.85</f>
        <v>2382.85</v>
      </c>
      <c r="M46" s="3"/>
      <c r="N46" s="11">
        <f>--27208.18</f>
        <v>27208.18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"4225", " - ", "SALES RETURN TAXABLE-TEST FORM")</f>
        <v xml:space="preserve">          4225 - SALES RETURN TAXABLE-TEST FORM</v>
      </c>
      <c r="D47" s="11">
        <f>0*-1</f>
        <v>0</v>
      </c>
      <c r="F47" s="11">
        <f t="shared" ref="F47:F48" si="17">0*-1</f>
        <v>0</v>
      </c>
      <c r="G47" s="3"/>
      <c r="H47" s="11">
        <f>7.32*-1</f>
        <v>-7.32</v>
      </c>
      <c r="I47" s="3"/>
      <c r="J47" s="11">
        <f t="shared" ref="J47:J48" si="18">0</f>
        <v>0</v>
      </c>
      <c r="K47" s="3"/>
      <c r="L47" s="11">
        <f>0</f>
        <v>0</v>
      </c>
      <c r="M47" s="3"/>
      <c r="N47" s="11">
        <f>0</f>
        <v>0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"4226", " - ", "SALES RETURN TAXABLE-WRITING I")</f>
        <v xml:space="preserve">          4226 - SALES RETURN TAXABLE-WRITING I</v>
      </c>
      <c r="D48" s="11">
        <f>1.69*-1</f>
        <v>-1.69</v>
      </c>
      <c r="F48" s="11">
        <f t="shared" si="17"/>
        <v>0</v>
      </c>
      <c r="G48" s="3"/>
      <c r="H48" s="11">
        <f>2.07*-1</f>
        <v>-2.0699999999999998</v>
      </c>
      <c r="I48" s="3"/>
      <c r="J48" s="11">
        <f t="shared" si="18"/>
        <v>0</v>
      </c>
      <c r="K48" s="3"/>
      <c r="L48" s="11">
        <f>-5.86</f>
        <v>-5.86</v>
      </c>
      <c r="M48" s="3"/>
      <c r="N48" s="11">
        <f>-134.8</f>
        <v>-134.80000000000001</v>
      </c>
      <c r="O48" s="3"/>
      <c r="P48" s="11"/>
      <c r="Q48" s="3"/>
      <c r="R48" s="11"/>
    </row>
    <row r="49" spans="1:18" s="16" customFormat="1" hidden="1" outlineLevel="1" x14ac:dyDescent="0.35">
      <c r="B49" s="35" t="str">
        <f>CONCATENATE("          ", "4227", " - ", "SALES RETURN TAXABLE-SCHOOL SU")</f>
        <v xml:space="preserve">          4227 - SALES RETURN TAXABLE-SCHOOL SU</v>
      </c>
      <c r="D49" s="11">
        <f>5.58*-1</f>
        <v>-5.58</v>
      </c>
      <c r="F49" s="11">
        <f>11.99*-1</f>
        <v>-11.99</v>
      </c>
      <c r="G49" s="3"/>
      <c r="H49" s="11">
        <f>11.18*-1</f>
        <v>-11.18</v>
      </c>
      <c r="I49" s="3"/>
      <c r="J49" s="11">
        <f>-5.99</f>
        <v>-5.99</v>
      </c>
      <c r="K49" s="3"/>
      <c r="L49" s="11">
        <f>-4.99</f>
        <v>-4.99</v>
      </c>
      <c r="M49" s="3"/>
      <c r="N49" s="11">
        <f t="shared" ref="N49:N50" si="19">0</f>
        <v>0</v>
      </c>
      <c r="O49" s="3"/>
      <c r="P49" s="11"/>
      <c r="Q49" s="3"/>
      <c r="R49" s="11"/>
    </row>
    <row r="50" spans="1:18" s="16" customFormat="1" hidden="1" outlineLevel="1" x14ac:dyDescent="0.35">
      <c r="B50" s="35" t="str">
        <f>CONCATENATE("          ", "4234", " - ", "SALES RETURN TAXABLE-SODA")</f>
        <v xml:space="preserve">          4234 - SALES RETURN TAXABLE-SODA</v>
      </c>
      <c r="D50" s="11">
        <f>0*-1</f>
        <v>0</v>
      </c>
      <c r="F50" s="11">
        <f>1.75*-1</f>
        <v>-1.75</v>
      </c>
      <c r="G50" s="3"/>
      <c r="H50" s="11">
        <f>0*-1</f>
        <v>0</v>
      </c>
      <c r="I50" s="3"/>
      <c r="J50" s="11">
        <f>0</f>
        <v>0</v>
      </c>
      <c r="K50" s="3"/>
      <c r="L50" s="11">
        <f>0</f>
        <v>0</v>
      </c>
      <c r="M50" s="3"/>
      <c r="N50" s="11">
        <f t="shared" si="19"/>
        <v>0</v>
      </c>
      <c r="O50" s="3"/>
      <c r="P50" s="11"/>
      <c r="Q50" s="3"/>
      <c r="R50" s="11"/>
    </row>
    <row r="51" spans="1:18" s="16" customFormat="1" hidden="1" outlineLevel="1" x14ac:dyDescent="0.35">
      <c r="B51" s="35" t="str">
        <f>CONCATENATE("          ", "4240", " - ", "SALES RETURN TAXABLE-LOGO CLOT")</f>
        <v xml:space="preserve">          4240 - SALES RETURN TAXABLE-LOGO CLOT</v>
      </c>
      <c r="D51" s="11">
        <f>96968.18*-1</f>
        <v>-96968.18</v>
      </c>
      <c r="F51" s="11">
        <f>100700.23*-1</f>
        <v>-100700.23</v>
      </c>
      <c r="G51" s="3"/>
      <c r="H51" s="11">
        <f>107081.87*-1</f>
        <v>-107081.87</v>
      </c>
      <c r="I51" s="3"/>
      <c r="J51" s="11">
        <f>-107854.41</f>
        <v>-107854.41</v>
      </c>
      <c r="K51" s="3"/>
      <c r="L51" s="11">
        <f>-98015.21</f>
        <v>-98015.21</v>
      </c>
      <c r="M51" s="3"/>
      <c r="N51" s="11">
        <f>-80387.11</f>
        <v>-80387.11</v>
      </c>
      <c r="O51" s="3"/>
      <c r="P51" s="11"/>
      <c r="Q51" s="3"/>
      <c r="R51" s="11"/>
    </row>
    <row r="52" spans="1:18" s="16" customFormat="1" hidden="1" outlineLevel="1" x14ac:dyDescent="0.35">
      <c r="B52" s="35" t="str">
        <f>CONCATENATE("          ", "4241", " - ", "SALES RETURN TAXABLE-LOGO GIFT")</f>
        <v xml:space="preserve">          4241 - SALES RETURN TAXABLE-LOGO GIFT</v>
      </c>
      <c r="D52" s="11">
        <f>14919.42*-1</f>
        <v>-14919.42</v>
      </c>
      <c r="F52" s="11">
        <f>15047.24*-1</f>
        <v>-15047.24</v>
      </c>
      <c r="G52" s="3"/>
      <c r="H52" s="11">
        <f>58086.77*-1</f>
        <v>-58086.77</v>
      </c>
      <c r="I52" s="3"/>
      <c r="J52" s="11">
        <f>-46745.54</f>
        <v>-46745.54</v>
      </c>
      <c r="K52" s="3"/>
      <c r="L52" s="11">
        <f>-15119.17</f>
        <v>-15119.17</v>
      </c>
      <c r="M52" s="3"/>
      <c r="N52" s="11">
        <f>-6931.38</f>
        <v>-6931.38</v>
      </c>
      <c r="O52" s="3"/>
      <c r="P52" s="11"/>
      <c r="Q52" s="3"/>
      <c r="R52" s="11"/>
    </row>
    <row r="53" spans="1:18" s="16" customFormat="1" hidden="1" outlineLevel="1" x14ac:dyDescent="0.35">
      <c r="B53" s="35" t="str">
        <f>CONCATENATE("          ", "4242", " - ", "SALES RETURN TAXABLE-EVERYDAY")</f>
        <v xml:space="preserve">          4242 - SALES RETURN TAXABLE-EVERYDAY</v>
      </c>
      <c r="D53" s="11">
        <f>1748.56*-1</f>
        <v>-1748.56</v>
      </c>
      <c r="F53" s="11">
        <f>1692.33*-1</f>
        <v>-1692.33</v>
      </c>
      <c r="G53" s="3"/>
      <c r="H53" s="11">
        <f>1517.62*-1</f>
        <v>-1517.62</v>
      </c>
      <c r="I53" s="3"/>
      <c r="J53" s="11">
        <f>-4100.92</f>
        <v>-4100.92</v>
      </c>
      <c r="K53" s="3"/>
      <c r="L53" s="11">
        <f>-5238.15</f>
        <v>-5238.1499999999996</v>
      </c>
      <c r="M53" s="3"/>
      <c r="N53" s="11">
        <f>-4005.15</f>
        <v>-4005.15</v>
      </c>
      <c r="O53" s="3"/>
      <c r="P53" s="11"/>
      <c r="Q53" s="3"/>
      <c r="R53" s="11"/>
    </row>
    <row r="54" spans="1:18" s="16" customFormat="1" hidden="1" outlineLevel="1" x14ac:dyDescent="0.35">
      <c r="B54" s="35" t="str">
        <f>CONCATENATE("          ", "4243", " - ", "SALES RETURN TAXABLE-CARDS")</f>
        <v xml:space="preserve">          4243 - SALES RETURN TAXABLE-CARDS</v>
      </c>
      <c r="D54" s="11">
        <f>203.48*-1</f>
        <v>-203.48</v>
      </c>
      <c r="F54" s="11">
        <f>314.58*-1</f>
        <v>-314.58</v>
      </c>
      <c r="G54" s="3"/>
      <c r="H54" s="11">
        <f>63.25*-1</f>
        <v>-63.25</v>
      </c>
      <c r="I54" s="3"/>
      <c r="J54" s="11">
        <f>-60.95</f>
        <v>-60.95</v>
      </c>
      <c r="K54" s="3"/>
      <c r="L54" s="11">
        <f>-25.94</f>
        <v>-25.94</v>
      </c>
      <c r="M54" s="3"/>
      <c r="N54" s="11">
        <f>-3026.3</f>
        <v>-3026.3</v>
      </c>
      <c r="O54" s="3"/>
      <c r="P54" s="11"/>
      <c r="Q54" s="3"/>
      <c r="R54" s="11"/>
    </row>
    <row r="55" spans="1:18" s="16" customFormat="1" hidden="1" outlineLevel="1" x14ac:dyDescent="0.35">
      <c r="B55" s="35" t="str">
        <f>CONCATENATE("          ", "4244", " - ", "SALES RETURN TAXABLE-ACCESSORI")</f>
        <v xml:space="preserve">          4244 - SALES RETURN TAXABLE-ACCESSORI</v>
      </c>
      <c r="D55" s="11">
        <f>2618.91*-1</f>
        <v>-2618.91</v>
      </c>
      <c r="F55" s="11">
        <f>3348.98*-1</f>
        <v>-3348.98</v>
      </c>
      <c r="G55" s="3"/>
      <c r="H55" s="11">
        <f>3937.3*-1</f>
        <v>-3937.3</v>
      </c>
      <c r="I55" s="3"/>
      <c r="J55" s="11">
        <f>-3142.99</f>
        <v>-3142.99</v>
      </c>
      <c r="K55" s="3"/>
      <c r="L55" s="11">
        <f>-3985.97</f>
        <v>-3985.97</v>
      </c>
      <c r="M55" s="3"/>
      <c r="N55" s="11">
        <f>-2726.41</f>
        <v>-2726.41</v>
      </c>
      <c r="O55" s="3"/>
      <c r="P55" s="11"/>
      <c r="Q55" s="3"/>
      <c r="R55" s="11"/>
    </row>
    <row r="56" spans="1:18" s="16" customFormat="1" hidden="1" outlineLevel="1" x14ac:dyDescent="0.35">
      <c r="B56" s="35" t="str">
        <f>CONCATENATE("          ", "4245", " - ", "SALES RETURN TAXABLE-SPECIAL O")</f>
        <v xml:space="preserve">          4245 - SALES RETURN TAXABLE-SPECIAL O</v>
      </c>
      <c r="D56" s="11">
        <f>9720.55*-1</f>
        <v>-9720.5499999999993</v>
      </c>
      <c r="F56" s="11">
        <f>2945.35*-1</f>
        <v>-2945.35</v>
      </c>
      <c r="G56" s="3"/>
      <c r="H56" s="11">
        <f>10919.43*-1</f>
        <v>-10919.43</v>
      </c>
      <c r="I56" s="3"/>
      <c r="J56" s="11">
        <f>-4473.01</f>
        <v>-4473.01</v>
      </c>
      <c r="K56" s="3"/>
      <c r="L56" s="11">
        <f>-2848.22</f>
        <v>-2848.22</v>
      </c>
      <c r="M56" s="3"/>
      <c r="N56" s="11">
        <f>-4097.53</f>
        <v>-4097.53</v>
      </c>
      <c r="O56" s="3"/>
      <c r="P56" s="11"/>
      <c r="Q56" s="3"/>
      <c r="R56" s="11"/>
    </row>
    <row r="57" spans="1:18" s="16" customFormat="1" hidden="1" outlineLevel="1" x14ac:dyDescent="0.35">
      <c r="B57" s="35" t="str">
        <f>CONCATENATE("          ", "4283", " - ", "SALES RETURN TAXABLE-COMPUTER")</f>
        <v xml:space="preserve">          4283 - SALES RETURN TAXABLE-COMPUTER</v>
      </c>
      <c r="D57" s="11">
        <f>19.95*-1</f>
        <v>-19.95</v>
      </c>
      <c r="F57" s="11">
        <f t="shared" ref="F57:F58" si="20">0*-1</f>
        <v>0</v>
      </c>
      <c r="G57" s="3"/>
      <c r="H57" s="11">
        <f>0*-1</f>
        <v>0</v>
      </c>
      <c r="I57" s="3"/>
      <c r="J57" s="11">
        <f t="shared" ref="J57:J58" si="21">0</f>
        <v>0</v>
      </c>
      <c r="K57" s="3"/>
      <c r="L57" s="11">
        <f t="shared" ref="L57:L58" si="22">0</f>
        <v>0</v>
      </c>
      <c r="M57" s="3"/>
      <c r="N57" s="11">
        <f>0</f>
        <v>0</v>
      </c>
      <c r="O57" s="3"/>
      <c r="P57" s="11"/>
      <c r="Q57" s="3"/>
      <c r="R57" s="11"/>
    </row>
    <row r="58" spans="1:18" s="16" customFormat="1" hidden="1" outlineLevel="1" x14ac:dyDescent="0.35">
      <c r="B58" s="35" t="str">
        <f>CONCATENATE("          ", "4295", " - ", "SALES RETURN TAXABLE-CUSTOMER")</f>
        <v xml:space="preserve">          4295 - SALES RETURN TAXABLE-CUSTOMER</v>
      </c>
      <c r="D58" s="11">
        <f>97.02*-1</f>
        <v>-97.02</v>
      </c>
      <c r="F58" s="11">
        <f t="shared" si="20"/>
        <v>0</v>
      </c>
      <c r="G58" s="3"/>
      <c r="H58" s="11">
        <f>0.99*-1</f>
        <v>-0.99</v>
      </c>
      <c r="I58" s="3"/>
      <c r="J58" s="11">
        <f t="shared" si="21"/>
        <v>0</v>
      </c>
      <c r="K58" s="3"/>
      <c r="L58" s="11">
        <f t="shared" si="22"/>
        <v>0</v>
      </c>
      <c r="M58" s="3"/>
      <c r="N58" s="11">
        <f>--0.99</f>
        <v>0.99</v>
      </c>
      <c r="O58" s="3"/>
      <c r="P58" s="11"/>
      <c r="Q58" s="3"/>
      <c r="R58" s="11"/>
    </row>
    <row r="59" spans="1:18" s="16" customFormat="1" hidden="1" outlineLevel="1" x14ac:dyDescent="0.35">
      <c r="B59" s="35" t="str">
        <f>CONCATENATE("          ", "4340", " - ", "SALES RETURN NON TAXABLE-LOGO")</f>
        <v xml:space="preserve">          4340 - SALES RETURN NON TAXABLE-LOGO</v>
      </c>
      <c r="D59" s="11">
        <f>1278.54*-1</f>
        <v>-1278.54</v>
      </c>
      <c r="F59" s="11">
        <f>973.95*-1</f>
        <v>-973.95</v>
      </c>
      <c r="G59" s="3"/>
      <c r="H59" s="11">
        <f>937.35*-1</f>
        <v>-937.35</v>
      </c>
      <c r="I59" s="3"/>
      <c r="J59" s="11">
        <f>-602.86</f>
        <v>-602.86</v>
      </c>
      <c r="K59" s="3"/>
      <c r="L59" s="11">
        <f>-1132.72</f>
        <v>-1132.72</v>
      </c>
      <c r="M59" s="3"/>
      <c r="N59" s="11">
        <f>-2664.48</f>
        <v>-2664.48</v>
      </c>
      <c r="O59" s="3"/>
      <c r="P59" s="11"/>
      <c r="Q59" s="3"/>
      <c r="R59" s="11"/>
    </row>
    <row r="60" spans="1:18" s="16" customFormat="1" hidden="1" outlineLevel="1" x14ac:dyDescent="0.35">
      <c r="B60" s="35" t="str">
        <f>CONCATENATE("          ", "4341", " - ", "SALES RETURN NON TAXABLE-LOGO")</f>
        <v xml:space="preserve">          4341 - SALES RETURN NON TAXABLE-LOGO</v>
      </c>
      <c r="D60" s="11">
        <f>821.6*-1</f>
        <v>-821.6</v>
      </c>
      <c r="F60" s="11">
        <f>31.9*-1</f>
        <v>-31.9</v>
      </c>
      <c r="G60" s="3"/>
      <c r="H60" s="11">
        <f>61.7*-1</f>
        <v>-61.7</v>
      </c>
      <c r="I60" s="3"/>
      <c r="J60" s="11">
        <f>-19.8</f>
        <v>-19.8</v>
      </c>
      <c r="K60" s="3"/>
      <c r="L60" s="11">
        <f>-211.45</f>
        <v>-211.45</v>
      </c>
      <c r="M60" s="3"/>
      <c r="N60" s="11">
        <f>-295.35</f>
        <v>-295.35000000000002</v>
      </c>
      <c r="O60" s="3"/>
      <c r="P60" s="11"/>
      <c r="Q60" s="3"/>
      <c r="R60" s="11"/>
    </row>
    <row r="61" spans="1:18" s="16" customFormat="1" hidden="1" outlineLevel="1" x14ac:dyDescent="0.35">
      <c r="B61" s="35" t="str">
        <f>CONCATENATE("          ", "4342", " - ", "SALES RETURN NON TAXABLE-EVERY")</f>
        <v xml:space="preserve">          4342 - SALES RETURN NON TAXABLE-EVERY</v>
      </c>
      <c r="D61" s="11">
        <f>0*-1</f>
        <v>0</v>
      </c>
      <c r="F61" s="11">
        <f>0*-1</f>
        <v>0</v>
      </c>
      <c r="G61" s="3"/>
      <c r="H61" s="11">
        <f>0*-1</f>
        <v>0</v>
      </c>
      <c r="I61" s="3"/>
      <c r="J61" s="11">
        <f>-36.8</f>
        <v>-36.799999999999997</v>
      </c>
      <c r="K61" s="3"/>
      <c r="L61" s="11">
        <f>-128.55</f>
        <v>-128.55000000000001</v>
      </c>
      <c r="M61" s="3"/>
      <c r="N61" s="11">
        <f>-146.6</f>
        <v>-146.6</v>
      </c>
      <c r="O61" s="3"/>
      <c r="P61" s="11"/>
      <c r="Q61" s="3"/>
      <c r="R61" s="11"/>
    </row>
    <row r="62" spans="1:18" s="12" customFormat="1" x14ac:dyDescent="0.35">
      <c r="B62" s="7"/>
      <c r="D62" s="6"/>
      <c r="F62" s="6"/>
      <c r="G62" s="5"/>
      <c r="H62" s="6"/>
      <c r="I62" s="5"/>
      <c r="J62" s="6"/>
      <c r="K62" s="5"/>
      <c r="L62" s="6"/>
      <c r="M62" s="5"/>
      <c r="N62" s="6"/>
      <c r="O62" s="5"/>
      <c r="P62" s="6"/>
      <c r="Q62" s="5"/>
      <c r="R62" s="6"/>
    </row>
    <row r="63" spans="1:18" s="12" customFormat="1" collapsed="1" x14ac:dyDescent="0.35">
      <c r="B63" s="7" t="s">
        <v>278</v>
      </c>
      <c r="D63" s="8">
        <f>SUM(OSRRefD14x_0)</f>
        <v>1315625.3399999999</v>
      </c>
      <c r="E63" s="8"/>
      <c r="F63" s="8">
        <f>SUM(OSRRefF14x_0)</f>
        <v>1477118.82</v>
      </c>
      <c r="G63" s="8"/>
      <c r="H63" s="8">
        <f>SUM(OSRRefH14x_0)</f>
        <v>1612304.3099999998</v>
      </c>
      <c r="I63" s="8"/>
      <c r="J63" s="8">
        <f>SUM(OSRRefJ14x_0)</f>
        <v>1630476.87</v>
      </c>
      <c r="K63" s="8"/>
      <c r="L63" s="8">
        <f>SUM(OSRRefL14x_0)</f>
        <v>1689933.1500000004</v>
      </c>
      <c r="M63" s="8"/>
      <c r="N63" s="8">
        <f>SUM(OSRRefN14x_0)</f>
        <v>1413606.5799999998</v>
      </c>
      <c r="O63" s="8"/>
      <c r="P63" s="8">
        <f>SUM(OSRRefP14x_0)</f>
        <v>1879449</v>
      </c>
      <c r="Q63" s="8"/>
      <c r="R63" s="8">
        <f>SUM(OSRRefR14x_0)</f>
        <v>1633073</v>
      </c>
    </row>
    <row r="64" spans="1:18" s="44" customFormat="1" hidden="1" outlineLevel="1" x14ac:dyDescent="0.35">
      <c r="A64" s="16"/>
      <c r="B64" s="35" t="str">
        <f>CONCATENATE("          ", "5000", " - ", "PURCHASES @ COST")</f>
        <v xml:space="preserve">          5000 - PURCHASES @ COST</v>
      </c>
      <c r="C64" s="16"/>
      <c r="D64" s="11"/>
      <c r="E64" s="16"/>
      <c r="F64" s="11"/>
      <c r="G64" s="3"/>
      <c r="H64" s="11"/>
      <c r="I64" s="3"/>
      <c r="J64" s="11"/>
      <c r="K64" s="3"/>
      <c r="L64" s="11">
        <v>0</v>
      </c>
      <c r="M64" s="3"/>
      <c r="N64" s="11">
        <v>0</v>
      </c>
      <c r="O64" s="3"/>
      <c r="P64" s="11">
        <v>1879449</v>
      </c>
      <c r="Q64" s="3"/>
      <c r="R64" s="11">
        <v>1633073</v>
      </c>
    </row>
    <row r="65" spans="1:18" s="44" customFormat="1" hidden="1" outlineLevel="1" x14ac:dyDescent="0.35">
      <c r="A65" s="16"/>
      <c r="B65" s="35" t="str">
        <f>CONCATENATE("          ", "5013", " - ", "PURCHASES @ COST-TRADE BOOKS")</f>
        <v xml:space="preserve">          5013 - PURCHASES @ COST-TRADE BOOKS</v>
      </c>
      <c r="C65" s="16"/>
      <c r="D65" s="11">
        <v>104.34</v>
      </c>
      <c r="E65" s="16"/>
      <c r="F65" s="11">
        <v>163.78</v>
      </c>
      <c r="G65" s="3"/>
      <c r="H65" s="11">
        <v>353.95</v>
      </c>
      <c r="I65" s="3"/>
      <c r="J65" s="11"/>
      <c r="K65" s="3"/>
      <c r="L65" s="11"/>
      <c r="M65" s="3"/>
      <c r="N65" s="11"/>
      <c r="O65" s="3"/>
      <c r="P65" s="11"/>
      <c r="Q65" s="3"/>
      <c r="R65" s="11"/>
    </row>
    <row r="66" spans="1:18" s="44" customFormat="1" hidden="1" outlineLevel="1" x14ac:dyDescent="0.35">
      <c r="A66" s="16"/>
      <c r="B66" s="35" t="str">
        <f>CONCATENATE("          ", "5014", " - ", "PURCHASES @ COST-REMAINDERS")</f>
        <v xml:space="preserve">          5014 - PURCHASES @ COST-REMAINDERS</v>
      </c>
      <c r="C66" s="16"/>
      <c r="D66" s="11"/>
      <c r="E66" s="16"/>
      <c r="F66" s="11"/>
      <c r="G66" s="3"/>
      <c r="H66" s="11">
        <v>15.28</v>
      </c>
      <c r="I66" s="3"/>
      <c r="J66" s="11"/>
      <c r="K66" s="3"/>
      <c r="L66" s="11"/>
      <c r="M66" s="3"/>
      <c r="N66" s="11"/>
      <c r="O66" s="3"/>
      <c r="P66" s="11"/>
      <c r="Q66" s="3"/>
      <c r="R66" s="11"/>
    </row>
    <row r="67" spans="1:18" s="44" customFormat="1" hidden="1" outlineLevel="1" x14ac:dyDescent="0.35">
      <c r="A67" s="16"/>
      <c r="B67" s="35" t="str">
        <f>CONCATENATE("          ", "5015", " - ", "PURCHASES @ COST-CALENDARS")</f>
        <v xml:space="preserve">          5015 - PURCHASES @ COST-CALENDARS</v>
      </c>
      <c r="C67" s="16"/>
      <c r="D67" s="11"/>
      <c r="E67" s="16"/>
      <c r="F67" s="11">
        <v>6.75</v>
      </c>
      <c r="G67" s="3"/>
      <c r="H67" s="11"/>
      <c r="I67" s="3"/>
      <c r="J67" s="11"/>
      <c r="K67" s="3"/>
      <c r="L67" s="11"/>
      <c r="M67" s="3"/>
      <c r="N67" s="11"/>
      <c r="O67" s="3"/>
      <c r="P67" s="11"/>
      <c r="Q67" s="3"/>
      <c r="R67" s="11"/>
    </row>
    <row r="68" spans="1:18" s="44" customFormat="1" hidden="1" outlineLevel="1" x14ac:dyDescent="0.35">
      <c r="A68" s="16"/>
      <c r="B68" s="35" t="str">
        <f>CONCATENATE("          ", "5019", " - ", "PURCHASES @ COST-BOOK RELATED")</f>
        <v xml:space="preserve">          5019 - PURCHASES @ COST-BOOK RELATED</v>
      </c>
      <c r="C68" s="16"/>
      <c r="D68" s="11"/>
      <c r="E68" s="16"/>
      <c r="F68" s="11">
        <v>-3</v>
      </c>
      <c r="G68" s="3"/>
      <c r="H68" s="11">
        <v>329.8</v>
      </c>
      <c r="I68" s="3"/>
      <c r="J68" s="11"/>
      <c r="K68" s="3"/>
      <c r="L68" s="11"/>
      <c r="M68" s="3"/>
      <c r="N68" s="11"/>
      <c r="O68" s="3"/>
      <c r="P68" s="11"/>
      <c r="Q68" s="3"/>
      <c r="R68" s="11"/>
    </row>
    <row r="69" spans="1:18" s="44" customFormat="1" hidden="1" outlineLevel="1" x14ac:dyDescent="0.35">
      <c r="A69" s="16"/>
      <c r="B69" s="35" t="str">
        <f>CONCATENATE("          ", "5025", " - ", "PURCHASES @ COST-TEST FORMS")</f>
        <v xml:space="preserve">          5025 - PURCHASES @ COST-TEST FORMS</v>
      </c>
      <c r="C69" s="16"/>
      <c r="D69" s="11">
        <v>43.85</v>
      </c>
      <c r="E69" s="16"/>
      <c r="F69" s="11">
        <v>113.64</v>
      </c>
      <c r="G69" s="3"/>
      <c r="H69" s="11">
        <v>25.29</v>
      </c>
      <c r="I69" s="3"/>
      <c r="J69" s="11">
        <v>7.4</v>
      </c>
      <c r="K69" s="3"/>
      <c r="L69" s="11">
        <v>19.149999999999999</v>
      </c>
      <c r="M69" s="3"/>
      <c r="N69" s="11">
        <v>6.06</v>
      </c>
      <c r="O69" s="3"/>
      <c r="P69" s="11"/>
      <c r="Q69" s="3"/>
      <c r="R69" s="11"/>
    </row>
    <row r="70" spans="1:18" s="44" customFormat="1" hidden="1" outlineLevel="1" x14ac:dyDescent="0.35">
      <c r="A70" s="16"/>
      <c r="B70" s="35" t="str">
        <f>CONCATENATE("          ", "5026", " - ", "PURCHASES @ COST-WRITING INSTR")</f>
        <v xml:space="preserve">          5026 - PURCHASES @ COST-WRITING INSTR</v>
      </c>
      <c r="C70" s="16"/>
      <c r="D70" s="11">
        <v>240.83</v>
      </c>
      <c r="E70" s="16"/>
      <c r="F70" s="11">
        <v>169.92</v>
      </c>
      <c r="G70" s="3"/>
      <c r="H70" s="11">
        <v>87.2</v>
      </c>
      <c r="I70" s="3"/>
      <c r="J70" s="11">
        <v>312.33</v>
      </c>
      <c r="K70" s="3"/>
      <c r="L70" s="11">
        <v>544.27</v>
      </c>
      <c r="M70" s="3"/>
      <c r="N70" s="11">
        <v>1193.81</v>
      </c>
      <c r="O70" s="3"/>
      <c r="P70" s="11"/>
      <c r="Q70" s="3"/>
      <c r="R70" s="11"/>
    </row>
    <row r="71" spans="1:18" s="44" customFormat="1" hidden="1" outlineLevel="1" x14ac:dyDescent="0.35">
      <c r="A71" s="16"/>
      <c r="B71" s="35" t="str">
        <f>CONCATENATE("          ", "5027", " - ", "PURCHASES @ COST-SCHOOL SUPPLI")</f>
        <v xml:space="preserve">          5027 - PURCHASES @ COST-SCHOOL SUPPLI</v>
      </c>
      <c r="C71" s="16"/>
      <c r="D71" s="11">
        <v>120.66</v>
      </c>
      <c r="E71" s="16"/>
      <c r="F71" s="11">
        <v>212.05</v>
      </c>
      <c r="G71" s="3"/>
      <c r="H71" s="11">
        <v>419.41</v>
      </c>
      <c r="I71" s="3"/>
      <c r="J71" s="11">
        <v>127.18</v>
      </c>
      <c r="K71" s="3"/>
      <c r="L71" s="11">
        <v>569.59</v>
      </c>
      <c r="M71" s="3"/>
      <c r="N71" s="11">
        <v>305.64999999999998</v>
      </c>
      <c r="O71" s="3"/>
      <c r="P71" s="11"/>
      <c r="Q71" s="3"/>
      <c r="R71" s="11"/>
    </row>
    <row r="72" spans="1:18" s="44" customFormat="1" hidden="1" outlineLevel="1" x14ac:dyDescent="0.35">
      <c r="A72" s="16"/>
      <c r="B72" s="35" t="str">
        <f>CONCATENATE("          ", "5028", " - ", "PURCHASES @ COST-ART/TECH")</f>
        <v xml:space="preserve">          5028 - PURCHASES @ COST-ART/TECH</v>
      </c>
      <c r="C72" s="16"/>
      <c r="D72" s="11"/>
      <c r="E72" s="16"/>
      <c r="F72" s="11">
        <v>248.49</v>
      </c>
      <c r="G72" s="3"/>
      <c r="H72" s="11">
        <v>0</v>
      </c>
      <c r="I72" s="3"/>
      <c r="J72" s="11">
        <v>24.96</v>
      </c>
      <c r="K72" s="3"/>
      <c r="L72" s="11"/>
      <c r="M72" s="3"/>
      <c r="N72" s="11"/>
      <c r="O72" s="3"/>
      <c r="P72" s="11"/>
      <c r="Q72" s="3"/>
      <c r="R72" s="11"/>
    </row>
    <row r="73" spans="1:18" s="44" customFormat="1" hidden="1" outlineLevel="1" x14ac:dyDescent="0.35">
      <c r="A73" s="16"/>
      <c r="B73" s="35" t="str">
        <f>CONCATENATE("          ", "5031", " - ", "PURCHASES @ COST-FOOD")</f>
        <v xml:space="preserve">          5031 - PURCHASES @ COST-FOOD</v>
      </c>
      <c r="C73" s="16"/>
      <c r="D73" s="11"/>
      <c r="E73" s="16"/>
      <c r="F73" s="11"/>
      <c r="G73" s="3"/>
      <c r="H73" s="11">
        <v>125.15</v>
      </c>
      <c r="I73" s="3"/>
      <c r="J73" s="11"/>
      <c r="K73" s="3"/>
      <c r="L73" s="11"/>
      <c r="M73" s="3"/>
      <c r="N73" s="11"/>
      <c r="O73" s="3"/>
      <c r="P73" s="11"/>
      <c r="Q73" s="3"/>
      <c r="R73" s="11"/>
    </row>
    <row r="74" spans="1:18" s="44" customFormat="1" hidden="1" outlineLevel="1" x14ac:dyDescent="0.35">
      <c r="A74" s="16"/>
      <c r="B74" s="35" t="str">
        <f>CONCATENATE("          ", "5032", " - ", "PURCHASES @ COST-JUICE")</f>
        <v xml:space="preserve">          5032 - PURCHASES @ COST-JUICE</v>
      </c>
      <c r="C74" s="16"/>
      <c r="D74" s="11"/>
      <c r="E74" s="16"/>
      <c r="F74" s="11">
        <v>68.87</v>
      </c>
      <c r="G74" s="3"/>
      <c r="H74" s="11">
        <v>11.37</v>
      </c>
      <c r="I74" s="3"/>
      <c r="J74" s="11">
        <v>16.760000000000002</v>
      </c>
      <c r="K74" s="3"/>
      <c r="L74" s="11"/>
      <c r="M74" s="3"/>
      <c r="N74" s="11"/>
      <c r="O74" s="3"/>
      <c r="P74" s="11"/>
      <c r="Q74" s="3"/>
      <c r="R74" s="11"/>
    </row>
    <row r="75" spans="1:18" s="44" customFormat="1" hidden="1" outlineLevel="1" x14ac:dyDescent="0.35">
      <c r="A75" s="16"/>
      <c r="B75" s="35" t="str">
        <f>CONCATENATE("          ", "5033", " - ", "PURCHASES @ COST-CANDY")</f>
        <v xml:space="preserve">          5033 - PURCHASES @ COST-CANDY</v>
      </c>
      <c r="C75" s="16"/>
      <c r="D75" s="11"/>
      <c r="E75" s="16"/>
      <c r="F75" s="11"/>
      <c r="G75" s="3"/>
      <c r="H75" s="11">
        <v>19.96</v>
      </c>
      <c r="I75" s="3"/>
      <c r="J75" s="11"/>
      <c r="K75" s="3"/>
      <c r="L75" s="11"/>
      <c r="M75" s="3"/>
      <c r="N75" s="11"/>
      <c r="O75" s="3"/>
      <c r="P75" s="11"/>
      <c r="Q75" s="3"/>
      <c r="R75" s="11"/>
    </row>
    <row r="76" spans="1:18" s="44" customFormat="1" hidden="1" outlineLevel="1" x14ac:dyDescent="0.35">
      <c r="A76" s="16"/>
      <c r="B76" s="35" t="str">
        <f>CONCATENATE("          ", "5034", " - ", "PURCHASES @ COST-SODA")</f>
        <v xml:space="preserve">          5034 - PURCHASES @ COST-SODA</v>
      </c>
      <c r="C76" s="16"/>
      <c r="D76" s="11"/>
      <c r="E76" s="16"/>
      <c r="F76" s="11">
        <v>76.8</v>
      </c>
      <c r="G76" s="3"/>
      <c r="H76" s="11">
        <v>-72.31</v>
      </c>
      <c r="I76" s="3"/>
      <c r="J76" s="11">
        <v>161.47999999999999</v>
      </c>
      <c r="K76" s="3"/>
      <c r="L76" s="11">
        <v>18.54</v>
      </c>
      <c r="M76" s="3"/>
      <c r="N76" s="11"/>
      <c r="O76" s="3"/>
      <c r="P76" s="11"/>
      <c r="Q76" s="3"/>
      <c r="R76" s="11"/>
    </row>
    <row r="77" spans="1:18" s="44" customFormat="1" hidden="1" outlineLevel="1" x14ac:dyDescent="0.35">
      <c r="A77" s="16"/>
      <c r="B77" s="35" t="str">
        <f>CONCATENATE("          ", "5037", " - ", "PURCHASES @ COST-WATER")</f>
        <v xml:space="preserve">          5037 - PURCHASES @ COST-WATER</v>
      </c>
      <c r="C77" s="16"/>
      <c r="D77" s="11"/>
      <c r="E77" s="16"/>
      <c r="F77" s="11">
        <v>3.56</v>
      </c>
      <c r="G77" s="3"/>
      <c r="H77" s="11">
        <v>48.57</v>
      </c>
      <c r="I77" s="3"/>
      <c r="J77" s="11">
        <v>88.96</v>
      </c>
      <c r="K77" s="3"/>
      <c r="L77" s="11">
        <v>67.790000000000006</v>
      </c>
      <c r="M77" s="3"/>
      <c r="N77" s="11">
        <v>29.76</v>
      </c>
      <c r="O77" s="3"/>
      <c r="P77" s="11"/>
      <c r="Q77" s="3"/>
      <c r="R77" s="11"/>
    </row>
    <row r="78" spans="1:18" s="44" customFormat="1" hidden="1" outlineLevel="1" x14ac:dyDescent="0.35">
      <c r="A78" s="16"/>
      <c r="B78" s="35" t="str">
        <f>CONCATENATE("          ", "5040", " - ", "PURCHASES @ COST-LOGO CLOTHING")</f>
        <v xml:space="preserve">          5040 - PURCHASES @ COST-LOGO CLOTHING</v>
      </c>
      <c r="C78" s="16"/>
      <c r="D78" s="11">
        <v>847287.44</v>
      </c>
      <c r="E78" s="16"/>
      <c r="F78" s="11">
        <v>991136.65</v>
      </c>
      <c r="G78" s="3"/>
      <c r="H78" s="11">
        <v>1087573.07</v>
      </c>
      <c r="I78" s="3"/>
      <c r="J78" s="11">
        <v>1108851</v>
      </c>
      <c r="K78" s="3"/>
      <c r="L78" s="11">
        <v>1080553.1200000001</v>
      </c>
      <c r="M78" s="3"/>
      <c r="N78" s="11">
        <v>982941.51</v>
      </c>
      <c r="O78" s="3"/>
      <c r="P78" s="11"/>
      <c r="Q78" s="3"/>
      <c r="R78" s="11"/>
    </row>
    <row r="79" spans="1:18" s="44" customFormat="1" hidden="1" outlineLevel="1" x14ac:dyDescent="0.35">
      <c r="A79" s="16"/>
      <c r="B79" s="35" t="str">
        <f>CONCATENATE("          ", "5041", " - ", "PURCHASES @ COST-LOGO GIFTS")</f>
        <v xml:space="preserve">          5041 - PURCHASES @ COST-LOGO GIFTS</v>
      </c>
      <c r="C79" s="16"/>
      <c r="D79" s="11">
        <v>249651.27</v>
      </c>
      <c r="E79" s="16"/>
      <c r="F79" s="11">
        <v>266168.43</v>
      </c>
      <c r="G79" s="3"/>
      <c r="H79" s="11">
        <v>290049.98</v>
      </c>
      <c r="I79" s="3"/>
      <c r="J79" s="11">
        <v>293142.75</v>
      </c>
      <c r="K79" s="3"/>
      <c r="L79" s="11">
        <v>323814.98</v>
      </c>
      <c r="M79" s="3"/>
      <c r="N79" s="11">
        <v>162844.63</v>
      </c>
      <c r="O79" s="3"/>
      <c r="P79" s="11"/>
      <c r="Q79" s="3"/>
      <c r="R79" s="11"/>
    </row>
    <row r="80" spans="1:18" s="44" customFormat="1" hidden="1" outlineLevel="1" x14ac:dyDescent="0.35">
      <c r="A80" s="16"/>
      <c r="B80" s="35" t="str">
        <f>CONCATENATE("          ", "5042", " - ", "PURCHASES @ COST-EVERYDAY GIFT")</f>
        <v xml:space="preserve">          5042 - PURCHASES @ COST-EVERYDAY GIFT</v>
      </c>
      <c r="C80" s="16"/>
      <c r="D80" s="11">
        <v>46184.45</v>
      </c>
      <c r="E80" s="16"/>
      <c r="F80" s="11">
        <v>57437.81</v>
      </c>
      <c r="G80" s="3"/>
      <c r="H80" s="11">
        <v>63500.18</v>
      </c>
      <c r="I80" s="3"/>
      <c r="J80" s="11">
        <v>126580.48</v>
      </c>
      <c r="K80" s="3"/>
      <c r="L80" s="11">
        <v>144013.1</v>
      </c>
      <c r="M80" s="3"/>
      <c r="N80" s="11">
        <v>125778.55</v>
      </c>
      <c r="O80" s="3"/>
      <c r="P80" s="11"/>
      <c r="Q80" s="3"/>
      <c r="R80" s="11"/>
    </row>
    <row r="81" spans="1:18" s="44" customFormat="1" hidden="1" outlineLevel="1" x14ac:dyDescent="0.35">
      <c r="A81" s="16"/>
      <c r="B81" s="35" t="str">
        <f>CONCATENATE("          ", "5043", " - ", "PURCHASES @ COST-CARDS")</f>
        <v xml:space="preserve">          5043 - PURCHASES @ COST-CARDS</v>
      </c>
      <c r="C81" s="16"/>
      <c r="D81" s="11">
        <v>18266.72</v>
      </c>
      <c r="E81" s="16"/>
      <c r="F81" s="11">
        <v>16408.27</v>
      </c>
      <c r="G81" s="3"/>
      <c r="H81" s="11">
        <v>2227.88</v>
      </c>
      <c r="I81" s="3"/>
      <c r="J81" s="11">
        <v>4641.3599999999997</v>
      </c>
      <c r="K81" s="3"/>
      <c r="L81" s="11">
        <v>3631.23</v>
      </c>
      <c r="M81" s="3"/>
      <c r="N81" s="11">
        <v>30914.66</v>
      </c>
      <c r="O81" s="3"/>
      <c r="P81" s="11"/>
      <c r="Q81" s="3"/>
      <c r="R81" s="11"/>
    </row>
    <row r="82" spans="1:18" s="44" customFormat="1" hidden="1" outlineLevel="1" x14ac:dyDescent="0.35">
      <c r="A82" s="16"/>
      <c r="B82" s="35" t="str">
        <f>CONCATENATE("          ", "5044", " - ", "PURCHASES @ COST-ACCESSORIES")</f>
        <v xml:space="preserve">          5044 - PURCHASES @ COST-ACCESSORIES</v>
      </c>
      <c r="C82" s="16"/>
      <c r="D82" s="11">
        <v>37989.160000000003</v>
      </c>
      <c r="E82" s="16"/>
      <c r="F82" s="11">
        <v>43577.53</v>
      </c>
      <c r="G82" s="3"/>
      <c r="H82" s="11">
        <v>29637.87</v>
      </c>
      <c r="I82" s="3"/>
      <c r="J82" s="11">
        <v>39884.269999999997</v>
      </c>
      <c r="K82" s="3"/>
      <c r="L82" s="11">
        <v>37653.61</v>
      </c>
      <c r="M82" s="3"/>
      <c r="N82" s="11">
        <v>37869.03</v>
      </c>
      <c r="O82" s="3"/>
      <c r="P82" s="11"/>
      <c r="Q82" s="3"/>
      <c r="R82" s="11"/>
    </row>
    <row r="83" spans="1:18" s="44" customFormat="1" hidden="1" outlineLevel="1" x14ac:dyDescent="0.35">
      <c r="A83" s="16"/>
      <c r="B83" s="35" t="str">
        <f>CONCATENATE("          ", "5045", " - ", "PURCHASES @ COST-SPECIAL ORDER")</f>
        <v xml:space="preserve">          5045 - PURCHASES @ COST-SPECIAL ORDER</v>
      </c>
      <c r="C83" s="16"/>
      <c r="D83" s="11">
        <v>80402.06</v>
      </c>
      <c r="E83" s="16"/>
      <c r="F83" s="11">
        <v>75693.570000000007</v>
      </c>
      <c r="G83" s="3"/>
      <c r="H83" s="11">
        <v>138273.57999999999</v>
      </c>
      <c r="I83" s="3"/>
      <c r="J83" s="11">
        <v>125479.66</v>
      </c>
      <c r="K83" s="3"/>
      <c r="L83" s="11">
        <v>157881.60999999999</v>
      </c>
      <c r="M83" s="3"/>
      <c r="N83" s="11">
        <v>131614.81</v>
      </c>
      <c r="O83" s="3"/>
      <c r="P83" s="11"/>
      <c r="Q83" s="3"/>
      <c r="R83" s="11"/>
    </row>
    <row r="84" spans="1:18" s="44" customFormat="1" hidden="1" outlineLevel="1" x14ac:dyDescent="0.35">
      <c r="A84" s="16"/>
      <c r="B84" s="35" t="str">
        <f>CONCATENATE("          ", "5081", " - ", "PURCHASES @ COST-ELECTRONICS")</f>
        <v xml:space="preserve">          5081 - PURCHASES @ COST-ELECTRONICS</v>
      </c>
      <c r="C84" s="16"/>
      <c r="D84" s="11">
        <v>-14.52</v>
      </c>
      <c r="E84" s="16"/>
      <c r="F84" s="11">
        <v>399.9</v>
      </c>
      <c r="G84" s="3"/>
      <c r="H84" s="11">
        <v>10.66</v>
      </c>
      <c r="I84" s="3"/>
      <c r="J84" s="11"/>
      <c r="K84" s="3"/>
      <c r="L84" s="11"/>
      <c r="M84" s="3"/>
      <c r="N84" s="11"/>
      <c r="O84" s="3"/>
      <c r="P84" s="11"/>
      <c r="Q84" s="3"/>
      <c r="R84" s="11"/>
    </row>
    <row r="85" spans="1:18" s="44" customFormat="1" hidden="1" outlineLevel="1" x14ac:dyDescent="0.35">
      <c r="A85" s="16"/>
      <c r="B85" s="35" t="str">
        <f>CONCATENATE("          ", "5083", " - ", "PURCHASES @ COST-COMPUTER EQUI")</f>
        <v xml:space="preserve">          5083 - PURCHASES @ COST-COMPUTER EQUI</v>
      </c>
      <c r="C85" s="16"/>
      <c r="D85" s="11">
        <v>-6.7</v>
      </c>
      <c r="E85" s="16"/>
      <c r="F85" s="11"/>
      <c r="G85" s="3"/>
      <c r="H85" s="11">
        <v>23.82</v>
      </c>
      <c r="I85" s="3"/>
      <c r="J85" s="11">
        <v>13.5</v>
      </c>
      <c r="K85" s="3"/>
      <c r="L85" s="11">
        <v>15.8</v>
      </c>
      <c r="M85" s="3"/>
      <c r="N85" s="11">
        <v>90.35</v>
      </c>
      <c r="O85" s="3"/>
      <c r="P85" s="11"/>
      <c r="Q85" s="3"/>
      <c r="R85" s="11"/>
    </row>
    <row r="86" spans="1:18" s="44" customFormat="1" hidden="1" outlineLevel="1" x14ac:dyDescent="0.35">
      <c r="A86" s="16"/>
      <c r="B86" s="35" t="str">
        <f>CONCATENATE("          ", "5086", " - ", "PURCHASES @ COST-COMPUTER SUPP")</f>
        <v xml:space="preserve">          5086 - PURCHASES @ COST-COMPUTER SUPP</v>
      </c>
      <c r="C86" s="16"/>
      <c r="D86" s="11"/>
      <c r="E86" s="16"/>
      <c r="F86" s="11"/>
      <c r="G86" s="3"/>
      <c r="H86" s="11">
        <v>5</v>
      </c>
      <c r="I86" s="3"/>
      <c r="J86" s="11">
        <v>0</v>
      </c>
      <c r="K86" s="3"/>
      <c r="L86" s="11"/>
      <c r="M86" s="3"/>
      <c r="N86" s="11">
        <v>0</v>
      </c>
      <c r="O86" s="3"/>
      <c r="P86" s="11"/>
      <c r="Q86" s="3"/>
      <c r="R86" s="11"/>
    </row>
    <row r="87" spans="1:18" s="44" customFormat="1" hidden="1" outlineLevel="1" x14ac:dyDescent="0.35">
      <c r="A87" s="16"/>
      <c r="B87" s="35" t="str">
        <f>CONCATENATE("          ", "5088", " - ", "PURCHASES @ COST-MUSIC")</f>
        <v xml:space="preserve">          5088 - PURCHASES @ COST-MUSIC</v>
      </c>
      <c r="C87" s="16"/>
      <c r="D87" s="11"/>
      <c r="E87" s="16"/>
      <c r="F87" s="11"/>
      <c r="G87" s="3"/>
      <c r="H87" s="11"/>
      <c r="I87" s="3"/>
      <c r="J87" s="11">
        <v>40</v>
      </c>
      <c r="K87" s="3"/>
      <c r="L87" s="11"/>
      <c r="M87" s="3"/>
      <c r="N87" s="11"/>
      <c r="O87" s="3"/>
      <c r="P87" s="11"/>
      <c r="Q87" s="3"/>
      <c r="R87" s="11"/>
    </row>
    <row r="88" spans="1:18" s="44" customFormat="1" hidden="1" outlineLevel="1" x14ac:dyDescent="0.35">
      <c r="A88" s="16"/>
      <c r="B88" s="35" t="str">
        <f>CONCATENATE("          ", "5092", " - ", "PURCHASES @ COST-GRAD MERCH")</f>
        <v xml:space="preserve">          5092 - PURCHASES @ COST-GRAD MERCH</v>
      </c>
      <c r="C88" s="16"/>
      <c r="D88" s="11">
        <v>194.7</v>
      </c>
      <c r="E88" s="16"/>
      <c r="F88" s="11">
        <v>11.45</v>
      </c>
      <c r="G88" s="3"/>
      <c r="H88" s="11">
        <v>596.95000000000005</v>
      </c>
      <c r="I88" s="3"/>
      <c r="J88" s="11">
        <v>333</v>
      </c>
      <c r="K88" s="3"/>
      <c r="L88" s="11">
        <v>175.8</v>
      </c>
      <c r="M88" s="3"/>
      <c r="N88" s="11">
        <v>-60.35</v>
      </c>
      <c r="O88" s="3"/>
      <c r="P88" s="11"/>
      <c r="Q88" s="3"/>
      <c r="R88" s="11"/>
    </row>
    <row r="89" spans="1:18" s="44" customFormat="1" hidden="1" outlineLevel="1" x14ac:dyDescent="0.35">
      <c r="A89" s="16"/>
      <c r="B89" s="35" t="str">
        <f>CONCATENATE("          ", "5095", " - ", "PURCHASES @ COST-CUSTOMER SERV")</f>
        <v xml:space="preserve">          5095 - PURCHASES @ COST-CUSTOMER SERV</v>
      </c>
      <c r="C89" s="16"/>
      <c r="D89" s="11">
        <v>-68.7</v>
      </c>
      <c r="E89" s="16"/>
      <c r="F89" s="11">
        <v>66.930000000000007</v>
      </c>
      <c r="G89" s="3"/>
      <c r="H89" s="11">
        <v>134.63999999999999</v>
      </c>
      <c r="I89" s="3"/>
      <c r="J89" s="11">
        <v>28.8</v>
      </c>
      <c r="K89" s="3"/>
      <c r="L89" s="11">
        <v>78.48</v>
      </c>
      <c r="M89" s="3"/>
      <c r="N89" s="11">
        <v>-30.84</v>
      </c>
      <c r="O89" s="3"/>
      <c r="P89" s="11"/>
      <c r="Q89" s="3"/>
      <c r="R89" s="11"/>
    </row>
    <row r="90" spans="1:18" s="44" customFormat="1" hidden="1" outlineLevel="1" x14ac:dyDescent="0.35">
      <c r="A90" s="16"/>
      <c r="B90" s="35" t="str">
        <f>CONCATENATE("          ", "5200", " - ", "PURCHASES OFFSET")</f>
        <v xml:space="preserve">          5200 - PURCHASES OFFSET</v>
      </c>
      <c r="C90" s="16"/>
      <c r="D90" s="11">
        <v>-1315001</v>
      </c>
      <c r="E90" s="16"/>
      <c r="F90" s="11">
        <v>-1498613</v>
      </c>
      <c r="G90" s="3"/>
      <c r="H90" s="11">
        <v>-1652922</v>
      </c>
      <c r="I90" s="3"/>
      <c r="J90" s="11">
        <v>-1737014</v>
      </c>
      <c r="K90" s="3"/>
      <c r="L90" s="11">
        <v>-1799430</v>
      </c>
      <c r="M90" s="3"/>
      <c r="N90" s="11">
        <v>-1518671</v>
      </c>
      <c r="O90" s="3"/>
      <c r="P90" s="11"/>
      <c r="Q90" s="3"/>
      <c r="R90" s="11"/>
    </row>
    <row r="91" spans="1:18" s="44" customFormat="1" hidden="1" outlineLevel="1" x14ac:dyDescent="0.35">
      <c r="A91" s="16"/>
      <c r="B91" s="35" t="str">
        <f>CONCATENATE("          ", "5300", " - ", "COG$ OFFSET")</f>
        <v xml:space="preserve">          5300 - COG$ OFFSET</v>
      </c>
      <c r="C91" s="16"/>
      <c r="D91" s="11">
        <v>1315633</v>
      </c>
      <c r="E91" s="16"/>
      <c r="F91" s="11">
        <v>1477118</v>
      </c>
      <c r="G91" s="3"/>
      <c r="H91" s="11">
        <v>1612305</v>
      </c>
      <c r="I91" s="3"/>
      <c r="J91" s="11">
        <v>1630438</v>
      </c>
      <c r="K91" s="3"/>
      <c r="L91" s="11">
        <v>1689922</v>
      </c>
      <c r="M91" s="3"/>
      <c r="N91" s="11">
        <v>1413573</v>
      </c>
      <c r="O91" s="3"/>
      <c r="P91" s="11"/>
      <c r="Q91" s="3"/>
      <c r="R91" s="11"/>
    </row>
    <row r="92" spans="1:18" s="44" customFormat="1" hidden="1" outlineLevel="1" x14ac:dyDescent="0.35">
      <c r="A92" s="16"/>
      <c r="B92" s="35" t="str">
        <f>CONCATENATE("          ", "5500", " - ", "FREIGHT-IN")</f>
        <v xml:space="preserve">          5500 - FREIGHT-IN</v>
      </c>
      <c r="C92" s="16"/>
      <c r="D92" s="11"/>
      <c r="E92" s="16"/>
      <c r="F92" s="11"/>
      <c r="G92" s="3"/>
      <c r="H92" s="11"/>
      <c r="I92" s="3"/>
      <c r="J92" s="11">
        <v>37.700000000000003</v>
      </c>
      <c r="K92" s="3"/>
      <c r="L92" s="11">
        <v>14.08</v>
      </c>
      <c r="M92" s="3"/>
      <c r="N92" s="11">
        <v>29.23</v>
      </c>
      <c r="O92" s="3"/>
      <c r="P92" s="11"/>
      <c r="Q92" s="3"/>
      <c r="R92" s="11"/>
    </row>
    <row r="93" spans="1:18" s="44" customFormat="1" hidden="1" outlineLevel="1" x14ac:dyDescent="0.35">
      <c r="A93" s="16"/>
      <c r="B93" s="35" t="str">
        <f>CONCATENATE("          ", "5540", " - ", "FREIGHT-IN-LOGO CLOTHING")</f>
        <v xml:space="preserve">          5540 - FREIGHT-IN-LOGO CLOTHING</v>
      </c>
      <c r="C93" s="16"/>
      <c r="D93" s="11">
        <v>21210.19</v>
      </c>
      <c r="E93" s="16"/>
      <c r="F93" s="11">
        <v>34315.83</v>
      </c>
      <c r="G93" s="3"/>
      <c r="H93" s="11">
        <v>27831.279999999999</v>
      </c>
      <c r="I93" s="3"/>
      <c r="J93" s="11">
        <v>25956.86</v>
      </c>
      <c r="K93" s="3"/>
      <c r="L93" s="11">
        <v>35751.94</v>
      </c>
      <c r="M93" s="3"/>
      <c r="N93" s="11">
        <v>32548.98</v>
      </c>
      <c r="O93" s="3"/>
      <c r="P93" s="11"/>
      <c r="Q93" s="3"/>
      <c r="R93" s="11"/>
    </row>
    <row r="94" spans="1:18" s="44" customFormat="1" hidden="1" outlineLevel="1" x14ac:dyDescent="0.35">
      <c r="A94" s="16"/>
      <c r="B94" s="35" t="str">
        <f>CONCATENATE("          ", "5541", " - ", "FREIGHT-IN-LOGO GIFTS")</f>
        <v xml:space="preserve">          5541 - FREIGHT-IN-LOGO GIFTS</v>
      </c>
      <c r="C94" s="16"/>
      <c r="D94" s="11">
        <v>9598.33</v>
      </c>
      <c r="E94" s="16"/>
      <c r="F94" s="11">
        <v>7755.4</v>
      </c>
      <c r="G94" s="3"/>
      <c r="H94" s="11">
        <v>6647.69</v>
      </c>
      <c r="I94" s="3"/>
      <c r="J94" s="11">
        <v>6736.78</v>
      </c>
      <c r="K94" s="3"/>
      <c r="L94" s="11">
        <v>8438.06</v>
      </c>
      <c r="M94" s="3"/>
      <c r="N94" s="11">
        <v>5574.41</v>
      </c>
      <c r="O94" s="3"/>
      <c r="P94" s="11"/>
      <c r="Q94" s="3"/>
      <c r="R94" s="11"/>
    </row>
    <row r="95" spans="1:18" s="44" customFormat="1" hidden="1" outlineLevel="1" x14ac:dyDescent="0.35">
      <c r="A95" s="16"/>
      <c r="B95" s="35" t="str">
        <f>CONCATENATE("          ", "5542", " - ", "FREIGHT-IN-EVERYDAY GIFTS")</f>
        <v xml:space="preserve">          5542 - FREIGHT-IN-EVERYDAY GIFTS</v>
      </c>
      <c r="C95" s="16"/>
      <c r="D95" s="11">
        <v>1401.93</v>
      </c>
      <c r="E95" s="16"/>
      <c r="F95" s="11">
        <v>2793.76</v>
      </c>
      <c r="G95" s="3"/>
      <c r="H95" s="11">
        <v>2300.5500000000002</v>
      </c>
      <c r="I95" s="3"/>
      <c r="J95" s="11">
        <v>1602.66</v>
      </c>
      <c r="K95" s="3"/>
      <c r="L95" s="11">
        <v>2038.06</v>
      </c>
      <c r="M95" s="3"/>
      <c r="N95" s="11">
        <v>2223.5100000000002</v>
      </c>
      <c r="O95" s="3"/>
      <c r="P95" s="11"/>
      <c r="Q95" s="3"/>
      <c r="R95" s="11"/>
    </row>
    <row r="96" spans="1:18" s="44" customFormat="1" hidden="1" outlineLevel="1" x14ac:dyDescent="0.35">
      <c r="A96" s="16"/>
      <c r="B96" s="35" t="str">
        <f>CONCATENATE("          ", "5543", " - ", "FREIGHT-IN-CARDS")</f>
        <v xml:space="preserve">          5543 - FREIGHT-IN-CARDS</v>
      </c>
      <c r="C96" s="16"/>
      <c r="D96" s="11">
        <v>47.8</v>
      </c>
      <c r="E96" s="16"/>
      <c r="F96" s="11">
        <v>10.06</v>
      </c>
      <c r="G96" s="3"/>
      <c r="H96" s="11">
        <v>7.19</v>
      </c>
      <c r="I96" s="3"/>
      <c r="J96" s="11">
        <v>123.84</v>
      </c>
      <c r="K96" s="3"/>
      <c r="L96" s="11">
        <v>57.18</v>
      </c>
      <c r="M96" s="3"/>
      <c r="N96" s="11">
        <v>2926.76</v>
      </c>
      <c r="O96" s="3"/>
      <c r="P96" s="11"/>
      <c r="Q96" s="3"/>
      <c r="R96" s="11"/>
    </row>
    <row r="97" spans="1:18" s="44" customFormat="1" hidden="1" outlineLevel="1" x14ac:dyDescent="0.35">
      <c r="A97" s="16"/>
      <c r="B97" s="35" t="str">
        <f>CONCATENATE("          ", "5544", " - ", "FREIGHT-IN-ACCESSORIES")</f>
        <v xml:space="preserve">          5544 - FREIGHT-IN-ACCESSORIES</v>
      </c>
      <c r="C97" s="16"/>
      <c r="D97" s="11">
        <v>807.33</v>
      </c>
      <c r="E97" s="16"/>
      <c r="F97" s="11">
        <v>349.62</v>
      </c>
      <c r="G97" s="3"/>
      <c r="H97" s="11">
        <v>845.08</v>
      </c>
      <c r="I97" s="3"/>
      <c r="J97" s="11">
        <v>635.88</v>
      </c>
      <c r="K97" s="3"/>
      <c r="L97" s="11">
        <v>1360.08</v>
      </c>
      <c r="M97" s="3"/>
      <c r="N97" s="11">
        <v>483.44</v>
      </c>
      <c r="O97" s="3"/>
      <c r="P97" s="11"/>
      <c r="Q97" s="3"/>
      <c r="R97" s="11"/>
    </row>
    <row r="98" spans="1:18" s="44" customFormat="1" hidden="1" outlineLevel="1" x14ac:dyDescent="0.35">
      <c r="A98" s="16"/>
      <c r="B98" s="35" t="str">
        <f>CONCATENATE("          ", "5545", " - ", "FREIGHT-IN-SPECIAL ORDERS")</f>
        <v xml:space="preserve">          5545 - FREIGHT-IN-SPECIAL ORDERS</v>
      </c>
      <c r="C98" s="16"/>
      <c r="D98" s="11">
        <v>1532.2</v>
      </c>
      <c r="E98" s="16"/>
      <c r="F98" s="11">
        <v>1427.75</v>
      </c>
      <c r="G98" s="3"/>
      <c r="H98" s="11">
        <v>1892.22</v>
      </c>
      <c r="I98" s="3"/>
      <c r="J98" s="11">
        <v>2225.2600000000002</v>
      </c>
      <c r="K98" s="3"/>
      <c r="L98" s="11">
        <v>2744.68</v>
      </c>
      <c r="M98" s="3"/>
      <c r="N98" s="11">
        <v>1420.62</v>
      </c>
      <c r="O98" s="3"/>
      <c r="P98" s="11"/>
      <c r="Q98" s="3"/>
      <c r="R98" s="11"/>
    </row>
    <row r="99" spans="1:18" x14ac:dyDescent="0.35">
      <c r="A99" s="12"/>
      <c r="B99" s="7"/>
      <c r="C99" s="7"/>
      <c r="D99" s="6"/>
      <c r="F99" s="6"/>
      <c r="H99" s="6"/>
      <c r="J99" s="6"/>
      <c r="L99" s="6"/>
      <c r="N99" s="6"/>
      <c r="P99" s="6"/>
      <c r="R99" s="6"/>
    </row>
    <row r="100" spans="1:18" s="15" customFormat="1" x14ac:dyDescent="0.35">
      <c r="A100" s="7"/>
      <c r="B100" s="22" t="s">
        <v>107</v>
      </c>
      <c r="C100" s="22"/>
      <c r="D100" s="10">
        <f>+D10-D63</f>
        <v>1619665.19</v>
      </c>
      <c r="E100" s="12"/>
      <c r="F100" s="10">
        <f>+F10-F63</f>
        <v>1811149.1900000002</v>
      </c>
      <c r="G100" s="5"/>
      <c r="H100" s="10">
        <f>+H10-H63</f>
        <v>1954197.5899999996</v>
      </c>
      <c r="I100" s="5"/>
      <c r="J100" s="10">
        <f>+J10-J63</f>
        <v>1975249.5799999991</v>
      </c>
      <c r="K100" s="5"/>
      <c r="L100" s="10">
        <f>+L10-L63</f>
        <v>1976710.3599999989</v>
      </c>
      <c r="M100" s="5"/>
      <c r="N100" s="10">
        <f>+N10-N63</f>
        <v>1522634.6300000006</v>
      </c>
      <c r="O100" s="5"/>
      <c r="P100" s="10">
        <f>+P10-P63</f>
        <v>2225716</v>
      </c>
      <c r="Q100" s="5"/>
      <c r="R100" s="10">
        <f>+R10-R63</f>
        <v>1586056</v>
      </c>
    </row>
    <row r="101" spans="1:18" s="27" customFormat="1" x14ac:dyDescent="0.35">
      <c r="A101" s="18"/>
      <c r="B101" s="31"/>
      <c r="C101" s="18"/>
      <c r="D101" s="9">
        <f>IFERROR(D100/D10, 0)</f>
        <v>0.55179041851097443</v>
      </c>
      <c r="E101" s="13"/>
      <c r="F101" s="9">
        <f>IFERROR(F100/F10, 0)</f>
        <v>0.55079123249445838</v>
      </c>
      <c r="G101" s="26"/>
      <c r="H101" s="9">
        <f>IFERROR(H100/H10, 0)</f>
        <v>0.5479311787272565</v>
      </c>
      <c r="I101" s="26"/>
      <c r="J101" s="9">
        <f>IFERROR(J100/J10, 0)</f>
        <v>0.54780904968539679</v>
      </c>
      <c r="K101" s="26"/>
      <c r="L101" s="9">
        <f>IFERROR(L100/L10, 0)</f>
        <v>0.53910623015543702</v>
      </c>
      <c r="M101" s="26"/>
      <c r="N101" s="9">
        <f>IFERROR(N100/N10, 0)</f>
        <v>0.5185659219053057</v>
      </c>
      <c r="O101" s="26"/>
      <c r="P101" s="9">
        <f>IFERROR(P100/P10, 0)</f>
        <v>0.5421745532761777</v>
      </c>
      <c r="Q101" s="26"/>
      <c r="R101" s="9">
        <f>IFERROR(R100/R10, 0)</f>
        <v>0.49269724823081024</v>
      </c>
    </row>
    <row r="102" spans="1:18" s="27" customFormat="1" x14ac:dyDescent="0.35">
      <c r="A102" s="18"/>
      <c r="B102" s="31"/>
      <c r="C102" s="18"/>
      <c r="D102" s="13"/>
      <c r="E102" s="13"/>
      <c r="F102" s="13"/>
      <c r="G102" s="26"/>
      <c r="H102" s="13"/>
      <c r="I102" s="26"/>
      <c r="J102" s="13"/>
      <c r="K102" s="26"/>
      <c r="L102" s="13"/>
      <c r="M102" s="26"/>
      <c r="N102" s="13"/>
      <c r="O102" s="26"/>
      <c r="P102" s="13"/>
      <c r="Q102" s="26"/>
      <c r="R102" s="13"/>
    </row>
    <row r="103" spans="1:18" s="15" customFormat="1" x14ac:dyDescent="0.35">
      <c r="A103" s="7"/>
      <c r="B103" s="34" t="s">
        <v>314</v>
      </c>
      <c r="C103" s="7"/>
      <c r="D103" s="8">
        <f>SUM(OSRRefD21x_0)</f>
        <v>813590.33999999985</v>
      </c>
      <c r="E103" s="19"/>
      <c r="F103" s="8">
        <f>SUM(OSRRefF21x_0)</f>
        <v>895021.82000000007</v>
      </c>
      <c r="G103" s="4"/>
      <c r="H103" s="8">
        <f>SUM(OSRRefH21x_0)</f>
        <v>1021453.1999999998</v>
      </c>
      <c r="I103" s="4"/>
      <c r="J103" s="8">
        <f>SUM(OSRRefJ21x_0)</f>
        <v>943540.71000000008</v>
      </c>
      <c r="K103" s="4"/>
      <c r="L103" s="8">
        <f>SUM(OSRRefL21x_0)</f>
        <v>893503.9</v>
      </c>
      <c r="M103" s="4"/>
      <c r="N103" s="8">
        <f>SUM(OSRRefN21x_0)</f>
        <v>1168483.29</v>
      </c>
      <c r="O103" s="4"/>
      <c r="P103" s="8">
        <f>SUM(OSRRefP21x_0)</f>
        <v>1539307.3333729</v>
      </c>
      <c r="Q103" s="4"/>
      <c r="R103" s="8">
        <f>SUM(OSRRefR21x_0)</f>
        <v>1302984.1026181001</v>
      </c>
    </row>
    <row r="104" spans="1:18" s="15" customFormat="1" outlineLevel="1" collapsed="1" x14ac:dyDescent="0.35">
      <c r="A104" s="7"/>
      <c r="B104" s="20" t="str">
        <f>CONCATENATE("     ","*Benefits                                         ")</f>
        <v xml:space="preserve">     *Benefits                                         </v>
      </c>
      <c r="C104" s="7"/>
      <c r="D104" s="1">
        <f>SUM(OSRRefD21_0x_0)</f>
        <v>73421.53</v>
      </c>
      <c r="E104" s="19"/>
      <c r="F104" s="1">
        <f>SUM(OSRRefF21_0x_0)</f>
        <v>84464.349999999991</v>
      </c>
      <c r="G104" s="4"/>
      <c r="H104" s="1">
        <f>SUM(OSRRefH21_0x_0)</f>
        <v>83020.430000000008</v>
      </c>
      <c r="I104" s="4"/>
      <c r="J104" s="1">
        <f>SUM(OSRRefJ21_0x_0)</f>
        <v>88944.709999999992</v>
      </c>
      <c r="K104" s="4"/>
      <c r="L104" s="1">
        <f>SUM(OSRRefL21_0x_0)</f>
        <v>88069.590000000011</v>
      </c>
      <c r="M104" s="4"/>
      <c r="N104" s="1">
        <f>SUM(OSRRefN21_0x_0)</f>
        <v>107564.56</v>
      </c>
      <c r="O104" s="4"/>
      <c r="P104" s="1">
        <f>SUM(OSRRefP21_0x_0)</f>
        <v>181846.75837290002</v>
      </c>
      <c r="Q104" s="4"/>
      <c r="R104" s="1">
        <f>SUM(OSRRefR21_0x_0)</f>
        <v>249204.7856181</v>
      </c>
    </row>
    <row r="105" spans="1:18" s="16" customFormat="1" hidden="1" outlineLevel="2" x14ac:dyDescent="0.35">
      <c r="B105" s="11" t="str">
        <f>CONCATENATE("          ", "6111", " - ", "F.I.C.A.")</f>
        <v xml:space="preserve">          6111 - F.I.C.A.</v>
      </c>
      <c r="D105" s="2">
        <v>13866.69</v>
      </c>
      <c r="F105" s="2">
        <v>15723.31</v>
      </c>
      <c r="G105" s="3"/>
      <c r="H105" s="2">
        <v>17524.55</v>
      </c>
      <c r="I105" s="3"/>
      <c r="J105" s="2">
        <v>20883.87</v>
      </c>
      <c r="K105" s="3"/>
      <c r="L105" s="2">
        <v>19724.490000000002</v>
      </c>
      <c r="M105" s="3"/>
      <c r="N105" s="2">
        <v>20108.55</v>
      </c>
      <c r="O105" s="3"/>
      <c r="P105" s="2">
        <v>31910.815884899999</v>
      </c>
      <c r="Q105" s="3"/>
      <c r="R105" s="2">
        <v>57748.5829056</v>
      </c>
    </row>
    <row r="106" spans="1:18" s="16" customFormat="1" hidden="1" outlineLevel="2" x14ac:dyDescent="0.35">
      <c r="B106" s="11" t="str">
        <f>CONCATENATE("          ", "6112", " - ", "COMPENSATION INSURANCE")</f>
        <v xml:space="preserve">          6112 - COMPENSATION INSURANCE</v>
      </c>
      <c r="D106" s="2">
        <v>4468.79</v>
      </c>
      <c r="F106" s="2">
        <v>8513.7199999999993</v>
      </c>
      <c r="G106" s="3"/>
      <c r="H106" s="2">
        <v>5821.53</v>
      </c>
      <c r="I106" s="3"/>
      <c r="J106" s="2">
        <v>3502.1</v>
      </c>
      <c r="K106" s="3"/>
      <c r="L106" s="2">
        <v>4388.8599999999997</v>
      </c>
      <c r="M106" s="3"/>
      <c r="N106" s="2">
        <v>6646.31</v>
      </c>
      <c r="O106" s="3"/>
      <c r="P106" s="2">
        <v>15231.56948</v>
      </c>
      <c r="Q106" s="3"/>
      <c r="R106" s="2">
        <v>13566.72135</v>
      </c>
    </row>
    <row r="107" spans="1:18" s="16" customFormat="1" hidden="1" outlineLevel="2" x14ac:dyDescent="0.35">
      <c r="B107" s="11" t="str">
        <f>CONCATENATE("          ", "6113", " - ", "GROUP INSURANCE")</f>
        <v xml:space="preserve">          6113 - GROUP INSURANCE</v>
      </c>
      <c r="D107" s="2">
        <v>24220.2</v>
      </c>
      <c r="F107" s="2">
        <v>27727.29</v>
      </c>
      <c r="G107" s="3"/>
      <c r="H107" s="2">
        <v>30427.61</v>
      </c>
      <c r="I107" s="3"/>
      <c r="J107" s="2">
        <v>32684.7</v>
      </c>
      <c r="K107" s="3"/>
      <c r="L107" s="2">
        <v>33088.85</v>
      </c>
      <c r="M107" s="3"/>
      <c r="N107" s="2">
        <v>36852.74</v>
      </c>
      <c r="O107" s="3"/>
      <c r="P107" s="2">
        <v>72120</v>
      </c>
      <c r="Q107" s="3"/>
      <c r="R107" s="2">
        <v>95712</v>
      </c>
    </row>
    <row r="108" spans="1:18" s="16" customFormat="1" hidden="1" outlineLevel="2" x14ac:dyDescent="0.35">
      <c r="B108" s="11" t="str">
        <f>CONCATENATE("          ", "6114", " - ", "STATE UNEMPLOYMENT INSURANCE")</f>
        <v xml:space="preserve">          6114 - STATE UNEMPLOYMENT INSURANCE</v>
      </c>
      <c r="D108" s="2">
        <v>1820.07</v>
      </c>
      <c r="F108" s="2">
        <v>2058.25</v>
      </c>
      <c r="G108" s="3"/>
      <c r="H108" s="2">
        <v>1097.1400000000001</v>
      </c>
      <c r="I108" s="3"/>
      <c r="J108" s="2">
        <v>1157.54</v>
      </c>
      <c r="K108" s="3"/>
      <c r="L108" s="2">
        <v>1058.79</v>
      </c>
      <c r="M108" s="3"/>
      <c r="N108" s="2">
        <v>0</v>
      </c>
      <c r="O108" s="3"/>
      <c r="P108" s="2">
        <v>2140.6530080000002</v>
      </c>
      <c r="Q108" s="3"/>
      <c r="R108" s="2">
        <v>1826.2894125</v>
      </c>
    </row>
    <row r="109" spans="1:18" s="16" customFormat="1" hidden="1" outlineLevel="2" x14ac:dyDescent="0.35">
      <c r="B109" s="11" t="str">
        <f>CONCATENATE("          ", "6115", " - ", "P.E.R.S.")</f>
        <v xml:space="preserve">          6115 - P.E.R.S.</v>
      </c>
      <c r="D109" s="2">
        <v>12705.51</v>
      </c>
      <c r="F109" s="2">
        <v>9453.61</v>
      </c>
      <c r="G109" s="3"/>
      <c r="H109" s="2">
        <v>10299.33</v>
      </c>
      <c r="I109" s="3"/>
      <c r="J109" s="2">
        <v>10520.55</v>
      </c>
      <c r="K109" s="3"/>
      <c r="L109" s="2">
        <v>9965.17</v>
      </c>
      <c r="M109" s="3"/>
      <c r="N109" s="2">
        <v>12196.85</v>
      </c>
      <c r="O109" s="3"/>
      <c r="P109" s="2">
        <v>17642.315200000001</v>
      </c>
      <c r="Q109" s="3"/>
      <c r="R109" s="2">
        <v>18373.47</v>
      </c>
    </row>
    <row r="110" spans="1:18" s="16" customFormat="1" hidden="1" outlineLevel="2" x14ac:dyDescent="0.35">
      <c r="B110" s="11" t="str">
        <f>CONCATENATE("          ", "6116", " - ", "EDUCATIONAL BENEFITS")</f>
        <v xml:space="preserve">          6116 - EDUCATIONAL BENEFITS</v>
      </c>
      <c r="D110" s="2"/>
      <c r="F110" s="2"/>
      <c r="G110" s="3"/>
      <c r="H110" s="2"/>
      <c r="I110" s="3"/>
      <c r="J110" s="2"/>
      <c r="K110" s="3"/>
      <c r="L110" s="2"/>
      <c r="M110" s="3"/>
      <c r="N110" s="2"/>
      <c r="O110" s="3"/>
      <c r="P110" s="2">
        <v>0</v>
      </c>
      <c r="Q110" s="3"/>
      <c r="R110" s="2">
        <v>0</v>
      </c>
    </row>
    <row r="111" spans="1:18" s="16" customFormat="1" hidden="1" outlineLevel="2" x14ac:dyDescent="0.35">
      <c r="B111" s="11" t="str">
        <f>CONCATENATE("          ", "6118", " - ", "VACATION")</f>
        <v xml:space="preserve">          6118 - VACATION</v>
      </c>
      <c r="D111" s="2">
        <v>7545.74</v>
      </c>
      <c r="F111" s="2">
        <v>8831.16</v>
      </c>
      <c r="G111" s="3"/>
      <c r="H111" s="2">
        <v>8759.5</v>
      </c>
      <c r="I111" s="3"/>
      <c r="J111" s="2">
        <v>9952.3799999999992</v>
      </c>
      <c r="K111" s="3"/>
      <c r="L111" s="2">
        <v>9975.7999999999993</v>
      </c>
      <c r="M111" s="3"/>
      <c r="N111" s="2">
        <v>13643.9</v>
      </c>
      <c r="O111" s="3"/>
      <c r="P111" s="2">
        <v>12790.6</v>
      </c>
      <c r="Q111" s="3"/>
      <c r="R111" s="2">
        <v>16038.25</v>
      </c>
    </row>
    <row r="112" spans="1:18" s="16" customFormat="1" hidden="1" outlineLevel="2" x14ac:dyDescent="0.35">
      <c r="B112" s="11" t="str">
        <f>CONCATENATE("          ", "6119", " - ", "SICK LEAVE")</f>
        <v xml:space="preserve">          6119 - SICK LEAVE</v>
      </c>
      <c r="D112" s="2">
        <v>5388.97</v>
      </c>
      <c r="F112" s="2">
        <v>8658.67</v>
      </c>
      <c r="G112" s="3"/>
      <c r="H112" s="2">
        <v>5591.94</v>
      </c>
      <c r="I112" s="3"/>
      <c r="J112" s="2">
        <v>6997.64</v>
      </c>
      <c r="K112" s="3"/>
      <c r="L112" s="2">
        <v>7110.3</v>
      </c>
      <c r="M112" s="3"/>
      <c r="N112" s="2">
        <v>15363.43</v>
      </c>
      <c r="O112" s="3"/>
      <c r="P112" s="2">
        <v>19510.804800000002</v>
      </c>
      <c r="Q112" s="3"/>
      <c r="R112" s="2">
        <v>35439.471949999999</v>
      </c>
    </row>
    <row r="113" spans="1:18" s="16" customFormat="1" hidden="1" outlineLevel="2" x14ac:dyDescent="0.35">
      <c r="B113" s="11" t="str">
        <f>CONCATENATE("          ", "6156", " - ", "EMPLOYEE MEALS")</f>
        <v xml:space="preserve">          6156 - EMPLOYEE MEALS</v>
      </c>
      <c r="D113" s="2">
        <v>3405.56</v>
      </c>
      <c r="F113" s="2">
        <v>3498.34</v>
      </c>
      <c r="G113" s="3"/>
      <c r="H113" s="2">
        <v>3498.83</v>
      </c>
      <c r="I113" s="3"/>
      <c r="J113" s="2">
        <v>3245.93</v>
      </c>
      <c r="K113" s="3"/>
      <c r="L113" s="2">
        <v>2757.33</v>
      </c>
      <c r="M113" s="3"/>
      <c r="N113" s="2">
        <v>2752.78</v>
      </c>
      <c r="O113" s="3"/>
      <c r="P113" s="2">
        <v>10500</v>
      </c>
      <c r="Q113" s="3"/>
      <c r="R113" s="2">
        <v>10500</v>
      </c>
    </row>
    <row r="114" spans="1:18" s="15" customFormat="1" outlineLevel="1" collapsed="1" x14ac:dyDescent="0.35">
      <c r="A114" s="7"/>
      <c r="B114" s="20" t="str">
        <f>CONCATENATE("     ","*Payroll                                          ")</f>
        <v xml:space="preserve">     *Payroll                                          </v>
      </c>
      <c r="C114" s="7"/>
      <c r="D114" s="1">
        <f>SUM(OSRRefD21_1x_0)</f>
        <v>286660.59999999998</v>
      </c>
      <c r="E114" s="19"/>
      <c r="F114" s="1">
        <f>SUM(OSRRefF21_1x_0)</f>
        <v>324350.20999999996</v>
      </c>
      <c r="G114" s="4"/>
      <c r="H114" s="1">
        <f>SUM(OSRRefH21_1x_0)</f>
        <v>362909.91</v>
      </c>
      <c r="I114" s="4"/>
      <c r="J114" s="1">
        <f>SUM(OSRRefJ21_1x_0)</f>
        <v>369801.47999999992</v>
      </c>
      <c r="K114" s="4"/>
      <c r="L114" s="1">
        <f>SUM(OSRRefL21_1x_0)</f>
        <v>376514.53</v>
      </c>
      <c r="M114" s="4"/>
      <c r="N114" s="1">
        <f>SUM(OSRRefN21_1x_0)</f>
        <v>370565.67000000004</v>
      </c>
      <c r="O114" s="4"/>
      <c r="P114" s="1">
        <f>SUM(OSRRefP21_1x_0)</f>
        <v>796440.57499999995</v>
      </c>
      <c r="Q114" s="4"/>
      <c r="R114" s="1">
        <f>SUM(OSRRefR21_1x_0)</f>
        <v>830249.31700000004</v>
      </c>
    </row>
    <row r="115" spans="1:18" s="16" customFormat="1" hidden="1" outlineLevel="2" x14ac:dyDescent="0.35">
      <c r="B115" s="11" t="str">
        <f>CONCATENATE("          ", "6001", " - ", "ADMINISTRATIVE SALARIES")</f>
        <v xml:space="preserve">          6001 - ADMINISTRATIVE SALARIES</v>
      </c>
      <c r="D115" s="2"/>
      <c r="F115" s="2"/>
      <c r="G115" s="3"/>
      <c r="H115" s="2"/>
      <c r="I115" s="3"/>
      <c r="J115" s="2"/>
      <c r="K115" s="3"/>
      <c r="L115" s="2"/>
      <c r="M115" s="3"/>
      <c r="N115" s="2"/>
      <c r="O115" s="3"/>
      <c r="P115" s="2">
        <v>0</v>
      </c>
      <c r="Q115" s="3"/>
      <c r="R115" s="2">
        <v>0</v>
      </c>
    </row>
    <row r="116" spans="1:18" s="16" customFormat="1" hidden="1" outlineLevel="2" x14ac:dyDescent="0.35">
      <c r="B116" s="11" t="str">
        <f>CONCATENATE("          ", "6002", " - ", "STAFF SALARIES")</f>
        <v xml:space="preserve">          6002 - STAFF SALARIES</v>
      </c>
      <c r="D116" s="2">
        <v>102592.8</v>
      </c>
      <c r="F116" s="2">
        <v>109862.79</v>
      </c>
      <c r="G116" s="3"/>
      <c r="H116" s="2">
        <v>114584.56</v>
      </c>
      <c r="I116" s="3"/>
      <c r="J116" s="2">
        <v>111561.68</v>
      </c>
      <c r="K116" s="3"/>
      <c r="L116" s="2">
        <v>99596.49</v>
      </c>
      <c r="M116" s="3"/>
      <c r="N116" s="2">
        <v>117156.65</v>
      </c>
      <c r="O116" s="3"/>
      <c r="P116" s="2">
        <v>184628.88</v>
      </c>
      <c r="Q116" s="3"/>
      <c r="R116" s="2">
        <v>192280.5</v>
      </c>
    </row>
    <row r="117" spans="1:18" s="16" customFormat="1" hidden="1" outlineLevel="2" x14ac:dyDescent="0.35">
      <c r="B117" s="11" t="str">
        <f>CONCATENATE("          ", "6003", " - ", "STAFF HOURLY-9 MONTH")</f>
        <v xml:space="preserve">          6003 - STAFF HOURLY-9 MONTH</v>
      </c>
      <c r="D117" s="2"/>
      <c r="F117" s="2"/>
      <c r="G117" s="3"/>
      <c r="H117" s="2"/>
      <c r="I117" s="3"/>
      <c r="J117" s="2"/>
      <c r="K117" s="3"/>
      <c r="L117" s="2"/>
      <c r="M117" s="3"/>
      <c r="N117" s="2"/>
      <c r="O117" s="3"/>
      <c r="P117" s="2">
        <v>0</v>
      </c>
      <c r="Q117" s="3"/>
      <c r="R117" s="2">
        <v>0</v>
      </c>
    </row>
    <row r="118" spans="1:18" s="16" customFormat="1" hidden="1" outlineLevel="2" x14ac:dyDescent="0.35">
      <c r="B118" s="11" t="str">
        <f>CONCATENATE("          ", "6004", " - ", "STAFF HOURLY")</f>
        <v xml:space="preserve">          6004 - STAFF HOURLY</v>
      </c>
      <c r="D118" s="2"/>
      <c r="F118" s="2"/>
      <c r="G118" s="3"/>
      <c r="H118" s="2"/>
      <c r="I118" s="3"/>
      <c r="J118" s="2"/>
      <c r="K118" s="3"/>
      <c r="L118" s="2"/>
      <c r="M118" s="3"/>
      <c r="N118" s="2">
        <v>20401.43</v>
      </c>
      <c r="O118" s="3"/>
      <c r="P118" s="2">
        <v>87839.115000000005</v>
      </c>
      <c r="Q118" s="3"/>
      <c r="R118" s="2">
        <v>235788.35200000001</v>
      </c>
    </row>
    <row r="119" spans="1:18" s="16" customFormat="1" hidden="1" outlineLevel="2" x14ac:dyDescent="0.35">
      <c r="B119" s="11" t="str">
        <f>CONCATENATE("          ", "6005", " - ", "TEMPORARY WAGES-HOURLY")</f>
        <v xml:space="preserve">          6005 - TEMPORARY WAGES-HOURLY</v>
      </c>
      <c r="D119" s="2">
        <v>18381.89</v>
      </c>
      <c r="F119" s="2">
        <v>25163.11</v>
      </c>
      <c r="G119" s="3"/>
      <c r="H119" s="2">
        <v>44325.68</v>
      </c>
      <c r="I119" s="3"/>
      <c r="J119" s="2">
        <v>46222.17</v>
      </c>
      <c r="K119" s="3"/>
      <c r="L119" s="2">
        <v>66249.710000000006</v>
      </c>
      <c r="M119" s="3"/>
      <c r="N119" s="2">
        <v>43395.79</v>
      </c>
      <c r="O119" s="3"/>
      <c r="P119" s="2">
        <v>0</v>
      </c>
      <c r="Q119" s="3"/>
      <c r="R119" s="2">
        <v>0</v>
      </c>
    </row>
    <row r="120" spans="1:18" s="16" customFormat="1" hidden="1" outlineLevel="2" x14ac:dyDescent="0.35">
      <c r="B120" s="11" t="str">
        <f>CONCATENATE("          ", "6006", " - ", "TEMPORARY PART TIME")</f>
        <v xml:space="preserve">          6006 - TEMPORARY PART TIME</v>
      </c>
      <c r="D120" s="2">
        <v>6348.13</v>
      </c>
      <c r="F120" s="2">
        <v>13863.34</v>
      </c>
      <c r="G120" s="3"/>
      <c r="H120" s="2">
        <v>11384.56</v>
      </c>
      <c r="I120" s="3"/>
      <c r="J120" s="2">
        <v>37999.46</v>
      </c>
      <c r="K120" s="3"/>
      <c r="L120" s="2">
        <v>14004.75</v>
      </c>
      <c r="M120" s="3"/>
      <c r="N120" s="2">
        <v>1227.45</v>
      </c>
      <c r="O120" s="3"/>
      <c r="P120" s="2">
        <v>0</v>
      </c>
      <c r="Q120" s="3"/>
      <c r="R120" s="2">
        <v>0</v>
      </c>
    </row>
    <row r="121" spans="1:18" s="16" customFormat="1" hidden="1" outlineLevel="2" x14ac:dyDescent="0.35">
      <c r="B121" s="11" t="str">
        <f>CONCATENATE("          ", "6007", " - ", "STUDENT HOURLY")</f>
        <v xml:space="preserve">          6007 - STUDENT HOURLY</v>
      </c>
      <c r="D121" s="2">
        <v>156308.15</v>
      </c>
      <c r="F121" s="2">
        <v>174020.97</v>
      </c>
      <c r="G121" s="3"/>
      <c r="H121" s="2">
        <v>189900.82</v>
      </c>
      <c r="I121" s="3"/>
      <c r="J121" s="2">
        <v>164830</v>
      </c>
      <c r="K121" s="3"/>
      <c r="L121" s="2">
        <v>195773.33</v>
      </c>
      <c r="M121" s="3"/>
      <c r="N121" s="2">
        <v>188189.35</v>
      </c>
      <c r="O121" s="3"/>
      <c r="P121" s="2">
        <v>117615.83</v>
      </c>
      <c r="Q121" s="3"/>
      <c r="R121" s="2">
        <v>287106.36</v>
      </c>
    </row>
    <row r="122" spans="1:18" s="16" customFormat="1" hidden="1" outlineLevel="2" x14ac:dyDescent="0.35">
      <c r="B122" s="11" t="str">
        <f>CONCATENATE("          ", "6008", " - ", "STUDENT HOURLY-FICA EXEMPT")</f>
        <v xml:space="preserve">          6008 - STUDENT HOURLY-FICA EXEMPT</v>
      </c>
      <c r="D122" s="2">
        <v>2799</v>
      </c>
      <c r="F122" s="2">
        <v>1440</v>
      </c>
      <c r="G122" s="3"/>
      <c r="H122" s="2">
        <v>2714.29</v>
      </c>
      <c r="I122" s="3"/>
      <c r="J122" s="2">
        <v>9188.17</v>
      </c>
      <c r="K122" s="3"/>
      <c r="L122" s="2">
        <v>890.25</v>
      </c>
      <c r="M122" s="3"/>
      <c r="N122" s="2">
        <v>195</v>
      </c>
      <c r="O122" s="3"/>
      <c r="P122" s="2">
        <v>406356.75</v>
      </c>
      <c r="Q122" s="3"/>
      <c r="R122" s="2">
        <v>115074.105</v>
      </c>
    </row>
    <row r="123" spans="1:18" s="16" customFormat="1" hidden="1" outlineLevel="2" x14ac:dyDescent="0.35">
      <c r="B123" s="11" t="str">
        <f>CONCATENATE("          ", "6009", " - ", "TEMPORARY-SEASONAL")</f>
        <v xml:space="preserve">          6009 - TEMPORARY-SEASONAL</v>
      </c>
      <c r="D123" s="2">
        <v>230.63</v>
      </c>
      <c r="F123" s="2"/>
      <c r="G123" s="3"/>
      <c r="H123" s="2"/>
      <c r="I123" s="3"/>
      <c r="J123" s="2"/>
      <c r="K123" s="3"/>
      <c r="L123" s="2"/>
      <c r="M123" s="3"/>
      <c r="N123" s="2"/>
      <c r="O123" s="3"/>
      <c r="P123" s="2">
        <v>0</v>
      </c>
      <c r="Q123" s="3"/>
      <c r="R123" s="2">
        <v>0</v>
      </c>
    </row>
    <row r="124" spans="1:18" s="16" customFormat="1" hidden="1" outlineLevel="2" x14ac:dyDescent="0.35">
      <c r="B124" s="11" t="str">
        <f>CONCATENATE("          ", "6010", " - ", "GRATUITY")</f>
        <v xml:space="preserve">          6010 - GRATUITY</v>
      </c>
      <c r="D124" s="2"/>
      <c r="F124" s="2"/>
      <c r="G124" s="3"/>
      <c r="H124" s="2"/>
      <c r="I124" s="3"/>
      <c r="J124" s="2"/>
      <c r="K124" s="3"/>
      <c r="L124" s="2"/>
      <c r="M124" s="3"/>
      <c r="N124" s="2"/>
      <c r="O124" s="3"/>
      <c r="P124" s="2">
        <v>0</v>
      </c>
      <c r="Q124" s="3"/>
      <c r="R124" s="2">
        <v>0</v>
      </c>
    </row>
    <row r="125" spans="1:18" s="15" customFormat="1" outlineLevel="1" collapsed="1" x14ac:dyDescent="0.35">
      <c r="A125" s="7"/>
      <c r="B125" s="20" t="str">
        <f>CONCATENATE("     ","Advertising/Promo                                 ")</f>
        <v xml:space="preserve">     Advertising/Promo                                 </v>
      </c>
      <c r="C125" s="7"/>
      <c r="D125" s="1">
        <f>SUM(OSRRefD21_2x_0)</f>
        <v>12661.4</v>
      </c>
      <c r="E125" s="19"/>
      <c r="F125" s="1">
        <f>SUM(OSRRefF21_2x_0)</f>
        <v>10021.209999999999</v>
      </c>
      <c r="G125" s="4"/>
      <c r="H125" s="1">
        <f>SUM(OSRRefH21_2x_0)</f>
        <v>16771.82</v>
      </c>
      <c r="I125" s="4"/>
      <c r="J125" s="1">
        <f>SUM(OSRRefJ21_2x_0)</f>
        <v>19763.12</v>
      </c>
      <c r="K125" s="4"/>
      <c r="L125" s="1">
        <f>SUM(OSRRefL21_2x_0)</f>
        <v>15298.45</v>
      </c>
      <c r="M125" s="4"/>
      <c r="N125" s="1">
        <f>SUM(OSRRefN21_2x_0)</f>
        <v>22853.68</v>
      </c>
      <c r="O125" s="4"/>
      <c r="P125" s="1">
        <f>SUM(OSRRefP21_2x_0)</f>
        <v>10560</v>
      </c>
      <c r="Q125" s="4"/>
      <c r="R125" s="1">
        <f>SUM(OSRRefR21_2x_0)</f>
        <v>2600</v>
      </c>
    </row>
    <row r="126" spans="1:18" s="16" customFormat="1" hidden="1" outlineLevel="2" x14ac:dyDescent="0.35">
      <c r="B126" s="11" t="str">
        <f>CONCATENATE("          ", "6362", " - ", "ADVERTISING EXPENSE")</f>
        <v xml:space="preserve">          6362 - ADVERTISING EXPENSE</v>
      </c>
      <c r="D126" s="2">
        <v>12661.4</v>
      </c>
      <c r="F126" s="2">
        <v>10021.209999999999</v>
      </c>
      <c r="G126" s="3"/>
      <c r="H126" s="2">
        <v>16771.82</v>
      </c>
      <c r="I126" s="3"/>
      <c r="J126" s="2">
        <v>19763.12</v>
      </c>
      <c r="K126" s="3"/>
      <c r="L126" s="2">
        <v>15298.45</v>
      </c>
      <c r="M126" s="3"/>
      <c r="N126" s="2">
        <v>22853.68</v>
      </c>
      <c r="O126" s="3"/>
      <c r="P126" s="2">
        <v>10560</v>
      </c>
      <c r="Q126" s="3"/>
      <c r="R126" s="2">
        <v>2600</v>
      </c>
    </row>
    <row r="127" spans="1:18" s="15" customFormat="1" outlineLevel="1" collapsed="1" x14ac:dyDescent="0.35">
      <c r="A127" s="7"/>
      <c r="B127" s="20" t="str">
        <f>CONCATENATE("     ","Bad Debts/Over/Short                              ")</f>
        <v xml:space="preserve">     Bad Debts/Over/Short                              </v>
      </c>
      <c r="C127" s="7"/>
      <c r="D127" s="1">
        <f>SUM(OSRRefD21_3x_0)</f>
        <v>7.94</v>
      </c>
      <c r="E127" s="19"/>
      <c r="F127" s="1">
        <f>SUM(OSRRefF21_3x_0)</f>
        <v>129.57</v>
      </c>
      <c r="G127" s="4"/>
      <c r="H127" s="1">
        <f>SUM(OSRRefH21_3x_0)</f>
        <v>130.12</v>
      </c>
      <c r="I127" s="4"/>
      <c r="J127" s="1">
        <f>SUM(OSRRefJ21_3x_0)</f>
        <v>92.88</v>
      </c>
      <c r="K127" s="4"/>
      <c r="L127" s="1">
        <f>SUM(OSRRefL21_3x_0)</f>
        <v>165.54</v>
      </c>
      <c r="M127" s="4"/>
      <c r="N127" s="1">
        <f>SUM(OSRRefN21_3x_0)</f>
        <v>44.45</v>
      </c>
      <c r="O127" s="4"/>
      <c r="P127" s="1">
        <f>SUM(OSRRefP21_3x_0)</f>
        <v>120</v>
      </c>
      <c r="Q127" s="4"/>
      <c r="R127" s="1">
        <f>SUM(OSRRefR21_3x_0)</f>
        <v>120</v>
      </c>
    </row>
    <row r="128" spans="1:18" s="16" customFormat="1" hidden="1" outlineLevel="2" x14ac:dyDescent="0.35">
      <c r="B128" s="11" t="str">
        <f>CONCATENATE("          ", "6272", " - ", "CASH (OVER/SHORT)")</f>
        <v xml:space="preserve">          6272 - CASH (OVER/SHORT)</v>
      </c>
      <c r="D128" s="2">
        <v>7.94</v>
      </c>
      <c r="F128" s="2">
        <v>129.57</v>
      </c>
      <c r="G128" s="3"/>
      <c r="H128" s="2">
        <v>130.12</v>
      </c>
      <c r="I128" s="3"/>
      <c r="J128" s="2">
        <v>92.88</v>
      </c>
      <c r="K128" s="3"/>
      <c r="L128" s="2">
        <v>165.54</v>
      </c>
      <c r="M128" s="3"/>
      <c r="N128" s="2">
        <v>44.45</v>
      </c>
      <c r="O128" s="3"/>
      <c r="P128" s="2">
        <v>120</v>
      </c>
      <c r="Q128" s="3"/>
      <c r="R128" s="2">
        <v>120</v>
      </c>
    </row>
    <row r="129" spans="1:18" s="15" customFormat="1" outlineLevel="1" collapsed="1" x14ac:dyDescent="0.35">
      <c r="A129" s="7"/>
      <c r="B129" s="20" t="str">
        <f>CONCATENATE("     ","Bank/card Fees                                    ")</f>
        <v xml:space="preserve">     Bank/card Fees                                    </v>
      </c>
      <c r="C129" s="7"/>
      <c r="D129" s="1">
        <f>SUM(OSRRefD21_4x_0)</f>
        <v>7358.42</v>
      </c>
      <c r="E129" s="19"/>
      <c r="F129" s="1">
        <f>SUM(OSRRefF21_4x_0)</f>
        <v>6877.16</v>
      </c>
      <c r="G129" s="4"/>
      <c r="H129" s="1">
        <f>SUM(OSRRefH21_4x_0)</f>
        <v>8503.15</v>
      </c>
      <c r="I129" s="4"/>
      <c r="J129" s="1">
        <f>SUM(OSRRefJ21_4x_0)</f>
        <v>8020.72</v>
      </c>
      <c r="K129" s="4"/>
      <c r="L129" s="1">
        <f>SUM(OSRRefL21_4x_0)</f>
        <v>7594.48</v>
      </c>
      <c r="M129" s="4"/>
      <c r="N129" s="1">
        <f>SUM(OSRRefN21_4x_0)</f>
        <v>6184.92</v>
      </c>
      <c r="O129" s="4"/>
      <c r="P129" s="1">
        <f>SUM(OSRRefP21_4x_0)</f>
        <v>8886</v>
      </c>
      <c r="Q129" s="4"/>
      <c r="R129" s="1">
        <f>SUM(OSRRefR21_4x_0)</f>
        <v>8163</v>
      </c>
    </row>
    <row r="130" spans="1:18" s="16" customFormat="1" hidden="1" outlineLevel="2" x14ac:dyDescent="0.35">
      <c r="B130" s="11" t="str">
        <f>CONCATENATE("          ", "6381", " - ", "BANK/CREDIT CARD FEES")</f>
        <v xml:space="preserve">          6381 - BANK/CREDIT CARD FEES</v>
      </c>
      <c r="D130" s="2">
        <v>7358.42</v>
      </c>
      <c r="F130" s="2">
        <v>6877.16</v>
      </c>
      <c r="G130" s="3"/>
      <c r="H130" s="2">
        <v>8503.15</v>
      </c>
      <c r="I130" s="3"/>
      <c r="J130" s="2">
        <v>8020.72</v>
      </c>
      <c r="K130" s="3"/>
      <c r="L130" s="2">
        <v>7594.48</v>
      </c>
      <c r="M130" s="3"/>
      <c r="N130" s="2">
        <v>6184.92</v>
      </c>
      <c r="O130" s="3"/>
      <c r="P130" s="2">
        <v>8886</v>
      </c>
      <c r="Q130" s="3"/>
      <c r="R130" s="2">
        <v>8163</v>
      </c>
    </row>
    <row r="131" spans="1:18" s="15" customFormat="1" outlineLevel="1" collapsed="1" x14ac:dyDescent="0.35">
      <c r="A131" s="7"/>
      <c r="B131" s="20" t="str">
        <f>CONCATENATE("     ","Discounts and Markdowns                           ")</f>
        <v xml:space="preserve">     Discounts and Markdowns                           </v>
      </c>
      <c r="C131" s="7"/>
      <c r="D131" s="1">
        <f>SUM(OSRRefD21_5x_0)</f>
        <v>272220.78999999998</v>
      </c>
      <c r="E131" s="19"/>
      <c r="F131" s="1">
        <f>SUM(OSRRefF21_5x_0)</f>
        <v>285011.53000000003</v>
      </c>
      <c r="G131" s="4"/>
      <c r="H131" s="1">
        <f>SUM(OSRRefH21_5x_0)</f>
        <v>323566.28000000003</v>
      </c>
      <c r="I131" s="4"/>
      <c r="J131" s="1">
        <f>SUM(OSRRefJ21_5x_0)</f>
        <v>234124.80000000002</v>
      </c>
      <c r="K131" s="4"/>
      <c r="L131" s="1">
        <f>SUM(OSRRefL21_5x_0)</f>
        <v>282380.69</v>
      </c>
      <c r="M131" s="4"/>
      <c r="N131" s="1">
        <f>SUM(OSRRefN21_5x_0)</f>
        <v>362101.23</v>
      </c>
      <c r="O131" s="4"/>
      <c r="P131" s="1">
        <f>SUM(OSRRefP21_5x_0)</f>
        <v>322649</v>
      </c>
      <c r="Q131" s="4"/>
      <c r="R131" s="1">
        <f>SUM(OSRRefR21_5x_0)</f>
        <v>0</v>
      </c>
    </row>
    <row r="132" spans="1:18" s="16" customFormat="1" hidden="1" outlineLevel="2" x14ac:dyDescent="0.35">
      <c r="B132" s="11" t="str">
        <f>CONCATENATE("          ", "6382", " - ", "DISCOUNTS/MARK DOWNS")</f>
        <v xml:space="preserve">          6382 - DISCOUNTS/MARK DOWNS</v>
      </c>
      <c r="D132" s="2">
        <v>272220.78999999998</v>
      </c>
      <c r="F132" s="2">
        <v>285011.53000000003</v>
      </c>
      <c r="G132" s="3"/>
      <c r="H132" s="2">
        <v>323566.28000000003</v>
      </c>
      <c r="I132" s="3"/>
      <c r="J132" s="2">
        <v>234139.17</v>
      </c>
      <c r="K132" s="3"/>
      <c r="L132" s="2">
        <v>282386.55</v>
      </c>
      <c r="M132" s="3"/>
      <c r="N132" s="2">
        <v>362120.62</v>
      </c>
      <c r="O132" s="3"/>
      <c r="P132" s="2">
        <v>322649</v>
      </c>
      <c r="Q132" s="3"/>
      <c r="R132" s="2"/>
    </row>
    <row r="133" spans="1:18" s="16" customFormat="1" hidden="1" outlineLevel="2" x14ac:dyDescent="0.35">
      <c r="B133" s="11" t="str">
        <f>CONCATENATE("          ", "9175", " - ", "EARNED DISCOUNTS")</f>
        <v xml:space="preserve">          9175 - EARNED DISCOUNTS</v>
      </c>
      <c r="D133" s="2"/>
      <c r="F133" s="2"/>
      <c r="G133" s="3"/>
      <c r="H133" s="2"/>
      <c r="I133" s="3"/>
      <c r="J133" s="2">
        <v>-14.37</v>
      </c>
      <c r="K133" s="3"/>
      <c r="L133" s="2">
        <v>-5.86</v>
      </c>
      <c r="M133" s="3"/>
      <c r="N133" s="2">
        <v>-19.39</v>
      </c>
      <c r="O133" s="3"/>
      <c r="P133" s="2"/>
      <c r="Q133" s="3"/>
      <c r="R133" s="2"/>
    </row>
    <row r="134" spans="1:18" s="15" customFormat="1" outlineLevel="1" collapsed="1" x14ac:dyDescent="0.35">
      <c r="A134" s="7"/>
      <c r="B134" s="20" t="str">
        <f>CONCATENATE("     ","Donations                                         ")</f>
        <v xml:space="preserve">     Donations                                         </v>
      </c>
      <c r="C134" s="7"/>
      <c r="D134" s="1">
        <f>SUM(OSRRefD21_6x_0)</f>
        <v>0</v>
      </c>
      <c r="E134" s="19"/>
      <c r="F134" s="1">
        <f>SUM(OSRRefF21_6x_0)</f>
        <v>0</v>
      </c>
      <c r="G134" s="4"/>
      <c r="H134" s="1">
        <f>SUM(OSRRefH21_6x_0)</f>
        <v>220.76</v>
      </c>
      <c r="I134" s="4"/>
      <c r="J134" s="1">
        <f>SUM(OSRRefJ21_6x_0)</f>
        <v>136.6</v>
      </c>
      <c r="K134" s="4"/>
      <c r="L134" s="1">
        <f>SUM(OSRRefL21_6x_0)</f>
        <v>141.53</v>
      </c>
      <c r="M134" s="4"/>
      <c r="N134" s="1">
        <f>SUM(OSRRefN21_6x_0)</f>
        <v>0</v>
      </c>
      <c r="O134" s="4"/>
      <c r="P134" s="1">
        <f>SUM(OSRRefP21_6x_0)</f>
        <v>0</v>
      </c>
      <c r="Q134" s="4"/>
      <c r="R134" s="1">
        <f>SUM(OSRRefR21_6x_0)</f>
        <v>0</v>
      </c>
    </row>
    <row r="135" spans="1:18" s="16" customFormat="1" hidden="1" outlineLevel="2" x14ac:dyDescent="0.35">
      <c r="B135" s="11" t="str">
        <f>CONCATENATE("          ", "6395", " - ", "DONATION-OFF CAMPUS")</f>
        <v xml:space="preserve">          6395 - DONATION-OFF CAMPUS</v>
      </c>
      <c r="D135" s="2"/>
      <c r="F135" s="2"/>
      <c r="G135" s="3"/>
      <c r="H135" s="2">
        <v>207.19</v>
      </c>
      <c r="I135" s="3"/>
      <c r="J135" s="2"/>
      <c r="K135" s="3"/>
      <c r="L135" s="2"/>
      <c r="M135" s="3"/>
      <c r="N135" s="2"/>
      <c r="O135" s="3"/>
      <c r="P135" s="2">
        <v>0</v>
      </c>
      <c r="Q135" s="3"/>
      <c r="R135" s="2"/>
    </row>
    <row r="136" spans="1:18" s="16" customFormat="1" hidden="1" outlineLevel="2" x14ac:dyDescent="0.35">
      <c r="B136" s="11" t="str">
        <f>CONCATENATE("          ", "6399", " - ", "DONATION-ON CAMPUS")</f>
        <v xml:space="preserve">          6399 - DONATION-ON CAMPUS</v>
      </c>
      <c r="D136" s="2"/>
      <c r="F136" s="2"/>
      <c r="G136" s="3"/>
      <c r="H136" s="2">
        <v>13.57</v>
      </c>
      <c r="I136" s="3"/>
      <c r="J136" s="2">
        <v>136.6</v>
      </c>
      <c r="K136" s="3"/>
      <c r="L136" s="2">
        <v>141.53</v>
      </c>
      <c r="M136" s="3"/>
      <c r="N136" s="2"/>
      <c r="O136" s="3"/>
      <c r="P136" s="2"/>
      <c r="Q136" s="3"/>
      <c r="R136" s="2"/>
    </row>
    <row r="137" spans="1:18" s="15" customFormat="1" outlineLevel="1" collapsed="1" x14ac:dyDescent="0.35">
      <c r="A137" s="7"/>
      <c r="B137" s="20" t="str">
        <f>CONCATENATE("     ","Employees' Appreciation                           ")</f>
        <v xml:space="preserve">     Employees' Appreciation                           </v>
      </c>
      <c r="C137" s="7"/>
      <c r="D137" s="1">
        <f>SUM(OSRRefD21_7x_0)</f>
        <v>985.59</v>
      </c>
      <c r="E137" s="19"/>
      <c r="F137" s="1">
        <f>SUM(OSRRefF21_7x_0)</f>
        <v>880.71</v>
      </c>
      <c r="G137" s="4"/>
      <c r="H137" s="1">
        <f>SUM(OSRRefH21_7x_0)</f>
        <v>961.82</v>
      </c>
      <c r="I137" s="4"/>
      <c r="J137" s="1">
        <f>SUM(OSRRefJ21_7x_0)</f>
        <v>684.67</v>
      </c>
      <c r="K137" s="4"/>
      <c r="L137" s="1">
        <f>SUM(OSRRefL21_7x_0)</f>
        <v>822.2</v>
      </c>
      <c r="M137" s="4"/>
      <c r="N137" s="1">
        <f>SUM(OSRRefN21_7x_0)</f>
        <v>376.37</v>
      </c>
      <c r="O137" s="4"/>
      <c r="P137" s="1">
        <f>SUM(OSRRefP21_7x_0)</f>
        <v>2400</v>
      </c>
      <c r="Q137" s="4"/>
      <c r="R137" s="1">
        <f>SUM(OSRRefR21_7x_0)</f>
        <v>900</v>
      </c>
    </row>
    <row r="138" spans="1:18" s="16" customFormat="1" hidden="1" outlineLevel="2" x14ac:dyDescent="0.35">
      <c r="B138" s="11" t="str">
        <f>CONCATENATE("          ", "6277", " - ", "EMPLOYEE APPRECIATION")</f>
        <v xml:space="preserve">          6277 - EMPLOYEE APPRECIATION</v>
      </c>
      <c r="D138" s="2">
        <v>985.59</v>
      </c>
      <c r="F138" s="2">
        <v>880.71</v>
      </c>
      <c r="G138" s="3"/>
      <c r="H138" s="2">
        <v>961.82</v>
      </c>
      <c r="I138" s="3"/>
      <c r="J138" s="2">
        <v>684.67</v>
      </c>
      <c r="K138" s="3"/>
      <c r="L138" s="2">
        <v>822.2</v>
      </c>
      <c r="M138" s="3"/>
      <c r="N138" s="2">
        <v>376.37</v>
      </c>
      <c r="O138" s="3"/>
      <c r="P138" s="2">
        <v>2400</v>
      </c>
      <c r="Q138" s="3"/>
      <c r="R138" s="2">
        <v>900</v>
      </c>
    </row>
    <row r="139" spans="1:18" s="15" customFormat="1" outlineLevel="1" collapsed="1" x14ac:dyDescent="0.35">
      <c r="A139" s="7"/>
      <c r="B139" s="20" t="str">
        <f>CONCATENATE("     ","Freight out/Postage                               ")</f>
        <v xml:space="preserve">     Freight out/Postage                               </v>
      </c>
      <c r="C139" s="7"/>
      <c r="D139" s="1">
        <f>SUM(OSRRefD21_8x_0)</f>
        <v>17.72</v>
      </c>
      <c r="E139" s="19"/>
      <c r="F139" s="1">
        <f>SUM(OSRRefF21_8x_0)</f>
        <v>96.42</v>
      </c>
      <c r="G139" s="4"/>
      <c r="H139" s="1">
        <f>SUM(OSRRefH21_8x_0)</f>
        <v>181.45</v>
      </c>
      <c r="I139" s="4"/>
      <c r="J139" s="1">
        <f>SUM(OSRRefJ21_8x_0)</f>
        <v>229.64</v>
      </c>
      <c r="K139" s="4"/>
      <c r="L139" s="1">
        <f>SUM(OSRRefL21_8x_0)</f>
        <v>50.5</v>
      </c>
      <c r="M139" s="4"/>
      <c r="N139" s="1">
        <f>SUM(OSRRefN21_8x_0)</f>
        <v>163.83000000000001</v>
      </c>
      <c r="O139" s="4"/>
      <c r="P139" s="1">
        <f>SUM(OSRRefP21_8x_0)</f>
        <v>120</v>
      </c>
      <c r="Q139" s="4"/>
      <c r="R139" s="1">
        <f>SUM(OSRRefR21_8x_0)</f>
        <v>600</v>
      </c>
    </row>
    <row r="140" spans="1:18" s="16" customFormat="1" hidden="1" outlineLevel="2" x14ac:dyDescent="0.35">
      <c r="B140" s="11" t="str">
        <f>CONCATENATE("          ", "6305", " - ", "FREIGHT OUT")</f>
        <v xml:space="preserve">          6305 - FREIGHT OUT</v>
      </c>
      <c r="D140" s="2">
        <v>11.57</v>
      </c>
      <c r="F140" s="2">
        <v>42.36</v>
      </c>
      <c r="G140" s="3"/>
      <c r="H140" s="2">
        <v>165.98</v>
      </c>
      <c r="I140" s="3"/>
      <c r="J140" s="2">
        <v>134.5</v>
      </c>
      <c r="K140" s="3"/>
      <c r="L140" s="2">
        <v>50.5</v>
      </c>
      <c r="M140" s="3"/>
      <c r="N140" s="2">
        <v>163.33000000000001</v>
      </c>
      <c r="O140" s="3"/>
      <c r="P140" s="2"/>
      <c r="Q140" s="3"/>
      <c r="R140" s="2">
        <v>600</v>
      </c>
    </row>
    <row r="141" spans="1:18" s="16" customFormat="1" hidden="1" outlineLevel="2" x14ac:dyDescent="0.35">
      <c r="B141" s="11" t="str">
        <f>CONCATENATE("          ", "6307", " - ", "POSTAGE")</f>
        <v xml:space="preserve">          6307 - POSTAGE</v>
      </c>
      <c r="D141" s="2">
        <v>6.15</v>
      </c>
      <c r="F141" s="2">
        <v>54.06</v>
      </c>
      <c r="G141" s="3"/>
      <c r="H141" s="2">
        <v>15.47</v>
      </c>
      <c r="I141" s="3"/>
      <c r="J141" s="2">
        <v>95.14</v>
      </c>
      <c r="K141" s="3"/>
      <c r="L141" s="2"/>
      <c r="M141" s="3"/>
      <c r="N141" s="2">
        <v>0.5</v>
      </c>
      <c r="O141" s="3"/>
      <c r="P141" s="2">
        <v>120</v>
      </c>
      <c r="Q141" s="3"/>
      <c r="R141" s="2"/>
    </row>
    <row r="142" spans="1:18" s="15" customFormat="1" outlineLevel="1" collapsed="1" x14ac:dyDescent="0.35">
      <c r="A142" s="7"/>
      <c r="B142" s="20" t="str">
        <f>CONCATENATE("     ","General                                           ")</f>
        <v xml:space="preserve">     General                                           </v>
      </c>
      <c r="C142" s="7"/>
      <c r="D142" s="1">
        <f>SUM(OSRRefD21_9x_0)</f>
        <v>1331.78</v>
      </c>
      <c r="E142" s="19"/>
      <c r="F142" s="1">
        <f>SUM(OSRRefF21_9x_0)</f>
        <v>1336.53</v>
      </c>
      <c r="G142" s="4"/>
      <c r="H142" s="1">
        <f>SUM(OSRRefH21_9x_0)</f>
        <v>1632.94</v>
      </c>
      <c r="I142" s="4"/>
      <c r="J142" s="1">
        <f>SUM(OSRRefJ21_9x_0)</f>
        <v>1763.28</v>
      </c>
      <c r="K142" s="4"/>
      <c r="L142" s="1">
        <f>SUM(OSRRefL21_9x_0)</f>
        <v>1527.44</v>
      </c>
      <c r="M142" s="4"/>
      <c r="N142" s="1">
        <f>SUM(OSRRefN21_9x_0)</f>
        <v>1392.43</v>
      </c>
      <c r="O142" s="4"/>
      <c r="P142" s="1">
        <f>SUM(OSRRefP21_9x_0)</f>
        <v>3500</v>
      </c>
      <c r="Q142" s="4"/>
      <c r="R142" s="1">
        <f>SUM(OSRRefR21_9x_0)</f>
        <v>2250</v>
      </c>
    </row>
    <row r="143" spans="1:18" s="16" customFormat="1" hidden="1" outlineLevel="2" x14ac:dyDescent="0.35">
      <c r="B143" s="11" t="str">
        <f>CONCATENATE("          ", "6276", " - ", "PROPERTY TAX")</f>
        <v xml:space="preserve">          6276 - PROPERTY TAX</v>
      </c>
      <c r="D143" s="2"/>
      <c r="F143" s="2"/>
      <c r="G143" s="3"/>
      <c r="H143" s="2"/>
      <c r="I143" s="3"/>
      <c r="J143" s="2"/>
      <c r="K143" s="3"/>
      <c r="L143" s="2"/>
      <c r="M143" s="3"/>
      <c r="N143" s="2"/>
      <c r="O143" s="3"/>
      <c r="P143" s="2">
        <v>150</v>
      </c>
      <c r="Q143" s="3"/>
      <c r="R143" s="2">
        <v>1250</v>
      </c>
    </row>
    <row r="144" spans="1:18" s="16" customFormat="1" hidden="1" outlineLevel="2" x14ac:dyDescent="0.35">
      <c r="B144" s="11" t="str">
        <f>CONCATENATE("          ", "6279", " - ", "GENERAL EXPENSE")</f>
        <v xml:space="preserve">          6279 - GENERAL EXPENSE</v>
      </c>
      <c r="D144" s="2">
        <v>1331.78</v>
      </c>
      <c r="F144" s="2">
        <v>1336.53</v>
      </c>
      <c r="G144" s="3"/>
      <c r="H144" s="2">
        <v>1632.94</v>
      </c>
      <c r="I144" s="3"/>
      <c r="J144" s="2">
        <v>1763.28</v>
      </c>
      <c r="K144" s="3"/>
      <c r="L144" s="2">
        <v>1527.44</v>
      </c>
      <c r="M144" s="3"/>
      <c r="N144" s="2">
        <v>1392.43</v>
      </c>
      <c r="O144" s="3"/>
      <c r="P144" s="2">
        <v>3350</v>
      </c>
      <c r="Q144" s="3"/>
      <c r="R144" s="2">
        <v>1000</v>
      </c>
    </row>
    <row r="145" spans="1:18" s="15" customFormat="1" outlineLevel="1" collapsed="1" x14ac:dyDescent="0.35">
      <c r="A145" s="7"/>
      <c r="B145" s="20" t="str">
        <f>CONCATENATE("     ","Insurance                                         ")</f>
        <v xml:space="preserve">     Insurance                                         </v>
      </c>
      <c r="C145" s="7"/>
      <c r="D145" s="1">
        <f>SUM(OSRRefD21_10x_0)</f>
        <v>1338.41</v>
      </c>
      <c r="E145" s="19"/>
      <c r="F145" s="1">
        <f>SUM(OSRRefF21_10x_0)</f>
        <v>1620.12</v>
      </c>
      <c r="G145" s="4"/>
      <c r="H145" s="1">
        <f>SUM(OSRRefH21_10x_0)</f>
        <v>1429.07</v>
      </c>
      <c r="I145" s="4"/>
      <c r="J145" s="1">
        <f>SUM(OSRRefJ21_10x_0)</f>
        <v>1597.11</v>
      </c>
      <c r="K145" s="4"/>
      <c r="L145" s="1">
        <f>SUM(OSRRefL21_10x_0)</f>
        <v>1551.25</v>
      </c>
      <c r="M145" s="4"/>
      <c r="N145" s="1">
        <f>SUM(OSRRefN21_10x_0)</f>
        <v>1934.16</v>
      </c>
      <c r="O145" s="4"/>
      <c r="P145" s="1">
        <f>SUM(OSRRefP21_10x_0)</f>
        <v>2112</v>
      </c>
      <c r="Q145" s="4"/>
      <c r="R145" s="1">
        <f>SUM(OSRRefR21_10x_0)</f>
        <v>2100</v>
      </c>
    </row>
    <row r="146" spans="1:18" s="16" customFormat="1" hidden="1" outlineLevel="2" x14ac:dyDescent="0.35">
      <c r="B146" s="11" t="str">
        <f>CONCATENATE("          ", "6314", " - ", "LIABILITY INSURANCE")</f>
        <v xml:space="preserve">          6314 - LIABILITY INSURANCE</v>
      </c>
      <c r="D146" s="2">
        <v>1338.41</v>
      </c>
      <c r="F146" s="2">
        <v>1620.12</v>
      </c>
      <c r="G146" s="3"/>
      <c r="H146" s="2">
        <v>1429.07</v>
      </c>
      <c r="I146" s="3"/>
      <c r="J146" s="2">
        <v>1597.11</v>
      </c>
      <c r="K146" s="3"/>
      <c r="L146" s="2">
        <v>1551.25</v>
      </c>
      <c r="M146" s="3"/>
      <c r="N146" s="2">
        <v>1934.16</v>
      </c>
      <c r="O146" s="3"/>
      <c r="P146" s="2">
        <v>2112</v>
      </c>
      <c r="Q146" s="3"/>
      <c r="R146" s="2">
        <v>2100</v>
      </c>
    </row>
    <row r="147" spans="1:18" s="15" customFormat="1" outlineLevel="1" collapsed="1" x14ac:dyDescent="0.35">
      <c r="A147" s="7"/>
      <c r="B147" s="20" t="str">
        <f>CONCATENATE("     ","Inventory Adjustment                              ")</f>
        <v xml:space="preserve">     Inventory Adjustment                              </v>
      </c>
      <c r="C147" s="7"/>
      <c r="D147" s="1">
        <f>SUM(OSRRefD21_11x_0)</f>
        <v>990</v>
      </c>
      <c r="E147" s="19"/>
      <c r="F147" s="1">
        <f>SUM(OSRRefF21_11x_0)</f>
        <v>10054</v>
      </c>
      <c r="G147" s="4"/>
      <c r="H147" s="1">
        <f>SUM(OSRRefH21_11x_0)</f>
        <v>30096</v>
      </c>
      <c r="I147" s="4"/>
      <c r="J147" s="1">
        <f>SUM(OSRRefJ21_11x_0)</f>
        <v>39576</v>
      </c>
      <c r="K147" s="4"/>
      <c r="L147" s="1">
        <f>SUM(OSRRefL21_11x_0)</f>
        <v>-55055</v>
      </c>
      <c r="M147" s="4"/>
      <c r="N147" s="1">
        <f>SUM(OSRRefN21_11x_0)</f>
        <v>137938</v>
      </c>
      <c r="O147" s="4"/>
      <c r="P147" s="1">
        <f>SUM(OSRRefP21_11x_0)</f>
        <v>13200</v>
      </c>
      <c r="Q147" s="4"/>
      <c r="R147" s="1">
        <f>SUM(OSRRefR21_11x_0)</f>
        <v>41400</v>
      </c>
    </row>
    <row r="148" spans="1:18" s="16" customFormat="1" hidden="1" outlineLevel="2" x14ac:dyDescent="0.35">
      <c r="B148" s="11" t="str">
        <f>CONCATENATE("          ", "6408", " - ", "INVENTORY ADJUSTMENT")</f>
        <v xml:space="preserve">          6408 - INVENTORY ADJUSTMENT</v>
      </c>
      <c r="D148" s="2">
        <v>0</v>
      </c>
      <c r="F148" s="2">
        <v>0</v>
      </c>
      <c r="G148" s="3"/>
      <c r="H148" s="2">
        <v>0</v>
      </c>
      <c r="I148" s="3"/>
      <c r="J148" s="2">
        <v>0</v>
      </c>
      <c r="K148" s="3"/>
      <c r="L148" s="2">
        <v>0</v>
      </c>
      <c r="M148" s="3"/>
      <c r="N148" s="2">
        <v>0</v>
      </c>
      <c r="O148" s="3"/>
      <c r="P148" s="2">
        <v>13200</v>
      </c>
      <c r="Q148" s="3"/>
      <c r="R148" s="2">
        <v>41400</v>
      </c>
    </row>
    <row r="149" spans="1:18" s="16" customFormat="1" hidden="1" outlineLevel="2" x14ac:dyDescent="0.35">
      <c r="B149" s="11" t="str">
        <f>CONCATENATE("          ", "7713", " - ", "INV. SHRINKAGE-TRADE BOOKS")</f>
        <v xml:space="preserve">          7713 - INV. SHRINKAGE-TRADE BOOKS</v>
      </c>
      <c r="D149" s="2">
        <v>180</v>
      </c>
      <c r="F149" s="2">
        <v>46</v>
      </c>
      <c r="G149" s="3"/>
      <c r="H149" s="2">
        <v>1</v>
      </c>
      <c r="I149" s="3"/>
      <c r="J149" s="2"/>
      <c r="K149" s="3"/>
      <c r="L149" s="2"/>
      <c r="M149" s="3"/>
      <c r="N149" s="2"/>
      <c r="O149" s="3"/>
      <c r="P149" s="2"/>
      <c r="Q149" s="3"/>
      <c r="R149" s="2"/>
    </row>
    <row r="150" spans="1:18" s="16" customFormat="1" hidden="1" outlineLevel="2" x14ac:dyDescent="0.35">
      <c r="B150" s="11" t="str">
        <f>CONCATENATE("          ", "7719", " - ", "INV. SHRINKAGE-BOOK RELATED")</f>
        <v xml:space="preserve">          7719 - INV. SHRINKAGE-BOOK RELATED</v>
      </c>
      <c r="D150" s="2"/>
      <c r="F150" s="2">
        <v>-6</v>
      </c>
      <c r="G150" s="3"/>
      <c r="H150" s="2"/>
      <c r="I150" s="3"/>
      <c r="J150" s="2"/>
      <c r="K150" s="3"/>
      <c r="L150" s="2"/>
      <c r="M150" s="3"/>
      <c r="N150" s="2"/>
      <c r="O150" s="3"/>
      <c r="P150" s="2"/>
      <c r="Q150" s="3"/>
      <c r="R150" s="2"/>
    </row>
    <row r="151" spans="1:18" s="16" customFormat="1" hidden="1" outlineLevel="2" x14ac:dyDescent="0.35">
      <c r="B151" s="11" t="str">
        <f>CONCATENATE("          ", "7725", " - ", "INV. SHRINKAGE-TEST FORMS")</f>
        <v xml:space="preserve">          7725 - INV. SHRINKAGE-TEST FORMS</v>
      </c>
      <c r="D151" s="2">
        <v>12</v>
      </c>
      <c r="F151" s="2">
        <v>115</v>
      </c>
      <c r="G151" s="3"/>
      <c r="H151" s="2">
        <v>-5</v>
      </c>
      <c r="I151" s="3"/>
      <c r="J151" s="2"/>
      <c r="K151" s="3"/>
      <c r="L151" s="2">
        <v>33</v>
      </c>
      <c r="M151" s="3"/>
      <c r="N151" s="2"/>
      <c r="O151" s="3"/>
      <c r="P151" s="2"/>
      <c r="Q151" s="3"/>
      <c r="R151" s="2"/>
    </row>
    <row r="152" spans="1:18" s="16" customFormat="1" hidden="1" outlineLevel="2" x14ac:dyDescent="0.35">
      <c r="B152" s="11" t="str">
        <f>CONCATENATE("          ", "7726", " - ", "INV. SHRINKAGE-WRITING INSTRUM")</f>
        <v xml:space="preserve">          7726 - INV. SHRINKAGE-WRITING INSTRUM</v>
      </c>
      <c r="D152" s="2">
        <v>1</v>
      </c>
      <c r="F152" s="2">
        <v>-127</v>
      </c>
      <c r="G152" s="3"/>
      <c r="H152" s="2"/>
      <c r="I152" s="3"/>
      <c r="J152" s="2">
        <v>56</v>
      </c>
      <c r="K152" s="3"/>
      <c r="L152" s="2">
        <v>480</v>
      </c>
      <c r="M152" s="3"/>
      <c r="N152" s="2">
        <v>2342</v>
      </c>
      <c r="O152" s="3"/>
      <c r="P152" s="2"/>
      <c r="Q152" s="3"/>
      <c r="R152" s="2"/>
    </row>
    <row r="153" spans="1:18" s="16" customFormat="1" hidden="1" outlineLevel="2" x14ac:dyDescent="0.35">
      <c r="B153" s="11" t="str">
        <f>CONCATENATE("          ", "7727", " - ", "INV. SHRINKAGE-SCHOOL SUPPLIES")</f>
        <v xml:space="preserve">          7727 - INV. SHRINKAGE-SCHOOL SUPPLIES</v>
      </c>
      <c r="D153" s="2">
        <v>-7</v>
      </c>
      <c r="F153" s="2">
        <v>-12</v>
      </c>
      <c r="G153" s="3"/>
      <c r="H153" s="2">
        <v>1285</v>
      </c>
      <c r="I153" s="3"/>
      <c r="J153" s="2"/>
      <c r="K153" s="3"/>
      <c r="L153" s="2">
        <v>799</v>
      </c>
      <c r="M153" s="3"/>
      <c r="N153" s="2">
        <v>384</v>
      </c>
      <c r="O153" s="3"/>
      <c r="P153" s="2"/>
      <c r="Q153" s="3"/>
      <c r="R153" s="2"/>
    </row>
    <row r="154" spans="1:18" s="16" customFormat="1" hidden="1" outlineLevel="2" x14ac:dyDescent="0.35">
      <c r="B154" s="11" t="str">
        <f>CONCATENATE("          ", "7728", " - ", "INV. SHRINKAGE-ART/TECH")</f>
        <v xml:space="preserve">          7728 - INV. SHRINKAGE-ART/TECH</v>
      </c>
      <c r="D154" s="2"/>
      <c r="F154" s="2">
        <v>562</v>
      </c>
      <c r="G154" s="3"/>
      <c r="H154" s="2"/>
      <c r="I154" s="3"/>
      <c r="J154" s="2"/>
      <c r="K154" s="3"/>
      <c r="L154" s="2"/>
      <c r="M154" s="3"/>
      <c r="N154" s="2"/>
      <c r="O154" s="3"/>
      <c r="P154" s="2"/>
      <c r="Q154" s="3"/>
      <c r="R154" s="2"/>
    </row>
    <row r="155" spans="1:18" s="16" customFormat="1" hidden="1" outlineLevel="2" x14ac:dyDescent="0.35">
      <c r="B155" s="11" t="str">
        <f>CONCATENATE("          ", "7731", " - ", "INV. SHRINKAGE-FOOD")</f>
        <v xml:space="preserve">          7731 - INV. SHRINKAGE-FOOD</v>
      </c>
      <c r="D155" s="2"/>
      <c r="F155" s="2"/>
      <c r="G155" s="3"/>
      <c r="H155" s="2"/>
      <c r="I155" s="3"/>
      <c r="J155" s="2">
        <v>-3</v>
      </c>
      <c r="K155" s="3"/>
      <c r="L155" s="2"/>
      <c r="M155" s="3"/>
      <c r="N155" s="2"/>
      <c r="O155" s="3"/>
      <c r="P155" s="2"/>
      <c r="Q155" s="3"/>
      <c r="R155" s="2"/>
    </row>
    <row r="156" spans="1:18" s="16" customFormat="1" hidden="1" outlineLevel="2" x14ac:dyDescent="0.35">
      <c r="B156" s="11" t="str">
        <f>CONCATENATE("          ", "7732", " - ", "INV. SHRINKAGE-JUICE")</f>
        <v xml:space="preserve">          7732 - INV. SHRINKAGE-JUICE</v>
      </c>
      <c r="D156" s="2"/>
      <c r="F156" s="2">
        <v>-44</v>
      </c>
      <c r="G156" s="3"/>
      <c r="H156" s="2">
        <v>139</v>
      </c>
      <c r="I156" s="3"/>
      <c r="J156" s="2">
        <v>66</v>
      </c>
      <c r="K156" s="3"/>
      <c r="L156" s="2"/>
      <c r="M156" s="3"/>
      <c r="N156" s="2"/>
      <c r="O156" s="3"/>
      <c r="P156" s="2"/>
      <c r="Q156" s="3"/>
      <c r="R156" s="2"/>
    </row>
    <row r="157" spans="1:18" s="16" customFormat="1" hidden="1" outlineLevel="2" x14ac:dyDescent="0.35">
      <c r="B157" s="11" t="str">
        <f>CONCATENATE("          ", "7734", " - ", "INV. SHRINKAGE-SODA")</f>
        <v xml:space="preserve">          7734 - INV. SHRINKAGE-SODA</v>
      </c>
      <c r="D157" s="2"/>
      <c r="F157" s="2">
        <v>-149</v>
      </c>
      <c r="G157" s="3"/>
      <c r="H157" s="2">
        <v>-25</v>
      </c>
      <c r="I157" s="3"/>
      <c r="J157" s="2">
        <v>28</v>
      </c>
      <c r="K157" s="3"/>
      <c r="L157" s="2">
        <v>4</v>
      </c>
      <c r="M157" s="3"/>
      <c r="N157" s="2"/>
      <c r="O157" s="3"/>
      <c r="P157" s="2"/>
      <c r="Q157" s="3"/>
      <c r="R157" s="2"/>
    </row>
    <row r="158" spans="1:18" s="16" customFormat="1" hidden="1" outlineLevel="2" x14ac:dyDescent="0.35">
      <c r="B158" s="11" t="str">
        <f>CONCATENATE("          ", "7737", " - ", "INV. SHRINKAGE-WATER")</f>
        <v xml:space="preserve">          7737 - INV. SHRINKAGE-WATER</v>
      </c>
      <c r="D158" s="2"/>
      <c r="F158" s="2">
        <v>-360</v>
      </c>
      <c r="G158" s="3"/>
      <c r="H158" s="2">
        <v>100</v>
      </c>
      <c r="I158" s="3"/>
      <c r="J158" s="2">
        <v>40</v>
      </c>
      <c r="K158" s="3"/>
      <c r="L158" s="2">
        <v>33</v>
      </c>
      <c r="M158" s="3"/>
      <c r="N158" s="2">
        <v>-69</v>
      </c>
      <c r="O158" s="3"/>
      <c r="P158" s="2"/>
      <c r="Q158" s="3"/>
      <c r="R158" s="2"/>
    </row>
    <row r="159" spans="1:18" s="16" customFormat="1" hidden="1" outlineLevel="2" x14ac:dyDescent="0.35">
      <c r="B159" s="11" t="str">
        <f>CONCATENATE("          ", "7740", " - ", "INV. SHRINKAGE-LOGO CLOTHING")</f>
        <v xml:space="preserve">          7740 - INV. SHRINKAGE-LOGO CLOTHING</v>
      </c>
      <c r="D159" s="2">
        <v>1773</v>
      </c>
      <c r="F159" s="2">
        <v>14987</v>
      </c>
      <c r="G159" s="3"/>
      <c r="H159" s="2">
        <v>36874</v>
      </c>
      <c r="I159" s="3"/>
      <c r="J159" s="2">
        <v>39012</v>
      </c>
      <c r="K159" s="3"/>
      <c r="L159" s="2">
        <v>-33861</v>
      </c>
      <c r="M159" s="3"/>
      <c r="N159" s="2">
        <v>62007</v>
      </c>
      <c r="O159" s="3"/>
      <c r="P159" s="2"/>
      <c r="Q159" s="3"/>
      <c r="R159" s="2"/>
    </row>
    <row r="160" spans="1:18" s="16" customFormat="1" hidden="1" outlineLevel="2" x14ac:dyDescent="0.35">
      <c r="B160" s="11" t="str">
        <f>CONCATENATE("          ", "7741", " - ", "INV. SHRINKAGE-LOGO GIFTS")</f>
        <v xml:space="preserve">          7741 - INV. SHRINKAGE-LOGO GIFTS</v>
      </c>
      <c r="D160" s="2">
        <v>-1016</v>
      </c>
      <c r="F160" s="2">
        <v>2224</v>
      </c>
      <c r="G160" s="3"/>
      <c r="H160" s="2">
        <v>-7899</v>
      </c>
      <c r="I160" s="3"/>
      <c r="J160" s="2">
        <v>16045</v>
      </c>
      <c r="K160" s="3"/>
      <c r="L160" s="2">
        <v>-30911</v>
      </c>
      <c r="M160" s="3"/>
      <c r="N160" s="2">
        <v>31201</v>
      </c>
      <c r="O160" s="3"/>
      <c r="P160" s="2"/>
      <c r="Q160" s="3"/>
      <c r="R160" s="2"/>
    </row>
    <row r="161" spans="1:18" s="16" customFormat="1" hidden="1" outlineLevel="2" x14ac:dyDescent="0.35">
      <c r="B161" s="11" t="str">
        <f>CONCATENATE("          ", "7742", " - ", "INV. SHRINKAGE-EVERYDAY GIFTS")</f>
        <v xml:space="preserve">          7742 - INV. SHRINKAGE-EVERYDAY GIFTS</v>
      </c>
      <c r="D161" s="2">
        <v>3772</v>
      </c>
      <c r="F161" s="2">
        <v>-6641</v>
      </c>
      <c r="G161" s="3"/>
      <c r="H161" s="2">
        <v>-3911</v>
      </c>
      <c r="I161" s="3"/>
      <c r="J161" s="2">
        <v>-504</v>
      </c>
      <c r="K161" s="3"/>
      <c r="L161" s="2">
        <v>10358</v>
      </c>
      <c r="M161" s="3"/>
      <c r="N161" s="2">
        <v>26750</v>
      </c>
      <c r="O161" s="3"/>
      <c r="P161" s="2"/>
      <c r="Q161" s="3"/>
      <c r="R161" s="2"/>
    </row>
    <row r="162" spans="1:18" s="16" customFormat="1" hidden="1" outlineLevel="2" x14ac:dyDescent="0.35">
      <c r="B162" s="11" t="str">
        <f>CONCATENATE("          ", "7743", " - ", "INV. SHRINKAGE-CARDS")</f>
        <v xml:space="preserve">          7743 - INV. SHRINKAGE-CARDS</v>
      </c>
      <c r="D162" s="2">
        <v>1910</v>
      </c>
      <c r="F162" s="2">
        <v>1426</v>
      </c>
      <c r="G162" s="3"/>
      <c r="H162" s="2">
        <v>-13</v>
      </c>
      <c r="I162" s="3"/>
      <c r="J162" s="2">
        <v>384</v>
      </c>
      <c r="K162" s="3"/>
      <c r="L162" s="2">
        <v>-1135</v>
      </c>
      <c r="M162" s="3"/>
      <c r="N162" s="2">
        <v>-12818</v>
      </c>
      <c r="O162" s="3"/>
      <c r="P162" s="2"/>
      <c r="Q162" s="3"/>
      <c r="R162" s="2"/>
    </row>
    <row r="163" spans="1:18" s="16" customFormat="1" hidden="1" outlineLevel="2" x14ac:dyDescent="0.35">
      <c r="B163" s="11" t="str">
        <f>CONCATENATE("          ", "7744", " - ", "INV. SHRINKAGE-ACCESSORIES")</f>
        <v xml:space="preserve">          7744 - INV. SHRINKAGE-ACCESSORIES</v>
      </c>
      <c r="D163" s="2">
        <v>-1141</v>
      </c>
      <c r="F163" s="2">
        <v>-6020</v>
      </c>
      <c r="G163" s="3"/>
      <c r="H163" s="2">
        <v>-1106</v>
      </c>
      <c r="I163" s="3"/>
      <c r="J163" s="2">
        <v>-1365</v>
      </c>
      <c r="K163" s="3"/>
      <c r="L163" s="2">
        <v>-141</v>
      </c>
      <c r="M163" s="3"/>
      <c r="N163" s="2">
        <v>-16600</v>
      </c>
      <c r="O163" s="3"/>
      <c r="P163" s="2"/>
      <c r="Q163" s="3"/>
      <c r="R163" s="2"/>
    </row>
    <row r="164" spans="1:18" s="16" customFormat="1" hidden="1" outlineLevel="2" x14ac:dyDescent="0.35">
      <c r="B164" s="11" t="str">
        <f>CONCATENATE("          ", "7745", " - ", "INV. SHRINKAGE-SPECIAL ORDERS")</f>
        <v xml:space="preserve">          7745 - INV. SHRINKAGE-SPECIAL ORDERS</v>
      </c>
      <c r="D164" s="2">
        <v>-4262</v>
      </c>
      <c r="F164" s="2">
        <v>3639</v>
      </c>
      <c r="G164" s="3"/>
      <c r="H164" s="2">
        <v>4600</v>
      </c>
      <c r="I164" s="3"/>
      <c r="J164" s="2">
        <v>-14224</v>
      </c>
      <c r="K164" s="3"/>
      <c r="L164" s="2">
        <v>-740</v>
      </c>
      <c r="M164" s="3"/>
      <c r="N164" s="2">
        <v>44531</v>
      </c>
      <c r="O164" s="3"/>
      <c r="P164" s="2"/>
      <c r="Q164" s="3"/>
      <c r="R164" s="2"/>
    </row>
    <row r="165" spans="1:18" s="16" customFormat="1" hidden="1" outlineLevel="2" x14ac:dyDescent="0.35">
      <c r="B165" s="11" t="str">
        <f>CONCATENATE("          ", "7781", " - ", "INV. SHRINKAGE-ELECTRONICS")</f>
        <v xml:space="preserve">          7781 - INV. SHRINKAGE-ELECTRONICS</v>
      </c>
      <c r="D165" s="2"/>
      <c r="F165" s="2">
        <v>400</v>
      </c>
      <c r="G165" s="3"/>
      <c r="H165" s="2"/>
      <c r="I165" s="3"/>
      <c r="J165" s="2"/>
      <c r="K165" s="3"/>
      <c r="L165" s="2"/>
      <c r="M165" s="3"/>
      <c r="N165" s="2"/>
      <c r="O165" s="3"/>
      <c r="P165" s="2"/>
      <c r="Q165" s="3"/>
      <c r="R165" s="2"/>
    </row>
    <row r="166" spans="1:18" s="16" customFormat="1" hidden="1" outlineLevel="2" x14ac:dyDescent="0.35">
      <c r="B166" s="11" t="str">
        <f>CONCATENATE("          ", "7783", " - ", "INV. SHRINKAGE-COMPUTER EQUIPM")</f>
        <v xml:space="preserve">          7783 - INV. SHRINKAGE-COMPUTER EQUIPM</v>
      </c>
      <c r="D166" s="2">
        <v>-239</v>
      </c>
      <c r="F166" s="2"/>
      <c r="G166" s="3"/>
      <c r="H166" s="2">
        <v>37</v>
      </c>
      <c r="I166" s="3"/>
      <c r="J166" s="2">
        <v>25</v>
      </c>
      <c r="K166" s="3"/>
      <c r="L166" s="2">
        <v>30</v>
      </c>
      <c r="M166" s="3"/>
      <c r="N166" s="2">
        <v>176</v>
      </c>
      <c r="O166" s="3"/>
      <c r="P166" s="2"/>
      <c r="Q166" s="3"/>
      <c r="R166" s="2"/>
    </row>
    <row r="167" spans="1:18" s="16" customFormat="1" hidden="1" outlineLevel="2" x14ac:dyDescent="0.35">
      <c r="B167" s="11" t="str">
        <f>CONCATENATE("          ", "7792", " - ", "INV. SHRINKAGE-GRAD MERCH")</f>
        <v xml:space="preserve">          7792 - INV. SHRINKAGE-GRAD MERCH</v>
      </c>
      <c r="D167" s="2"/>
      <c r="F167" s="2"/>
      <c r="G167" s="3"/>
      <c r="H167" s="2"/>
      <c r="I167" s="3"/>
      <c r="J167" s="2">
        <v>20</v>
      </c>
      <c r="K167" s="3"/>
      <c r="L167" s="2">
        <v>-5</v>
      </c>
      <c r="M167" s="3"/>
      <c r="N167" s="2">
        <v>40</v>
      </c>
      <c r="O167" s="3"/>
      <c r="P167" s="2"/>
      <c r="Q167" s="3"/>
      <c r="R167" s="2"/>
    </row>
    <row r="168" spans="1:18" s="16" customFormat="1" hidden="1" outlineLevel="2" x14ac:dyDescent="0.35">
      <c r="B168" s="11" t="str">
        <f>CONCATENATE("          ", "7795", " - ", "INV. SHRINKAGE-CUSTOMER SERVIC")</f>
        <v xml:space="preserve">          7795 - INV. SHRINKAGE-CUSTOMER SERVIC</v>
      </c>
      <c r="D168" s="2">
        <v>7</v>
      </c>
      <c r="F168" s="2">
        <v>14</v>
      </c>
      <c r="G168" s="3"/>
      <c r="H168" s="2">
        <v>19</v>
      </c>
      <c r="I168" s="3"/>
      <c r="J168" s="2">
        <v>-4</v>
      </c>
      <c r="K168" s="3"/>
      <c r="L168" s="2">
        <v>1</v>
      </c>
      <c r="M168" s="3"/>
      <c r="N168" s="2">
        <v>-6</v>
      </c>
      <c r="O168" s="3"/>
      <c r="P168" s="2"/>
      <c r="Q168" s="3"/>
      <c r="R168" s="2"/>
    </row>
    <row r="169" spans="1:18" s="15" customFormat="1" outlineLevel="1" collapsed="1" x14ac:dyDescent="0.35">
      <c r="A169" s="7"/>
      <c r="B169" s="20" t="str">
        <f>CONCATENATE("     ","Professional Services                             ")</f>
        <v xml:space="preserve">     Professional Services                             </v>
      </c>
      <c r="C169" s="7"/>
      <c r="D169" s="1">
        <f>SUM(OSRRefD21_12x_0)</f>
        <v>426.9</v>
      </c>
      <c r="E169" s="19"/>
      <c r="F169" s="1">
        <f>SUM(OSRRefF21_12x_0)</f>
        <v>0</v>
      </c>
      <c r="G169" s="4"/>
      <c r="H169" s="1">
        <f>SUM(OSRRefH21_12x_0)</f>
        <v>2665.49</v>
      </c>
      <c r="I169" s="4"/>
      <c r="J169" s="1">
        <f>SUM(OSRRefJ21_12x_0)</f>
        <v>966.52</v>
      </c>
      <c r="K169" s="4"/>
      <c r="L169" s="1">
        <f>SUM(OSRRefL21_12x_0)</f>
        <v>750</v>
      </c>
      <c r="M169" s="4"/>
      <c r="N169" s="1">
        <f>SUM(OSRRefN21_12x_0)</f>
        <v>4063.95</v>
      </c>
      <c r="O169" s="4"/>
      <c r="P169" s="1">
        <f>SUM(OSRRefP21_12x_0)</f>
        <v>6500</v>
      </c>
      <c r="Q169" s="4"/>
      <c r="R169" s="1">
        <f>SUM(OSRRefR21_12x_0)</f>
        <v>1750</v>
      </c>
    </row>
    <row r="170" spans="1:18" s="16" customFormat="1" hidden="1" outlineLevel="2" x14ac:dyDescent="0.35">
      <c r="B170" s="11" t="str">
        <f>CONCATENATE("          ", "6336", " - ", "PROFESSIONAL SERVICES")</f>
        <v xml:space="preserve">          6336 - PROFESSIONAL SERVICES</v>
      </c>
      <c r="D170" s="2">
        <v>426.9</v>
      </c>
      <c r="F170" s="2"/>
      <c r="G170" s="3"/>
      <c r="H170" s="2">
        <v>2665.49</v>
      </c>
      <c r="I170" s="3"/>
      <c r="J170" s="2">
        <v>966.52</v>
      </c>
      <c r="K170" s="3"/>
      <c r="L170" s="2">
        <v>750</v>
      </c>
      <c r="M170" s="3"/>
      <c r="N170" s="2">
        <v>4063.95</v>
      </c>
      <c r="O170" s="3"/>
      <c r="P170" s="2">
        <v>6500</v>
      </c>
      <c r="Q170" s="3"/>
      <c r="R170" s="2">
        <v>1750</v>
      </c>
    </row>
    <row r="171" spans="1:18" s="15" customFormat="1" outlineLevel="1" collapsed="1" x14ac:dyDescent="0.35">
      <c r="A171" s="7"/>
      <c r="B171" s="20" t="str">
        <f>CONCATENATE("     ","Rent                                              ")</f>
        <v xml:space="preserve">     Rent                                              </v>
      </c>
      <c r="C171" s="7"/>
      <c r="D171" s="1">
        <f>SUM(OSRRefD21_13x_0)</f>
        <v>77500</v>
      </c>
      <c r="E171" s="19"/>
      <c r="F171" s="1">
        <f>SUM(OSRRefF21_13x_0)</f>
        <v>78000</v>
      </c>
      <c r="G171" s="4"/>
      <c r="H171" s="1">
        <f>SUM(OSRRefH21_13x_0)</f>
        <v>80400</v>
      </c>
      <c r="I171" s="4"/>
      <c r="J171" s="1">
        <f>SUM(OSRRefJ21_13x_0)</f>
        <v>80400</v>
      </c>
      <c r="K171" s="4"/>
      <c r="L171" s="1">
        <f>SUM(OSRRefL21_13x_0)</f>
        <v>82800</v>
      </c>
      <c r="M171" s="4"/>
      <c r="N171" s="1">
        <f>SUM(OSRRefN21_13x_0)</f>
        <v>82800</v>
      </c>
      <c r="O171" s="4"/>
      <c r="P171" s="1">
        <f>SUM(OSRRefP21_13x_0)</f>
        <v>82801</v>
      </c>
      <c r="Q171" s="4"/>
      <c r="R171" s="1">
        <f>SUM(OSRRefR21_13x_0)</f>
        <v>82800</v>
      </c>
    </row>
    <row r="172" spans="1:18" s="16" customFormat="1" hidden="1" outlineLevel="2" x14ac:dyDescent="0.35">
      <c r="B172" s="11" t="str">
        <f>CONCATENATE("          ", "6273", " - ", "RENT")</f>
        <v xml:space="preserve">          6273 - RENT</v>
      </c>
      <c r="D172" s="2">
        <v>77500</v>
      </c>
      <c r="F172" s="2">
        <v>78000</v>
      </c>
      <c r="G172" s="3"/>
      <c r="H172" s="2">
        <v>80400</v>
      </c>
      <c r="I172" s="3"/>
      <c r="J172" s="2">
        <v>80400</v>
      </c>
      <c r="K172" s="3"/>
      <c r="L172" s="2">
        <v>82800</v>
      </c>
      <c r="M172" s="3"/>
      <c r="N172" s="2">
        <v>82800</v>
      </c>
      <c r="O172" s="3"/>
      <c r="P172" s="2">
        <v>82801</v>
      </c>
      <c r="Q172" s="3"/>
      <c r="R172" s="2">
        <v>82800</v>
      </c>
    </row>
    <row r="173" spans="1:18" s="15" customFormat="1" outlineLevel="1" collapsed="1" x14ac:dyDescent="0.35">
      <c r="A173" s="7"/>
      <c r="B173" s="20" t="str">
        <f>CONCATENATE("     ","Repair and Maintenance                            ")</f>
        <v xml:space="preserve">     Repair and Maintenance                            </v>
      </c>
      <c r="C173" s="7"/>
      <c r="D173" s="1">
        <f>SUM(OSRRefD21_14x_0)</f>
        <v>516.62</v>
      </c>
      <c r="E173" s="19"/>
      <c r="F173" s="1">
        <f>SUM(OSRRefF21_14x_0)</f>
        <v>1683.07</v>
      </c>
      <c r="G173" s="4"/>
      <c r="H173" s="1">
        <f>SUM(OSRRefH21_14x_0)</f>
        <v>3946.1499999999996</v>
      </c>
      <c r="I173" s="4"/>
      <c r="J173" s="1">
        <f>SUM(OSRRefJ21_14x_0)</f>
        <v>934.36</v>
      </c>
      <c r="K173" s="4"/>
      <c r="L173" s="1">
        <f>SUM(OSRRefL21_14x_0)</f>
        <v>939.02</v>
      </c>
      <c r="M173" s="4"/>
      <c r="N173" s="1">
        <f>SUM(OSRRefN21_14x_0)</f>
        <v>681.99</v>
      </c>
      <c r="O173" s="4"/>
      <c r="P173" s="1">
        <f>SUM(OSRRefP21_14x_0)</f>
        <v>2700</v>
      </c>
      <c r="Q173" s="4"/>
      <c r="R173" s="1">
        <f>SUM(OSRRefR21_14x_0)</f>
        <v>1880</v>
      </c>
    </row>
    <row r="174" spans="1:18" s="16" customFormat="1" hidden="1" outlineLevel="2" x14ac:dyDescent="0.35">
      <c r="B174" s="11" t="str">
        <f>CONCATENATE("          ", "6371", " - ", "COMPUTER SOFTWARE MAINTENANCE")</f>
        <v xml:space="preserve">          6371 - COMPUTER SOFTWARE MAINTENANCE</v>
      </c>
      <c r="D174" s="2"/>
      <c r="F174" s="2"/>
      <c r="G174" s="3"/>
      <c r="H174" s="2"/>
      <c r="I174" s="3"/>
      <c r="J174" s="2">
        <v>420.75</v>
      </c>
      <c r="K174" s="3"/>
      <c r="L174" s="2">
        <v>186.58</v>
      </c>
      <c r="M174" s="3"/>
      <c r="N174" s="2"/>
      <c r="O174" s="3"/>
      <c r="P174" s="2"/>
      <c r="Q174" s="3"/>
      <c r="R174" s="2"/>
    </row>
    <row r="175" spans="1:18" s="16" customFormat="1" hidden="1" outlineLevel="2" x14ac:dyDescent="0.35">
      <c r="B175" s="11" t="str">
        <f>CONCATENATE("          ", "6372", " - ", "COMPUTER HARDWARE MAINTENANCE")</f>
        <v xml:space="preserve">          6372 - COMPUTER HARDWARE MAINTENANCE</v>
      </c>
      <c r="D175" s="2">
        <v>174.3</v>
      </c>
      <c r="F175" s="2">
        <v>12.74</v>
      </c>
      <c r="G175" s="3"/>
      <c r="H175" s="2"/>
      <c r="I175" s="3"/>
      <c r="J175" s="2"/>
      <c r="K175" s="3"/>
      <c r="L175" s="2"/>
      <c r="M175" s="3"/>
      <c r="N175" s="2"/>
      <c r="O175" s="3"/>
      <c r="P175" s="2"/>
      <c r="Q175" s="3"/>
      <c r="R175" s="2"/>
    </row>
    <row r="176" spans="1:18" s="16" customFormat="1" hidden="1" outlineLevel="2" x14ac:dyDescent="0.35">
      <c r="B176" s="11" t="str">
        <f>CONCATENATE("          ", "6373", " - ", "MAINTENANCE CONTRACTS")</f>
        <v xml:space="preserve">          6373 - MAINTENANCE CONTRACTS</v>
      </c>
      <c r="D176" s="2">
        <v>125</v>
      </c>
      <c r="F176" s="2">
        <v>501.3</v>
      </c>
      <c r="G176" s="3"/>
      <c r="H176" s="2">
        <v>-202.5</v>
      </c>
      <c r="I176" s="3"/>
      <c r="J176" s="2">
        <v>371.03</v>
      </c>
      <c r="K176" s="3"/>
      <c r="L176" s="2">
        <v>179.92</v>
      </c>
      <c r="M176" s="3"/>
      <c r="N176" s="2">
        <v>499.46</v>
      </c>
      <c r="O176" s="3"/>
      <c r="P176" s="2"/>
      <c r="Q176" s="3"/>
      <c r="R176" s="2">
        <v>1380</v>
      </c>
    </row>
    <row r="177" spans="1:18" s="16" customFormat="1" hidden="1" outlineLevel="2" x14ac:dyDescent="0.35">
      <c r="B177" s="11" t="str">
        <f>CONCATENATE("          ", "6375", " - ", "OUTSIDE REPAIRS &amp; MAINTENANCE")</f>
        <v xml:space="preserve">          6375 - OUTSIDE REPAIRS &amp; MAINTENANCE</v>
      </c>
      <c r="D177" s="2">
        <v>217.32</v>
      </c>
      <c r="F177" s="2">
        <v>1169.03</v>
      </c>
      <c r="G177" s="3"/>
      <c r="H177" s="2">
        <v>4148.6499999999996</v>
      </c>
      <c r="I177" s="3"/>
      <c r="J177" s="2">
        <v>142.58000000000001</v>
      </c>
      <c r="K177" s="3"/>
      <c r="L177" s="2">
        <v>572.52</v>
      </c>
      <c r="M177" s="3"/>
      <c r="N177" s="2">
        <v>182.53</v>
      </c>
      <c r="O177" s="3"/>
      <c r="P177" s="2">
        <v>2700</v>
      </c>
      <c r="Q177" s="3"/>
      <c r="R177" s="2">
        <v>500</v>
      </c>
    </row>
    <row r="178" spans="1:18" s="15" customFormat="1" outlineLevel="1" collapsed="1" x14ac:dyDescent="0.35">
      <c r="A178" s="7"/>
      <c r="B178" s="20" t="str">
        <f>CONCATENATE("     ","Royalty &amp; Commissions                             ")</f>
        <v xml:space="preserve">     Royalty &amp; Commissions                             </v>
      </c>
      <c r="C178" s="7"/>
      <c r="D178" s="1">
        <f>SUM(OSRRefD21_15x_0)</f>
        <v>49233.36</v>
      </c>
      <c r="E178" s="19"/>
      <c r="F178" s="1">
        <f>SUM(OSRRefF21_15x_0)</f>
        <v>59831.509999999995</v>
      </c>
      <c r="G178" s="4"/>
      <c r="H178" s="1">
        <f>SUM(OSRRefH21_15x_0)</f>
        <v>61241.539999999994</v>
      </c>
      <c r="I178" s="4"/>
      <c r="J178" s="1">
        <f>SUM(OSRRefJ21_15x_0)</f>
        <v>51390.7</v>
      </c>
      <c r="K178" s="4"/>
      <c r="L178" s="1">
        <f>SUM(OSRRefL21_15x_0)</f>
        <v>57814.42</v>
      </c>
      <c r="M178" s="4"/>
      <c r="N178" s="1">
        <f>SUM(OSRRefN21_15x_0)</f>
        <v>40841.660000000003</v>
      </c>
      <c r="O178" s="4"/>
      <c r="P178" s="1">
        <f>SUM(OSRRefP21_15x_0)</f>
        <v>75252</v>
      </c>
      <c r="Q178" s="4"/>
      <c r="R178" s="1">
        <f>SUM(OSRRefR21_15x_0)</f>
        <v>62010</v>
      </c>
    </row>
    <row r="179" spans="1:18" s="16" customFormat="1" hidden="1" outlineLevel="2" x14ac:dyDescent="0.35">
      <c r="B179" s="11" t="str">
        <f>CONCATENATE("          ", "6252", " - ", "ROYALTY DUE CSTV")</f>
        <v xml:space="preserve">          6252 - ROYALTY DUE CSTV</v>
      </c>
      <c r="D179" s="2">
        <v>13851.28</v>
      </c>
      <c r="F179" s="2">
        <v>13563.83</v>
      </c>
      <c r="G179" s="3"/>
      <c r="H179" s="2">
        <v>9575.91</v>
      </c>
      <c r="I179" s="3"/>
      <c r="J179" s="2">
        <v>8647.8700000000008</v>
      </c>
      <c r="K179" s="3"/>
      <c r="L179" s="2"/>
      <c r="M179" s="3"/>
      <c r="N179" s="2"/>
      <c r="O179" s="3"/>
      <c r="P179" s="2">
        <v>13020</v>
      </c>
      <c r="Q179" s="3"/>
      <c r="R179" s="2">
        <v>19008</v>
      </c>
    </row>
    <row r="180" spans="1:18" s="16" customFormat="1" hidden="1" outlineLevel="2" x14ac:dyDescent="0.35">
      <c r="B180" s="11" t="str">
        <f>CONCATENATE("          ", "6253", " - ", "ROYALTY DUE ATHLETICS-LRG")</f>
        <v xml:space="preserve">          6253 - ROYALTY DUE ATHLETICS-LRG</v>
      </c>
      <c r="D180" s="2">
        <v>22772.2</v>
      </c>
      <c r="F180" s="2">
        <v>30884.55</v>
      </c>
      <c r="G180" s="3"/>
      <c r="H180" s="2">
        <v>27720.32</v>
      </c>
      <c r="I180" s="3"/>
      <c r="J180" s="2">
        <v>24884.23</v>
      </c>
      <c r="K180" s="3"/>
      <c r="L180" s="2">
        <v>41365.99</v>
      </c>
      <c r="M180" s="3"/>
      <c r="N180" s="2">
        <v>32870.44</v>
      </c>
      <c r="O180" s="3"/>
      <c r="P180" s="2">
        <v>48444</v>
      </c>
      <c r="Q180" s="3"/>
      <c r="R180" s="2">
        <v>38502</v>
      </c>
    </row>
    <row r="181" spans="1:18" s="16" customFormat="1" hidden="1" outlineLevel="2" x14ac:dyDescent="0.35">
      <c r="B181" s="11" t="str">
        <f>CONCATENATE("          ", "6254", " - ", "ROYALTY &amp; COMMISSIONS")</f>
        <v xml:space="preserve">          6254 - ROYALTY &amp; COMMISSIONS</v>
      </c>
      <c r="D181" s="2">
        <v>12609.88</v>
      </c>
      <c r="F181" s="2">
        <v>15383.13</v>
      </c>
      <c r="G181" s="3"/>
      <c r="H181" s="2">
        <v>23945.31</v>
      </c>
      <c r="I181" s="3"/>
      <c r="J181" s="2">
        <v>17858.599999999999</v>
      </c>
      <c r="K181" s="3"/>
      <c r="L181" s="2">
        <v>16448.43</v>
      </c>
      <c r="M181" s="3"/>
      <c r="N181" s="2">
        <v>7971.22</v>
      </c>
      <c r="O181" s="3"/>
      <c r="P181" s="2">
        <v>13788</v>
      </c>
      <c r="Q181" s="3"/>
      <c r="R181" s="2">
        <v>4500</v>
      </c>
    </row>
    <row r="182" spans="1:18" s="15" customFormat="1" outlineLevel="1" collapsed="1" x14ac:dyDescent="0.35">
      <c r="A182" s="7"/>
      <c r="B182" s="20" t="str">
        <f>CONCATENATE("     ","Services                                          ")</f>
        <v xml:space="preserve">     Services                                          </v>
      </c>
      <c r="C182" s="7"/>
      <c r="D182" s="1">
        <f>SUM(OSRRefD21_16x_0)</f>
        <v>2213.58</v>
      </c>
      <c r="E182" s="19"/>
      <c r="F182" s="1">
        <f>SUM(OSRRefF21_16x_0)</f>
        <v>2168</v>
      </c>
      <c r="G182" s="4"/>
      <c r="H182" s="1">
        <f>SUM(OSRRefH21_16x_0)</f>
        <v>2357.09</v>
      </c>
      <c r="I182" s="4"/>
      <c r="J182" s="1">
        <f>SUM(OSRRefJ21_16x_0)</f>
        <v>2408.64</v>
      </c>
      <c r="K182" s="4"/>
      <c r="L182" s="1">
        <f>SUM(OSRRefL21_16x_0)</f>
        <v>2603.5199999999995</v>
      </c>
      <c r="M182" s="4"/>
      <c r="N182" s="1">
        <f>SUM(OSRRefN21_16x_0)</f>
        <v>3138.98</v>
      </c>
      <c r="O182" s="4"/>
      <c r="P182" s="1">
        <f>SUM(OSRRefP21_16x_0)</f>
        <v>2505</v>
      </c>
      <c r="Q182" s="4"/>
      <c r="R182" s="1">
        <f>SUM(OSRRefR21_16x_0)</f>
        <v>960</v>
      </c>
    </row>
    <row r="183" spans="1:18" s="16" customFormat="1" hidden="1" outlineLevel="2" x14ac:dyDescent="0.35">
      <c r="B183" s="11" t="str">
        <f>CONCATENATE("          ", "6283", " - ", "PLANT SERVICE")</f>
        <v xml:space="preserve">          6283 - PLANT SERVICE</v>
      </c>
      <c r="D183" s="2">
        <v>1267.69</v>
      </c>
      <c r="F183" s="2">
        <v>672</v>
      </c>
      <c r="G183" s="3"/>
      <c r="H183" s="2">
        <v>819.3</v>
      </c>
      <c r="I183" s="3"/>
      <c r="J183" s="2">
        <v>616</v>
      </c>
      <c r="K183" s="3"/>
      <c r="L183" s="2">
        <v>675.55</v>
      </c>
      <c r="M183" s="3"/>
      <c r="N183" s="2">
        <v>178.65</v>
      </c>
      <c r="O183" s="3"/>
      <c r="P183" s="2">
        <v>0</v>
      </c>
      <c r="Q183" s="3"/>
      <c r="R183" s="2"/>
    </row>
    <row r="184" spans="1:18" s="16" customFormat="1" hidden="1" outlineLevel="2" x14ac:dyDescent="0.35">
      <c r="B184" s="11" t="str">
        <f>CONCATENATE("          ", "6284", " - ", "TRASH REMOVAL EXPENSE")</f>
        <v xml:space="preserve">          6284 - TRASH REMOVAL EXPENSE</v>
      </c>
      <c r="D184" s="2">
        <v>595.89</v>
      </c>
      <c r="F184" s="2">
        <v>621</v>
      </c>
      <c r="G184" s="3"/>
      <c r="H184" s="2">
        <v>662.79</v>
      </c>
      <c r="I184" s="3"/>
      <c r="J184" s="2">
        <v>1075.8399999999999</v>
      </c>
      <c r="K184" s="3"/>
      <c r="L184" s="2">
        <v>1457.52</v>
      </c>
      <c r="M184" s="3"/>
      <c r="N184" s="2">
        <v>1617.84</v>
      </c>
      <c r="O184" s="3"/>
      <c r="P184" s="2">
        <v>880</v>
      </c>
      <c r="Q184" s="3"/>
      <c r="R184" s="2">
        <v>960</v>
      </c>
    </row>
    <row r="185" spans="1:18" s="16" customFormat="1" hidden="1" outlineLevel="2" x14ac:dyDescent="0.35">
      <c r="B185" s="11" t="str">
        <f>CONCATENATE("          ", "6285", " - ", "JANITORIAL SERVICES")</f>
        <v xml:space="preserve">          6285 - JANITORIAL SERVICES</v>
      </c>
      <c r="D185" s="2">
        <v>350</v>
      </c>
      <c r="F185" s="2">
        <v>875</v>
      </c>
      <c r="G185" s="3"/>
      <c r="H185" s="2">
        <v>875</v>
      </c>
      <c r="I185" s="3"/>
      <c r="J185" s="2">
        <v>716.8</v>
      </c>
      <c r="K185" s="3"/>
      <c r="L185" s="2">
        <v>470.45</v>
      </c>
      <c r="M185" s="3"/>
      <c r="N185" s="2">
        <v>1342.49</v>
      </c>
      <c r="O185" s="3"/>
      <c r="P185" s="2">
        <v>1625</v>
      </c>
      <c r="Q185" s="3"/>
      <c r="R185" s="2"/>
    </row>
    <row r="186" spans="1:18" s="15" customFormat="1" outlineLevel="1" collapsed="1" x14ac:dyDescent="0.35">
      <c r="A186" s="7"/>
      <c r="B186" s="20" t="str">
        <f>CONCATENATE("     ","Subscriptions &amp; Dues                              ")</f>
        <v xml:space="preserve">     Subscriptions &amp; Dues                              </v>
      </c>
      <c r="C186" s="7"/>
      <c r="D186" s="1">
        <f>SUM(OSRRefD21_17x_0)</f>
        <v>2068.4499999999998</v>
      </c>
      <c r="E186" s="19"/>
      <c r="F186" s="1">
        <f>SUM(OSRRefF21_17x_0)</f>
        <v>1656.76</v>
      </c>
      <c r="G186" s="4"/>
      <c r="H186" s="1">
        <f>SUM(OSRRefH21_17x_0)</f>
        <v>3682.95</v>
      </c>
      <c r="I186" s="4"/>
      <c r="J186" s="1">
        <f>SUM(OSRRefJ21_17x_0)</f>
        <v>3861.1</v>
      </c>
      <c r="K186" s="4"/>
      <c r="L186" s="1">
        <f>SUM(OSRRefL21_17x_0)</f>
        <v>2585.1600000000003</v>
      </c>
      <c r="M186" s="4"/>
      <c r="N186" s="1">
        <f>SUM(OSRRefN21_17x_0)</f>
        <v>767.95999999999992</v>
      </c>
      <c r="O186" s="4"/>
      <c r="P186" s="1">
        <f>SUM(OSRRefP21_17x_0)</f>
        <v>1595</v>
      </c>
      <c r="Q186" s="4"/>
      <c r="R186" s="1">
        <f>SUM(OSRRefR21_17x_0)</f>
        <v>3047</v>
      </c>
    </row>
    <row r="187" spans="1:18" s="16" customFormat="1" hidden="1" outlineLevel="2" x14ac:dyDescent="0.35">
      <c r="B187" s="11" t="str">
        <f>CONCATENATE("          ", "6258", " - ", "MEMBERSHIP DUES")</f>
        <v xml:space="preserve">          6258 - MEMBERSHIP DUES</v>
      </c>
      <c r="D187" s="2"/>
      <c r="F187" s="2"/>
      <c r="G187" s="3"/>
      <c r="H187" s="2">
        <v>1431.68</v>
      </c>
      <c r="I187" s="3"/>
      <c r="J187" s="2">
        <v>1582.73</v>
      </c>
      <c r="K187" s="3"/>
      <c r="L187" s="2">
        <v>129.88</v>
      </c>
      <c r="M187" s="3"/>
      <c r="N187" s="2">
        <v>232.9</v>
      </c>
      <c r="O187" s="3"/>
      <c r="P187" s="2">
        <v>1595</v>
      </c>
      <c r="Q187" s="3"/>
      <c r="R187" s="2">
        <v>1595</v>
      </c>
    </row>
    <row r="188" spans="1:18" s="16" customFormat="1" hidden="1" outlineLevel="2" x14ac:dyDescent="0.35">
      <c r="B188" s="11" t="str">
        <f>CONCATENATE("          ", "6275", " - ", "SUBSCRIPTIONS")</f>
        <v xml:space="preserve">          6275 - SUBSCRIPTIONS</v>
      </c>
      <c r="D188" s="2">
        <v>2068.4499999999998</v>
      </c>
      <c r="F188" s="2">
        <v>1656.76</v>
      </c>
      <c r="G188" s="3"/>
      <c r="H188" s="2">
        <v>2251.27</v>
      </c>
      <c r="I188" s="3"/>
      <c r="J188" s="2">
        <v>2278.37</v>
      </c>
      <c r="K188" s="3"/>
      <c r="L188" s="2">
        <v>2455.2800000000002</v>
      </c>
      <c r="M188" s="3"/>
      <c r="N188" s="2">
        <v>535.05999999999995</v>
      </c>
      <c r="O188" s="3"/>
      <c r="P188" s="2">
        <v>0</v>
      </c>
      <c r="Q188" s="3"/>
      <c r="R188" s="2">
        <v>1452</v>
      </c>
    </row>
    <row r="189" spans="1:18" s="15" customFormat="1" outlineLevel="1" collapsed="1" x14ac:dyDescent="0.35">
      <c r="A189" s="7"/>
      <c r="B189" s="20" t="str">
        <f>CONCATENATE("     ","Supplies                                          ")</f>
        <v xml:space="preserve">     Supplies                                          </v>
      </c>
      <c r="C189" s="7"/>
      <c r="D189" s="1">
        <f>SUM(OSRRefD21_18x_0)</f>
        <v>7607.2500000000009</v>
      </c>
      <c r="E189" s="19"/>
      <c r="F189" s="1">
        <f>SUM(OSRRefF21_18x_0)</f>
        <v>8406.52</v>
      </c>
      <c r="G189" s="4"/>
      <c r="H189" s="1">
        <f>SUM(OSRRefH21_18x_0)</f>
        <v>17477.62</v>
      </c>
      <c r="I189" s="4"/>
      <c r="J189" s="1">
        <f>SUM(OSRRefJ21_18x_0)</f>
        <v>17390.419999999998</v>
      </c>
      <c r="K189" s="4"/>
      <c r="L189" s="1">
        <f>SUM(OSRRefL21_18x_0)</f>
        <v>8239.5</v>
      </c>
      <c r="M189" s="4"/>
      <c r="N189" s="1">
        <f>SUM(OSRRefN21_18x_0)</f>
        <v>7598.6299999999992</v>
      </c>
      <c r="O189" s="4"/>
      <c r="P189" s="1">
        <f>SUM(OSRRefP21_18x_0)</f>
        <v>7520</v>
      </c>
      <c r="Q189" s="4"/>
      <c r="R189" s="1">
        <f>SUM(OSRRefR21_18x_0)</f>
        <v>1380</v>
      </c>
    </row>
    <row r="190" spans="1:18" s="16" customFormat="1" hidden="1" outlineLevel="2" x14ac:dyDescent="0.35">
      <c r="B190" s="11" t="str">
        <f>CONCATENATE("          ", "6234", " - ", "EXPENDABLE SUPPLIES &amp; EQUIPMEN")</f>
        <v xml:space="preserve">          6234 - EXPENDABLE SUPPLIES &amp; EQUIPMEN</v>
      </c>
      <c r="D190" s="2">
        <v>2720.81</v>
      </c>
      <c r="F190" s="2">
        <v>1450.89</v>
      </c>
      <c r="G190" s="3"/>
      <c r="H190" s="2">
        <v>5687.89</v>
      </c>
      <c r="I190" s="3"/>
      <c r="J190" s="2">
        <v>3928.52</v>
      </c>
      <c r="K190" s="3"/>
      <c r="L190" s="2">
        <v>723.49</v>
      </c>
      <c r="M190" s="3"/>
      <c r="N190" s="2">
        <v>976.24</v>
      </c>
      <c r="O190" s="3"/>
      <c r="P190" s="2">
        <v>600</v>
      </c>
      <c r="Q190" s="3"/>
      <c r="R190" s="2"/>
    </row>
    <row r="191" spans="1:18" s="16" customFormat="1" hidden="1" outlineLevel="2" x14ac:dyDescent="0.35">
      <c r="B191" s="11" t="str">
        <f>CONCATENATE("          ", "6235", " - ", "COVID-19 EXPENSES")</f>
        <v xml:space="preserve">          6235 - COVID-19 EXPENSES</v>
      </c>
      <c r="D191" s="2"/>
      <c r="F191" s="2"/>
      <c r="G191" s="3"/>
      <c r="H191" s="2"/>
      <c r="I191" s="3"/>
      <c r="J191" s="2"/>
      <c r="K191" s="3"/>
      <c r="L191" s="2"/>
      <c r="M191" s="3"/>
      <c r="N191" s="2"/>
      <c r="O191" s="3"/>
      <c r="P191" s="2">
        <v>2400</v>
      </c>
      <c r="Q191" s="3"/>
      <c r="R191" s="2">
        <v>0</v>
      </c>
    </row>
    <row r="192" spans="1:18" s="16" customFormat="1" hidden="1" outlineLevel="2" x14ac:dyDescent="0.35">
      <c r="B192" s="11" t="str">
        <f>CONCATENATE("          ", "6237", " - ", "JANITORIAL SUPPLIES")</f>
        <v xml:space="preserve">          6237 - JANITORIAL SUPPLIES</v>
      </c>
      <c r="D192" s="2"/>
      <c r="F192" s="2">
        <v>193.88</v>
      </c>
      <c r="G192" s="3"/>
      <c r="H192" s="2">
        <v>382.99</v>
      </c>
      <c r="I192" s="3"/>
      <c r="J192" s="2">
        <v>332.39</v>
      </c>
      <c r="K192" s="3"/>
      <c r="L192" s="2">
        <v>641.32000000000005</v>
      </c>
      <c r="M192" s="3"/>
      <c r="N192" s="2">
        <v>670.42</v>
      </c>
      <c r="O192" s="3"/>
      <c r="P192" s="2">
        <v>820</v>
      </c>
      <c r="Q192" s="3"/>
      <c r="R192" s="2">
        <v>240</v>
      </c>
    </row>
    <row r="193" spans="1:18" s="16" customFormat="1" hidden="1" outlineLevel="2" x14ac:dyDescent="0.35">
      <c r="B193" s="11" t="str">
        <f>CONCATENATE("          ", "6241", " - ", "OFFICE EXPENSE")</f>
        <v xml:space="preserve">          6241 - OFFICE EXPENSE</v>
      </c>
      <c r="D193" s="2">
        <v>2945.03</v>
      </c>
      <c r="F193" s="2">
        <v>3100.09</v>
      </c>
      <c r="G193" s="3"/>
      <c r="H193" s="2">
        <v>5964.09</v>
      </c>
      <c r="I193" s="3"/>
      <c r="J193" s="2">
        <v>3099.85</v>
      </c>
      <c r="K193" s="3"/>
      <c r="L193" s="2">
        <v>3031.67</v>
      </c>
      <c r="M193" s="3"/>
      <c r="N193" s="2">
        <v>5060.78</v>
      </c>
      <c r="O193" s="3"/>
      <c r="P193" s="2">
        <v>1500</v>
      </c>
      <c r="Q193" s="3"/>
      <c r="R193" s="2">
        <v>540</v>
      </c>
    </row>
    <row r="194" spans="1:18" s="16" customFormat="1" hidden="1" outlineLevel="2" x14ac:dyDescent="0.35">
      <c r="B194" s="11" t="str">
        <f>CONCATENATE("          ", "6243", " - ", "PAPER SUPPLIES")</f>
        <v xml:space="preserve">          6243 - PAPER SUPPLIES</v>
      </c>
      <c r="D194" s="2"/>
      <c r="F194" s="2"/>
      <c r="G194" s="3"/>
      <c r="H194" s="2"/>
      <c r="I194" s="3"/>
      <c r="J194" s="2"/>
      <c r="K194" s="3"/>
      <c r="L194" s="2"/>
      <c r="M194" s="3"/>
      <c r="N194" s="2"/>
      <c r="O194" s="3"/>
      <c r="P194" s="2">
        <v>600</v>
      </c>
      <c r="Q194" s="3"/>
      <c r="R194" s="2"/>
    </row>
    <row r="195" spans="1:18" s="16" customFormat="1" hidden="1" outlineLevel="2" x14ac:dyDescent="0.35">
      <c r="B195" s="11" t="str">
        <f>CONCATENATE("          ", "6244", " - ", "SAFETY SUPPLY EXPENSE")</f>
        <v xml:space="preserve">          6244 - SAFETY SUPPLY EXPENSE</v>
      </c>
      <c r="D195" s="2"/>
      <c r="F195" s="2"/>
      <c r="G195" s="3"/>
      <c r="H195" s="2"/>
      <c r="I195" s="3"/>
      <c r="J195" s="2"/>
      <c r="K195" s="3"/>
      <c r="L195" s="2"/>
      <c r="M195" s="3"/>
      <c r="N195" s="2"/>
      <c r="O195" s="3"/>
      <c r="P195" s="2">
        <v>100</v>
      </c>
      <c r="Q195" s="3"/>
      <c r="R195" s="2"/>
    </row>
    <row r="196" spans="1:18" s="16" customFormat="1" hidden="1" outlineLevel="2" x14ac:dyDescent="0.35">
      <c r="B196" s="11" t="str">
        <f>CONCATENATE("          ", "6245", " - ", "PRINTING")</f>
        <v xml:space="preserve">          6245 - PRINTING</v>
      </c>
      <c r="D196" s="2">
        <v>57.14</v>
      </c>
      <c r="F196" s="2">
        <v>137.53</v>
      </c>
      <c r="G196" s="3"/>
      <c r="H196" s="2">
        <v>104.58</v>
      </c>
      <c r="I196" s="3"/>
      <c r="J196" s="2">
        <v>334.01</v>
      </c>
      <c r="K196" s="3"/>
      <c r="L196" s="2">
        <v>970.75</v>
      </c>
      <c r="M196" s="3"/>
      <c r="N196" s="2">
        <v>-348.17</v>
      </c>
      <c r="O196" s="3"/>
      <c r="P196" s="2">
        <v>600</v>
      </c>
      <c r="Q196" s="3"/>
      <c r="R196" s="2"/>
    </row>
    <row r="197" spans="1:18" s="16" customFormat="1" hidden="1" outlineLevel="2" x14ac:dyDescent="0.35">
      <c r="B197" s="11" t="str">
        <f>CONCATENATE("          ", "6247", " - ", "STORE SUPPLIES")</f>
        <v xml:space="preserve">          6247 - STORE SUPPLIES</v>
      </c>
      <c r="D197" s="2">
        <v>1096.1500000000001</v>
      </c>
      <c r="F197" s="2">
        <v>3411.43</v>
      </c>
      <c r="G197" s="3"/>
      <c r="H197" s="2">
        <v>5009.2700000000004</v>
      </c>
      <c r="I197" s="3"/>
      <c r="J197" s="2">
        <v>8520.1299999999992</v>
      </c>
      <c r="K197" s="3"/>
      <c r="L197" s="2">
        <v>2296.9899999999998</v>
      </c>
      <c r="M197" s="3"/>
      <c r="N197" s="2">
        <v>1239.3599999999999</v>
      </c>
      <c r="O197" s="3"/>
      <c r="P197" s="2">
        <v>900</v>
      </c>
      <c r="Q197" s="3"/>
      <c r="R197" s="2">
        <v>600</v>
      </c>
    </row>
    <row r="198" spans="1:18" s="16" customFormat="1" hidden="1" outlineLevel="2" x14ac:dyDescent="0.35">
      <c r="B198" s="11" t="str">
        <f>CONCATENATE("          ", "6248", " - ", "UNIFORMS")</f>
        <v xml:space="preserve">          6248 - UNIFORMS</v>
      </c>
      <c r="D198" s="2">
        <v>788.12</v>
      </c>
      <c r="F198" s="2">
        <v>112.7</v>
      </c>
      <c r="G198" s="3"/>
      <c r="H198" s="2">
        <v>328.8</v>
      </c>
      <c r="I198" s="3"/>
      <c r="J198" s="2">
        <v>1175.52</v>
      </c>
      <c r="K198" s="3"/>
      <c r="L198" s="2">
        <v>575.28</v>
      </c>
      <c r="M198" s="3"/>
      <c r="N198" s="2"/>
      <c r="O198" s="3"/>
      <c r="P198" s="2"/>
      <c r="Q198" s="3"/>
      <c r="R198" s="2"/>
    </row>
    <row r="199" spans="1:18" s="15" customFormat="1" outlineLevel="1" collapsed="1" x14ac:dyDescent="0.35">
      <c r="A199" s="7"/>
      <c r="B199" s="20" t="str">
        <f>CONCATENATE("     ","Telephone/Data Lines                              ")</f>
        <v xml:space="preserve">     Telephone/Data Lines                              </v>
      </c>
      <c r="C199" s="7"/>
      <c r="D199" s="1">
        <f>SUM(OSRRefD21_19x_0)</f>
        <v>8362.36</v>
      </c>
      <c r="E199" s="19"/>
      <c r="F199" s="1">
        <f>SUM(OSRRefF21_19x_0)</f>
        <v>5535.7</v>
      </c>
      <c r="G199" s="4"/>
      <c r="H199" s="1">
        <f>SUM(OSRRefH21_19x_0)</f>
        <v>7912.39</v>
      </c>
      <c r="I199" s="4"/>
      <c r="J199" s="1">
        <f>SUM(OSRRefJ21_19x_0)</f>
        <v>11158.54</v>
      </c>
      <c r="K199" s="4"/>
      <c r="L199" s="1">
        <f>SUM(OSRRefL21_19x_0)</f>
        <v>11026.05</v>
      </c>
      <c r="M199" s="4"/>
      <c r="N199" s="1">
        <f>SUM(OSRRefN21_19x_0)</f>
        <v>8605.7199999999993</v>
      </c>
      <c r="O199" s="4"/>
      <c r="P199" s="1">
        <f>SUM(OSRRefP21_19x_0)</f>
        <v>9960</v>
      </c>
      <c r="Q199" s="4"/>
      <c r="R199" s="1">
        <f>SUM(OSRRefR21_19x_0)</f>
        <v>6600</v>
      </c>
    </row>
    <row r="200" spans="1:18" s="16" customFormat="1" hidden="1" outlineLevel="2" x14ac:dyDescent="0.35">
      <c r="B200" s="11" t="str">
        <f>CONCATENATE("          ", "6303", " - ", "DATA PHONE LINES")</f>
        <v xml:space="preserve">          6303 - DATA PHONE LINES</v>
      </c>
      <c r="D200" s="2"/>
      <c r="F200" s="2"/>
      <c r="G200" s="3"/>
      <c r="H200" s="2"/>
      <c r="I200" s="3"/>
      <c r="J200" s="2"/>
      <c r="K200" s="3"/>
      <c r="L200" s="2"/>
      <c r="M200" s="3"/>
      <c r="N200" s="2"/>
      <c r="O200" s="3"/>
      <c r="P200" s="2">
        <v>2760</v>
      </c>
      <c r="Q200" s="3"/>
      <c r="R200" s="2"/>
    </row>
    <row r="201" spans="1:18" s="16" customFormat="1" hidden="1" outlineLevel="2" x14ac:dyDescent="0.35">
      <c r="B201" s="11" t="str">
        <f>CONCATENATE("          ", "6309", " - ", "TELEPHONE")</f>
        <v xml:space="preserve">          6309 - TELEPHONE</v>
      </c>
      <c r="D201" s="2">
        <v>8362.36</v>
      </c>
      <c r="F201" s="2">
        <v>5535.7</v>
      </c>
      <c r="G201" s="3"/>
      <c r="H201" s="2">
        <v>7912.39</v>
      </c>
      <c r="I201" s="3"/>
      <c r="J201" s="2">
        <v>11158.54</v>
      </c>
      <c r="K201" s="3"/>
      <c r="L201" s="2">
        <v>11026.05</v>
      </c>
      <c r="M201" s="3"/>
      <c r="N201" s="2">
        <v>8605.7199999999993</v>
      </c>
      <c r="O201" s="3"/>
      <c r="P201" s="2">
        <v>7200</v>
      </c>
      <c r="Q201" s="3"/>
      <c r="R201" s="2">
        <v>6600</v>
      </c>
    </row>
    <row r="202" spans="1:18" s="15" customFormat="1" outlineLevel="1" collapsed="1" x14ac:dyDescent="0.35">
      <c r="A202" s="7"/>
      <c r="B202" s="20" t="str">
        <f>CONCATENATE("     ","Training                                          ")</f>
        <v xml:space="preserve">     Training                                          </v>
      </c>
      <c r="C202" s="7"/>
      <c r="D202" s="1">
        <f>SUM(OSRRefD21_20x_0)</f>
        <v>4095.2</v>
      </c>
      <c r="E202" s="19"/>
      <c r="F202" s="1">
        <f>SUM(OSRRefF21_20x_0)</f>
        <v>7810.95</v>
      </c>
      <c r="G202" s="4"/>
      <c r="H202" s="1">
        <f>SUM(OSRRefH21_20x_0)</f>
        <v>8372.65</v>
      </c>
      <c r="I202" s="4"/>
      <c r="J202" s="1">
        <f>SUM(OSRRefJ21_20x_0)</f>
        <v>6022.57</v>
      </c>
      <c r="K202" s="4"/>
      <c r="L202" s="1">
        <f>SUM(OSRRefL21_20x_0)</f>
        <v>3454.53</v>
      </c>
      <c r="M202" s="4"/>
      <c r="N202" s="1">
        <f>SUM(OSRRefN21_20x_0)</f>
        <v>5264.54</v>
      </c>
      <c r="O202" s="4"/>
      <c r="P202" s="1">
        <f>SUM(OSRRefP21_20x_0)</f>
        <v>3600</v>
      </c>
      <c r="Q202" s="4"/>
      <c r="R202" s="1">
        <f>SUM(OSRRefR21_20x_0)</f>
        <v>0</v>
      </c>
    </row>
    <row r="203" spans="1:18" s="16" customFormat="1" hidden="1" outlineLevel="2" x14ac:dyDescent="0.35">
      <c r="B203" s="11" t="str">
        <f>CONCATENATE("          ", "6376", " - ", "TRAINING")</f>
        <v xml:space="preserve">          6376 - TRAINING</v>
      </c>
      <c r="D203" s="2">
        <v>4095.2</v>
      </c>
      <c r="F203" s="2">
        <v>7810.95</v>
      </c>
      <c r="G203" s="3"/>
      <c r="H203" s="2">
        <v>8372.65</v>
      </c>
      <c r="I203" s="3"/>
      <c r="J203" s="2">
        <v>6022.57</v>
      </c>
      <c r="K203" s="3"/>
      <c r="L203" s="2">
        <v>3454.53</v>
      </c>
      <c r="M203" s="3"/>
      <c r="N203" s="2">
        <v>5264.54</v>
      </c>
      <c r="O203" s="3"/>
      <c r="P203" s="2">
        <v>3600</v>
      </c>
      <c r="Q203" s="3"/>
      <c r="R203" s="2"/>
    </row>
    <row r="204" spans="1:18" s="15" customFormat="1" outlineLevel="1" collapsed="1" x14ac:dyDescent="0.35">
      <c r="A204" s="7"/>
      <c r="B204" s="20" t="str">
        <f>CONCATENATE("     ","Travel                                            ")</f>
        <v xml:space="preserve">     Travel                                            </v>
      </c>
      <c r="C204" s="7"/>
      <c r="D204" s="1">
        <f>SUM(OSRRefD21_21x_0)</f>
        <v>1121.44</v>
      </c>
      <c r="E204" s="19"/>
      <c r="F204" s="1">
        <f>SUM(OSRRefF21_21x_0)</f>
        <v>2258.46</v>
      </c>
      <c r="G204" s="4"/>
      <c r="H204" s="1">
        <f>SUM(OSRRefH21_21x_0)</f>
        <v>736.88</v>
      </c>
      <c r="I204" s="4"/>
      <c r="J204" s="1">
        <f>SUM(OSRRefJ21_21x_0)</f>
        <v>758.47</v>
      </c>
      <c r="K204" s="4"/>
      <c r="L204" s="1">
        <f>SUM(OSRRefL21_21x_0)</f>
        <v>677.94</v>
      </c>
      <c r="M204" s="4"/>
      <c r="N204" s="1">
        <f>SUM(OSRRefN21_21x_0)</f>
        <v>612.98</v>
      </c>
      <c r="O204" s="4"/>
      <c r="P204" s="1">
        <f>SUM(OSRRefP21_21x_0)</f>
        <v>800</v>
      </c>
      <c r="Q204" s="4"/>
      <c r="R204" s="1">
        <f>SUM(OSRRefR21_21x_0)</f>
        <v>850</v>
      </c>
    </row>
    <row r="205" spans="1:18" s="16" customFormat="1" hidden="1" outlineLevel="2" x14ac:dyDescent="0.35">
      <c r="B205" s="11" t="str">
        <f>CONCATENATE("          ", "6292", " - ", "TRAVEL/CONFERENCE")</f>
        <v xml:space="preserve">          6292 - TRAVEL/CONFERENCE</v>
      </c>
      <c r="D205" s="2"/>
      <c r="F205" s="2">
        <v>1670.1</v>
      </c>
      <c r="G205" s="3"/>
      <c r="H205" s="2">
        <v>60.08</v>
      </c>
      <c r="I205" s="3"/>
      <c r="J205" s="2">
        <v>64.930000000000007</v>
      </c>
      <c r="K205" s="3"/>
      <c r="L205" s="2"/>
      <c r="M205" s="3"/>
      <c r="N205" s="2">
        <v>107.04</v>
      </c>
      <c r="O205" s="3"/>
      <c r="P205" s="2"/>
      <c r="Q205" s="3"/>
      <c r="R205" s="2"/>
    </row>
    <row r="206" spans="1:18" s="16" customFormat="1" hidden="1" outlineLevel="2" x14ac:dyDescent="0.35">
      <c r="B206" s="11" t="str">
        <f>CONCATENATE("          ", "6294", " - ", "TRAVEL OPERATIONAL")</f>
        <v xml:space="preserve">          6294 - TRAVEL OPERATIONAL</v>
      </c>
      <c r="D206" s="2">
        <v>1121.44</v>
      </c>
      <c r="F206" s="2">
        <v>588.36</v>
      </c>
      <c r="G206" s="3"/>
      <c r="H206" s="2">
        <v>676.8</v>
      </c>
      <c r="I206" s="3"/>
      <c r="J206" s="2">
        <v>693.54</v>
      </c>
      <c r="K206" s="3"/>
      <c r="L206" s="2">
        <v>677.94</v>
      </c>
      <c r="M206" s="3"/>
      <c r="N206" s="2">
        <v>505.94</v>
      </c>
      <c r="O206" s="3"/>
      <c r="P206" s="2">
        <v>300</v>
      </c>
      <c r="Q206" s="3"/>
      <c r="R206" s="2">
        <v>300</v>
      </c>
    </row>
    <row r="207" spans="1:18" s="16" customFormat="1" hidden="1" outlineLevel="2" x14ac:dyDescent="0.35">
      <c r="B207" s="11" t="str">
        <f>CONCATENATE("          ", "6298", " - ", "VEHICLE MILEAGE")</f>
        <v xml:space="preserve">          6298 - VEHICLE MILEAGE</v>
      </c>
      <c r="D207" s="2"/>
      <c r="F207" s="2"/>
      <c r="G207" s="3"/>
      <c r="H207" s="2"/>
      <c r="I207" s="3"/>
      <c r="J207" s="2"/>
      <c r="K207" s="3"/>
      <c r="L207" s="2"/>
      <c r="M207" s="3"/>
      <c r="N207" s="2"/>
      <c r="O207" s="3"/>
      <c r="P207" s="2">
        <v>500</v>
      </c>
      <c r="Q207" s="3"/>
      <c r="R207" s="2">
        <v>550</v>
      </c>
    </row>
    <row r="208" spans="1:18" s="15" customFormat="1" outlineLevel="1" collapsed="1" x14ac:dyDescent="0.35">
      <c r="A208" s="7"/>
      <c r="B208" s="20" t="str">
        <f>CONCATENATE("     ","Utilities                                         ")</f>
        <v xml:space="preserve">     Utilities                                         </v>
      </c>
      <c r="C208" s="7"/>
      <c r="D208" s="1">
        <f>SUM(OSRRefD21_22x_0)</f>
        <v>3451</v>
      </c>
      <c r="E208" s="19"/>
      <c r="F208" s="1">
        <f>SUM(OSRRefF21_22x_0)</f>
        <v>2829.04</v>
      </c>
      <c r="G208" s="4"/>
      <c r="H208" s="1">
        <f>SUM(OSRRefH21_22x_0)</f>
        <v>3236.69</v>
      </c>
      <c r="I208" s="4"/>
      <c r="J208" s="1">
        <f>SUM(OSRRefJ21_22x_0)</f>
        <v>3514.38</v>
      </c>
      <c r="K208" s="4"/>
      <c r="L208" s="1">
        <f>SUM(OSRRefL21_22x_0)</f>
        <v>3552.56</v>
      </c>
      <c r="M208" s="4"/>
      <c r="N208" s="1">
        <f>SUM(OSRRefN21_22x_0)</f>
        <v>2987.58</v>
      </c>
      <c r="O208" s="4"/>
      <c r="P208" s="1">
        <f>SUM(OSRRefP21_22x_0)</f>
        <v>4240</v>
      </c>
      <c r="Q208" s="4"/>
      <c r="R208" s="1">
        <f>SUM(OSRRefR21_22x_0)</f>
        <v>4120</v>
      </c>
    </row>
    <row r="209" spans="1:18" s="16" customFormat="1" hidden="1" outlineLevel="2" x14ac:dyDescent="0.35">
      <c r="B209" s="11" t="str">
        <f>CONCATENATE("          ", "6274", " - ", "UTILITIES")</f>
        <v xml:space="preserve">          6274 - UTILITIES</v>
      </c>
      <c r="D209" s="2">
        <v>3451</v>
      </c>
      <c r="F209" s="2">
        <v>2829.04</v>
      </c>
      <c r="G209" s="3"/>
      <c r="H209" s="2">
        <v>3236.69</v>
      </c>
      <c r="I209" s="3"/>
      <c r="J209" s="2">
        <v>3514.38</v>
      </c>
      <c r="K209" s="3"/>
      <c r="L209" s="2">
        <v>3552.56</v>
      </c>
      <c r="M209" s="3"/>
      <c r="N209" s="2">
        <v>2987.58</v>
      </c>
      <c r="O209" s="3"/>
      <c r="P209" s="2">
        <v>4240</v>
      </c>
      <c r="Q209" s="3"/>
      <c r="R209" s="2">
        <v>4120</v>
      </c>
    </row>
    <row r="210" spans="1:18" x14ac:dyDescent="0.35">
      <c r="A210" s="12"/>
      <c r="B210" s="12"/>
      <c r="C210" s="12"/>
      <c r="D210" s="1"/>
      <c r="F210" s="1"/>
      <c r="H210" s="1"/>
      <c r="J210" s="1"/>
      <c r="L210" s="1"/>
      <c r="N210" s="1"/>
      <c r="P210" s="1"/>
      <c r="R210" s="1"/>
    </row>
    <row r="211" spans="1:18" s="7" customFormat="1" collapsed="1" x14ac:dyDescent="0.35">
      <c r="A211" s="36"/>
      <c r="B211" s="34" t="s">
        <v>295</v>
      </c>
      <c r="D211" s="6">
        <f>SUM(OSRRefD24x_0)</f>
        <v>118749.91</v>
      </c>
      <c r="E211" s="12"/>
      <c r="F211" s="6">
        <f>SUM(OSRRefF24x_0)</f>
        <v>66416.539999999994</v>
      </c>
      <c r="G211" s="5"/>
      <c r="H211" s="6">
        <f>SUM(OSRRefH24x_0)</f>
        <v>147968.32999999999</v>
      </c>
      <c r="I211" s="5"/>
      <c r="J211" s="6">
        <f>SUM(OSRRefJ24x_0)</f>
        <v>79134.03</v>
      </c>
      <c r="K211" s="5"/>
      <c r="L211" s="6">
        <f>SUM(OSRRefL24x_0)</f>
        <v>135294.13</v>
      </c>
      <c r="M211" s="5"/>
      <c r="N211" s="6">
        <f>SUM(OSRRefN24x_0)</f>
        <v>88944.49</v>
      </c>
      <c r="O211" s="5"/>
      <c r="P211" s="6">
        <f>SUM(OSRRefP24x_0)</f>
        <v>657760</v>
      </c>
      <c r="Q211" s="5"/>
      <c r="R211" s="6">
        <f>SUM(OSRRefR24x_0)</f>
        <v>652006</v>
      </c>
    </row>
    <row r="212" spans="1:18" s="7" customFormat="1" hidden="1" outlineLevel="1" x14ac:dyDescent="0.35">
      <c r="A212" s="36"/>
      <c r="B212" s="11" t="str">
        <f>CONCATENATE("          ", "9150", " - ", "MISC. INCOME")</f>
        <v xml:space="preserve">          9150 - MISC. INCOME</v>
      </c>
      <c r="D212" s="11">
        <f>--118749.91</f>
        <v>118749.91</v>
      </c>
      <c r="E212" s="16"/>
      <c r="F212" s="11">
        <f>--66416.54</f>
        <v>66416.539999999994</v>
      </c>
      <c r="G212" s="3"/>
      <c r="H212" s="11">
        <f>--147968.33</f>
        <v>147968.32999999999</v>
      </c>
      <c r="I212" s="3"/>
      <c r="J212" s="11">
        <f>--79134.03</f>
        <v>79134.03</v>
      </c>
      <c r="K212" s="3"/>
      <c r="L212" s="11">
        <f>--135294.13</f>
        <v>135294.13</v>
      </c>
      <c r="M212" s="3"/>
      <c r="N212" s="11">
        <f>--88944.49</f>
        <v>88944.49</v>
      </c>
      <c r="O212" s="3"/>
      <c r="P212" s="11">
        <v>96900</v>
      </c>
      <c r="Q212" s="3"/>
      <c r="R212" s="11">
        <v>77006</v>
      </c>
    </row>
    <row r="213" spans="1:18" s="7" customFormat="1" hidden="1" outlineLevel="1" x14ac:dyDescent="0.35">
      <c r="A213" s="36"/>
      <c r="B213" s="11" t="str">
        <f>CONCATENATE("          ", "9151", " - ", "MISC. INCOME")</f>
        <v xml:space="preserve">          9151 - MISC. INCOME</v>
      </c>
      <c r="D213" s="11">
        <f t="shared" ref="D213:D214" si="23">0</f>
        <v>0</v>
      </c>
      <c r="E213" s="16"/>
      <c r="F213" s="11">
        <f t="shared" ref="F213:F214" si="24">0</f>
        <v>0</v>
      </c>
      <c r="G213" s="3"/>
      <c r="H213" s="11">
        <f t="shared" ref="H213:H214" si="25">0</f>
        <v>0</v>
      </c>
      <c r="I213" s="3"/>
      <c r="J213" s="11">
        <f t="shared" ref="J213:J214" si="26">0</f>
        <v>0</v>
      </c>
      <c r="K213" s="3"/>
      <c r="L213" s="11">
        <f t="shared" ref="L213:L214" si="27">0</f>
        <v>0</v>
      </c>
      <c r="M213" s="3"/>
      <c r="N213" s="11">
        <f t="shared" ref="N213:N214" si="28">0</f>
        <v>0</v>
      </c>
      <c r="O213" s="3"/>
      <c r="P213" s="11">
        <v>560860</v>
      </c>
      <c r="Q213" s="3"/>
      <c r="R213" s="11">
        <v>400000</v>
      </c>
    </row>
    <row r="214" spans="1:18" s="7" customFormat="1" hidden="1" outlineLevel="1" x14ac:dyDescent="0.35">
      <c r="A214" s="36"/>
      <c r="B214" s="11" t="str">
        <f>CONCATENATE("          ", "9160", " - ", "MISC. INCOME")</f>
        <v xml:space="preserve">          9160 - MISC. INCOME</v>
      </c>
      <c r="D214" s="11">
        <f t="shared" si="23"/>
        <v>0</v>
      </c>
      <c r="E214" s="16"/>
      <c r="F214" s="11">
        <f t="shared" si="24"/>
        <v>0</v>
      </c>
      <c r="G214" s="3"/>
      <c r="H214" s="11">
        <f t="shared" si="25"/>
        <v>0</v>
      </c>
      <c r="I214" s="3"/>
      <c r="J214" s="11">
        <f t="shared" si="26"/>
        <v>0</v>
      </c>
      <c r="K214" s="3"/>
      <c r="L214" s="11">
        <f t="shared" si="27"/>
        <v>0</v>
      </c>
      <c r="M214" s="3"/>
      <c r="N214" s="11">
        <f t="shared" si="28"/>
        <v>0</v>
      </c>
      <c r="O214" s="3"/>
      <c r="P214" s="11"/>
      <c r="Q214" s="3"/>
      <c r="R214" s="11">
        <v>175000</v>
      </c>
    </row>
    <row r="215" spans="1:18" x14ac:dyDescent="0.35">
      <c r="A215" s="12"/>
      <c r="B215" s="7"/>
      <c r="C215" s="7"/>
      <c r="D215" s="6"/>
      <c r="F215" s="6"/>
      <c r="H215" s="6"/>
      <c r="J215" s="6"/>
      <c r="L215" s="6"/>
      <c r="N215" s="6"/>
      <c r="P215" s="6"/>
      <c r="R215" s="6"/>
    </row>
    <row r="216" spans="1:18" s="15" customFormat="1" x14ac:dyDescent="0.35">
      <c r="A216" s="7"/>
      <c r="B216" s="22" t="s">
        <v>279</v>
      </c>
      <c r="C216" s="22"/>
      <c r="D216" s="10">
        <f>+D100-D103+D211</f>
        <v>924824.76000000013</v>
      </c>
      <c r="E216" s="12"/>
      <c r="F216" s="10">
        <f>+F100-F103+F211</f>
        <v>982543.91000000015</v>
      </c>
      <c r="G216" s="5"/>
      <c r="H216" s="10">
        <f>+H100-H103+H211</f>
        <v>1080712.7199999997</v>
      </c>
      <c r="I216" s="5"/>
      <c r="J216" s="10">
        <f>+J100-J103+J211</f>
        <v>1110842.899999999</v>
      </c>
      <c r="K216" s="5"/>
      <c r="L216" s="10">
        <f>+L100-L103+L211</f>
        <v>1218500.5899999989</v>
      </c>
      <c r="M216" s="5"/>
      <c r="N216" s="10">
        <f>+N100-N103+N211</f>
        <v>443095.83000000054</v>
      </c>
      <c r="O216" s="5"/>
      <c r="P216" s="10">
        <f>+P100-P103+P211</f>
        <v>1344168.6666271</v>
      </c>
      <c r="Q216" s="5"/>
      <c r="R216" s="10">
        <f>+R100-R103+R211</f>
        <v>935077.89738189988</v>
      </c>
    </row>
    <row r="217" spans="1:18" s="27" customFormat="1" x14ac:dyDescent="0.35">
      <c r="A217" s="18"/>
      <c r="B217" s="31"/>
      <c r="C217" s="18"/>
      <c r="D217" s="9">
        <f>IFERROR(D216/D10, 0)</f>
        <v>0.3150709446127638</v>
      </c>
      <c r="E217" s="18"/>
      <c r="F217" s="9">
        <f>IFERROR(F216/F10, 0)</f>
        <v>0.29880286734900302</v>
      </c>
      <c r="G217" s="14"/>
      <c r="H217" s="9">
        <f>IFERROR(H216/H10, 0)</f>
        <v>0.30301756463385032</v>
      </c>
      <c r="I217" s="14"/>
      <c r="J217" s="9">
        <f>IFERROR(J216/J10, 0)</f>
        <v>0.30807741946147887</v>
      </c>
      <c r="K217" s="14"/>
      <c r="L217" s="9">
        <f>IFERROR(L216/L10, 0)</f>
        <v>0.3323204414819152</v>
      </c>
      <c r="M217" s="14"/>
      <c r="N217" s="9">
        <f>IFERROR(N216/N10, 0)</f>
        <v>0.15090580041276666</v>
      </c>
      <c r="O217" s="14"/>
      <c r="P217" s="9">
        <f>IFERROR(P216/P10, 0)</f>
        <v>0.32743352986471919</v>
      </c>
      <c r="Q217" s="14"/>
      <c r="R217" s="9">
        <f>IFERROR(R216/R10, 0)</f>
        <v>0.29047543524409858</v>
      </c>
    </row>
    <row r="218" spans="1:18" s="27" customFormat="1" x14ac:dyDescent="0.35">
      <c r="A218" s="18"/>
      <c r="B218" s="31"/>
      <c r="C218" s="18"/>
      <c r="D218" s="13"/>
      <c r="E218" s="18"/>
      <c r="F218" s="13"/>
      <c r="G218" s="14"/>
      <c r="H218" s="13"/>
      <c r="I218" s="14"/>
      <c r="J218" s="13"/>
      <c r="K218" s="14"/>
      <c r="L218" s="13"/>
      <c r="M218" s="14"/>
      <c r="N218" s="13"/>
      <c r="O218" s="14"/>
      <c r="P218" s="13"/>
      <c r="Q218" s="14"/>
      <c r="R218" s="13"/>
    </row>
    <row r="219" spans="1:18" s="15" customFormat="1" x14ac:dyDescent="0.35">
      <c r="A219" s="37"/>
      <c r="B219" s="7" t="s">
        <v>127</v>
      </c>
      <c r="C219" s="7"/>
      <c r="D219" s="6">
        <v>637860.86</v>
      </c>
      <c r="E219" s="12"/>
      <c r="F219" s="6">
        <v>468107.72</v>
      </c>
      <c r="G219" s="5"/>
      <c r="H219" s="6">
        <v>476861.82</v>
      </c>
      <c r="I219" s="5"/>
      <c r="J219" s="6">
        <v>483937.07</v>
      </c>
      <c r="K219" s="5"/>
      <c r="L219" s="6">
        <v>261347.68</v>
      </c>
      <c r="M219" s="5"/>
      <c r="N219" s="6">
        <v>444613.34</v>
      </c>
      <c r="O219" s="5"/>
      <c r="P219" s="6">
        <v>693684</v>
      </c>
      <c r="Q219" s="5"/>
      <c r="R219" s="6">
        <v>365032</v>
      </c>
    </row>
    <row r="220" spans="1:18" x14ac:dyDescent="0.35">
      <c r="A220" s="12"/>
      <c r="B220" s="7"/>
      <c r="C220" s="7"/>
      <c r="D220" s="6"/>
      <c r="F220" s="6"/>
      <c r="H220" s="6"/>
      <c r="J220" s="6"/>
      <c r="L220" s="6"/>
      <c r="N220" s="6"/>
      <c r="P220" s="6"/>
      <c r="R220" s="6"/>
    </row>
    <row r="221" spans="1:18" s="15" customFormat="1" x14ac:dyDescent="0.35">
      <c r="A221" s="7"/>
      <c r="B221" s="22" t="s">
        <v>126</v>
      </c>
      <c r="C221" s="22"/>
      <c r="D221" s="10">
        <f>+D216-D219</f>
        <v>286963.90000000014</v>
      </c>
      <c r="E221" s="12"/>
      <c r="F221" s="10">
        <f>+F216-F219</f>
        <v>514436.19000000018</v>
      </c>
      <c r="G221" s="5"/>
      <c r="H221" s="10">
        <f>+H216-H219</f>
        <v>603850.89999999967</v>
      </c>
      <c r="I221" s="5"/>
      <c r="J221" s="10">
        <f>+J216-J219</f>
        <v>626905.82999999891</v>
      </c>
      <c r="K221" s="5"/>
      <c r="L221" s="10">
        <f>+L216-L219</f>
        <v>957152.90999999898</v>
      </c>
      <c r="M221" s="5"/>
      <c r="N221" s="10">
        <f>+N216-N219</f>
        <v>-1517.5099999994854</v>
      </c>
      <c r="O221" s="5"/>
      <c r="P221" s="10">
        <f>+P216-P219</f>
        <v>650484.66662709997</v>
      </c>
      <c r="Q221" s="5"/>
      <c r="R221" s="10">
        <f>+R216-R219</f>
        <v>570045.89738189988</v>
      </c>
    </row>
    <row r="222" spans="1:18" s="27" customFormat="1" x14ac:dyDescent="0.35">
      <c r="A222" s="18"/>
      <c r="B222" s="18"/>
      <c r="C222" s="18"/>
      <c r="D222" s="9">
        <f>IFERROR(D221/D10, 0)</f>
        <v>9.7763371995752718E-2</v>
      </c>
      <c r="E222" s="18"/>
      <c r="F222" s="9">
        <f>IFERROR(F221/F10, 0)</f>
        <v>0.15644594310303805</v>
      </c>
      <c r="G222" s="14"/>
      <c r="H222" s="9">
        <f>IFERROR(H221/H10, 0)</f>
        <v>0.16931181222698907</v>
      </c>
      <c r="I222" s="14"/>
      <c r="J222" s="9">
        <f>IFERROR(J221/J10, 0)</f>
        <v>0.17386394633458649</v>
      </c>
      <c r="K222" s="14"/>
      <c r="L222" s="9">
        <f>IFERROR(L221/L10, 0)</f>
        <v>0.26104335133469225</v>
      </c>
      <c r="M222" s="14"/>
      <c r="N222" s="9">
        <f>IFERROR(N221/N10, 0)</f>
        <v>-5.1682061910693139E-4</v>
      </c>
      <c r="O222" s="14"/>
      <c r="P222" s="9">
        <f>IFERROR(P221/P10, 0)</f>
        <v>0.15845518185678284</v>
      </c>
      <c r="Q222" s="14"/>
      <c r="R222" s="9">
        <f>IFERROR(R221/R10, 0)</f>
        <v>0.1770807871886774</v>
      </c>
    </row>
    <row r="223" spans="1:18" s="27" customFormat="1" x14ac:dyDescent="0.35">
      <c r="A223" s="18"/>
      <c r="B223" s="18"/>
      <c r="C223" s="18"/>
      <c r="D223" s="13"/>
      <c r="E223" s="18"/>
      <c r="F223" s="13"/>
      <c r="G223" s="14"/>
      <c r="H223" s="13"/>
      <c r="I223" s="14"/>
      <c r="J223" s="13"/>
      <c r="K223" s="14"/>
      <c r="L223" s="13"/>
      <c r="M223" s="14"/>
      <c r="N223" s="13"/>
      <c r="O223" s="14"/>
      <c r="P223" s="13"/>
      <c r="Q223" s="14"/>
      <c r="R223" s="13"/>
    </row>
    <row r="224" spans="1:18" x14ac:dyDescent="0.35">
      <c r="A224" s="12"/>
      <c r="B224" s="12"/>
      <c r="C224" s="12"/>
      <c r="D224" s="6"/>
      <c r="F224" s="6"/>
      <c r="H224" s="6"/>
      <c r="J224" s="6"/>
      <c r="L224" s="6"/>
      <c r="N224" s="6"/>
      <c r="P224" s="6"/>
      <c r="R224" s="6"/>
    </row>
    <row r="225" spans="1:18" s="15" customFormat="1" x14ac:dyDescent="0.35">
      <c r="A225" s="7"/>
      <c r="B225" s="22" t="s">
        <v>296</v>
      </c>
      <c r="C225" s="22"/>
      <c r="D225" s="10">
        <f>SUM(D221:D224)</f>
        <v>286963.99776337214</v>
      </c>
      <c r="E225" s="12"/>
      <c r="F225" s="10">
        <f>SUM(F221:F224)</f>
        <v>514436.34644594329</v>
      </c>
      <c r="G225" s="5"/>
      <c r="H225" s="10">
        <f>SUM(H221:H224)</f>
        <v>603851.06931181194</v>
      </c>
      <c r="I225" s="5"/>
      <c r="J225" s="10">
        <f>SUM(J221:J224)</f>
        <v>626906.00386394525</v>
      </c>
      <c r="K225" s="5"/>
      <c r="L225" s="10">
        <f>SUM(L221:L224)</f>
        <v>957153.17104335036</v>
      </c>
      <c r="M225" s="5"/>
      <c r="N225" s="10">
        <f>SUM(N221:N224)</f>
        <v>-1517.5105168201046</v>
      </c>
      <c r="O225" s="5"/>
      <c r="P225" s="10">
        <f>SUM(P221:P224)</f>
        <v>650484.82508228184</v>
      </c>
      <c r="Q225" s="5"/>
      <c r="R225" s="10">
        <f>SUM(R221:R224)</f>
        <v>570046.07446268701</v>
      </c>
    </row>
    <row r="226" spans="1:18" s="27" customFormat="1" x14ac:dyDescent="0.35">
      <c r="A226" s="18"/>
      <c r="B226" s="41"/>
      <c r="C226" s="18"/>
      <c r="D226" s="9">
        <f>IFERROR(D225/D10, 0)</f>
        <v>9.7763405301952225E-2</v>
      </c>
      <c r="E226" s="18"/>
      <c r="F226" s="9">
        <f>IFERROR(F225/F10, 0)</f>
        <v>0.15644599068004292</v>
      </c>
      <c r="G226" s="14"/>
      <c r="H226" s="9">
        <f>IFERROR(H225/H10, 0)</f>
        <v>0.16931185969978371</v>
      </c>
      <c r="I226" s="14"/>
      <c r="J226" s="9">
        <f>IFERROR(J225/J10, 0)</f>
        <v>0.17386399455342635</v>
      </c>
      <c r="K226" s="14"/>
      <c r="L226" s="9">
        <f>IFERROR(L225/L10, 0)</f>
        <v>0.26104342252878315</v>
      </c>
      <c r="M226" s="14"/>
      <c r="N226" s="9">
        <f>IFERROR(N225/N10, 0)</f>
        <v>-5.1682079512129192E-4</v>
      </c>
      <c r="O226" s="14"/>
      <c r="P226" s="9">
        <f>IFERROR(P225/P10, 0)</f>
        <v>0.15845522045576288</v>
      </c>
      <c r="Q226" s="14"/>
      <c r="R226" s="9">
        <f>IFERROR(R225/R10, 0)</f>
        <v>0.1770808421975904</v>
      </c>
    </row>
    <row r="227" spans="1:18" x14ac:dyDescent="0.35">
      <c r="A227" s="12"/>
      <c r="B227" s="40">
        <v>44319.883372685188</v>
      </c>
      <c r="D227" s="24"/>
      <c r="F227" s="24"/>
      <c r="H227" s="24"/>
      <c r="J227" s="24"/>
      <c r="L227" s="24"/>
      <c r="N227" s="24"/>
      <c r="P227" s="24"/>
      <c r="R227" s="24"/>
    </row>
    <row r="228" spans="1:18" x14ac:dyDescent="0.35">
      <c r="A228" s="12"/>
      <c r="B228" s="39" t="s">
        <v>23</v>
      </c>
      <c r="D228" s="24"/>
      <c r="F228" s="24"/>
      <c r="H228" s="24"/>
      <c r="J228" s="24"/>
      <c r="L228" s="24"/>
      <c r="N228" s="24"/>
      <c r="P228" s="24"/>
      <c r="R228" s="24"/>
    </row>
    <row r="229" spans="1:18" x14ac:dyDescent="0.35">
      <c r="A229" s="12"/>
      <c r="D229" s="24"/>
      <c r="F229" s="24"/>
      <c r="H229" s="24"/>
      <c r="J229" s="24"/>
      <c r="L229" s="24"/>
      <c r="N229" s="24"/>
      <c r="P229" s="24"/>
      <c r="R229" s="24"/>
    </row>
    <row r="230" spans="1:18" x14ac:dyDescent="0.35">
      <c r="D230" s="24"/>
      <c r="F230" s="24"/>
      <c r="H230" s="24"/>
      <c r="J230" s="24"/>
      <c r="L230" s="24"/>
      <c r="N230" s="24"/>
      <c r="P230" s="24"/>
      <c r="R230" s="24"/>
    </row>
  </sheetData>
  <pageMargins left="0.5" right="0.5" top="0.5" bottom="0.5" header="0.3" footer="0.3"/>
  <pageSetup scale="59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14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125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1100146.71</v>
      </c>
      <c r="F10" s="8">
        <f>SUM(OSRRefF11x_0)</f>
        <v>1148732.7499999998</v>
      </c>
      <c r="G10" s="8"/>
      <c r="H10" s="8">
        <f>SUM(OSRRefH11x_0)</f>
        <v>1128784.47</v>
      </c>
      <c r="I10" s="8"/>
      <c r="J10" s="8">
        <f>SUM(OSRRefJ11x_0)</f>
        <v>1137578.21</v>
      </c>
      <c r="K10" s="8"/>
      <c r="L10" s="8">
        <f>SUM(OSRRefL11x_0)</f>
        <v>821369.80999999994</v>
      </c>
      <c r="M10" s="8"/>
      <c r="N10" s="8">
        <f>SUM(OSRRefN11x_0)</f>
        <v>518287.43999999994</v>
      </c>
      <c r="O10" s="8"/>
      <c r="P10" s="8">
        <f>SUM(OSRRefP11x_0)</f>
        <v>400713</v>
      </c>
      <c r="Q10" s="8"/>
      <c r="R10" s="8">
        <f>SUM(OSRRefR11x_0)</f>
        <v>405930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265213</v>
      </c>
      <c r="Q11" s="3"/>
      <c r="R11" s="11">
        <v>199430</v>
      </c>
    </row>
    <row r="12" spans="1:18" s="16" customFormat="1" hidden="1" outlineLevel="1" x14ac:dyDescent="0.35">
      <c r="B12" s="35" t="str">
        <f>CONCATENATE("          ", "4041", " - ", "TAXABLE SALES-LOGO GIFTS")</f>
        <v xml:space="preserve">          4041 - TAXABLE SALES-LOGO GIFTS</v>
      </c>
      <c r="D12" s="11">
        <f>-291094.42*-1</f>
        <v>291094.42</v>
      </c>
      <c r="F12" s="11">
        <f>-261864.63*-1</f>
        <v>261864.63</v>
      </c>
      <c r="G12" s="3"/>
      <c r="H12" s="11">
        <f>-209398.36*-1</f>
        <v>209398.36</v>
      </c>
      <c r="I12" s="3"/>
      <c r="J12" s="11">
        <f>--219016.99</f>
        <v>219016.99</v>
      </c>
      <c r="K12" s="3"/>
      <c r="L12" s="11">
        <f>--196490.35</f>
        <v>196490.35</v>
      </c>
      <c r="M12" s="3"/>
      <c r="N12" s="11">
        <f>--175578.6</f>
        <v>175578.6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"4042", " - ", "TAXABLE SALES-EVERYDAY GIFTS")</f>
        <v xml:space="preserve">          4042 - TAXABLE SALES-EVERYDAY GIFTS</v>
      </c>
      <c r="D13" s="11">
        <f>-128964.97*-1</f>
        <v>128964.97</v>
      </c>
      <c r="F13" s="11">
        <f>-110393.03*-1</f>
        <v>110393.03</v>
      </c>
      <c r="G13" s="3"/>
      <c r="H13" s="11">
        <f>-117014.72*-1</f>
        <v>117014.72</v>
      </c>
      <c r="I13" s="3"/>
      <c r="J13" s="11">
        <f>--111667.76</f>
        <v>111667.76</v>
      </c>
      <c r="K13" s="3"/>
      <c r="L13" s="11">
        <f>--97735.89</f>
        <v>97735.89</v>
      </c>
      <c r="M13" s="3"/>
      <c r="N13" s="11">
        <f>--76606.57</f>
        <v>76606.570000000007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"4043", " - ", "TAXABLE SALES-CARDS")</f>
        <v xml:space="preserve">          4043 - TAXABLE SALES-CARDS</v>
      </c>
      <c r="D14" s="11">
        <f>-2915.82*-1</f>
        <v>2915.82</v>
      </c>
      <c r="F14" s="11">
        <f>-3365.93*-1</f>
        <v>3365.93</v>
      </c>
      <c r="G14" s="3"/>
      <c r="H14" s="11">
        <f>-2781.17*-1</f>
        <v>2781.17</v>
      </c>
      <c r="I14" s="3"/>
      <c r="J14" s="11">
        <f>--4550.74</f>
        <v>4550.74</v>
      </c>
      <c r="K14" s="3"/>
      <c r="L14" s="11">
        <f>--1124.87</f>
        <v>1124.8699999999999</v>
      </c>
      <c r="M14" s="3"/>
      <c r="N14" s="11">
        <f>--921.72</f>
        <v>921.72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"4044", " - ", "TAXABLE SALES-ACCESSORIES")</f>
        <v xml:space="preserve">          4044 - TAXABLE SALES-ACCESSORIES</v>
      </c>
      <c r="D15" s="11">
        <f>0*-1</f>
        <v>0</v>
      </c>
      <c r="F15" s="11">
        <f>0*-1</f>
        <v>0</v>
      </c>
      <c r="G15" s="3"/>
      <c r="H15" s="11">
        <f t="shared" ref="H15:H16" si="0">0*-1</f>
        <v>0</v>
      </c>
      <c r="I15" s="3"/>
      <c r="J15" s="11">
        <f t="shared" ref="J15:J16" si="1">0</f>
        <v>0</v>
      </c>
      <c r="K15" s="3"/>
      <c r="L15" s="11">
        <f t="shared" ref="L15:L16" si="2">0</f>
        <v>0</v>
      </c>
      <c r="M15" s="3"/>
      <c r="N15" s="11">
        <f>--235.18</f>
        <v>235.18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"4045", " - ", "TAXABLE SALES-SPECIAL ORDERS")</f>
        <v xml:space="preserve">          4045 - TAXABLE SALES-SPECIAL ORDERS</v>
      </c>
      <c r="D16" s="11">
        <f>-648.8*-1</f>
        <v>648.79999999999995</v>
      </c>
      <c r="F16" s="11">
        <f>-3592.65*-1</f>
        <v>3592.65</v>
      </c>
      <c r="G16" s="3"/>
      <c r="H16" s="11">
        <f t="shared" si="0"/>
        <v>0</v>
      </c>
      <c r="I16" s="3"/>
      <c r="J16" s="11">
        <f t="shared" si="1"/>
        <v>0</v>
      </c>
      <c r="K16" s="3"/>
      <c r="L16" s="11">
        <f t="shared" si="2"/>
        <v>0</v>
      </c>
      <c r="M16" s="3"/>
      <c r="N16" s="11">
        <f>0</f>
        <v>0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"4047", " - ", "TAXABLE SALES-MISC")</f>
        <v xml:space="preserve">          4047 - TAXABLE SALES-MISC</v>
      </c>
      <c r="D17" s="11">
        <f>-7763.72*-1</f>
        <v>7763.72</v>
      </c>
      <c r="F17" s="11">
        <f>-3475.74*-1</f>
        <v>3475.74</v>
      </c>
      <c r="G17" s="3"/>
      <c r="H17" s="11">
        <f>-5619.91*-1</f>
        <v>5619.91</v>
      </c>
      <c r="I17" s="3"/>
      <c r="J17" s="11">
        <f>--5136.78</f>
        <v>5136.78</v>
      </c>
      <c r="K17" s="3"/>
      <c r="L17" s="11">
        <f>--5818.6</f>
        <v>5818.6</v>
      </c>
      <c r="M17" s="3"/>
      <c r="N17" s="11">
        <f>--2676.14</f>
        <v>2676.14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"4091", " - ", "TAXABLE SALES-GRAD ANNOUNCEMEN")</f>
        <v xml:space="preserve">          4091 - TAXABLE SALES-GRAD ANNOUNCEMEN</v>
      </c>
      <c r="D18" s="11">
        <f>-1250.64*-1</f>
        <v>1250.6400000000001</v>
      </c>
      <c r="F18" s="11">
        <f>-2134.69*-1</f>
        <v>2134.69</v>
      </c>
      <c r="G18" s="3"/>
      <c r="H18" s="11">
        <f>-927.2*-1</f>
        <v>927.2</v>
      </c>
      <c r="I18" s="3"/>
      <c r="J18" s="11">
        <f>--1013.94</f>
        <v>1013.94</v>
      </c>
      <c r="K18" s="3"/>
      <c r="L18" s="11">
        <f>0</f>
        <v>0</v>
      </c>
      <c r="M18" s="3"/>
      <c r="N18" s="11">
        <f>0</f>
        <v>0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"4092", " - ", "TAXABLE SALES-GRAD MERCH")</f>
        <v xml:space="preserve">          4092 - TAXABLE SALES-GRAD MERCH</v>
      </c>
      <c r="D19" s="11">
        <f>-344609.69*-1</f>
        <v>344609.69</v>
      </c>
      <c r="F19" s="11">
        <f>-400863.65*-1</f>
        <v>400863.65</v>
      </c>
      <c r="G19" s="3"/>
      <c r="H19" s="11">
        <f>-434425.85*-1</f>
        <v>434425.85</v>
      </c>
      <c r="I19" s="3"/>
      <c r="J19" s="11">
        <f>--520269.45</f>
        <v>520269.45</v>
      </c>
      <c r="K19" s="3"/>
      <c r="L19" s="11">
        <f>--222939.36</f>
        <v>222939.36</v>
      </c>
      <c r="M19" s="3"/>
      <c r="N19" s="11">
        <f>--41725.89</f>
        <v>41725.89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"4093", " - ", "TAXABLE SALES-CATALOGS")</f>
        <v xml:space="preserve">          4093 - TAXABLE SALES-CATALOGS</v>
      </c>
      <c r="D20" s="11">
        <f>0*-1</f>
        <v>0</v>
      </c>
      <c r="F20" s="11">
        <f>0*-1</f>
        <v>0</v>
      </c>
      <c r="G20" s="3"/>
      <c r="H20" s="11">
        <f>0*-1</f>
        <v>0</v>
      </c>
      <c r="I20" s="3"/>
      <c r="J20" s="11">
        <f>0</f>
        <v>0</v>
      </c>
      <c r="K20" s="3"/>
      <c r="L20" s="11">
        <f>0</f>
        <v>0</v>
      </c>
      <c r="M20" s="3"/>
      <c r="N20" s="11">
        <f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"4095", " - ", "TAXABLE SALES-CUSTOMER SERVICE")</f>
        <v xml:space="preserve">          4095 - TAXABLE SALES-CUSTOMER SERVICE</v>
      </c>
      <c r="D21" s="11">
        <f>-3008.41*-1</f>
        <v>3008.41</v>
      </c>
      <c r="F21" s="11">
        <f>-2573.67*-1</f>
        <v>2573.67</v>
      </c>
      <c r="G21" s="3"/>
      <c r="H21" s="11">
        <f>-2223.96*-1</f>
        <v>2223.96</v>
      </c>
      <c r="I21" s="3"/>
      <c r="J21" s="11">
        <f>--1640.98</f>
        <v>1640.98</v>
      </c>
      <c r="K21" s="3"/>
      <c r="L21" s="11">
        <f>--2182.65</f>
        <v>2182.65</v>
      </c>
      <c r="M21" s="3"/>
      <c r="N21" s="11">
        <f>--279.56</f>
        <v>279.56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"4100", " - ", "NON-TAXABLE SALES")</f>
        <v xml:space="preserve">          4100 - NON-TAXABLE SALES</v>
      </c>
      <c r="D22" s="11">
        <f>0*-1</f>
        <v>0</v>
      </c>
      <c r="F22" s="11">
        <f>0*-1</f>
        <v>0</v>
      </c>
      <c r="G22" s="3"/>
      <c r="H22" s="11">
        <f>0*-1</f>
        <v>0</v>
      </c>
      <c r="I22" s="3"/>
      <c r="J22" s="11">
        <f>0</f>
        <v>0</v>
      </c>
      <c r="K22" s="3"/>
      <c r="L22" s="11">
        <f>0</f>
        <v>0</v>
      </c>
      <c r="M22" s="3"/>
      <c r="N22" s="11">
        <f>0</f>
        <v>0</v>
      </c>
      <c r="O22" s="3"/>
      <c r="P22" s="11">
        <v>135500</v>
      </c>
      <c r="Q22" s="3"/>
      <c r="R22" s="11">
        <v>206500</v>
      </c>
    </row>
    <row r="23" spans="2:18" s="16" customFormat="1" hidden="1" outlineLevel="1" x14ac:dyDescent="0.35">
      <c r="B23" s="35" t="str">
        <f>CONCATENATE("          ", "4141", " - ", "NON-TAXABLE SALES-LOGO GIFTS")</f>
        <v xml:space="preserve">          4141 - NON-TAXABLE SALES-LOGO GIFTS</v>
      </c>
      <c r="D23" s="11">
        <f>-1650.35*-1</f>
        <v>1650.35</v>
      </c>
      <c r="F23" s="11">
        <f>-2484.7*-1</f>
        <v>2484.6999999999998</v>
      </c>
      <c r="G23" s="3"/>
      <c r="H23" s="11">
        <f>-2640.3*-1</f>
        <v>2640.3</v>
      </c>
      <c r="I23" s="3"/>
      <c r="J23" s="11">
        <f>--2316.75</f>
        <v>2316.75</v>
      </c>
      <c r="K23" s="3"/>
      <c r="L23" s="11">
        <f>--1966.2</f>
        <v>1966.2</v>
      </c>
      <c r="M23" s="3"/>
      <c r="N23" s="11">
        <f>--1028.1</f>
        <v>1028.0999999999999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"4142", " - ", "NON-TAXABLE SALES-EVERYDAY GIF")</f>
        <v xml:space="preserve">          4142 - NON-TAXABLE SALES-EVERYDAY GIF</v>
      </c>
      <c r="D24" s="11">
        <f>-8384.05*-1</f>
        <v>8384.0499999999993</v>
      </c>
      <c r="F24" s="11">
        <f>-9610.35*-1</f>
        <v>9610.35</v>
      </c>
      <c r="G24" s="3"/>
      <c r="H24" s="11">
        <f>-23363.65*-1</f>
        <v>23363.65</v>
      </c>
      <c r="I24" s="3"/>
      <c r="J24" s="11">
        <f>--14002.35</f>
        <v>14002.35</v>
      </c>
      <c r="K24" s="3"/>
      <c r="L24" s="11">
        <f>--13802</f>
        <v>13802</v>
      </c>
      <c r="M24" s="3"/>
      <c r="N24" s="11">
        <f>--11973.45</f>
        <v>11973.45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"4145", " - ", "NON-TAXABLE SALES-SPECIAL ORDE")</f>
        <v xml:space="preserve">          4145 - NON-TAXABLE SALES-SPECIAL ORDE</v>
      </c>
      <c r="D25" s="11">
        <f>-1817.48*-1</f>
        <v>1817.48</v>
      </c>
      <c r="F25" s="11">
        <f>0*-1</f>
        <v>0</v>
      </c>
      <c r="G25" s="3"/>
      <c r="H25" s="11">
        <f>0*-1</f>
        <v>0</v>
      </c>
      <c r="I25" s="3"/>
      <c r="J25" s="11">
        <f>0</f>
        <v>0</v>
      </c>
      <c r="K25" s="3"/>
      <c r="L25" s="11">
        <f>0</f>
        <v>0</v>
      </c>
      <c r="M25" s="3"/>
      <c r="N25" s="11">
        <f>0</f>
        <v>0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"4146", " - ", "NON-TAXABLE SALES-COIN OP MACH")</f>
        <v xml:space="preserve">          4146 - NON-TAXABLE SALES-COIN OP MACH</v>
      </c>
      <c r="D26" s="11">
        <f>-319810.41*-1</f>
        <v>319810.40999999997</v>
      </c>
      <c r="F26" s="11">
        <f>-367498.96*-1</f>
        <v>367498.96</v>
      </c>
      <c r="G26" s="3"/>
      <c r="H26" s="11">
        <f>-347130.16*-1</f>
        <v>347130.16</v>
      </c>
      <c r="I26" s="3"/>
      <c r="J26" s="11">
        <f>--299409.05</f>
        <v>299409.05</v>
      </c>
      <c r="K26" s="3"/>
      <c r="L26" s="11">
        <f>--288251.29</f>
        <v>288251.28999999998</v>
      </c>
      <c r="M26" s="3"/>
      <c r="N26" s="11">
        <f>--205908.65</f>
        <v>205908.65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"4147", " - ", "NON-TAXABLE SALES-MISC")</f>
        <v xml:space="preserve">          4147 - NON-TAXABLE SALES-MISC</v>
      </c>
      <c r="D27" s="11">
        <f>-19396.27*-1</f>
        <v>19396.27</v>
      </c>
      <c r="F27" s="11">
        <f>-2120.65*-1</f>
        <v>2120.65</v>
      </c>
      <c r="G27" s="3"/>
      <c r="H27" s="11">
        <f>-1465.7*-1</f>
        <v>1465.7</v>
      </c>
      <c r="I27" s="3"/>
      <c r="J27" s="11">
        <f>--885</f>
        <v>885</v>
      </c>
      <c r="K27" s="3"/>
      <c r="L27" s="11">
        <f>--959.73</f>
        <v>959.73</v>
      </c>
      <c r="M27" s="3"/>
      <c r="N27" s="11">
        <f>--3446.37</f>
        <v>3446.37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"4192", " - ", "NON-TAXABLE SALES-GRAD MERCH")</f>
        <v xml:space="preserve">          4192 - NON-TAXABLE SALES-GRAD MERCH</v>
      </c>
      <c r="D28" s="11">
        <f>-1271.01*-1</f>
        <v>1271.01</v>
      </c>
      <c r="F28" s="11">
        <f>-413.78*-1</f>
        <v>413.78</v>
      </c>
      <c r="G28" s="3"/>
      <c r="H28" s="11">
        <f>0*-1</f>
        <v>0</v>
      </c>
      <c r="I28" s="3"/>
      <c r="J28" s="11">
        <f t="shared" ref="J28:J29" si="3">0</f>
        <v>0</v>
      </c>
      <c r="K28" s="3"/>
      <c r="L28" s="11">
        <f>--21.25</f>
        <v>21.25</v>
      </c>
      <c r="M28" s="3"/>
      <c r="N28" s="11">
        <f>--119.4</f>
        <v>119.4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"4195", " - ", "NON-TAXABLE SALES-CUSTOMER SER")</f>
        <v xml:space="preserve">          4195 - NON-TAXABLE SALES-CUSTOMER SER</v>
      </c>
      <c r="D29" s="11">
        <f>-10.94*-1</f>
        <v>10.94</v>
      </c>
      <c r="F29" s="11">
        <f>0*-1</f>
        <v>0</v>
      </c>
      <c r="G29" s="3"/>
      <c r="H29" s="11">
        <f>-1.98*-1</f>
        <v>1.98</v>
      </c>
      <c r="I29" s="3"/>
      <c r="J29" s="11">
        <f t="shared" si="3"/>
        <v>0</v>
      </c>
      <c r="K29" s="3"/>
      <c r="L29" s="11">
        <f>0</f>
        <v>0</v>
      </c>
      <c r="M29" s="3"/>
      <c r="N29" s="11">
        <f>0</f>
        <v>0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"4241", " - ", "SALES RETURN TAXABLE-LOGO GIFT")</f>
        <v xml:space="preserve">          4241 - SALES RETURN TAXABLE-LOGO GIFT</v>
      </c>
      <c r="D30" s="11">
        <f>6425.75*-1</f>
        <v>-6425.75</v>
      </c>
      <c r="F30" s="11">
        <f>5809.95*-1</f>
        <v>-5809.95</v>
      </c>
      <c r="G30" s="3"/>
      <c r="H30" s="11">
        <f>4865.28*-1</f>
        <v>-4865.28</v>
      </c>
      <c r="I30" s="3"/>
      <c r="J30" s="11">
        <f>-1972.15</f>
        <v>-1972.15</v>
      </c>
      <c r="K30" s="3"/>
      <c r="L30" s="11">
        <f>-1119.05</f>
        <v>-1119.05</v>
      </c>
      <c r="M30" s="3"/>
      <c r="N30" s="11">
        <f>-1059.4</f>
        <v>-1059.4000000000001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"4242", " - ", "SALES RETURN TAXABLE-EVERYDAY")</f>
        <v xml:space="preserve">          4242 - SALES RETURN TAXABLE-EVERYDAY</v>
      </c>
      <c r="D31" s="11">
        <f>3061.84*-1</f>
        <v>-3061.84</v>
      </c>
      <c r="F31" s="11">
        <f>143.45*-1</f>
        <v>-143.44999999999999</v>
      </c>
      <c r="G31" s="3"/>
      <c r="H31" s="11">
        <f>281.69*-1</f>
        <v>-281.69</v>
      </c>
      <c r="I31" s="3"/>
      <c r="J31" s="11">
        <f>-318.47</f>
        <v>-318.47000000000003</v>
      </c>
      <c r="K31" s="3"/>
      <c r="L31" s="11">
        <f t="shared" ref="L31:L34" si="4">0</f>
        <v>0</v>
      </c>
      <c r="M31" s="3"/>
      <c r="N31" s="11">
        <f>-227.7</f>
        <v>-227.7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"4243", " - ", "SALES RETURN TAXABLE-CARDS")</f>
        <v xml:space="preserve">          4243 - SALES RETURN TAXABLE-CARDS</v>
      </c>
      <c r="D32" s="11">
        <f>30.8*-1</f>
        <v>-30.8</v>
      </c>
      <c r="F32" s="11">
        <f>41.3*-1</f>
        <v>-41.3</v>
      </c>
      <c r="G32" s="3"/>
      <c r="H32" s="11">
        <f t="shared" ref="H32:H33" si="5">0*-1</f>
        <v>0</v>
      </c>
      <c r="I32" s="3"/>
      <c r="J32" s="11">
        <f>-9.34</f>
        <v>-9.34</v>
      </c>
      <c r="K32" s="3"/>
      <c r="L32" s="11">
        <f t="shared" si="4"/>
        <v>0</v>
      </c>
      <c r="M32" s="3"/>
      <c r="N32" s="11">
        <f t="shared" ref="N32:N34" si="6">0</f>
        <v>0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"4247", " - ", "SALES RETURN TAXABLE-MISC")</f>
        <v xml:space="preserve">          4247 - SALES RETURN TAXABLE-MISC</v>
      </c>
      <c r="D33" s="11">
        <f>41.94*-1</f>
        <v>-41.94</v>
      </c>
      <c r="F33" s="11">
        <f>25.97*-1</f>
        <v>-25.97</v>
      </c>
      <c r="G33" s="3"/>
      <c r="H33" s="11">
        <f t="shared" si="5"/>
        <v>0</v>
      </c>
      <c r="I33" s="3"/>
      <c r="J33" s="11">
        <f>-50.01</f>
        <v>-50.01</v>
      </c>
      <c r="K33" s="3"/>
      <c r="L33" s="11">
        <f t="shared" si="4"/>
        <v>0</v>
      </c>
      <c r="M33" s="3"/>
      <c r="N33" s="11">
        <f t="shared" si="6"/>
        <v>0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"4291", " - ", "SALES RETURN TAXABLE-GRAD ANNO")</f>
        <v xml:space="preserve">          4291 - SALES RETURN TAXABLE-GRAD ANNO</v>
      </c>
      <c r="D34" s="11">
        <f>976.49*-1</f>
        <v>-976.49</v>
      </c>
      <c r="F34" s="11">
        <f>678.04*-1</f>
        <v>-678.04</v>
      </c>
      <c r="G34" s="3"/>
      <c r="H34" s="11">
        <f>459.6*-1</f>
        <v>-459.6</v>
      </c>
      <c r="I34" s="3"/>
      <c r="J34" s="11">
        <f>0</f>
        <v>0</v>
      </c>
      <c r="K34" s="3"/>
      <c r="L34" s="11">
        <f t="shared" si="4"/>
        <v>0</v>
      </c>
      <c r="M34" s="3"/>
      <c r="N34" s="11">
        <f t="shared" si="6"/>
        <v>0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"4292", " - ", "SALES RETURN TAXABLE-GRAD MERC")</f>
        <v xml:space="preserve">          4292 - SALES RETURN TAXABLE-GRAD MERC</v>
      </c>
      <c r="D35" s="11">
        <f>21697.5*-1</f>
        <v>-21697.5</v>
      </c>
      <c r="F35" s="11">
        <f>14483.28*-1</f>
        <v>-14483.28</v>
      </c>
      <c r="G35" s="3"/>
      <c r="H35" s="11">
        <f>12378.21*-1</f>
        <v>-12378.21</v>
      </c>
      <c r="I35" s="3"/>
      <c r="J35" s="11">
        <f>-39897.48</f>
        <v>-39897.480000000003</v>
      </c>
      <c r="K35" s="3"/>
      <c r="L35" s="11">
        <f>-8552.26</f>
        <v>-8552.26</v>
      </c>
      <c r="M35" s="3"/>
      <c r="N35" s="11">
        <f>-793.52</f>
        <v>-793.52</v>
      </c>
      <c r="O35" s="3"/>
      <c r="P35" s="11"/>
      <c r="Q35" s="3"/>
      <c r="R35" s="11"/>
    </row>
    <row r="36" spans="1:18" s="16" customFormat="1" hidden="1" outlineLevel="1" x14ac:dyDescent="0.35">
      <c r="B36" s="35" t="str">
        <f>CONCATENATE("          ", "4295", " - ", "SALES RETURN TAXABLE-CUSTOMER")</f>
        <v xml:space="preserve">          4295 - SALES RETURN TAXABLE-CUSTOMER</v>
      </c>
      <c r="D36" s="11">
        <f>203.2*-1</f>
        <v>-203.2</v>
      </c>
      <c r="F36" s="11">
        <f>324.09*-1</f>
        <v>-324.08999999999997</v>
      </c>
      <c r="G36" s="3"/>
      <c r="H36" s="11">
        <f>8.91*-1</f>
        <v>-8.91</v>
      </c>
      <c r="I36" s="3"/>
      <c r="J36" s="11">
        <f>-2.03</f>
        <v>-2.0299999999999998</v>
      </c>
      <c r="K36" s="3"/>
      <c r="L36" s="11">
        <f>-126.72</f>
        <v>-126.72</v>
      </c>
      <c r="M36" s="3"/>
      <c r="N36" s="11">
        <f t="shared" ref="N36:N37" si="7">0</f>
        <v>0</v>
      </c>
      <c r="O36" s="3"/>
      <c r="P36" s="11"/>
      <c r="Q36" s="3"/>
      <c r="R36" s="11"/>
    </row>
    <row r="37" spans="1:18" s="16" customFormat="1" hidden="1" outlineLevel="1" x14ac:dyDescent="0.35">
      <c r="B37" s="35" t="str">
        <f>CONCATENATE("          ", "4341", " - ", "SALES RETURN NON TAXABLE-LOGO")</f>
        <v xml:space="preserve">          4341 - SALES RETURN NON TAXABLE-LOGO</v>
      </c>
      <c r="D37" s="11">
        <f>0*-1</f>
        <v>0</v>
      </c>
      <c r="F37" s="11">
        <f>144.1*-1</f>
        <v>-144.1</v>
      </c>
      <c r="G37" s="3"/>
      <c r="H37" s="11">
        <f>176.85*-1</f>
        <v>-176.85</v>
      </c>
      <c r="I37" s="3"/>
      <c r="J37" s="11">
        <f>-72.1</f>
        <v>-72.099999999999994</v>
      </c>
      <c r="K37" s="3"/>
      <c r="L37" s="11">
        <f>-124.35</f>
        <v>-124.35</v>
      </c>
      <c r="M37" s="3"/>
      <c r="N37" s="11">
        <f t="shared" si="7"/>
        <v>0</v>
      </c>
      <c r="O37" s="3"/>
      <c r="P37" s="11"/>
      <c r="Q37" s="3"/>
      <c r="R37" s="11"/>
    </row>
    <row r="38" spans="1:18" s="16" customFormat="1" hidden="1" outlineLevel="1" x14ac:dyDescent="0.35">
      <c r="B38" s="35" t="str">
        <f>CONCATENATE("          ", "4342", " - ", "SALES RETURN NON TAXABLE-EVERY")</f>
        <v xml:space="preserve">          4342 - SALES RETURN NON TAXABLE-EVERY</v>
      </c>
      <c r="D38" s="11">
        <f>12.75*-1</f>
        <v>-12.75</v>
      </c>
      <c r="F38" s="11">
        <f>2*-1</f>
        <v>-2</v>
      </c>
      <c r="G38" s="3"/>
      <c r="H38" s="11">
        <f>1*-1</f>
        <v>-1</v>
      </c>
      <c r="I38" s="3"/>
      <c r="J38" s="11">
        <f>-10</f>
        <v>-10</v>
      </c>
      <c r="K38" s="3"/>
      <c r="L38" s="11">
        <f t="shared" ref="L38:L41" si="8">0</f>
        <v>0</v>
      </c>
      <c r="M38" s="3"/>
      <c r="N38" s="11">
        <f>-39.42</f>
        <v>-39.42</v>
      </c>
      <c r="O38" s="3"/>
      <c r="P38" s="11"/>
      <c r="Q38" s="3"/>
      <c r="R38" s="11"/>
    </row>
    <row r="39" spans="1:18" s="16" customFormat="1" hidden="1" outlineLevel="1" x14ac:dyDescent="0.35">
      <c r="B39" s="35" t="str">
        <f>CONCATENATE("          ", "4346", " - ", "SALES RETURN NON TAXABLE-COIN-")</f>
        <v xml:space="preserve">          4346 - SALES RETURN NON TAXABLE-COIN-</v>
      </c>
      <c r="D39" s="11">
        <f t="shared" ref="D39:D41" si="9">0*-1</f>
        <v>0</v>
      </c>
      <c r="F39" s="11">
        <f>0*-1</f>
        <v>0</v>
      </c>
      <c r="G39" s="3"/>
      <c r="H39" s="11">
        <f t="shared" ref="H39:H40" si="10">0*-1</f>
        <v>0</v>
      </c>
      <c r="I39" s="3"/>
      <c r="J39" s="11">
        <f t="shared" ref="J39:J41" si="11">0</f>
        <v>0</v>
      </c>
      <c r="K39" s="3"/>
      <c r="L39" s="11">
        <f t="shared" si="8"/>
        <v>0</v>
      </c>
      <c r="M39" s="3"/>
      <c r="N39" s="11">
        <f>-8.15</f>
        <v>-8.15</v>
      </c>
      <c r="O39" s="3"/>
      <c r="P39" s="11"/>
      <c r="Q39" s="3"/>
      <c r="R39" s="11"/>
    </row>
    <row r="40" spans="1:18" s="16" customFormat="1" hidden="1" outlineLevel="1" x14ac:dyDescent="0.35">
      <c r="B40" s="35" t="str">
        <f>CONCATENATE("          ", "4347", " - ", "SALES RETURN NON TAXABLE-MISC")</f>
        <v xml:space="preserve">          4347 - SALES RETURN NON TAXABLE-MISC</v>
      </c>
      <c r="D40" s="11">
        <f t="shared" si="9"/>
        <v>0</v>
      </c>
      <c r="F40" s="11">
        <f>7.5*-1</f>
        <v>-7.5</v>
      </c>
      <c r="G40" s="3"/>
      <c r="H40" s="11">
        <f t="shared" si="10"/>
        <v>0</v>
      </c>
      <c r="I40" s="3"/>
      <c r="J40" s="11">
        <f t="shared" si="11"/>
        <v>0</v>
      </c>
      <c r="K40" s="3"/>
      <c r="L40" s="11">
        <f t="shared" si="8"/>
        <v>0</v>
      </c>
      <c r="M40" s="3"/>
      <c r="N40" s="11">
        <f>-84</f>
        <v>-84</v>
      </c>
      <c r="O40" s="3"/>
      <c r="P40" s="11"/>
      <c r="Q40" s="3"/>
      <c r="R40" s="11"/>
    </row>
    <row r="41" spans="1:18" s="16" customFormat="1" hidden="1" outlineLevel="1" x14ac:dyDescent="0.35">
      <c r="B41" s="35" t="str">
        <f>CONCATENATE("          ", "4392", " - ", "SALES RETURN NON TAXABLE-GRAD")</f>
        <v xml:space="preserve">          4392 - SALES RETURN NON TAXABLE-GRAD</v>
      </c>
      <c r="D41" s="11">
        <f t="shared" si="9"/>
        <v>0</v>
      </c>
      <c r="F41" s="11">
        <f>0*-1</f>
        <v>0</v>
      </c>
      <c r="G41" s="3"/>
      <c r="H41" s="11">
        <f>36.95*-1</f>
        <v>-36.950000000000003</v>
      </c>
      <c r="I41" s="3"/>
      <c r="J41" s="11">
        <f t="shared" si="11"/>
        <v>0</v>
      </c>
      <c r="K41" s="3"/>
      <c r="L41" s="11">
        <f t="shared" si="8"/>
        <v>0</v>
      </c>
      <c r="M41" s="3"/>
      <c r="N41" s="11">
        <f>0</f>
        <v>0</v>
      </c>
      <c r="O41" s="3"/>
      <c r="P41" s="11"/>
      <c r="Q41" s="3"/>
      <c r="R41" s="11"/>
    </row>
    <row r="42" spans="1:18" s="12" customFormat="1" x14ac:dyDescent="0.35">
      <c r="B42" s="7"/>
      <c r="D42" s="6"/>
      <c r="F42" s="6"/>
      <c r="G42" s="5"/>
      <c r="H42" s="6"/>
      <c r="I42" s="5"/>
      <c r="J42" s="6"/>
      <c r="K42" s="5"/>
      <c r="L42" s="6"/>
      <c r="M42" s="5"/>
      <c r="N42" s="6"/>
      <c r="O42" s="5"/>
      <c r="P42" s="6"/>
      <c r="Q42" s="5"/>
      <c r="R42" s="6"/>
    </row>
    <row r="43" spans="1:18" s="12" customFormat="1" collapsed="1" x14ac:dyDescent="0.35">
      <c r="B43" s="7" t="s">
        <v>278</v>
      </c>
      <c r="D43" s="8">
        <f>SUM(OSRRefD14x_0)</f>
        <v>137692.06</v>
      </c>
      <c r="E43" s="8"/>
      <c r="F43" s="8">
        <f>SUM(OSRRefF14x_0)</f>
        <v>157659.12000000002</v>
      </c>
      <c r="G43" s="8"/>
      <c r="H43" s="8">
        <f>SUM(OSRRefH14x_0)</f>
        <v>188620.36999999997</v>
      </c>
      <c r="I43" s="8"/>
      <c r="J43" s="8">
        <f>SUM(OSRRefJ14x_0)</f>
        <v>194105.47</v>
      </c>
      <c r="K43" s="8"/>
      <c r="L43" s="8">
        <f>SUM(OSRRefL14x_0)</f>
        <v>117842.95</v>
      </c>
      <c r="M43" s="8"/>
      <c r="N43" s="8">
        <f>SUM(OSRRefN14x_0)</f>
        <v>13729.05</v>
      </c>
      <c r="O43" s="8"/>
      <c r="P43" s="8">
        <f>SUM(OSRRefP14x_0)</f>
        <v>0</v>
      </c>
      <c r="Q43" s="8"/>
      <c r="R43" s="8">
        <f>SUM(OSRRefR14x_0)</f>
        <v>0</v>
      </c>
    </row>
    <row r="44" spans="1:18" s="44" customFormat="1" hidden="1" outlineLevel="1" x14ac:dyDescent="0.35">
      <c r="A44" s="16"/>
      <c r="B44" s="35" t="str">
        <f>CONCATENATE("          ", "5000", " - ", "PURCHASES @ COST")</f>
        <v xml:space="preserve">          5000 - PURCHASES @ COST</v>
      </c>
      <c r="C44" s="16"/>
      <c r="D44" s="11"/>
      <c r="E44" s="16"/>
      <c r="F44" s="11"/>
      <c r="G44" s="3"/>
      <c r="H44" s="11"/>
      <c r="I44" s="3"/>
      <c r="J44" s="11"/>
      <c r="K44" s="3"/>
      <c r="L44" s="11"/>
      <c r="M44" s="3"/>
      <c r="N44" s="11"/>
      <c r="O44" s="3"/>
      <c r="P44" s="11"/>
      <c r="Q44" s="3"/>
      <c r="R44" s="11">
        <v>0</v>
      </c>
    </row>
    <row r="45" spans="1:18" s="44" customFormat="1" hidden="1" outlineLevel="1" x14ac:dyDescent="0.35">
      <c r="A45" s="16"/>
      <c r="B45" s="35" t="str">
        <f>CONCATENATE("          ", "5091", " - ", "PURCHASES @ COST-GRAD ANNOUNCE")</f>
        <v xml:space="preserve">          5091 - PURCHASES @ COST-GRAD ANNOUNCE</v>
      </c>
      <c r="C45" s="16"/>
      <c r="D45" s="11">
        <v>478.5</v>
      </c>
      <c r="E45" s="16"/>
      <c r="F45" s="11">
        <v>715</v>
      </c>
      <c r="G45" s="3"/>
      <c r="H45" s="11"/>
      <c r="I45" s="3"/>
      <c r="J45" s="11">
        <v>0</v>
      </c>
      <c r="K45" s="3"/>
      <c r="L45" s="11"/>
      <c r="M45" s="3"/>
      <c r="N45" s="11"/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"5092", " - ", "PURCHASES @ COST-GRAD MERCH")</f>
        <v xml:space="preserve">          5092 - PURCHASES @ COST-GRAD MERCH</v>
      </c>
      <c r="C46" s="16"/>
      <c r="D46" s="11">
        <v>128559.12</v>
      </c>
      <c r="E46" s="16"/>
      <c r="F46" s="11">
        <v>155028.54</v>
      </c>
      <c r="G46" s="3"/>
      <c r="H46" s="11">
        <v>187114.68</v>
      </c>
      <c r="I46" s="3"/>
      <c r="J46" s="11">
        <v>207654.96</v>
      </c>
      <c r="K46" s="3"/>
      <c r="L46" s="11">
        <v>96740</v>
      </c>
      <c r="M46" s="3"/>
      <c r="N46" s="11">
        <v>13900.33</v>
      </c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"5095", " - ", "PURCHASES @ COST-CUSTOMER SERV")</f>
        <v xml:space="preserve">          5095 - PURCHASES @ COST-CUSTOMER SERV</v>
      </c>
      <c r="C47" s="16"/>
      <c r="D47" s="11">
        <v>13.7</v>
      </c>
      <c r="E47" s="16"/>
      <c r="F47" s="11">
        <v>-53.49</v>
      </c>
      <c r="G47" s="3"/>
      <c r="H47" s="11">
        <v>-134.63999999999999</v>
      </c>
      <c r="I47" s="3"/>
      <c r="J47" s="11">
        <v>-28.8</v>
      </c>
      <c r="K47" s="3"/>
      <c r="L47" s="11">
        <v>-78.48</v>
      </c>
      <c r="M47" s="3"/>
      <c r="N47" s="11">
        <v>30.84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"5200", " - ", "PURCHASES OFFSET")</f>
        <v xml:space="preserve">          5200 - PURCHASES OFFSET</v>
      </c>
      <c r="C48" s="16"/>
      <c r="D48" s="11">
        <v>-132067</v>
      </c>
      <c r="E48" s="16"/>
      <c r="F48" s="11">
        <v>-159868</v>
      </c>
      <c r="G48" s="3"/>
      <c r="H48" s="11">
        <v>-189272</v>
      </c>
      <c r="I48" s="3"/>
      <c r="J48" s="11">
        <v>-211744</v>
      </c>
      <c r="K48" s="3"/>
      <c r="L48" s="11">
        <v>-99112</v>
      </c>
      <c r="M48" s="3"/>
      <c r="N48" s="11">
        <v>-14103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"5300", " - ", "COG$ OFFSET")</f>
        <v xml:space="preserve">          5300 - COG$ OFFSET</v>
      </c>
      <c r="C49" s="16"/>
      <c r="D49" s="11">
        <v>137692</v>
      </c>
      <c r="E49" s="16"/>
      <c r="F49" s="11">
        <v>157660</v>
      </c>
      <c r="G49" s="3"/>
      <c r="H49" s="11">
        <v>188622</v>
      </c>
      <c r="I49" s="3"/>
      <c r="J49" s="11">
        <v>194105</v>
      </c>
      <c r="K49" s="3"/>
      <c r="L49" s="11">
        <v>117842</v>
      </c>
      <c r="M49" s="3"/>
      <c r="N49" s="11">
        <v>13730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"5592", " - ", "FREIGHT-IN-GRAD MERCH")</f>
        <v xml:space="preserve">          5592 - FREIGHT-IN-GRAD MERCH</v>
      </c>
      <c r="C50" s="16"/>
      <c r="D50" s="11">
        <v>3015.74</v>
      </c>
      <c r="E50" s="16"/>
      <c r="F50" s="11">
        <v>4177.07</v>
      </c>
      <c r="G50" s="3"/>
      <c r="H50" s="11">
        <v>2290.33</v>
      </c>
      <c r="I50" s="3"/>
      <c r="J50" s="11">
        <v>4118.3100000000004</v>
      </c>
      <c r="K50" s="3"/>
      <c r="L50" s="11">
        <v>2451.4299999999998</v>
      </c>
      <c r="M50" s="3"/>
      <c r="N50" s="11">
        <v>170.88</v>
      </c>
      <c r="O50" s="3"/>
      <c r="P50" s="11"/>
      <c r="Q50" s="3"/>
      <c r="R50" s="11"/>
    </row>
    <row r="51" spans="1:18" x14ac:dyDescent="0.35">
      <c r="A51" s="12"/>
      <c r="B51" s="7"/>
      <c r="C51" s="7"/>
      <c r="D51" s="6"/>
      <c r="F51" s="6"/>
      <c r="H51" s="6"/>
      <c r="J51" s="6"/>
      <c r="L51" s="6"/>
      <c r="N51" s="6"/>
      <c r="P51" s="6"/>
      <c r="R51" s="6"/>
    </row>
    <row r="52" spans="1:18" s="15" customFormat="1" x14ac:dyDescent="0.35">
      <c r="A52" s="7"/>
      <c r="B52" s="22" t="s">
        <v>107</v>
      </c>
      <c r="C52" s="22"/>
      <c r="D52" s="10">
        <f>+D10-D43</f>
        <v>962454.64999999991</v>
      </c>
      <c r="E52" s="12"/>
      <c r="F52" s="10">
        <f>+F10-F43</f>
        <v>991073.62999999977</v>
      </c>
      <c r="G52" s="5"/>
      <c r="H52" s="10">
        <f>+H10-H43</f>
        <v>940164.1</v>
      </c>
      <c r="I52" s="5"/>
      <c r="J52" s="10">
        <f>+J10-J43</f>
        <v>943472.74</v>
      </c>
      <c r="K52" s="5"/>
      <c r="L52" s="10">
        <f>+L10-L43</f>
        <v>703526.86</v>
      </c>
      <c r="M52" s="5"/>
      <c r="N52" s="10">
        <f>+N10-N43</f>
        <v>504558.38999999996</v>
      </c>
      <c r="O52" s="5"/>
      <c r="P52" s="10">
        <f>+P10-P43</f>
        <v>400713</v>
      </c>
      <c r="Q52" s="5"/>
      <c r="R52" s="10">
        <f>+R10-R43</f>
        <v>405930</v>
      </c>
    </row>
    <row r="53" spans="1:18" s="27" customFormat="1" x14ac:dyDescent="0.35">
      <c r="A53" s="18"/>
      <c r="B53" s="31"/>
      <c r="C53" s="18"/>
      <c r="D53" s="9">
        <f>IFERROR(D52/D10, 0)</f>
        <v>0.87484209265144275</v>
      </c>
      <c r="E53" s="13"/>
      <c r="F53" s="9">
        <f>IFERROR(F52/F10, 0)</f>
        <v>0.86275387377960622</v>
      </c>
      <c r="G53" s="26"/>
      <c r="H53" s="9">
        <f>IFERROR(H52/H10, 0)</f>
        <v>0.83289957027846073</v>
      </c>
      <c r="I53" s="26"/>
      <c r="J53" s="9">
        <f>IFERROR(J52/J10, 0)</f>
        <v>0.82936956044543086</v>
      </c>
      <c r="K53" s="26"/>
      <c r="L53" s="9">
        <f>IFERROR(L52/L10, 0)</f>
        <v>0.85652875408215945</v>
      </c>
      <c r="M53" s="26"/>
      <c r="N53" s="9">
        <f>IFERROR(N52/N10, 0)</f>
        <v>0.97351074145265803</v>
      </c>
      <c r="O53" s="26"/>
      <c r="P53" s="9">
        <f>IFERROR(P52/P10, 0)</f>
        <v>1</v>
      </c>
      <c r="Q53" s="26"/>
      <c r="R53" s="9">
        <f>IFERROR(R52/R10, 0)</f>
        <v>1</v>
      </c>
    </row>
    <row r="54" spans="1:18" s="27" customFormat="1" x14ac:dyDescent="0.35">
      <c r="A54" s="18"/>
      <c r="B54" s="31"/>
      <c r="C54" s="18"/>
      <c r="D54" s="13"/>
      <c r="E54" s="13"/>
      <c r="F54" s="13"/>
      <c r="G54" s="26"/>
      <c r="H54" s="13"/>
      <c r="I54" s="26"/>
      <c r="J54" s="13"/>
      <c r="K54" s="26"/>
      <c r="L54" s="13"/>
      <c r="M54" s="26"/>
      <c r="N54" s="13"/>
      <c r="O54" s="26"/>
      <c r="P54" s="13"/>
      <c r="Q54" s="26"/>
      <c r="R54" s="13"/>
    </row>
    <row r="55" spans="1:18" s="15" customFormat="1" x14ac:dyDescent="0.35">
      <c r="A55" s="7"/>
      <c r="B55" s="34" t="s">
        <v>314</v>
      </c>
      <c r="C55" s="7"/>
      <c r="D55" s="8">
        <f>SUM(OSRRefD21x_0)</f>
        <v>966911.85000000021</v>
      </c>
      <c r="E55" s="19"/>
      <c r="F55" s="8">
        <f>SUM(OSRRefF21x_0)</f>
        <v>744806.22999999986</v>
      </c>
      <c r="G55" s="4"/>
      <c r="H55" s="8">
        <f>SUM(OSRRefH21x_0)</f>
        <v>644423.51000000013</v>
      </c>
      <c r="I55" s="4"/>
      <c r="J55" s="8">
        <f>SUM(OSRRefJ21x_0)</f>
        <v>613105.37000000011</v>
      </c>
      <c r="K55" s="4"/>
      <c r="L55" s="8">
        <f>SUM(OSRRefL21x_0)</f>
        <v>584514.84</v>
      </c>
      <c r="M55" s="4"/>
      <c r="N55" s="8">
        <f>SUM(OSRRefN21x_0)</f>
        <v>529919.16999999993</v>
      </c>
      <c r="O55" s="4"/>
      <c r="P55" s="8">
        <f>SUM(OSRRefP21x_0)</f>
        <v>372736.25570964999</v>
      </c>
      <c r="Q55" s="4"/>
      <c r="R55" s="8">
        <f>SUM(OSRRefR21x_0)</f>
        <v>358578.78508969286</v>
      </c>
    </row>
    <row r="56" spans="1:18" s="15" customFormat="1" outlineLevel="1" collapsed="1" x14ac:dyDescent="0.35">
      <c r="A56" s="7"/>
      <c r="B56" s="20" t="str">
        <f>CONCATENATE("     ","*Benefits                                         ")</f>
        <v xml:space="preserve">     *Benefits                                         </v>
      </c>
      <c r="C56" s="7"/>
      <c r="D56" s="1">
        <f>SUM(OSRRefD21_0x_0)</f>
        <v>104427.82000000002</v>
      </c>
      <c r="E56" s="19"/>
      <c r="F56" s="1">
        <f>SUM(OSRRefF21_0x_0)</f>
        <v>82235.180000000008</v>
      </c>
      <c r="G56" s="4"/>
      <c r="H56" s="1">
        <f>SUM(OSRRefH21_0x_0)</f>
        <v>78655.73</v>
      </c>
      <c r="I56" s="4"/>
      <c r="J56" s="1">
        <f>SUM(OSRRefJ21_0x_0)</f>
        <v>84481.099999999991</v>
      </c>
      <c r="K56" s="4"/>
      <c r="L56" s="1">
        <f>SUM(OSRRefL21_0x_0)</f>
        <v>87336.739999999991</v>
      </c>
      <c r="M56" s="4"/>
      <c r="N56" s="1">
        <f>SUM(OSRRefN21_0x_0)</f>
        <v>95960.94</v>
      </c>
      <c r="O56" s="4"/>
      <c r="P56" s="1">
        <f>SUM(OSRRefP21_0x_0)</f>
        <v>80708.644409650005</v>
      </c>
      <c r="Q56" s="4"/>
      <c r="R56" s="1">
        <f>SUM(OSRRefR21_0x_0)</f>
        <v>67519.216551230842</v>
      </c>
    </row>
    <row r="57" spans="1:18" s="16" customFormat="1" hidden="1" outlineLevel="2" x14ac:dyDescent="0.35">
      <c r="B57" s="11" t="str">
        <f>CONCATENATE("          ", "6111", " - ", "F.I.C.A.")</f>
        <v xml:space="preserve">          6111 - F.I.C.A.</v>
      </c>
      <c r="D57" s="2">
        <v>19277.7</v>
      </c>
      <c r="F57" s="2">
        <v>13203.12</v>
      </c>
      <c r="G57" s="3"/>
      <c r="H57" s="2">
        <v>13378.41</v>
      </c>
      <c r="I57" s="3"/>
      <c r="J57" s="2">
        <v>14445.3</v>
      </c>
      <c r="K57" s="3"/>
      <c r="L57" s="2">
        <v>15592.91</v>
      </c>
      <c r="M57" s="3"/>
      <c r="N57" s="2">
        <v>14893.73</v>
      </c>
      <c r="O57" s="3"/>
      <c r="P57" s="2">
        <v>13770.72439965</v>
      </c>
      <c r="Q57" s="3"/>
      <c r="R57" s="2">
        <v>11844.984909692301</v>
      </c>
    </row>
    <row r="58" spans="1:18" s="16" customFormat="1" hidden="1" outlineLevel="2" x14ac:dyDescent="0.35">
      <c r="B58" s="11" t="str">
        <f>CONCATENATE("          ", "6112", " - ", "COMPENSATION INSURANCE")</f>
        <v xml:space="preserve">          6112 - COMPENSATION INSURANCE</v>
      </c>
      <c r="D58" s="2">
        <v>7727.04</v>
      </c>
      <c r="F58" s="2">
        <v>7949.64</v>
      </c>
      <c r="G58" s="3"/>
      <c r="H58" s="2">
        <v>3256.59</v>
      </c>
      <c r="I58" s="3"/>
      <c r="J58" s="2">
        <v>1857.97</v>
      </c>
      <c r="K58" s="3"/>
      <c r="L58" s="2">
        <v>2170.77</v>
      </c>
      <c r="M58" s="3"/>
      <c r="N58" s="2">
        <v>2657.11</v>
      </c>
      <c r="O58" s="3"/>
      <c r="P58" s="2">
        <v>3587.9688099999998</v>
      </c>
      <c r="Q58" s="3"/>
      <c r="R58" s="2">
        <v>2421.0530399999998</v>
      </c>
    </row>
    <row r="59" spans="1:18" s="16" customFormat="1" hidden="1" outlineLevel="2" x14ac:dyDescent="0.35">
      <c r="B59" s="11" t="str">
        <f>CONCATENATE("          ", "6113", " - ", "GROUP INSURANCE")</f>
        <v xml:space="preserve">          6113 - GROUP INSURANCE</v>
      </c>
      <c r="D59" s="2">
        <v>31023.52</v>
      </c>
      <c r="F59" s="2">
        <v>26535.08</v>
      </c>
      <c r="G59" s="3"/>
      <c r="H59" s="2">
        <v>29197.39</v>
      </c>
      <c r="I59" s="3"/>
      <c r="J59" s="2">
        <v>31332.89</v>
      </c>
      <c r="K59" s="3"/>
      <c r="L59" s="2">
        <v>31422.74</v>
      </c>
      <c r="M59" s="3"/>
      <c r="N59" s="2">
        <v>35516.230000000003</v>
      </c>
      <c r="O59" s="3"/>
      <c r="P59" s="2">
        <v>31740</v>
      </c>
      <c r="Q59" s="3"/>
      <c r="R59" s="2">
        <v>20854.5</v>
      </c>
    </row>
    <row r="60" spans="1:18" s="16" customFormat="1" hidden="1" outlineLevel="2" x14ac:dyDescent="0.35">
      <c r="B60" s="11" t="str">
        <f>CONCATENATE("          ", "6114", " - ", "STATE UNEMPLOYMENT INSURANCE")</f>
        <v xml:space="preserve">          6114 - STATE UNEMPLOYMENT INSURANCE</v>
      </c>
      <c r="D60" s="2">
        <v>3140.86</v>
      </c>
      <c r="F60" s="2">
        <v>1921.28</v>
      </c>
      <c r="G60" s="3"/>
      <c r="H60" s="2">
        <v>607.4</v>
      </c>
      <c r="I60" s="3"/>
      <c r="J60" s="2">
        <v>617.03</v>
      </c>
      <c r="K60" s="3"/>
      <c r="L60" s="2">
        <v>587.28</v>
      </c>
      <c r="M60" s="3"/>
      <c r="N60" s="2">
        <v>0</v>
      </c>
      <c r="O60" s="3"/>
      <c r="P60" s="2">
        <v>549.50922000000003</v>
      </c>
      <c r="Q60" s="3"/>
      <c r="R60" s="2">
        <v>325.91098615384601</v>
      </c>
    </row>
    <row r="61" spans="1:18" s="16" customFormat="1" hidden="1" outlineLevel="2" x14ac:dyDescent="0.35">
      <c r="B61" s="11" t="str">
        <f>CONCATENATE("          ", "6115", " - ", "P.E.R.S.")</f>
        <v xml:space="preserve">          6115 - P.E.R.S.</v>
      </c>
      <c r="D61" s="2">
        <v>18533.830000000002</v>
      </c>
      <c r="F61" s="2">
        <v>10238.59</v>
      </c>
      <c r="G61" s="3"/>
      <c r="H61" s="2">
        <v>12010.38</v>
      </c>
      <c r="I61" s="3"/>
      <c r="J61" s="2">
        <v>12886.14</v>
      </c>
      <c r="K61" s="3"/>
      <c r="L61" s="2">
        <v>13421.77</v>
      </c>
      <c r="M61" s="3"/>
      <c r="N61" s="2">
        <v>15553.42</v>
      </c>
      <c r="O61" s="3"/>
      <c r="P61" s="2">
        <v>12895.04898</v>
      </c>
      <c r="Q61" s="3"/>
      <c r="R61" s="2">
        <v>11734.1244615385</v>
      </c>
    </row>
    <row r="62" spans="1:18" s="16" customFormat="1" hidden="1" outlineLevel="2" x14ac:dyDescent="0.35">
      <c r="B62" s="11" t="str">
        <f>CONCATENATE("          ", "6116", " - ", "EDUCATIONAL BENEFITS")</f>
        <v xml:space="preserve">          6116 - EDUCATIONAL BENEFITS</v>
      </c>
      <c r="D62" s="2"/>
      <c r="F62" s="2"/>
      <c r="G62" s="3"/>
      <c r="H62" s="2"/>
      <c r="I62" s="3"/>
      <c r="J62" s="2"/>
      <c r="K62" s="3"/>
      <c r="L62" s="2"/>
      <c r="M62" s="3"/>
      <c r="N62" s="2"/>
      <c r="O62" s="3"/>
      <c r="P62" s="2">
        <v>0</v>
      </c>
      <c r="Q62" s="3"/>
      <c r="R62" s="2">
        <v>0</v>
      </c>
    </row>
    <row r="63" spans="1:18" s="16" customFormat="1" hidden="1" outlineLevel="2" x14ac:dyDescent="0.35">
      <c r="B63" s="11" t="str">
        <f>CONCATENATE("          ", "6118", " - ", "VACATION")</f>
        <v xml:space="preserve">          6118 - VACATION</v>
      </c>
      <c r="D63" s="2">
        <v>11873.38</v>
      </c>
      <c r="F63" s="2">
        <v>11642.14</v>
      </c>
      <c r="G63" s="3"/>
      <c r="H63" s="2">
        <v>10854.03</v>
      </c>
      <c r="I63" s="3"/>
      <c r="J63" s="2">
        <v>12860.66</v>
      </c>
      <c r="K63" s="3"/>
      <c r="L63" s="2">
        <v>12832.23</v>
      </c>
      <c r="M63" s="3"/>
      <c r="N63" s="2">
        <v>15532.1</v>
      </c>
      <c r="O63" s="3"/>
      <c r="P63" s="2">
        <v>12435.9701</v>
      </c>
      <c r="Q63" s="3"/>
      <c r="R63" s="2">
        <v>10185.0757692308</v>
      </c>
    </row>
    <row r="64" spans="1:18" s="16" customFormat="1" hidden="1" outlineLevel="2" x14ac:dyDescent="0.35">
      <c r="B64" s="11" t="str">
        <f>CONCATENATE("          ", "6119", " - ", "SICK LEAVE")</f>
        <v xml:space="preserve">          6119 - SICK LEAVE</v>
      </c>
      <c r="D64" s="2">
        <v>7696.32</v>
      </c>
      <c r="F64" s="2">
        <v>7205.09</v>
      </c>
      <c r="G64" s="3"/>
      <c r="H64" s="2">
        <v>5884.45</v>
      </c>
      <c r="I64" s="3"/>
      <c r="J64" s="2">
        <v>6982.83</v>
      </c>
      <c r="K64" s="3"/>
      <c r="L64" s="2">
        <v>7828.09</v>
      </c>
      <c r="M64" s="3"/>
      <c r="N64" s="2">
        <v>9221.84</v>
      </c>
      <c r="O64" s="3"/>
      <c r="P64" s="2">
        <v>5729.4228999999996</v>
      </c>
      <c r="Q64" s="3"/>
      <c r="R64" s="2">
        <v>5078.5673846153904</v>
      </c>
    </row>
    <row r="65" spans="1:18" s="16" customFormat="1" hidden="1" outlineLevel="2" x14ac:dyDescent="0.35">
      <c r="B65" s="11" t="str">
        <f>CONCATENATE("          ", "6156", " - ", "EMPLOYEE MEALS")</f>
        <v xml:space="preserve">          6156 - EMPLOYEE MEALS</v>
      </c>
      <c r="D65" s="2">
        <v>5155.17</v>
      </c>
      <c r="F65" s="2">
        <v>3540.24</v>
      </c>
      <c r="G65" s="3"/>
      <c r="H65" s="2">
        <v>3467.08</v>
      </c>
      <c r="I65" s="3"/>
      <c r="J65" s="2">
        <v>3498.28</v>
      </c>
      <c r="K65" s="3"/>
      <c r="L65" s="2">
        <v>3480.95</v>
      </c>
      <c r="M65" s="3"/>
      <c r="N65" s="2">
        <v>2586.5100000000002</v>
      </c>
      <c r="O65" s="3"/>
      <c r="P65" s="2"/>
      <c r="Q65" s="3"/>
      <c r="R65" s="2">
        <v>5075</v>
      </c>
    </row>
    <row r="66" spans="1:18" s="15" customFormat="1" outlineLevel="1" collapsed="1" x14ac:dyDescent="0.35">
      <c r="A66" s="7"/>
      <c r="B66" s="20" t="str">
        <f>CONCATENATE("     ","*Payroll                                          ")</f>
        <v xml:space="preserve">     *Payroll                                          </v>
      </c>
      <c r="C66" s="7"/>
      <c r="D66" s="1">
        <f>SUM(OSRRefD21_1x_0)</f>
        <v>499695.75</v>
      </c>
      <c r="E66" s="19"/>
      <c r="F66" s="1">
        <f>SUM(OSRRefF21_1x_0)</f>
        <v>285282.54000000004</v>
      </c>
      <c r="G66" s="4"/>
      <c r="H66" s="1">
        <f>SUM(OSRRefH21_1x_0)</f>
        <v>227061.68000000002</v>
      </c>
      <c r="I66" s="4"/>
      <c r="J66" s="1">
        <f>SUM(OSRRefJ21_1x_0)</f>
        <v>214271.89999999997</v>
      </c>
      <c r="K66" s="4"/>
      <c r="L66" s="1">
        <f>SUM(OSRRefL21_1x_0)</f>
        <v>222423.47</v>
      </c>
      <c r="M66" s="4"/>
      <c r="N66" s="1">
        <f>SUM(OSRRefN21_1x_0)</f>
        <v>187988.82</v>
      </c>
      <c r="O66" s="4"/>
      <c r="P66" s="1">
        <f>SUM(OSRRefP21_1x_0)</f>
        <v>132567.61129999999</v>
      </c>
      <c r="Q66" s="4"/>
      <c r="R66" s="1">
        <f>SUM(OSRRefR21_1x_0)</f>
        <v>141219.56853846202</v>
      </c>
    </row>
    <row r="67" spans="1:18" s="16" customFormat="1" hidden="1" outlineLevel="2" x14ac:dyDescent="0.35">
      <c r="B67" s="11" t="str">
        <f>CONCATENATE("          ", "6001", " - ", "ADMINISTRATIVE SALARIES")</f>
        <v xml:space="preserve">          6001 - ADMINISTRATIVE SALARIES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>
        <v>0</v>
      </c>
      <c r="Q67" s="3"/>
      <c r="R67" s="2">
        <v>0</v>
      </c>
    </row>
    <row r="68" spans="1:18" s="16" customFormat="1" hidden="1" outlineLevel="2" x14ac:dyDescent="0.35">
      <c r="B68" s="11" t="str">
        <f>CONCATENATE("          ", "6002", " - ", "STAFF SALARIES")</f>
        <v xml:space="preserve">          6002 - STAFF SALARIES</v>
      </c>
      <c r="D68" s="2">
        <v>142213.24</v>
      </c>
      <c r="F68" s="2">
        <v>103454.95</v>
      </c>
      <c r="G68" s="3"/>
      <c r="H68" s="2">
        <v>115652.92</v>
      </c>
      <c r="I68" s="3"/>
      <c r="J68" s="2">
        <v>119317.46</v>
      </c>
      <c r="K68" s="3"/>
      <c r="L68" s="2">
        <v>134152.09</v>
      </c>
      <c r="M68" s="3"/>
      <c r="N68" s="2">
        <v>131327.66</v>
      </c>
      <c r="O68" s="3"/>
      <c r="P68" s="2">
        <v>132567.61129999999</v>
      </c>
      <c r="Q68" s="3"/>
      <c r="R68" s="2">
        <v>121742.23653846201</v>
      </c>
    </row>
    <row r="69" spans="1:18" s="16" customFormat="1" hidden="1" outlineLevel="2" x14ac:dyDescent="0.35">
      <c r="B69" s="11" t="str">
        <f>CONCATENATE("          ", "6003", " - ", "STAFF HOURLY-9 MONTH")</f>
        <v xml:space="preserve">          6003 - STAFF HOURLY-9 MONTH</v>
      </c>
      <c r="D69" s="2"/>
      <c r="F69" s="2"/>
      <c r="G69" s="3"/>
      <c r="H69" s="2"/>
      <c r="I69" s="3"/>
      <c r="J69" s="2"/>
      <c r="K69" s="3"/>
      <c r="L69" s="2"/>
      <c r="M69" s="3"/>
      <c r="N69" s="2"/>
      <c r="O69" s="3"/>
      <c r="P69" s="2">
        <v>0</v>
      </c>
      <c r="Q69" s="3"/>
      <c r="R69" s="2">
        <v>0</v>
      </c>
    </row>
    <row r="70" spans="1:18" s="16" customFormat="1" hidden="1" outlineLevel="2" x14ac:dyDescent="0.35">
      <c r="B70" s="11" t="str">
        <f>CONCATENATE("          ", "6004", " - ", "STAFF HOURLY")</f>
        <v xml:space="preserve">          6004 - STAFF HOURLY</v>
      </c>
      <c r="D70" s="2"/>
      <c r="F70" s="2"/>
      <c r="G70" s="3"/>
      <c r="H70" s="2"/>
      <c r="I70" s="3"/>
      <c r="J70" s="2">
        <v>273.27999999999997</v>
      </c>
      <c r="K70" s="3"/>
      <c r="L70" s="2">
        <v>142.5</v>
      </c>
      <c r="M70" s="3"/>
      <c r="N70" s="2">
        <v>491.67</v>
      </c>
      <c r="O70" s="3"/>
      <c r="P70" s="2">
        <v>0</v>
      </c>
      <c r="Q70" s="3"/>
      <c r="R70" s="2">
        <v>8523.9</v>
      </c>
    </row>
    <row r="71" spans="1:18" s="16" customFormat="1" hidden="1" outlineLevel="2" x14ac:dyDescent="0.35">
      <c r="B71" s="11" t="str">
        <f>CONCATENATE("          ", "6005", " - ", "TEMPORARY WAGES-HOURLY")</f>
        <v xml:space="preserve">          6005 - TEMPORARY WAGES-HOURLY</v>
      </c>
      <c r="D71" s="2">
        <v>15459.64</v>
      </c>
      <c r="F71" s="2">
        <v>20016.650000000001</v>
      </c>
      <c r="G71" s="3"/>
      <c r="H71" s="2">
        <v>14893.88</v>
      </c>
      <c r="I71" s="3"/>
      <c r="J71" s="2">
        <v>17080.13</v>
      </c>
      <c r="K71" s="3"/>
      <c r="L71" s="2">
        <v>20003.099999999999</v>
      </c>
      <c r="M71" s="3"/>
      <c r="N71" s="2">
        <v>18251.97</v>
      </c>
      <c r="O71" s="3"/>
      <c r="P71" s="2">
        <v>0</v>
      </c>
      <c r="Q71" s="3"/>
      <c r="R71" s="2">
        <v>0</v>
      </c>
    </row>
    <row r="72" spans="1:18" s="16" customFormat="1" hidden="1" outlineLevel="2" x14ac:dyDescent="0.35">
      <c r="B72" s="11" t="str">
        <f>CONCATENATE("          ", "6006", " - ", "TEMPORARY PART TIME")</f>
        <v xml:space="preserve">          6006 - TEMPORARY PART TIME</v>
      </c>
      <c r="D72" s="2">
        <v>32581.88</v>
      </c>
      <c r="F72" s="2">
        <v>1566.88</v>
      </c>
      <c r="G72" s="3"/>
      <c r="H72" s="2">
        <v>6469.28</v>
      </c>
      <c r="I72" s="3"/>
      <c r="J72" s="2">
        <v>2866.83</v>
      </c>
      <c r="K72" s="3"/>
      <c r="L72" s="2">
        <v>10463.209999999999</v>
      </c>
      <c r="M72" s="3"/>
      <c r="N72" s="2">
        <v>2571.56</v>
      </c>
      <c r="O72" s="3"/>
      <c r="P72" s="2">
        <v>0</v>
      </c>
      <c r="Q72" s="3"/>
      <c r="R72" s="2">
        <v>0</v>
      </c>
    </row>
    <row r="73" spans="1:18" s="16" customFormat="1" hidden="1" outlineLevel="2" x14ac:dyDescent="0.35">
      <c r="B73" s="11" t="str">
        <f>CONCATENATE("          ", "6007", " - ", "STUDENT HOURLY")</f>
        <v xml:space="preserve">          6007 - STUDENT HOURLY</v>
      </c>
      <c r="D73" s="2">
        <v>301514.03999999998</v>
      </c>
      <c r="F73" s="2">
        <v>159325.81</v>
      </c>
      <c r="G73" s="3"/>
      <c r="H73" s="2">
        <v>89856.6</v>
      </c>
      <c r="I73" s="3"/>
      <c r="J73" s="2">
        <v>74239.199999999997</v>
      </c>
      <c r="K73" s="3"/>
      <c r="L73" s="2">
        <v>55943.57</v>
      </c>
      <c r="M73" s="3"/>
      <c r="N73" s="2">
        <v>35345.96</v>
      </c>
      <c r="O73" s="3"/>
      <c r="P73" s="2">
        <v>0</v>
      </c>
      <c r="Q73" s="3"/>
      <c r="R73" s="2">
        <v>10520.832</v>
      </c>
    </row>
    <row r="74" spans="1:18" s="16" customFormat="1" hidden="1" outlineLevel="2" x14ac:dyDescent="0.35">
      <c r="B74" s="11" t="str">
        <f>CONCATENATE("          ", "6008", " - ", "STUDENT HOURLY-FICA EXEMPT")</f>
        <v xml:space="preserve">          6008 - STUDENT HOURLY-FICA EXEMPT</v>
      </c>
      <c r="D74" s="2">
        <v>7081.01</v>
      </c>
      <c r="F74" s="2">
        <v>918.25</v>
      </c>
      <c r="G74" s="3"/>
      <c r="H74" s="2">
        <v>189</v>
      </c>
      <c r="I74" s="3"/>
      <c r="J74" s="2">
        <v>495</v>
      </c>
      <c r="K74" s="3"/>
      <c r="L74" s="2">
        <v>1719</v>
      </c>
      <c r="M74" s="3"/>
      <c r="N74" s="2"/>
      <c r="O74" s="3"/>
      <c r="P74" s="2">
        <v>0</v>
      </c>
      <c r="Q74" s="3"/>
      <c r="R74" s="2">
        <v>432.6</v>
      </c>
    </row>
    <row r="75" spans="1:18" s="16" customFormat="1" hidden="1" outlineLevel="2" x14ac:dyDescent="0.35">
      <c r="B75" s="11" t="str">
        <f>CONCATENATE("          ", "6009", " - ", "TEMPORARY-SEASONAL")</f>
        <v xml:space="preserve">          6009 - TEMPORARY-SEASONAL</v>
      </c>
      <c r="D75" s="2">
        <v>845.94</v>
      </c>
      <c r="F75" s="2"/>
      <c r="G75" s="3"/>
      <c r="H75" s="2"/>
      <c r="I75" s="3"/>
      <c r="J75" s="2"/>
      <c r="K75" s="3"/>
      <c r="L75" s="2"/>
      <c r="M75" s="3"/>
      <c r="N75" s="2"/>
      <c r="O75" s="3"/>
      <c r="P75" s="2">
        <v>0</v>
      </c>
      <c r="Q75" s="3"/>
      <c r="R75" s="2">
        <v>0</v>
      </c>
    </row>
    <row r="76" spans="1:18" s="16" customFormat="1" hidden="1" outlineLevel="2" x14ac:dyDescent="0.35">
      <c r="B76" s="11" t="str">
        <f>CONCATENATE("          ", "6010", " - ", "GRATUITY")</f>
        <v xml:space="preserve">          6010 - GRATUITY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>
        <v>0</v>
      </c>
      <c r="Q76" s="3"/>
      <c r="R76" s="2">
        <v>0</v>
      </c>
    </row>
    <row r="77" spans="1:18" s="15" customFormat="1" outlineLevel="1" collapsed="1" x14ac:dyDescent="0.35">
      <c r="A77" s="7"/>
      <c r="B77" s="20" t="str">
        <f>CONCATENATE("     ","Advertising/Promo                                 ")</f>
        <v xml:space="preserve">     Advertising/Promo                                 </v>
      </c>
      <c r="C77" s="7"/>
      <c r="D77" s="1">
        <f>SUM(OSRRefD21_2x_0)</f>
        <v>2299.39</v>
      </c>
      <c r="E77" s="19"/>
      <c r="F77" s="1">
        <f>SUM(OSRRefF21_2x_0)</f>
        <v>4434.24</v>
      </c>
      <c r="G77" s="4"/>
      <c r="H77" s="1">
        <f>SUM(OSRRefH21_2x_0)</f>
        <v>2807.47</v>
      </c>
      <c r="I77" s="4"/>
      <c r="J77" s="1">
        <f>SUM(OSRRefJ21_2x_0)</f>
        <v>6407.28</v>
      </c>
      <c r="K77" s="4"/>
      <c r="L77" s="1">
        <f>SUM(OSRRefL21_2x_0)</f>
        <v>9682.83</v>
      </c>
      <c r="M77" s="4"/>
      <c r="N77" s="1">
        <f>SUM(OSRRefN21_2x_0)</f>
        <v>1915.77</v>
      </c>
      <c r="O77" s="4"/>
      <c r="P77" s="1">
        <f>SUM(OSRRefP21_2x_0)</f>
        <v>600</v>
      </c>
      <c r="Q77" s="4"/>
      <c r="R77" s="1">
        <f>SUM(OSRRefR21_2x_0)</f>
        <v>600</v>
      </c>
    </row>
    <row r="78" spans="1:18" s="16" customFormat="1" hidden="1" outlineLevel="2" x14ac:dyDescent="0.35">
      <c r="B78" s="11" t="str">
        <f>CONCATENATE("          ", "6362", " - ", "ADVERTISING EXPENSE")</f>
        <v xml:space="preserve">          6362 - ADVERTISING EXPENSE</v>
      </c>
      <c r="D78" s="2">
        <v>2299.39</v>
      </c>
      <c r="F78" s="2">
        <v>4434.24</v>
      </c>
      <c r="G78" s="3"/>
      <c r="H78" s="2">
        <v>2807.47</v>
      </c>
      <c r="I78" s="3"/>
      <c r="J78" s="2">
        <v>6407.28</v>
      </c>
      <c r="K78" s="3"/>
      <c r="L78" s="2">
        <v>9682.83</v>
      </c>
      <c r="M78" s="3"/>
      <c r="N78" s="2">
        <v>1915.77</v>
      </c>
      <c r="O78" s="3"/>
      <c r="P78" s="2">
        <v>600</v>
      </c>
      <c r="Q78" s="3"/>
      <c r="R78" s="2">
        <v>600</v>
      </c>
    </row>
    <row r="79" spans="1:18" s="15" customFormat="1" outlineLevel="1" collapsed="1" x14ac:dyDescent="0.35">
      <c r="A79" s="7"/>
      <c r="B79" s="20" t="str">
        <f>CONCATENATE("     ","Depreciation                                      ")</f>
        <v xml:space="preserve">     Depreciation                                      </v>
      </c>
      <c r="C79" s="7"/>
      <c r="D79" s="1">
        <f>SUM(OSRRefD21_3x_0)</f>
        <v>10099.58</v>
      </c>
      <c r="E79" s="19"/>
      <c r="F79" s="1">
        <f>SUM(OSRRefF21_3x_0)</f>
        <v>9758.7000000000007</v>
      </c>
      <c r="G79" s="4"/>
      <c r="H79" s="1">
        <f>SUM(OSRRefH21_3x_0)</f>
        <v>6663.46</v>
      </c>
      <c r="I79" s="4"/>
      <c r="J79" s="1">
        <f>SUM(OSRRefJ21_3x_0)</f>
        <v>555.29999999999995</v>
      </c>
      <c r="K79" s="4"/>
      <c r="L79" s="1">
        <f>SUM(OSRRefL21_3x_0)</f>
        <v>0</v>
      </c>
      <c r="M79" s="4"/>
      <c r="N79" s="1">
        <f>SUM(OSRRefN21_3x_0)</f>
        <v>1189.18</v>
      </c>
      <c r="O79" s="4"/>
      <c r="P79" s="1">
        <f>SUM(OSRRefP21_3x_0)</f>
        <v>2040</v>
      </c>
      <c r="Q79" s="4"/>
      <c r="R79" s="1">
        <f>SUM(OSRRefR21_3x_0)</f>
        <v>2040</v>
      </c>
    </row>
    <row r="80" spans="1:18" s="16" customFormat="1" hidden="1" outlineLevel="2" x14ac:dyDescent="0.35">
      <c r="B80" s="11" t="str">
        <f>CONCATENATE("          ", "6322", " - ", "EQUIPMENT DEPRECIATION EXPENSE")</f>
        <v xml:space="preserve">          6322 - EQUIPMENT DEPRECIATION EXPENSE</v>
      </c>
      <c r="D80" s="2">
        <v>10099.58</v>
      </c>
      <c r="F80" s="2">
        <v>9758.7000000000007</v>
      </c>
      <c r="G80" s="3"/>
      <c r="H80" s="2">
        <v>6663.46</v>
      </c>
      <c r="I80" s="3"/>
      <c r="J80" s="2">
        <v>555.29999999999995</v>
      </c>
      <c r="K80" s="3"/>
      <c r="L80" s="2"/>
      <c r="M80" s="3"/>
      <c r="N80" s="2">
        <v>1189.18</v>
      </c>
      <c r="O80" s="3"/>
      <c r="P80" s="2">
        <v>2040</v>
      </c>
      <c r="Q80" s="3"/>
      <c r="R80" s="2">
        <v>2040</v>
      </c>
    </row>
    <row r="81" spans="1:18" s="15" customFormat="1" outlineLevel="1" collapsed="1" x14ac:dyDescent="0.35">
      <c r="A81" s="7"/>
      <c r="B81" s="20" t="str">
        <f>CONCATENATE("     ","Discounts and Markdowns                           ")</f>
        <v xml:space="preserve">     Discounts and Markdowns                           </v>
      </c>
      <c r="C81" s="7"/>
      <c r="D81" s="1">
        <f>SUM(OSRRefD21_4x_0)</f>
        <v>12519.65</v>
      </c>
      <c r="E81" s="19"/>
      <c r="F81" s="1">
        <f>SUM(OSRRefF21_4x_0)</f>
        <v>9826.75</v>
      </c>
      <c r="G81" s="4"/>
      <c r="H81" s="1">
        <f>SUM(OSRRefH21_4x_0)</f>
        <v>10730.57</v>
      </c>
      <c r="I81" s="4"/>
      <c r="J81" s="1">
        <f>SUM(OSRRefJ21_4x_0)</f>
        <v>22858.95</v>
      </c>
      <c r="K81" s="4"/>
      <c r="L81" s="1">
        <f>SUM(OSRRefL21_4x_0)</f>
        <v>8725.18</v>
      </c>
      <c r="M81" s="4"/>
      <c r="N81" s="1">
        <f>SUM(OSRRefN21_4x_0)</f>
        <v>1289.18</v>
      </c>
      <c r="O81" s="4"/>
      <c r="P81" s="1">
        <f>SUM(OSRRefP21_4x_0)</f>
        <v>600</v>
      </c>
      <c r="Q81" s="4"/>
      <c r="R81" s="1">
        <f>SUM(OSRRefR21_4x_0)</f>
        <v>0</v>
      </c>
    </row>
    <row r="82" spans="1:18" s="16" customFormat="1" hidden="1" outlineLevel="2" x14ac:dyDescent="0.35">
      <c r="B82" s="11" t="str">
        <f>CONCATENATE("          ", "6382", " - ", "DISCOUNTS/MARK DOWNS")</f>
        <v xml:space="preserve">          6382 - DISCOUNTS/MARK DOWNS</v>
      </c>
      <c r="D82" s="2">
        <v>12519.65</v>
      </c>
      <c r="F82" s="2">
        <v>9826.75</v>
      </c>
      <c r="G82" s="3"/>
      <c r="H82" s="2">
        <v>10730.57</v>
      </c>
      <c r="I82" s="3"/>
      <c r="J82" s="2">
        <v>22858.95</v>
      </c>
      <c r="K82" s="3"/>
      <c r="L82" s="2">
        <v>8725.18</v>
      </c>
      <c r="M82" s="3"/>
      <c r="N82" s="2">
        <v>1289.18</v>
      </c>
      <c r="O82" s="3"/>
      <c r="P82" s="2">
        <v>600</v>
      </c>
      <c r="Q82" s="3"/>
      <c r="R82" s="2"/>
    </row>
    <row r="83" spans="1:18" s="15" customFormat="1" outlineLevel="1" collapsed="1" x14ac:dyDescent="0.35">
      <c r="A83" s="7"/>
      <c r="B83" s="20" t="str">
        <f>CONCATENATE("     ","Employees' Appreciation                           ")</f>
        <v xml:space="preserve">     Employees' Appreciation                           </v>
      </c>
      <c r="C83" s="7"/>
      <c r="D83" s="1">
        <f>SUM(OSRRefD21_5x_0)</f>
        <v>454.14</v>
      </c>
      <c r="E83" s="19"/>
      <c r="F83" s="1">
        <f>SUM(OSRRefF21_5x_0)</f>
        <v>210.68</v>
      </c>
      <c r="G83" s="4"/>
      <c r="H83" s="1">
        <f>SUM(OSRRefH21_5x_0)</f>
        <v>147.99</v>
      </c>
      <c r="I83" s="4"/>
      <c r="J83" s="1">
        <f>SUM(OSRRefJ21_5x_0)</f>
        <v>247.87</v>
      </c>
      <c r="K83" s="4"/>
      <c r="L83" s="1">
        <f>SUM(OSRRefL21_5x_0)</f>
        <v>0</v>
      </c>
      <c r="M83" s="4"/>
      <c r="N83" s="1">
        <f>SUM(OSRRefN21_5x_0)</f>
        <v>0</v>
      </c>
      <c r="O83" s="4"/>
      <c r="P83" s="1">
        <f>SUM(OSRRefP21_5x_0)</f>
        <v>0</v>
      </c>
      <c r="Q83" s="4"/>
      <c r="R83" s="1">
        <f>SUM(OSRRefR21_5x_0)</f>
        <v>0</v>
      </c>
    </row>
    <row r="84" spans="1:18" s="16" customFormat="1" hidden="1" outlineLevel="2" x14ac:dyDescent="0.35">
      <c r="B84" s="11" t="str">
        <f>CONCATENATE("          ", "6277", " - ", "EMPLOYEE APPRECIATION")</f>
        <v xml:space="preserve">          6277 - EMPLOYEE APPRECIATION</v>
      </c>
      <c r="D84" s="2">
        <v>454.14</v>
      </c>
      <c r="F84" s="2">
        <v>210.68</v>
      </c>
      <c r="G84" s="3"/>
      <c r="H84" s="2">
        <v>147.99</v>
      </c>
      <c r="I84" s="3"/>
      <c r="J84" s="2">
        <v>247.87</v>
      </c>
      <c r="K84" s="3"/>
      <c r="L84" s="2"/>
      <c r="M84" s="3"/>
      <c r="N84" s="2"/>
      <c r="O84" s="3"/>
      <c r="P84" s="2"/>
      <c r="Q84" s="3"/>
      <c r="R84" s="2"/>
    </row>
    <row r="85" spans="1:18" s="15" customFormat="1" outlineLevel="1" collapsed="1" x14ac:dyDescent="0.35">
      <c r="A85" s="7"/>
      <c r="B85" s="20" t="str">
        <f>CONCATENATE("     ","Equipment Rental                                  ")</f>
        <v xml:space="preserve">     Equipment Rental                                  </v>
      </c>
      <c r="C85" s="7"/>
      <c r="D85" s="1">
        <f>SUM(OSRRefD21_6x_0)</f>
        <v>34232.46</v>
      </c>
      <c r="E85" s="19"/>
      <c r="F85" s="1">
        <f>SUM(OSRRefF21_6x_0)</f>
        <v>35448.559999999998</v>
      </c>
      <c r="G85" s="4"/>
      <c r="H85" s="1">
        <f>SUM(OSRRefH21_6x_0)</f>
        <v>37430.5</v>
      </c>
      <c r="I85" s="4"/>
      <c r="J85" s="1">
        <f>SUM(OSRRefJ21_6x_0)</f>
        <v>38446.31</v>
      </c>
      <c r="K85" s="4"/>
      <c r="L85" s="1">
        <f>SUM(OSRRefL21_6x_0)</f>
        <v>38555.11</v>
      </c>
      <c r="M85" s="4"/>
      <c r="N85" s="1">
        <f>SUM(OSRRefN21_6x_0)</f>
        <v>17287.349999999999</v>
      </c>
      <c r="O85" s="4"/>
      <c r="P85" s="1">
        <f>SUM(OSRRefP21_6x_0)</f>
        <v>14472</v>
      </c>
      <c r="Q85" s="4"/>
      <c r="R85" s="1">
        <f>SUM(OSRRefR21_6x_0)</f>
        <v>15400</v>
      </c>
    </row>
    <row r="86" spans="1:18" s="16" customFormat="1" hidden="1" outlineLevel="2" x14ac:dyDescent="0.35">
      <c r="B86" s="11" t="str">
        <f>CONCATENATE("          ", "6351", " - ", "EQUIPMENT RENTAL")</f>
        <v xml:space="preserve">          6351 - EQUIPMENT RENTAL</v>
      </c>
      <c r="D86" s="2">
        <v>34232.46</v>
      </c>
      <c r="F86" s="2">
        <v>35448.559999999998</v>
      </c>
      <c r="G86" s="3"/>
      <c r="H86" s="2">
        <v>37430.5</v>
      </c>
      <c r="I86" s="3"/>
      <c r="J86" s="2">
        <v>38446.31</v>
      </c>
      <c r="K86" s="3"/>
      <c r="L86" s="2">
        <v>38555.11</v>
      </c>
      <c r="M86" s="3"/>
      <c r="N86" s="2">
        <v>17287.349999999999</v>
      </c>
      <c r="O86" s="3"/>
      <c r="P86" s="2">
        <v>14472</v>
      </c>
      <c r="Q86" s="3"/>
      <c r="R86" s="2">
        <v>15400</v>
      </c>
    </row>
    <row r="87" spans="1:18" s="15" customFormat="1" outlineLevel="1" collapsed="1" x14ac:dyDescent="0.35">
      <c r="A87" s="7"/>
      <c r="B87" s="20" t="str">
        <f>CONCATENATE("     ","Freight out/Postage                               ")</f>
        <v xml:space="preserve">     Freight out/Postage                               </v>
      </c>
      <c r="C87" s="7"/>
      <c r="D87" s="1">
        <f>SUM(OSRRefD21_7x_0)</f>
        <v>-50094</v>
      </c>
      <c r="E87" s="19"/>
      <c r="F87" s="1">
        <f>SUM(OSRRefF21_7x_0)</f>
        <v>-42708.189999999995</v>
      </c>
      <c r="G87" s="4"/>
      <c r="H87" s="1">
        <f>SUM(OSRRefH21_7x_0)</f>
        <v>-40312.43</v>
      </c>
      <c r="I87" s="4"/>
      <c r="J87" s="1">
        <f>SUM(OSRRefJ21_7x_0)</f>
        <v>-29566.710000000006</v>
      </c>
      <c r="K87" s="4"/>
      <c r="L87" s="1">
        <f>SUM(OSRRefL21_7x_0)</f>
        <v>-35068.070000000007</v>
      </c>
      <c r="M87" s="4"/>
      <c r="N87" s="1">
        <f>SUM(OSRRefN21_7x_0)</f>
        <v>6172.25</v>
      </c>
      <c r="O87" s="4"/>
      <c r="P87" s="1">
        <f>SUM(OSRRefP21_7x_0)</f>
        <v>7168</v>
      </c>
      <c r="Q87" s="4"/>
      <c r="R87" s="1">
        <f>SUM(OSRRefR21_7x_0)</f>
        <v>-35700</v>
      </c>
    </row>
    <row r="88" spans="1:18" s="16" customFormat="1" hidden="1" outlineLevel="2" x14ac:dyDescent="0.35">
      <c r="B88" s="11" t="str">
        <f>CONCATENATE("          ", "6305", " - ", "FREIGHT OUT")</f>
        <v xml:space="preserve">          6305 - FREIGHT OUT</v>
      </c>
      <c r="D88" s="2">
        <v>21591.56</v>
      </c>
      <c r="F88" s="2">
        <v>47887.15</v>
      </c>
      <c r="G88" s="3"/>
      <c r="H88" s="2">
        <v>55452.82</v>
      </c>
      <c r="I88" s="3"/>
      <c r="J88" s="2">
        <v>48835.86</v>
      </c>
      <c r="K88" s="3"/>
      <c r="L88" s="2">
        <v>46287.59</v>
      </c>
      <c r="M88" s="3"/>
      <c r="N88" s="2">
        <v>71942.320000000007</v>
      </c>
      <c r="O88" s="3"/>
      <c r="P88" s="2">
        <v>38710</v>
      </c>
      <c r="Q88" s="3"/>
      <c r="R88" s="2">
        <v>138800</v>
      </c>
    </row>
    <row r="89" spans="1:18" s="16" customFormat="1" hidden="1" outlineLevel="2" x14ac:dyDescent="0.35">
      <c r="B89" s="11" t="str">
        <f>CONCATENATE("          ", "6307", " - ", "POSTAGE")</f>
        <v xml:space="preserve">          6307 - POSTAGE</v>
      </c>
      <c r="D89" s="2">
        <v>-71685.56</v>
      </c>
      <c r="F89" s="2">
        <v>-90595.34</v>
      </c>
      <c r="G89" s="3"/>
      <c r="H89" s="2">
        <v>-95765.25</v>
      </c>
      <c r="I89" s="3"/>
      <c r="J89" s="2">
        <v>-78402.570000000007</v>
      </c>
      <c r="K89" s="3"/>
      <c r="L89" s="2">
        <v>-81355.66</v>
      </c>
      <c r="M89" s="3"/>
      <c r="N89" s="2">
        <v>-65770.070000000007</v>
      </c>
      <c r="O89" s="3"/>
      <c r="P89" s="2">
        <v>-31542</v>
      </c>
      <c r="Q89" s="3"/>
      <c r="R89" s="2">
        <v>-174500</v>
      </c>
    </row>
    <row r="90" spans="1:18" s="15" customFormat="1" outlineLevel="1" collapsed="1" x14ac:dyDescent="0.35">
      <c r="A90" s="7"/>
      <c r="B90" s="20" t="str">
        <f>CONCATENATE("     ","General                                           ")</f>
        <v xml:space="preserve">     General                                           </v>
      </c>
      <c r="C90" s="7"/>
      <c r="D90" s="1">
        <f>SUM(OSRRefD21_8x_0)</f>
        <v>20.43</v>
      </c>
      <c r="E90" s="19"/>
      <c r="F90" s="1">
        <f>SUM(OSRRefF21_8x_0)</f>
        <v>0</v>
      </c>
      <c r="G90" s="4"/>
      <c r="H90" s="1">
        <f>SUM(OSRRefH21_8x_0)</f>
        <v>107.33</v>
      </c>
      <c r="I90" s="4"/>
      <c r="J90" s="1">
        <f>SUM(OSRRefJ21_8x_0)</f>
        <v>640.87</v>
      </c>
      <c r="K90" s="4"/>
      <c r="L90" s="1">
        <f>SUM(OSRRefL21_8x_0)</f>
        <v>473.64</v>
      </c>
      <c r="M90" s="4"/>
      <c r="N90" s="1">
        <f>SUM(OSRRefN21_8x_0)</f>
        <v>155.16999999999999</v>
      </c>
      <c r="O90" s="4"/>
      <c r="P90" s="1">
        <f>SUM(OSRRefP21_8x_0)</f>
        <v>0</v>
      </c>
      <c r="Q90" s="4"/>
      <c r="R90" s="1">
        <f>SUM(OSRRefR21_8x_0)</f>
        <v>0</v>
      </c>
    </row>
    <row r="91" spans="1:18" s="16" customFormat="1" hidden="1" outlineLevel="2" x14ac:dyDescent="0.35">
      <c r="B91" s="11" t="str">
        <f>CONCATENATE("          ", "6279", " - ", "GENERAL EXPENSE")</f>
        <v xml:space="preserve">          6279 - GENERAL EXPENSE</v>
      </c>
      <c r="D91" s="2">
        <v>20.43</v>
      </c>
      <c r="F91" s="2"/>
      <c r="G91" s="3"/>
      <c r="H91" s="2">
        <v>107.33</v>
      </c>
      <c r="I91" s="3"/>
      <c r="J91" s="2">
        <v>640.87</v>
      </c>
      <c r="K91" s="3"/>
      <c r="L91" s="2">
        <v>473.64</v>
      </c>
      <c r="M91" s="3"/>
      <c r="N91" s="2">
        <v>155.16999999999999</v>
      </c>
      <c r="O91" s="3"/>
      <c r="P91" s="2"/>
      <c r="Q91" s="3"/>
      <c r="R91" s="2"/>
    </row>
    <row r="92" spans="1:18" s="15" customFormat="1" outlineLevel="1" collapsed="1" x14ac:dyDescent="0.35">
      <c r="A92" s="7"/>
      <c r="B92" s="20" t="str">
        <f>CONCATENATE("     ","Inventory Adjustment                              ")</f>
        <v xml:space="preserve">     Inventory Adjustment                              </v>
      </c>
      <c r="C92" s="7"/>
      <c r="D92" s="1">
        <f>SUM(OSRRefD21_9x_0)</f>
        <v>-7513</v>
      </c>
      <c r="E92" s="19"/>
      <c r="F92" s="1">
        <f>SUM(OSRRefF21_9x_0)</f>
        <v>-1141</v>
      </c>
      <c r="G92" s="4"/>
      <c r="H92" s="1">
        <f>SUM(OSRRefH21_9x_0)</f>
        <v>-14315</v>
      </c>
      <c r="I92" s="4"/>
      <c r="J92" s="1">
        <f>SUM(OSRRefJ21_9x_0)</f>
        <v>-11302</v>
      </c>
      <c r="K92" s="4"/>
      <c r="L92" s="1">
        <f>SUM(OSRRefL21_9x_0)</f>
        <v>-4067</v>
      </c>
      <c r="M92" s="4"/>
      <c r="N92" s="1">
        <f>SUM(OSRRefN21_9x_0)</f>
        <v>369</v>
      </c>
      <c r="O92" s="4"/>
      <c r="P92" s="1">
        <f>SUM(OSRRefP21_9x_0)</f>
        <v>0</v>
      </c>
      <c r="Q92" s="4"/>
      <c r="R92" s="1">
        <f>SUM(OSRRefR21_9x_0)</f>
        <v>0</v>
      </c>
    </row>
    <row r="93" spans="1:18" s="16" customFormat="1" hidden="1" outlineLevel="2" x14ac:dyDescent="0.35">
      <c r="B93" s="11" t="str">
        <f>CONCATENATE("          ", "6408", " - ", "INVENTORY ADJUSTMENT")</f>
        <v xml:space="preserve">          6408 - INVENTORY ADJUSTMENT</v>
      </c>
      <c r="D93" s="2">
        <v>0</v>
      </c>
      <c r="F93" s="2">
        <v>0</v>
      </c>
      <c r="G93" s="3"/>
      <c r="H93" s="2"/>
      <c r="I93" s="3"/>
      <c r="J93" s="2">
        <v>0</v>
      </c>
      <c r="K93" s="3"/>
      <c r="L93" s="2">
        <v>0</v>
      </c>
      <c r="M93" s="3"/>
      <c r="N93" s="2">
        <v>0</v>
      </c>
      <c r="O93" s="3"/>
      <c r="P93" s="2"/>
      <c r="Q93" s="3"/>
      <c r="R93" s="2"/>
    </row>
    <row r="94" spans="1:18" s="16" customFormat="1" hidden="1" outlineLevel="2" x14ac:dyDescent="0.35">
      <c r="B94" s="11" t="str">
        <f>CONCATENATE("          ", "7791", " - ", "INV. SHRINKAGE-GRAD ANNOUNCEME")</f>
        <v xml:space="preserve">          7791 - INV. SHRINKAGE-GRAD ANNOUNCEME</v>
      </c>
      <c r="D94" s="2">
        <v>665</v>
      </c>
      <c r="F94" s="2">
        <v>-54</v>
      </c>
      <c r="G94" s="3"/>
      <c r="H94" s="2">
        <v>-468</v>
      </c>
      <c r="I94" s="3"/>
      <c r="J94" s="2">
        <v>-1014</v>
      </c>
      <c r="K94" s="3"/>
      <c r="L94" s="2"/>
      <c r="M94" s="3"/>
      <c r="N94" s="2"/>
      <c r="O94" s="3"/>
      <c r="P94" s="2"/>
      <c r="Q94" s="3"/>
      <c r="R94" s="2"/>
    </row>
    <row r="95" spans="1:18" s="16" customFormat="1" hidden="1" outlineLevel="2" x14ac:dyDescent="0.35">
      <c r="B95" s="11" t="str">
        <f>CONCATENATE("          ", "7792", " - ", "INV. SHRINKAGE-GRAD MERCH")</f>
        <v xml:space="preserve">          7792 - INV. SHRINKAGE-GRAD MERCH</v>
      </c>
      <c r="D95" s="2">
        <v>-8344</v>
      </c>
      <c r="F95" s="2">
        <v>668</v>
      </c>
      <c r="G95" s="3"/>
      <c r="H95" s="2">
        <v>-8540</v>
      </c>
      <c r="I95" s="3"/>
      <c r="J95" s="2">
        <v>-10247</v>
      </c>
      <c r="K95" s="3"/>
      <c r="L95" s="2">
        <v>-3920</v>
      </c>
      <c r="M95" s="3"/>
      <c r="N95" s="2">
        <v>495</v>
      </c>
      <c r="O95" s="3"/>
      <c r="P95" s="2"/>
      <c r="Q95" s="3"/>
      <c r="R95" s="2"/>
    </row>
    <row r="96" spans="1:18" s="16" customFormat="1" hidden="1" outlineLevel="2" x14ac:dyDescent="0.35">
      <c r="B96" s="11" t="str">
        <f>CONCATENATE("          ", "7795", " - ", "INV. SHRINKAGE-CUSTOMER SERVIC")</f>
        <v xml:space="preserve">          7795 - INV. SHRINKAGE-CUSTOMER SERVIC</v>
      </c>
      <c r="D96" s="2">
        <v>166</v>
      </c>
      <c r="F96" s="2">
        <v>-1755</v>
      </c>
      <c r="G96" s="3"/>
      <c r="H96" s="2">
        <v>-5307</v>
      </c>
      <c r="I96" s="3"/>
      <c r="J96" s="2">
        <v>-41</v>
      </c>
      <c r="K96" s="3"/>
      <c r="L96" s="2">
        <v>-147</v>
      </c>
      <c r="M96" s="3"/>
      <c r="N96" s="2">
        <v>-126</v>
      </c>
      <c r="O96" s="3"/>
      <c r="P96" s="2"/>
      <c r="Q96" s="3"/>
      <c r="R96" s="2"/>
    </row>
    <row r="97" spans="1:18" s="15" customFormat="1" outlineLevel="1" collapsed="1" x14ac:dyDescent="0.35">
      <c r="A97" s="7"/>
      <c r="B97" s="20" t="str">
        <f>CONCATENATE("     ","Repair and Maintenance                            ")</f>
        <v xml:space="preserve">     Repair and Maintenance                            </v>
      </c>
      <c r="C97" s="7"/>
      <c r="D97" s="1">
        <f>SUM(OSRRefD21_10x_0)</f>
        <v>102056.29</v>
      </c>
      <c r="E97" s="19"/>
      <c r="F97" s="1">
        <f>SUM(OSRRefF21_10x_0)</f>
        <v>104317.14</v>
      </c>
      <c r="G97" s="4"/>
      <c r="H97" s="1">
        <f>SUM(OSRRefH21_10x_0)</f>
        <v>89547.150000000009</v>
      </c>
      <c r="I97" s="4"/>
      <c r="J97" s="1">
        <f>SUM(OSRRefJ21_10x_0)</f>
        <v>79792.27</v>
      </c>
      <c r="K97" s="4"/>
      <c r="L97" s="1">
        <f>SUM(OSRRefL21_10x_0)</f>
        <v>72957.009999999995</v>
      </c>
      <c r="M97" s="4"/>
      <c r="N97" s="1">
        <f>SUM(OSRRefN21_10x_0)</f>
        <v>74977.819999999992</v>
      </c>
      <c r="O97" s="4"/>
      <c r="P97" s="1">
        <f>SUM(OSRRefP21_10x_0)</f>
        <v>65000</v>
      </c>
      <c r="Q97" s="4"/>
      <c r="R97" s="1">
        <f>SUM(OSRRefR21_10x_0)</f>
        <v>66100</v>
      </c>
    </row>
    <row r="98" spans="1:18" s="16" customFormat="1" hidden="1" outlineLevel="2" x14ac:dyDescent="0.35">
      <c r="B98" s="11" t="str">
        <f>CONCATENATE("          ", "6371", " - ", "COMPUTER SOFTWARE MAINTENANCE")</f>
        <v xml:space="preserve">          6371 - COMPUTER SOFTWARE MAINTENANCE</v>
      </c>
      <c r="D98" s="2"/>
      <c r="F98" s="2"/>
      <c r="G98" s="3"/>
      <c r="H98" s="2"/>
      <c r="I98" s="3"/>
      <c r="J98" s="2">
        <v>1262.25</v>
      </c>
      <c r="K98" s="3"/>
      <c r="L98" s="2"/>
      <c r="M98" s="3"/>
      <c r="N98" s="2"/>
      <c r="O98" s="3"/>
      <c r="P98" s="2"/>
      <c r="Q98" s="3"/>
      <c r="R98" s="2">
        <v>100</v>
      </c>
    </row>
    <row r="99" spans="1:18" s="16" customFormat="1" hidden="1" outlineLevel="2" x14ac:dyDescent="0.35">
      <c r="B99" s="11" t="str">
        <f>CONCATENATE("          ", "6373", " - ", "MAINTENANCE CONTRACTS")</f>
        <v xml:space="preserve">          6373 - MAINTENANCE CONTRACTS</v>
      </c>
      <c r="D99" s="2">
        <v>101227.61</v>
      </c>
      <c r="F99" s="2">
        <v>97862.04</v>
      </c>
      <c r="G99" s="3"/>
      <c r="H99" s="2">
        <v>82840.070000000007</v>
      </c>
      <c r="I99" s="3"/>
      <c r="J99" s="2">
        <v>77936.41</v>
      </c>
      <c r="K99" s="3"/>
      <c r="L99" s="2">
        <v>72067.81</v>
      </c>
      <c r="M99" s="3"/>
      <c r="N99" s="2">
        <v>73576.06</v>
      </c>
      <c r="O99" s="3"/>
      <c r="P99" s="2">
        <v>65000</v>
      </c>
      <c r="Q99" s="3"/>
      <c r="R99" s="2">
        <v>66000</v>
      </c>
    </row>
    <row r="100" spans="1:18" s="16" customFormat="1" hidden="1" outlineLevel="2" x14ac:dyDescent="0.35">
      <c r="B100" s="11" t="str">
        <f>CONCATENATE("          ", "6375", " - ", "OUTSIDE REPAIRS &amp; MAINTENANCE")</f>
        <v xml:space="preserve">          6375 - OUTSIDE REPAIRS &amp; MAINTENANCE</v>
      </c>
      <c r="D100" s="2">
        <v>828.68</v>
      </c>
      <c r="F100" s="2">
        <v>6455.1</v>
      </c>
      <c r="G100" s="3"/>
      <c r="H100" s="2">
        <v>6707.08</v>
      </c>
      <c r="I100" s="3"/>
      <c r="J100" s="2">
        <v>593.61</v>
      </c>
      <c r="K100" s="3"/>
      <c r="L100" s="2">
        <v>889.2</v>
      </c>
      <c r="M100" s="3"/>
      <c r="N100" s="2">
        <v>1401.76</v>
      </c>
      <c r="O100" s="3"/>
      <c r="P100" s="2"/>
      <c r="Q100" s="3"/>
      <c r="R100" s="2"/>
    </row>
    <row r="101" spans="1:18" s="15" customFormat="1" outlineLevel="1" collapsed="1" x14ac:dyDescent="0.35">
      <c r="A101" s="7"/>
      <c r="B101" s="20" t="str">
        <f>CONCATENATE("     ","Royalty &amp; Commissions                             ")</f>
        <v xml:space="preserve">     Royalty &amp; Commissions                             </v>
      </c>
      <c r="C101" s="7"/>
      <c r="D101" s="1">
        <f>SUM(OSRRefD21_11x_0)</f>
        <v>128573.44</v>
      </c>
      <c r="E101" s="19"/>
      <c r="F101" s="1">
        <f>SUM(OSRRefF21_11x_0)</f>
        <v>156212.99</v>
      </c>
      <c r="G101" s="4"/>
      <c r="H101" s="1">
        <f>SUM(OSRRefH21_11x_0)</f>
        <v>135791.54</v>
      </c>
      <c r="I101" s="4"/>
      <c r="J101" s="1">
        <f>SUM(OSRRefJ21_11x_0)</f>
        <v>123526.33</v>
      </c>
      <c r="K101" s="4"/>
      <c r="L101" s="1">
        <f>SUM(OSRRefL21_11x_0)</f>
        <v>114771.74</v>
      </c>
      <c r="M101" s="4"/>
      <c r="N101" s="1">
        <f>SUM(OSRRefN21_11x_0)</f>
        <v>82607.740000000005</v>
      </c>
      <c r="O101" s="4"/>
      <c r="P101" s="1">
        <f>SUM(OSRRefP21_11x_0)</f>
        <v>36150</v>
      </c>
      <c r="Q101" s="4"/>
      <c r="R101" s="1">
        <f>SUM(OSRRefR21_11x_0)</f>
        <v>47000</v>
      </c>
    </row>
    <row r="102" spans="1:18" s="16" customFormat="1" hidden="1" outlineLevel="2" x14ac:dyDescent="0.35">
      <c r="B102" s="11" t="str">
        <f>CONCATENATE("          ", "6255", " - ", "COMMISSIONS-PENNY/COPY/UNIPRIN")</f>
        <v xml:space="preserve">          6255 - COMMISSIONS-PENNY/COPY/UNIPRIN</v>
      </c>
      <c r="D102" s="2">
        <v>77184.759999999995</v>
      </c>
      <c r="F102" s="2"/>
      <c r="G102" s="3"/>
      <c r="H102" s="2"/>
      <c r="I102" s="3"/>
      <c r="J102" s="2"/>
      <c r="K102" s="3"/>
      <c r="L102" s="2"/>
      <c r="M102" s="3"/>
      <c r="N102" s="2"/>
      <c r="O102" s="3"/>
      <c r="P102" s="2"/>
      <c r="Q102" s="3"/>
      <c r="R102" s="2"/>
    </row>
    <row r="103" spans="1:18" s="16" customFormat="1" hidden="1" outlineLevel="2" x14ac:dyDescent="0.35">
      <c r="B103" s="11" t="str">
        <f>CONCATENATE("          ", "6259", " - ", "ROYALTY &amp; COMMISSIONS")</f>
        <v xml:space="preserve">          6259 - ROYALTY &amp; COMMISSIONS</v>
      </c>
      <c r="D103" s="2">
        <v>51388.68</v>
      </c>
      <c r="F103" s="2">
        <v>156212.99</v>
      </c>
      <c r="G103" s="3"/>
      <c r="H103" s="2">
        <v>135791.54</v>
      </c>
      <c r="I103" s="3"/>
      <c r="J103" s="2">
        <v>123526.33</v>
      </c>
      <c r="K103" s="3"/>
      <c r="L103" s="2">
        <v>114771.74</v>
      </c>
      <c r="M103" s="3"/>
      <c r="N103" s="2">
        <v>82607.740000000005</v>
      </c>
      <c r="O103" s="3"/>
      <c r="P103" s="2">
        <v>36150</v>
      </c>
      <c r="Q103" s="3"/>
      <c r="R103" s="2">
        <v>47000</v>
      </c>
    </row>
    <row r="104" spans="1:18" s="15" customFormat="1" outlineLevel="1" collapsed="1" x14ac:dyDescent="0.35">
      <c r="A104" s="7"/>
      <c r="B104" s="20" t="str">
        <f>CONCATENATE("     ","Supplies                                          ")</f>
        <v xml:space="preserve">     Supplies                                          </v>
      </c>
      <c r="C104" s="7"/>
      <c r="D104" s="1">
        <f>SUM(OSRRefD21_12x_0)</f>
        <v>125733.25</v>
      </c>
      <c r="E104" s="19"/>
      <c r="F104" s="1">
        <f>SUM(OSRRefF21_12x_0)</f>
        <v>95642.63</v>
      </c>
      <c r="G104" s="4"/>
      <c r="H104" s="1">
        <f>SUM(OSRRefH21_12x_0)</f>
        <v>105004.70000000001</v>
      </c>
      <c r="I104" s="4"/>
      <c r="J104" s="1">
        <f>SUM(OSRRefJ21_12x_0)</f>
        <v>78710.320000000007</v>
      </c>
      <c r="K104" s="4"/>
      <c r="L104" s="1">
        <f>SUM(OSRRefL21_12x_0)</f>
        <v>65003.939999999995</v>
      </c>
      <c r="M104" s="4"/>
      <c r="N104" s="1">
        <f>SUM(OSRRefN21_12x_0)</f>
        <v>57569.740000000005</v>
      </c>
      <c r="O104" s="4"/>
      <c r="P104" s="1">
        <f>SUM(OSRRefP21_12x_0)</f>
        <v>31450</v>
      </c>
      <c r="Q104" s="4"/>
      <c r="R104" s="1">
        <f>SUM(OSRRefR21_12x_0)</f>
        <v>52300</v>
      </c>
    </row>
    <row r="105" spans="1:18" s="16" customFormat="1" hidden="1" outlineLevel="2" x14ac:dyDescent="0.35">
      <c r="B105" s="11" t="str">
        <f>CONCATENATE("          ", "6234", " - ", "EXPENDABLE SUPPLIES &amp; EQUIPMEN")</f>
        <v xml:space="preserve">          6234 - EXPENDABLE SUPPLIES &amp; EQUIPMEN</v>
      </c>
      <c r="D105" s="2">
        <v>4635.3500000000004</v>
      </c>
      <c r="F105" s="2">
        <v>5097.87</v>
      </c>
      <c r="G105" s="3"/>
      <c r="H105" s="2">
        <v>4012.07</v>
      </c>
      <c r="I105" s="3"/>
      <c r="J105" s="2">
        <v>3238.28</v>
      </c>
      <c r="K105" s="3"/>
      <c r="L105" s="2">
        <v>856.68</v>
      </c>
      <c r="M105" s="3"/>
      <c r="N105" s="2">
        <v>5373.37</v>
      </c>
      <c r="O105" s="3"/>
      <c r="P105" s="2"/>
      <c r="Q105" s="3"/>
      <c r="R105" s="2"/>
    </row>
    <row r="106" spans="1:18" s="16" customFormat="1" hidden="1" outlineLevel="2" x14ac:dyDescent="0.35">
      <c r="B106" s="11" t="str">
        <f>CONCATENATE("          ", "6237", " - ", "JANITORIAL SUPPLIES")</f>
        <v xml:space="preserve">          6237 - JANITORIAL SUPPLIES</v>
      </c>
      <c r="D106" s="2">
        <v>450</v>
      </c>
      <c r="F106" s="2"/>
      <c r="G106" s="3"/>
      <c r="H106" s="2">
        <v>-190</v>
      </c>
      <c r="I106" s="3"/>
      <c r="J106" s="2"/>
      <c r="K106" s="3"/>
      <c r="L106" s="2"/>
      <c r="M106" s="3"/>
      <c r="N106" s="2"/>
      <c r="O106" s="3"/>
      <c r="P106" s="2"/>
      <c r="Q106" s="3"/>
      <c r="R106" s="2"/>
    </row>
    <row r="107" spans="1:18" s="16" customFormat="1" hidden="1" outlineLevel="2" x14ac:dyDescent="0.35">
      <c r="B107" s="11" t="str">
        <f>CONCATENATE("          ", "6241", " - ", "OFFICE EXPENSE")</f>
        <v xml:space="preserve">          6241 - OFFICE EXPENSE</v>
      </c>
      <c r="D107" s="2">
        <v>19741.93</v>
      </c>
      <c r="F107" s="2">
        <v>8269.5</v>
      </c>
      <c r="G107" s="3"/>
      <c r="H107" s="2">
        <v>7876.11</v>
      </c>
      <c r="I107" s="3"/>
      <c r="J107" s="2">
        <v>3819.3</v>
      </c>
      <c r="K107" s="3"/>
      <c r="L107" s="2">
        <v>87.38</v>
      </c>
      <c r="M107" s="3"/>
      <c r="N107" s="2">
        <v>1713.32</v>
      </c>
      <c r="O107" s="3"/>
      <c r="P107" s="2"/>
      <c r="Q107" s="3"/>
      <c r="R107" s="2">
        <v>100</v>
      </c>
    </row>
    <row r="108" spans="1:18" s="16" customFormat="1" hidden="1" outlineLevel="2" x14ac:dyDescent="0.35">
      <c r="B108" s="11" t="str">
        <f>CONCATENATE("          ", "6243", " - ", "PAPER SUPPLIES")</f>
        <v xml:space="preserve">          6243 - PAPER SUPPLIES</v>
      </c>
      <c r="D108" s="2">
        <v>2435.15</v>
      </c>
      <c r="F108" s="2">
        <v>62923.6</v>
      </c>
      <c r="G108" s="3"/>
      <c r="H108" s="2">
        <v>39889.68</v>
      </c>
      <c r="I108" s="3"/>
      <c r="J108" s="2">
        <v>36853.03</v>
      </c>
      <c r="K108" s="3"/>
      <c r="L108" s="2">
        <v>35477.599999999999</v>
      </c>
      <c r="M108" s="3"/>
      <c r="N108" s="2">
        <v>18447.68</v>
      </c>
      <c r="O108" s="3"/>
      <c r="P108" s="2">
        <v>27700</v>
      </c>
      <c r="Q108" s="3"/>
      <c r="R108" s="2">
        <v>38600</v>
      </c>
    </row>
    <row r="109" spans="1:18" s="16" customFormat="1" hidden="1" outlineLevel="2" x14ac:dyDescent="0.35">
      <c r="B109" s="11" t="str">
        <f>CONCATENATE("          ", "6245", " - ", "PRINTING")</f>
        <v xml:space="preserve">          6245 - PRINTING</v>
      </c>
      <c r="D109" s="2">
        <v>1621.45</v>
      </c>
      <c r="F109" s="2">
        <v>5616.37</v>
      </c>
      <c r="G109" s="3"/>
      <c r="H109" s="2">
        <v>18674.91</v>
      </c>
      <c r="I109" s="3"/>
      <c r="J109" s="2">
        <v>12061.41</v>
      </c>
      <c r="K109" s="3"/>
      <c r="L109" s="2">
        <v>11271.75</v>
      </c>
      <c r="M109" s="3"/>
      <c r="N109" s="2">
        <v>5894.17</v>
      </c>
      <c r="O109" s="3"/>
      <c r="P109" s="2">
        <v>2500</v>
      </c>
      <c r="Q109" s="3"/>
      <c r="R109" s="2">
        <v>10395</v>
      </c>
    </row>
    <row r="110" spans="1:18" s="16" customFormat="1" hidden="1" outlineLevel="2" x14ac:dyDescent="0.35">
      <c r="B110" s="11" t="str">
        <f>CONCATENATE("          ", "6247", " - ", "STORE SUPPLIES")</f>
        <v xml:space="preserve">          6247 - STORE SUPPLIES</v>
      </c>
      <c r="D110" s="2">
        <v>96849.37</v>
      </c>
      <c r="F110" s="2">
        <v>13735.29</v>
      </c>
      <c r="G110" s="3"/>
      <c r="H110" s="2">
        <v>34741.93</v>
      </c>
      <c r="I110" s="3"/>
      <c r="J110" s="2">
        <v>22738.3</v>
      </c>
      <c r="K110" s="3"/>
      <c r="L110" s="2">
        <v>17310.53</v>
      </c>
      <c r="M110" s="3"/>
      <c r="N110" s="2">
        <v>26141.200000000001</v>
      </c>
      <c r="O110" s="3"/>
      <c r="P110" s="2">
        <v>1250</v>
      </c>
      <c r="Q110" s="3"/>
      <c r="R110" s="2">
        <v>3205</v>
      </c>
    </row>
    <row r="111" spans="1:18" s="15" customFormat="1" outlineLevel="1" collapsed="1" x14ac:dyDescent="0.35">
      <c r="A111" s="7"/>
      <c r="B111" s="20" t="str">
        <f>CONCATENATE("     ","Telephone/Data Lines                              ")</f>
        <v xml:space="preserve">     Telephone/Data Lines                              </v>
      </c>
      <c r="C111" s="7"/>
      <c r="D111" s="1">
        <f>SUM(OSRRefD21_13x_0)</f>
        <v>4369.22</v>
      </c>
      <c r="E111" s="19"/>
      <c r="F111" s="1">
        <f>SUM(OSRRefF21_13x_0)</f>
        <v>4653.87</v>
      </c>
      <c r="G111" s="4"/>
      <c r="H111" s="1">
        <f>SUM(OSRRefH21_13x_0)</f>
        <v>4274.67</v>
      </c>
      <c r="I111" s="4"/>
      <c r="J111" s="1">
        <f>SUM(OSRRefJ21_13x_0)</f>
        <v>4018.08</v>
      </c>
      <c r="K111" s="4"/>
      <c r="L111" s="1">
        <f>SUM(OSRRefL21_13x_0)</f>
        <v>3720.25</v>
      </c>
      <c r="M111" s="4"/>
      <c r="N111" s="1">
        <f>SUM(OSRRefN21_13x_0)</f>
        <v>2338.5</v>
      </c>
      <c r="O111" s="4"/>
      <c r="P111" s="1">
        <f>SUM(OSRRefP21_13x_0)</f>
        <v>1980</v>
      </c>
      <c r="Q111" s="4"/>
      <c r="R111" s="1">
        <f>SUM(OSRRefR21_13x_0)</f>
        <v>2100</v>
      </c>
    </row>
    <row r="112" spans="1:18" s="16" customFormat="1" hidden="1" outlineLevel="2" x14ac:dyDescent="0.35">
      <c r="B112" s="11" t="str">
        <f>CONCATENATE("          ", "6309", " - ", "TELEPHONE")</f>
        <v xml:space="preserve">          6309 - TELEPHONE</v>
      </c>
      <c r="D112" s="2">
        <v>4369.22</v>
      </c>
      <c r="F112" s="2">
        <v>4653.87</v>
      </c>
      <c r="G112" s="3"/>
      <c r="H112" s="2">
        <v>4274.67</v>
      </c>
      <c r="I112" s="3"/>
      <c r="J112" s="2">
        <v>4018.08</v>
      </c>
      <c r="K112" s="3"/>
      <c r="L112" s="2">
        <v>3720.25</v>
      </c>
      <c r="M112" s="3"/>
      <c r="N112" s="2">
        <v>2338.5</v>
      </c>
      <c r="O112" s="3"/>
      <c r="P112" s="2">
        <v>1980</v>
      </c>
      <c r="Q112" s="3"/>
      <c r="R112" s="2">
        <v>2100</v>
      </c>
    </row>
    <row r="113" spans="1:18" s="15" customFormat="1" outlineLevel="1" collapsed="1" x14ac:dyDescent="0.35">
      <c r="A113" s="7"/>
      <c r="B113" s="20" t="str">
        <f>CONCATENATE("     ","Training                                          ")</f>
        <v xml:space="preserve">     Training                                          </v>
      </c>
      <c r="C113" s="7"/>
      <c r="D113" s="1">
        <f>SUM(OSRRefD21_14x_0)</f>
        <v>0</v>
      </c>
      <c r="E113" s="19"/>
      <c r="F113" s="1">
        <f>SUM(OSRRefF21_14x_0)</f>
        <v>632.14</v>
      </c>
      <c r="G113" s="4"/>
      <c r="H113" s="1">
        <f>SUM(OSRRefH21_14x_0)</f>
        <v>531.96</v>
      </c>
      <c r="I113" s="4"/>
      <c r="J113" s="1">
        <f>SUM(OSRRefJ21_14x_0)</f>
        <v>0</v>
      </c>
      <c r="K113" s="4"/>
      <c r="L113" s="1">
        <f>SUM(OSRRefL21_14x_0)</f>
        <v>0</v>
      </c>
      <c r="M113" s="4"/>
      <c r="N113" s="1">
        <f>SUM(OSRRefN21_14x_0)</f>
        <v>97.71</v>
      </c>
      <c r="O113" s="4"/>
      <c r="P113" s="1">
        <f>SUM(OSRRefP21_14x_0)</f>
        <v>0</v>
      </c>
      <c r="Q113" s="4"/>
      <c r="R113" s="1">
        <f>SUM(OSRRefR21_14x_0)</f>
        <v>0</v>
      </c>
    </row>
    <row r="114" spans="1:18" s="16" customFormat="1" hidden="1" outlineLevel="2" x14ac:dyDescent="0.35">
      <c r="B114" s="11" t="str">
        <f>CONCATENATE("          ", "6376", " - ", "TRAINING")</f>
        <v xml:space="preserve">          6376 - TRAINING</v>
      </c>
      <c r="D114" s="2"/>
      <c r="F114" s="2">
        <v>632.14</v>
      </c>
      <c r="G114" s="3"/>
      <c r="H114" s="2">
        <v>531.96</v>
      </c>
      <c r="I114" s="3"/>
      <c r="J114" s="2"/>
      <c r="K114" s="3"/>
      <c r="L114" s="2"/>
      <c r="M114" s="3"/>
      <c r="N114" s="2">
        <v>97.71</v>
      </c>
      <c r="O114" s="3"/>
      <c r="P114" s="2"/>
      <c r="Q114" s="3"/>
      <c r="R114" s="2"/>
    </row>
    <row r="115" spans="1:18" s="15" customFormat="1" outlineLevel="1" collapsed="1" x14ac:dyDescent="0.35">
      <c r="A115" s="7"/>
      <c r="B115" s="20" t="str">
        <f>CONCATENATE("     ","Travel                                            ")</f>
        <v xml:space="preserve">     Travel                                            </v>
      </c>
      <c r="C115" s="7"/>
      <c r="D115" s="1">
        <f>SUM(OSRRefD21_15x_0)</f>
        <v>10</v>
      </c>
      <c r="E115" s="19"/>
      <c r="F115" s="1">
        <f>SUM(OSRRefF21_15x_0)</f>
        <v>0</v>
      </c>
      <c r="G115" s="4"/>
      <c r="H115" s="1">
        <f>SUM(OSRRefH21_15x_0)</f>
        <v>296.19</v>
      </c>
      <c r="I115" s="4"/>
      <c r="J115" s="1">
        <f>SUM(OSRRefJ21_15x_0)</f>
        <v>17.5</v>
      </c>
      <c r="K115" s="4"/>
      <c r="L115" s="1">
        <f>SUM(OSRRefL21_15x_0)</f>
        <v>0</v>
      </c>
      <c r="M115" s="4"/>
      <c r="N115" s="1">
        <f>SUM(OSRRefN21_15x_0)</f>
        <v>0</v>
      </c>
      <c r="O115" s="4"/>
      <c r="P115" s="1">
        <f>SUM(OSRRefP21_15x_0)</f>
        <v>0</v>
      </c>
      <c r="Q115" s="4"/>
      <c r="R115" s="1">
        <f>SUM(OSRRefR21_15x_0)</f>
        <v>0</v>
      </c>
    </row>
    <row r="116" spans="1:18" s="16" customFormat="1" hidden="1" outlineLevel="2" x14ac:dyDescent="0.35">
      <c r="B116" s="11" t="str">
        <f>CONCATENATE("          ", "6292", " - ", "TRAVEL/CONFERENCE")</f>
        <v xml:space="preserve">          6292 - TRAVEL/CONFERENCE</v>
      </c>
      <c r="D116" s="2">
        <v>10</v>
      </c>
      <c r="F116" s="2"/>
      <c r="G116" s="3"/>
      <c r="H116" s="2">
        <v>296.19</v>
      </c>
      <c r="I116" s="3"/>
      <c r="J116" s="2">
        <v>17.5</v>
      </c>
      <c r="K116" s="3"/>
      <c r="L116" s="2"/>
      <c r="M116" s="3"/>
      <c r="N116" s="2"/>
      <c r="O116" s="3"/>
      <c r="P116" s="2"/>
      <c r="Q116" s="3"/>
      <c r="R116" s="2"/>
    </row>
    <row r="117" spans="1:18" s="15" customFormat="1" outlineLevel="1" collapsed="1" x14ac:dyDescent="0.35">
      <c r="A117" s="7"/>
      <c r="B117" s="20" t="str">
        <f>CONCATENATE("     ","Utilities                                         ")</f>
        <v xml:space="preserve">     Utilities                                         </v>
      </c>
      <c r="C117" s="7"/>
      <c r="D117" s="1">
        <f>SUM(OSRRefD21_16x_0)</f>
        <v>27.43</v>
      </c>
      <c r="E117" s="19"/>
      <c r="F117" s="1">
        <f>SUM(OSRRefF21_16x_0)</f>
        <v>0</v>
      </c>
      <c r="G117" s="4"/>
      <c r="H117" s="1">
        <f>SUM(OSRRefH21_16x_0)</f>
        <v>0</v>
      </c>
      <c r="I117" s="4"/>
      <c r="J117" s="1">
        <f>SUM(OSRRefJ21_16x_0)</f>
        <v>0</v>
      </c>
      <c r="K117" s="4"/>
      <c r="L117" s="1">
        <f>SUM(OSRRefL21_16x_0)</f>
        <v>0</v>
      </c>
      <c r="M117" s="4"/>
      <c r="N117" s="1">
        <f>SUM(OSRRefN21_16x_0)</f>
        <v>0</v>
      </c>
      <c r="O117" s="4"/>
      <c r="P117" s="1">
        <f>SUM(OSRRefP21_16x_0)</f>
        <v>0</v>
      </c>
      <c r="Q117" s="4"/>
      <c r="R117" s="1">
        <f>SUM(OSRRefR21_16x_0)</f>
        <v>0</v>
      </c>
    </row>
    <row r="118" spans="1:18" s="16" customFormat="1" hidden="1" outlineLevel="2" x14ac:dyDescent="0.35">
      <c r="B118" s="11" t="str">
        <f>CONCATENATE("          ", "6274", " - ", "UTILITIES")</f>
        <v xml:space="preserve">          6274 - UTILITIES</v>
      </c>
      <c r="D118" s="2">
        <v>27.43</v>
      </c>
      <c r="F118" s="2"/>
      <c r="G118" s="3"/>
      <c r="H118" s="2"/>
      <c r="I118" s="3"/>
      <c r="J118" s="2"/>
      <c r="K118" s="3"/>
      <c r="L118" s="2"/>
      <c r="M118" s="3"/>
      <c r="N118" s="2"/>
      <c r="O118" s="3"/>
      <c r="P118" s="2"/>
      <c r="Q118" s="3"/>
      <c r="R118" s="2"/>
    </row>
    <row r="119" spans="1:18" x14ac:dyDescent="0.35">
      <c r="A119" s="12"/>
      <c r="B119" s="12"/>
      <c r="C119" s="12"/>
      <c r="D119" s="1"/>
      <c r="F119" s="1"/>
      <c r="H119" s="1"/>
      <c r="J119" s="1"/>
      <c r="L119" s="1"/>
      <c r="N119" s="1"/>
      <c r="P119" s="1"/>
      <c r="R119" s="1"/>
    </row>
    <row r="120" spans="1:18" s="7" customFormat="1" collapsed="1" x14ac:dyDescent="0.35">
      <c r="A120" s="36"/>
      <c r="B120" s="34" t="s">
        <v>295</v>
      </c>
      <c r="D120" s="6">
        <f>SUM(OSRRefD24x_0)</f>
        <v>359627.43999999994</v>
      </c>
      <c r="E120" s="12"/>
      <c r="F120" s="6">
        <f>SUM(OSRRefF24x_0)</f>
        <v>374480.33</v>
      </c>
      <c r="G120" s="5"/>
      <c r="H120" s="6">
        <f>SUM(OSRRefH24x_0)</f>
        <v>610612.16</v>
      </c>
      <c r="I120" s="5"/>
      <c r="J120" s="6">
        <f>SUM(OSRRefJ24x_0)</f>
        <v>550680.42000000004</v>
      </c>
      <c r="K120" s="5"/>
      <c r="L120" s="6">
        <f>SUM(OSRRefL24x_0)</f>
        <v>796849.53999999992</v>
      </c>
      <c r="M120" s="5"/>
      <c r="N120" s="6">
        <f>SUM(OSRRefN24x_0)</f>
        <v>671250.55</v>
      </c>
      <c r="O120" s="5"/>
      <c r="P120" s="6">
        <f>SUM(OSRRefP24x_0)</f>
        <v>82500</v>
      </c>
      <c r="Q120" s="5"/>
      <c r="R120" s="6">
        <f>SUM(OSRRefR24x_0)</f>
        <v>33910</v>
      </c>
    </row>
    <row r="121" spans="1:18" s="7" customFormat="1" hidden="1" outlineLevel="1" x14ac:dyDescent="0.35">
      <c r="A121" s="36"/>
      <c r="B121" s="11" t="str">
        <f>CONCATENATE("          ", "4096", " - ", "TAXABLE SALES-CUSTOMER SERVICE")</f>
        <v xml:space="preserve">          4096 - TAXABLE SALES-CUSTOMER SERVICE</v>
      </c>
      <c r="D121" s="11">
        <f>--810</f>
        <v>810</v>
      </c>
      <c r="E121" s="16"/>
      <c r="F121" s="11">
        <f>--4.95</f>
        <v>4.95</v>
      </c>
      <c r="G121" s="3"/>
      <c r="H121" s="11">
        <f>0</f>
        <v>0</v>
      </c>
      <c r="I121" s="3"/>
      <c r="J121" s="11">
        <f>0</f>
        <v>0</v>
      </c>
      <c r="K121" s="3"/>
      <c r="L121" s="11">
        <f>0</f>
        <v>0</v>
      </c>
      <c r="M121" s="3"/>
      <c r="N121" s="11">
        <f>0</f>
        <v>0</v>
      </c>
      <c r="O121" s="3"/>
      <c r="P121" s="11"/>
      <c r="Q121" s="3"/>
      <c r="R121" s="11"/>
    </row>
    <row r="122" spans="1:18" s="7" customFormat="1" hidden="1" outlineLevel="1" x14ac:dyDescent="0.35">
      <c r="A122" s="36"/>
      <c r="B122" s="11" t="str">
        <f>CONCATENATE("          ", "4098", " - ", "TAXABLE SALES-GRAD RENTALS")</f>
        <v xml:space="preserve">          4098 - TAXABLE SALES-GRAD RENTALS</v>
      </c>
      <c r="D122" s="11">
        <f>--244356.74</f>
        <v>244356.74</v>
      </c>
      <c r="E122" s="16"/>
      <c r="F122" s="11">
        <f>--178590.88</f>
        <v>178590.88</v>
      </c>
      <c r="G122" s="3"/>
      <c r="H122" s="11">
        <f>--122982.11</f>
        <v>122982.11</v>
      </c>
      <c r="I122" s="3"/>
      <c r="J122" s="11">
        <f>--103080.07</f>
        <v>103080.07</v>
      </c>
      <c r="K122" s="3"/>
      <c r="L122" s="11">
        <f>--86267.28</f>
        <v>86267.28</v>
      </c>
      <c r="M122" s="3"/>
      <c r="N122" s="11">
        <f>--1946.85</f>
        <v>1946.85</v>
      </c>
      <c r="O122" s="3"/>
      <c r="P122" s="11"/>
      <c r="Q122" s="3"/>
      <c r="R122" s="11"/>
    </row>
    <row r="123" spans="1:18" s="7" customFormat="1" hidden="1" outlineLevel="1" x14ac:dyDescent="0.35">
      <c r="A123" s="36"/>
      <c r="B123" s="11" t="str">
        <f>CONCATENATE("          ", "4196", " - ", "NON-TAXABLE SALES-CUSTOMER SER")</f>
        <v xml:space="preserve">          4196 - NON-TAXABLE SALES-CUSTOMER SER</v>
      </c>
      <c r="D123" s="11">
        <f>--125</f>
        <v>125</v>
      </c>
      <c r="E123" s="16"/>
      <c r="F123" s="11">
        <f>0</f>
        <v>0</v>
      </c>
      <c r="G123" s="3"/>
      <c r="H123" s="11">
        <f t="shared" ref="H123:H124" si="12">0</f>
        <v>0</v>
      </c>
      <c r="I123" s="3"/>
      <c r="J123" s="11">
        <f>0</f>
        <v>0</v>
      </c>
      <c r="K123" s="3"/>
      <c r="L123" s="11">
        <f>0</f>
        <v>0</v>
      </c>
      <c r="M123" s="3"/>
      <c r="N123" s="11">
        <f>0</f>
        <v>0</v>
      </c>
      <c r="O123" s="3"/>
      <c r="P123" s="11"/>
      <c r="Q123" s="3"/>
      <c r="R123" s="11"/>
    </row>
    <row r="124" spans="1:18" s="7" customFormat="1" hidden="1" outlineLevel="1" x14ac:dyDescent="0.35">
      <c r="A124" s="36"/>
      <c r="B124" s="11" t="str">
        <f>CONCATENATE("          ", "4197", " - ", "NON-TAXABLE SALES-RETURNED CHE")</f>
        <v xml:space="preserve">          4197 - NON-TAXABLE SALES-RETURNED CHE</v>
      </c>
      <c r="D124" s="11">
        <f>--20</f>
        <v>20</v>
      </c>
      <c r="E124" s="16"/>
      <c r="F124" s="11">
        <f>--70</f>
        <v>70</v>
      </c>
      <c r="G124" s="3"/>
      <c r="H124" s="11">
        <f t="shared" si="12"/>
        <v>0</v>
      </c>
      <c r="I124" s="3"/>
      <c r="J124" s="11">
        <f>--227.5</f>
        <v>227.5</v>
      </c>
      <c r="K124" s="3"/>
      <c r="L124" s="11">
        <f>--335</f>
        <v>335</v>
      </c>
      <c r="M124" s="3"/>
      <c r="N124" s="11">
        <f>--30</f>
        <v>30</v>
      </c>
      <c r="O124" s="3"/>
      <c r="P124" s="11"/>
      <c r="Q124" s="3"/>
      <c r="R124" s="11"/>
    </row>
    <row r="125" spans="1:18" s="7" customFormat="1" hidden="1" outlineLevel="1" x14ac:dyDescent="0.35">
      <c r="A125" s="36"/>
      <c r="B125" s="11" t="str">
        <f>CONCATENATE("          ", "4198", " - ", "NON-TAXABLE SALES-GRAD RENTALS")</f>
        <v xml:space="preserve">          4198 - NON-TAXABLE SALES-GRAD RENTALS</v>
      </c>
      <c r="D125" s="11">
        <f>--740</f>
        <v>740</v>
      </c>
      <c r="E125" s="16"/>
      <c r="F125" s="11">
        <f>--79118.7</f>
        <v>79118.7</v>
      </c>
      <c r="G125" s="3"/>
      <c r="H125" s="11">
        <f>--182844.41</f>
        <v>182844.41</v>
      </c>
      <c r="I125" s="3"/>
      <c r="J125" s="11">
        <f>--192651.25</f>
        <v>192651.25</v>
      </c>
      <c r="K125" s="3"/>
      <c r="L125" s="11">
        <f>--449104.41</f>
        <v>449104.41</v>
      </c>
      <c r="M125" s="3"/>
      <c r="N125" s="11">
        <f>--163.76</f>
        <v>163.76</v>
      </c>
      <c r="O125" s="3"/>
      <c r="P125" s="11"/>
      <c r="Q125" s="3"/>
      <c r="R125" s="11"/>
    </row>
    <row r="126" spans="1:18" s="7" customFormat="1" hidden="1" outlineLevel="1" x14ac:dyDescent="0.35">
      <c r="A126" s="36"/>
      <c r="B126" s="11" t="str">
        <f>CONCATENATE("          ", "4296", " - ", "SALES RETURN TAXABLE-CUSTOMER")</f>
        <v xml:space="preserve">          4296 - SALES RETURN TAXABLE-CUSTOMER</v>
      </c>
      <c r="D126" s="11">
        <f>-810</f>
        <v>-810</v>
      </c>
      <c r="E126" s="16"/>
      <c r="F126" s="11">
        <f>0</f>
        <v>0</v>
      </c>
      <c r="G126" s="3"/>
      <c r="H126" s="11">
        <f>0</f>
        <v>0</v>
      </c>
      <c r="I126" s="3"/>
      <c r="J126" s="11">
        <f>0</f>
        <v>0</v>
      </c>
      <c r="K126" s="3"/>
      <c r="L126" s="11">
        <f t="shared" ref="L126:L130" si="13">0</f>
        <v>0</v>
      </c>
      <c r="M126" s="3"/>
      <c r="N126" s="11">
        <f t="shared" ref="N126:N130" si="14">0</f>
        <v>0</v>
      </c>
      <c r="O126" s="3"/>
      <c r="P126" s="11"/>
      <c r="Q126" s="3"/>
      <c r="R126" s="11"/>
    </row>
    <row r="127" spans="1:18" s="7" customFormat="1" hidden="1" outlineLevel="1" x14ac:dyDescent="0.35">
      <c r="A127" s="36"/>
      <c r="B127" s="11" t="str">
        <f>CONCATENATE("          ", "4298", " - ", "SALES RETURN TAXABLE-GRAD RENT")</f>
        <v xml:space="preserve">          4298 - SALES RETURN TAXABLE-GRAD RENT</v>
      </c>
      <c r="D127" s="11">
        <f>-3554</f>
        <v>-3554</v>
      </c>
      <c r="E127" s="16"/>
      <c r="F127" s="11">
        <f>-646.95</f>
        <v>-646.95000000000005</v>
      </c>
      <c r="G127" s="3"/>
      <c r="H127" s="11">
        <f>-1223.7</f>
        <v>-1223.7</v>
      </c>
      <c r="I127" s="3"/>
      <c r="J127" s="11">
        <f>-196</f>
        <v>-196</v>
      </c>
      <c r="K127" s="3"/>
      <c r="L127" s="11">
        <f t="shared" si="13"/>
        <v>0</v>
      </c>
      <c r="M127" s="3"/>
      <c r="N127" s="11">
        <f t="shared" si="14"/>
        <v>0</v>
      </c>
      <c r="O127" s="3"/>
      <c r="P127" s="11"/>
      <c r="Q127" s="3"/>
      <c r="R127" s="11"/>
    </row>
    <row r="128" spans="1:18" s="7" customFormat="1" hidden="1" outlineLevel="1" x14ac:dyDescent="0.35">
      <c r="A128" s="36"/>
      <c r="B128" s="11" t="str">
        <f>CONCATENATE("          ", "4396", " - ", "SALES RETURN NON TAXABLE-CUSTO")</f>
        <v xml:space="preserve">          4396 - SALES RETURN NON TAXABLE-CUSTO</v>
      </c>
      <c r="D128" s="11">
        <f>-100</f>
        <v>-100</v>
      </c>
      <c r="E128" s="16"/>
      <c r="F128" s="11">
        <f t="shared" ref="F128:F129" si="15">0</f>
        <v>0</v>
      </c>
      <c r="G128" s="3"/>
      <c r="H128" s="11">
        <f t="shared" ref="H128:H129" si="16">0</f>
        <v>0</v>
      </c>
      <c r="I128" s="3"/>
      <c r="J128" s="11">
        <f t="shared" ref="J128:J130" si="17">0</f>
        <v>0</v>
      </c>
      <c r="K128" s="3"/>
      <c r="L128" s="11">
        <f t="shared" si="13"/>
        <v>0</v>
      </c>
      <c r="M128" s="3"/>
      <c r="N128" s="11">
        <f t="shared" si="14"/>
        <v>0</v>
      </c>
      <c r="O128" s="3"/>
      <c r="P128" s="11"/>
      <c r="Q128" s="3"/>
      <c r="R128" s="11"/>
    </row>
    <row r="129" spans="1:18" s="7" customFormat="1" hidden="1" outlineLevel="1" x14ac:dyDescent="0.35">
      <c r="A129" s="36"/>
      <c r="B129" s="11" t="str">
        <f>CONCATENATE("          ", "4398", " - ", "SALES RETURN NON TAXABLE-GRAD")</f>
        <v xml:space="preserve">          4398 - SALES RETURN NON TAXABLE-GRAD</v>
      </c>
      <c r="D129" s="11">
        <f>-374</f>
        <v>-374</v>
      </c>
      <c r="E129" s="16"/>
      <c r="F129" s="11">
        <f t="shared" si="15"/>
        <v>0</v>
      </c>
      <c r="G129" s="3"/>
      <c r="H129" s="11">
        <f t="shared" si="16"/>
        <v>0</v>
      </c>
      <c r="I129" s="3"/>
      <c r="J129" s="11">
        <f t="shared" si="17"/>
        <v>0</v>
      </c>
      <c r="K129" s="3"/>
      <c r="L129" s="11">
        <f t="shared" si="13"/>
        <v>0</v>
      </c>
      <c r="M129" s="3"/>
      <c r="N129" s="11">
        <f t="shared" si="14"/>
        <v>0</v>
      </c>
      <c r="O129" s="3"/>
      <c r="P129" s="11"/>
      <c r="Q129" s="3"/>
      <c r="R129" s="11"/>
    </row>
    <row r="130" spans="1:18" s="7" customFormat="1" hidden="1" outlineLevel="1" x14ac:dyDescent="0.35">
      <c r="A130" s="36"/>
      <c r="B130" s="11" t="str">
        <f>CONCATENATE("          ", "5096", " - ", "PURCHASES @ COST-CUSTOMER SERV")</f>
        <v xml:space="preserve">          5096 - PURCHASES @ COST-CUSTOMER SERV</v>
      </c>
      <c r="D130" s="11">
        <f>-2437.5</f>
        <v>-2437.5</v>
      </c>
      <c r="E130" s="16"/>
      <c r="F130" s="11">
        <f>-4043.75</f>
        <v>-4043.75</v>
      </c>
      <c r="G130" s="3"/>
      <c r="H130" s="11">
        <f>-2337.5</f>
        <v>-2337.5</v>
      </c>
      <c r="I130" s="3"/>
      <c r="J130" s="11">
        <f t="shared" si="17"/>
        <v>0</v>
      </c>
      <c r="K130" s="3"/>
      <c r="L130" s="11">
        <f t="shared" si="13"/>
        <v>0</v>
      </c>
      <c r="M130" s="3"/>
      <c r="N130" s="11">
        <f t="shared" si="14"/>
        <v>0</v>
      </c>
      <c r="O130" s="3"/>
      <c r="P130" s="11"/>
      <c r="Q130" s="3"/>
      <c r="R130" s="11"/>
    </row>
    <row r="131" spans="1:18" s="7" customFormat="1" hidden="1" outlineLevel="1" x14ac:dyDescent="0.35">
      <c r="A131" s="36"/>
      <c r="B131" s="11" t="str">
        <f>CONCATENATE("          ", "9150", " - ", "MISC. INCOME")</f>
        <v xml:space="preserve">          9150 - MISC. INCOME</v>
      </c>
      <c r="D131" s="11">
        <f>0</f>
        <v>0</v>
      </c>
      <c r="E131" s="16"/>
      <c r="F131" s="11">
        <f>0</f>
        <v>0</v>
      </c>
      <c r="G131" s="3"/>
      <c r="H131" s="11">
        <f>--177496</f>
        <v>177496</v>
      </c>
      <c r="I131" s="3"/>
      <c r="J131" s="11">
        <f>--152246</f>
        <v>152246</v>
      </c>
      <c r="K131" s="3"/>
      <c r="L131" s="11">
        <f>--152812.1</f>
        <v>152812.1</v>
      </c>
      <c r="M131" s="3"/>
      <c r="N131" s="11">
        <f>--157901.1</f>
        <v>157901.1</v>
      </c>
      <c r="O131" s="3"/>
      <c r="P131" s="11">
        <v>82500</v>
      </c>
      <c r="Q131" s="3"/>
      <c r="R131" s="11">
        <v>33910</v>
      </c>
    </row>
    <row r="132" spans="1:18" s="7" customFormat="1" hidden="1" outlineLevel="1" x14ac:dyDescent="0.35">
      <c r="A132" s="36"/>
      <c r="B132" s="11" t="str">
        <f>CONCATENATE("          ", "9160", " - ", "MISC. INCOME")</f>
        <v xml:space="preserve">          9160 - MISC. INCOME</v>
      </c>
      <c r="D132" s="11">
        <f>--35678.3</f>
        <v>35678.300000000003</v>
      </c>
      <c r="E132" s="16"/>
      <c r="F132" s="11">
        <f>--36250</f>
        <v>36250</v>
      </c>
      <c r="G132" s="3"/>
      <c r="H132" s="11">
        <f>--47850</f>
        <v>47850</v>
      </c>
      <c r="I132" s="3"/>
      <c r="J132" s="11">
        <f>--34795</f>
        <v>34795</v>
      </c>
      <c r="K132" s="3"/>
      <c r="L132" s="11">
        <f>--40000</f>
        <v>40000</v>
      </c>
      <c r="M132" s="3"/>
      <c r="N132" s="11">
        <f>--22475</f>
        <v>22475</v>
      </c>
      <c r="O132" s="3"/>
      <c r="P132" s="11"/>
      <c r="Q132" s="3"/>
      <c r="R132" s="11"/>
    </row>
    <row r="133" spans="1:18" s="7" customFormat="1" hidden="1" outlineLevel="1" x14ac:dyDescent="0.35">
      <c r="A133" s="36"/>
      <c r="B133" s="11" t="str">
        <f>CONCATENATE("          ", "9163", " - ", "MISC. INCOME")</f>
        <v xml:space="preserve">          9163 - MISC. INCOME</v>
      </c>
      <c r="D133" s="11">
        <f>--85172.9</f>
        <v>85172.9</v>
      </c>
      <c r="E133" s="16"/>
      <c r="F133" s="11">
        <f>--85136.5</f>
        <v>85136.5</v>
      </c>
      <c r="G133" s="3"/>
      <c r="H133" s="11">
        <f>--83000.84</f>
        <v>83000.84</v>
      </c>
      <c r="I133" s="3"/>
      <c r="J133" s="11">
        <f>--67876.6</f>
        <v>67876.600000000006</v>
      </c>
      <c r="K133" s="3"/>
      <c r="L133" s="11">
        <f>--68330.75</f>
        <v>68330.75</v>
      </c>
      <c r="M133" s="3"/>
      <c r="N133" s="11">
        <f>--488733.84</f>
        <v>488733.84</v>
      </c>
      <c r="O133" s="3"/>
      <c r="P133" s="11"/>
      <c r="Q133" s="3"/>
      <c r="R133" s="11"/>
    </row>
    <row r="134" spans="1:18" x14ac:dyDescent="0.35">
      <c r="A134" s="12"/>
      <c r="B134" s="7"/>
      <c r="C134" s="7"/>
      <c r="D134" s="6"/>
      <c r="F134" s="6"/>
      <c r="H134" s="6"/>
      <c r="J134" s="6"/>
      <c r="L134" s="6"/>
      <c r="N134" s="6"/>
      <c r="P134" s="6"/>
      <c r="R134" s="6"/>
    </row>
    <row r="135" spans="1:18" s="15" customFormat="1" x14ac:dyDescent="0.35">
      <c r="A135" s="7"/>
      <c r="B135" s="22" t="s">
        <v>279</v>
      </c>
      <c r="C135" s="22"/>
      <c r="D135" s="10">
        <f>+D52-D55+D120</f>
        <v>355170.23999999964</v>
      </c>
      <c r="E135" s="12"/>
      <c r="F135" s="10">
        <f>+F52-F55+F120</f>
        <v>620747.73</v>
      </c>
      <c r="G135" s="5"/>
      <c r="H135" s="10">
        <f>+H52-H55+H120</f>
        <v>906352.74999999988</v>
      </c>
      <c r="I135" s="5"/>
      <c r="J135" s="10">
        <f>+J52-J55+J120</f>
        <v>881047.78999999992</v>
      </c>
      <c r="K135" s="5"/>
      <c r="L135" s="10">
        <f>+L52-L55+L120</f>
        <v>915861.55999999994</v>
      </c>
      <c r="M135" s="5"/>
      <c r="N135" s="10">
        <f>+N52-N55+N120</f>
        <v>645889.77</v>
      </c>
      <c r="O135" s="5"/>
      <c r="P135" s="10">
        <f>+P52-P55+P120</f>
        <v>110476.74429035001</v>
      </c>
      <c r="Q135" s="5"/>
      <c r="R135" s="10">
        <f>+R52-R55+R120</f>
        <v>81261.214910307142</v>
      </c>
    </row>
    <row r="136" spans="1:18" s="27" customFormat="1" x14ac:dyDescent="0.35">
      <c r="A136" s="18"/>
      <c r="B136" s="31"/>
      <c r="C136" s="18"/>
      <c r="D136" s="9">
        <f>IFERROR(D135/D10, 0)</f>
        <v>0.32283897844861043</v>
      </c>
      <c r="E136" s="18"/>
      <c r="F136" s="9">
        <f>IFERROR(F135/F10, 0)</f>
        <v>0.54037610575653916</v>
      </c>
      <c r="G136" s="14"/>
      <c r="H136" s="9">
        <f>IFERROR(H135/H10, 0)</f>
        <v>0.80294580062746601</v>
      </c>
      <c r="I136" s="14"/>
      <c r="J136" s="9">
        <f>IFERROR(J135/J10, 0)</f>
        <v>0.77449425653116188</v>
      </c>
      <c r="K136" s="14"/>
      <c r="L136" s="9">
        <f>IFERROR(L135/L10, 0)</f>
        <v>1.115041664363096</v>
      </c>
      <c r="M136" s="14"/>
      <c r="N136" s="9">
        <f>IFERROR(N135/N10, 0)</f>
        <v>1.2461999272064168</v>
      </c>
      <c r="O136" s="14"/>
      <c r="P136" s="9">
        <f>IFERROR(P135/P10, 0)</f>
        <v>0.27570042471881373</v>
      </c>
      <c r="Q136" s="14"/>
      <c r="R136" s="9">
        <f>IFERROR(R135/R10, 0)</f>
        <v>0.20018529034638274</v>
      </c>
    </row>
    <row r="137" spans="1:18" s="27" customFormat="1" x14ac:dyDescent="0.35">
      <c r="A137" s="18"/>
      <c r="B137" s="31"/>
      <c r="C137" s="18"/>
      <c r="D137" s="13"/>
      <c r="E137" s="18"/>
      <c r="F137" s="13"/>
      <c r="G137" s="14"/>
      <c r="H137" s="13"/>
      <c r="I137" s="14"/>
      <c r="J137" s="13"/>
      <c r="K137" s="14"/>
      <c r="L137" s="13"/>
      <c r="M137" s="14"/>
      <c r="N137" s="13"/>
      <c r="O137" s="14"/>
      <c r="P137" s="13"/>
      <c r="Q137" s="14"/>
      <c r="R137" s="13"/>
    </row>
    <row r="138" spans="1:18" s="15" customFormat="1" x14ac:dyDescent="0.35">
      <c r="A138" s="37"/>
      <c r="B138" s="7" t="s">
        <v>127</v>
      </c>
      <c r="C138" s="7"/>
      <c r="D138" s="6">
        <v>239070.19</v>
      </c>
      <c r="E138" s="12"/>
      <c r="F138" s="6">
        <v>163530.09</v>
      </c>
      <c r="G138" s="5"/>
      <c r="H138" s="6">
        <v>150924.98000000001</v>
      </c>
      <c r="I138" s="5"/>
      <c r="J138" s="6">
        <v>152678.32</v>
      </c>
      <c r="K138" s="5"/>
      <c r="L138" s="6">
        <v>58544.85</v>
      </c>
      <c r="M138" s="5"/>
      <c r="N138" s="6">
        <v>78480.45</v>
      </c>
      <c r="O138" s="5"/>
      <c r="P138" s="6">
        <v>67710</v>
      </c>
      <c r="Q138" s="5"/>
      <c r="R138" s="6">
        <v>46030</v>
      </c>
    </row>
    <row r="139" spans="1:18" x14ac:dyDescent="0.35">
      <c r="A139" s="12"/>
      <c r="B139" s="7"/>
      <c r="C139" s="7"/>
      <c r="D139" s="6"/>
      <c r="F139" s="6"/>
      <c r="H139" s="6"/>
      <c r="J139" s="6"/>
      <c r="L139" s="6"/>
      <c r="N139" s="6"/>
      <c r="P139" s="6"/>
      <c r="R139" s="6"/>
    </row>
    <row r="140" spans="1:18" s="15" customFormat="1" x14ac:dyDescent="0.35">
      <c r="A140" s="7"/>
      <c r="B140" s="22" t="s">
        <v>126</v>
      </c>
      <c r="C140" s="22"/>
      <c r="D140" s="10">
        <f>+D135-D138</f>
        <v>116100.04999999964</v>
      </c>
      <c r="E140" s="12"/>
      <c r="F140" s="10">
        <f>+F135-F138</f>
        <v>457217.64</v>
      </c>
      <c r="G140" s="5"/>
      <c r="H140" s="10">
        <f>+H135-H138</f>
        <v>755427.7699999999</v>
      </c>
      <c r="I140" s="5"/>
      <c r="J140" s="10">
        <f>+J135-J138</f>
        <v>728369.47</v>
      </c>
      <c r="K140" s="5"/>
      <c r="L140" s="10">
        <f>+L135-L138</f>
        <v>857316.71</v>
      </c>
      <c r="M140" s="5"/>
      <c r="N140" s="10">
        <f>+N135-N138</f>
        <v>567409.32000000007</v>
      </c>
      <c r="O140" s="5"/>
      <c r="P140" s="10">
        <f>+P135-P138</f>
        <v>42766.744290350005</v>
      </c>
      <c r="Q140" s="5"/>
      <c r="R140" s="10">
        <f>+R135-R138</f>
        <v>35231.214910307142</v>
      </c>
    </row>
    <row r="141" spans="1:18" s="27" customFormat="1" x14ac:dyDescent="0.35">
      <c r="A141" s="18"/>
      <c r="B141" s="18"/>
      <c r="C141" s="18"/>
      <c r="D141" s="9">
        <f>IFERROR(D140/D10, 0)</f>
        <v>0.10553142498603631</v>
      </c>
      <c r="E141" s="18"/>
      <c r="F141" s="9">
        <f>IFERROR(F140/F10, 0)</f>
        <v>0.39801915632683066</v>
      </c>
      <c r="G141" s="14"/>
      <c r="H141" s="9">
        <f>IFERROR(H140/H10, 0)</f>
        <v>0.66924004544463644</v>
      </c>
      <c r="I141" s="14"/>
      <c r="J141" s="9">
        <f>IFERROR(J140/J10, 0)</f>
        <v>0.64028078561736868</v>
      </c>
      <c r="K141" s="14"/>
      <c r="L141" s="9">
        <f>IFERROR(L140/L10, 0)</f>
        <v>1.0437645742056187</v>
      </c>
      <c r="M141" s="14"/>
      <c r="N141" s="9">
        <f>IFERROR(N140/N10, 0)</f>
        <v>1.0947772919212553</v>
      </c>
      <c r="O141" s="14"/>
      <c r="P141" s="9">
        <f>IFERROR(P140/P10, 0)</f>
        <v>0.10672662052478958</v>
      </c>
      <c r="Q141" s="14"/>
      <c r="R141" s="9">
        <f>IFERROR(R140/R10, 0)</f>
        <v>8.6791355431495923E-2</v>
      </c>
    </row>
    <row r="142" spans="1:18" s="27" customFormat="1" x14ac:dyDescent="0.35">
      <c r="A142" s="18"/>
      <c r="B142" s="18"/>
      <c r="C142" s="18"/>
      <c r="D142" s="13"/>
      <c r="E142" s="18"/>
      <c r="F142" s="13"/>
      <c r="G142" s="14"/>
      <c r="H142" s="13"/>
      <c r="I142" s="14"/>
      <c r="J142" s="13"/>
      <c r="K142" s="14"/>
      <c r="L142" s="13"/>
      <c r="M142" s="14"/>
      <c r="N142" s="13"/>
      <c r="O142" s="14"/>
      <c r="P142" s="13"/>
      <c r="Q142" s="14"/>
      <c r="R142" s="13"/>
    </row>
    <row r="143" spans="1:18" x14ac:dyDescent="0.35">
      <c r="A143" s="12"/>
      <c r="B143" s="12"/>
      <c r="C143" s="12"/>
      <c r="D143" s="6"/>
      <c r="F143" s="6"/>
      <c r="H143" s="6"/>
      <c r="J143" s="6"/>
      <c r="L143" s="6"/>
      <c r="N143" s="6"/>
      <c r="P143" s="6"/>
      <c r="R143" s="6"/>
    </row>
    <row r="144" spans="1:18" s="15" customFormat="1" x14ac:dyDescent="0.35">
      <c r="A144" s="7"/>
      <c r="B144" s="22" t="s">
        <v>296</v>
      </c>
      <c r="C144" s="22"/>
      <c r="D144" s="10">
        <f>SUM(D140:D143)</f>
        <v>116100.15553142462</v>
      </c>
      <c r="E144" s="12"/>
      <c r="F144" s="10">
        <f>SUM(F140:F143)</f>
        <v>457218.03801915632</v>
      </c>
      <c r="G144" s="5"/>
      <c r="H144" s="10">
        <f>SUM(H140:H143)</f>
        <v>755428.43924004538</v>
      </c>
      <c r="I144" s="5"/>
      <c r="J144" s="10">
        <f>SUM(J140:J143)</f>
        <v>728370.11028078559</v>
      </c>
      <c r="K144" s="5"/>
      <c r="L144" s="10">
        <f>SUM(L140:L143)</f>
        <v>857317.75376457418</v>
      </c>
      <c r="M144" s="5"/>
      <c r="N144" s="10">
        <f>SUM(N140:N143)</f>
        <v>567410.41477729194</v>
      </c>
      <c r="O144" s="5"/>
      <c r="P144" s="10">
        <f>SUM(P140:P143)</f>
        <v>42766.851016970533</v>
      </c>
      <c r="Q144" s="5"/>
      <c r="R144" s="10">
        <f>SUM(R140:R143)</f>
        <v>35231.301701662574</v>
      </c>
    </row>
    <row r="145" spans="1:18" s="27" customFormat="1" x14ac:dyDescent="0.35">
      <c r="A145" s="18"/>
      <c r="B145" s="41"/>
      <c r="C145" s="18"/>
      <c r="D145" s="9">
        <f>IFERROR(D144/D10, 0)</f>
        <v>0.10553152091090162</v>
      </c>
      <c r="E145" s="18"/>
      <c r="F145" s="9">
        <f>IFERROR(F144/F10, 0)</f>
        <v>0.39801950281225673</v>
      </c>
      <c r="G145" s="14"/>
      <c r="H145" s="9">
        <f>IFERROR(H144/H10, 0)</f>
        <v>0.66924063833022562</v>
      </c>
      <c r="I145" s="14"/>
      <c r="J145" s="9">
        <f>IFERROR(J144/J10, 0)</f>
        <v>0.64028134846287676</v>
      </c>
      <c r="K145" s="14"/>
      <c r="L145" s="9">
        <f>IFERROR(L144/L10, 0)</f>
        <v>1.04376584496644</v>
      </c>
      <c r="M145" s="14"/>
      <c r="N145" s="9">
        <f>IFERROR(N144/N10, 0)</f>
        <v>1.0947794042188095</v>
      </c>
      <c r="O145" s="14"/>
      <c r="P145" s="9">
        <f>IFERROR(P144/P10, 0)</f>
        <v>0.10672688686658664</v>
      </c>
      <c r="Q145" s="14"/>
      <c r="R145" s="9">
        <f>IFERROR(R144/R10, 0)</f>
        <v>8.6791569240170896E-2</v>
      </c>
    </row>
    <row r="146" spans="1:18" x14ac:dyDescent="0.35">
      <c r="A146" s="12"/>
      <c r="B146" s="40">
        <v>44319.883451932874</v>
      </c>
      <c r="D146" s="24"/>
      <c r="F146" s="24"/>
      <c r="H146" s="24"/>
      <c r="J146" s="24"/>
      <c r="L146" s="24"/>
      <c r="N146" s="24"/>
      <c r="P146" s="24"/>
      <c r="R146" s="24"/>
    </row>
    <row r="147" spans="1:18" x14ac:dyDescent="0.35">
      <c r="A147" s="12"/>
      <c r="B147" s="39" t="s">
        <v>23</v>
      </c>
      <c r="D147" s="24"/>
      <c r="F147" s="24"/>
      <c r="H147" s="24"/>
      <c r="J147" s="24"/>
      <c r="L147" s="24"/>
      <c r="N147" s="24"/>
      <c r="P147" s="24"/>
      <c r="R147" s="24"/>
    </row>
    <row r="148" spans="1:18" x14ac:dyDescent="0.35">
      <c r="A148" s="12"/>
      <c r="D148" s="24"/>
      <c r="F148" s="24"/>
      <c r="H148" s="24"/>
      <c r="J148" s="24"/>
      <c r="L148" s="24"/>
      <c r="N148" s="24"/>
      <c r="P148" s="24"/>
      <c r="R148" s="24"/>
    </row>
    <row r="149" spans="1:18" x14ac:dyDescent="0.35">
      <c r="D149" s="24"/>
      <c r="F149" s="24"/>
      <c r="H149" s="24"/>
      <c r="J149" s="24"/>
      <c r="L149" s="24"/>
      <c r="N149" s="24"/>
      <c r="P149" s="24"/>
      <c r="R149" s="24"/>
    </row>
  </sheetData>
  <pageMargins left="0.5" right="0.5" top="0.5" bottom="0.5" header="0.3" footer="0.3"/>
  <pageSetup scale="59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125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125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16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55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8794476.5999999996</v>
      </c>
      <c r="F10" s="8">
        <f>SUM(OSRRefF11x_0)</f>
        <v>9515302.7000000011</v>
      </c>
      <c r="G10" s="8"/>
      <c r="H10" s="8">
        <f>SUM(OSRRefH11x_0)</f>
        <v>10295454.769999998</v>
      </c>
      <c r="I10" s="8"/>
      <c r="J10" s="8">
        <f>SUM(OSRRefJ11x_0)</f>
        <v>9908747.4900000002</v>
      </c>
      <c r="K10" s="8"/>
      <c r="L10" s="8">
        <f>SUM(OSRRefL11x_0)</f>
        <v>9877510.1600000001</v>
      </c>
      <c r="M10" s="8"/>
      <c r="N10" s="8">
        <f>SUM(OSRRefN11x_0)</f>
        <v>6984271.0700000003</v>
      </c>
      <c r="O10" s="8"/>
      <c r="P10" s="8">
        <f>SUM(OSRRefP11x_0)</f>
        <v>846154</v>
      </c>
      <c r="Q10" s="8"/>
      <c r="R10" s="8">
        <f>SUM(OSRRefR11x_0)</f>
        <v>2654585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122591</v>
      </c>
      <c r="Q11" s="3"/>
      <c r="R11" s="11">
        <v>972431</v>
      </c>
    </row>
    <row r="12" spans="1:18" s="16" customFormat="1" hidden="1" outlineLevel="1" x14ac:dyDescent="0.35">
      <c r="B12" s="35" t="str">
        <f>CONCATENATE("          ", "4032", " - ", "TAXABLE SALES-JUICE")</f>
        <v xml:space="preserve">          4032 - TAXABLE SALES-JUICE</v>
      </c>
      <c r="D12" s="11">
        <f>-374555.96*-1</f>
        <v>374555.96</v>
      </c>
      <c r="F12" s="11">
        <f>-321254.19*-1</f>
        <v>321254.19</v>
      </c>
      <c r="G12" s="3"/>
      <c r="H12" s="11">
        <f>-328598.81*-1</f>
        <v>328598.81</v>
      </c>
      <c r="I12" s="3"/>
      <c r="J12" s="11">
        <f>--366950.78</f>
        <v>366950.78</v>
      </c>
      <c r="K12" s="3"/>
      <c r="L12" s="11">
        <f>--370158.89</f>
        <v>370158.89</v>
      </c>
      <c r="M12" s="3"/>
      <c r="N12" s="11">
        <f>--275749.46</f>
        <v>275749.46000000002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"4033", " - ", "TAXABLE SALES-CANDY")</f>
        <v xml:space="preserve">          4033 - TAXABLE SALES-CANDY</v>
      </c>
      <c r="D13" s="11">
        <f t="shared" ref="D13:D15" si="0">0*-1</f>
        <v>0</v>
      </c>
      <c r="F13" s="11">
        <f>-194.27*-1</f>
        <v>194.27</v>
      </c>
      <c r="G13" s="3"/>
      <c r="H13" s="11">
        <f>-27.04*-1</f>
        <v>27.04</v>
      </c>
      <c r="I13" s="3"/>
      <c r="J13" s="11">
        <f>--1.39</f>
        <v>1.39</v>
      </c>
      <c r="K13" s="3"/>
      <c r="L13" s="11">
        <f>--19.99</f>
        <v>19.989999999999998</v>
      </c>
      <c r="M13" s="3"/>
      <c r="N13" s="11">
        <f>0</f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"4034", " - ", "TAXABLE SALES-SODA")</f>
        <v xml:space="preserve">          4034 - TAXABLE SALES-SODA</v>
      </c>
      <c r="D14" s="11">
        <f t="shared" si="0"/>
        <v>0</v>
      </c>
      <c r="F14" s="11">
        <f>-1749.11*-1</f>
        <v>1749.11</v>
      </c>
      <c r="G14" s="3"/>
      <c r="H14" s="11">
        <f>-2660.29*-1</f>
        <v>2660.29</v>
      </c>
      <c r="I14" s="3"/>
      <c r="J14" s="11">
        <f>--2920.24</f>
        <v>2920.24</v>
      </c>
      <c r="K14" s="3"/>
      <c r="L14" s="11">
        <f>--2843.76</f>
        <v>2843.76</v>
      </c>
      <c r="M14" s="3"/>
      <c r="N14" s="11">
        <f>--3121.95</f>
        <v>3121.95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"4035", " - ", "TAXABLE SALES-HEALTH &amp; BEAUTY")</f>
        <v xml:space="preserve">          4035 - TAXABLE SALES-HEALTH &amp; BEAUTY</v>
      </c>
      <c r="D15" s="11">
        <f t="shared" si="0"/>
        <v>0</v>
      </c>
      <c r="F15" s="11">
        <f>-31.95*-1</f>
        <v>31.95</v>
      </c>
      <c r="G15" s="3"/>
      <c r="H15" s="11">
        <f>-11.31*-1</f>
        <v>11.31</v>
      </c>
      <c r="I15" s="3"/>
      <c r="J15" s="11">
        <f>--9.85</f>
        <v>9.85</v>
      </c>
      <c r="K15" s="3"/>
      <c r="L15" s="11">
        <f>0</f>
        <v>0</v>
      </c>
      <c r="M15" s="3"/>
      <c r="N15" s="11">
        <f>0</f>
        <v>0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"4051", " - ", "TAXABLE SALES-FOOD")</f>
        <v xml:space="preserve">          4051 - TAXABLE SALES-FOOD</v>
      </c>
      <c r="D16" s="11">
        <f>-388468.29*-1</f>
        <v>388468.29</v>
      </c>
      <c r="F16" s="11">
        <f>-507933.74*-1</f>
        <v>507933.74</v>
      </c>
      <c r="G16" s="3"/>
      <c r="H16" s="11">
        <f>-788765.1*-1</f>
        <v>788765.1</v>
      </c>
      <c r="I16" s="3"/>
      <c r="J16" s="11">
        <f>--1052558.04</f>
        <v>1052558.04</v>
      </c>
      <c r="K16" s="3"/>
      <c r="L16" s="11">
        <f>--920830.24</f>
        <v>920830.24</v>
      </c>
      <c r="M16" s="3"/>
      <c r="N16" s="11">
        <f>--604143.21</f>
        <v>604143.21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"4052", " - ", "TAXABLE SALES-FOOD")</f>
        <v xml:space="preserve">          4052 - TAXABLE SALES-FOOD</v>
      </c>
      <c r="D17" s="11">
        <f>-1059890.78*-1</f>
        <v>1059890.78</v>
      </c>
      <c r="F17" s="11">
        <f>-1241523.06*-1</f>
        <v>1241523.06</v>
      </c>
      <c r="G17" s="3"/>
      <c r="H17" s="11">
        <f>-1183255.47*-1</f>
        <v>1183255.47</v>
      </c>
      <c r="I17" s="3"/>
      <c r="J17" s="11">
        <f>--1404144.65</f>
        <v>1404144.65</v>
      </c>
      <c r="K17" s="3"/>
      <c r="L17" s="11">
        <f>--1589998.48</f>
        <v>1589998.48</v>
      </c>
      <c r="M17" s="3"/>
      <c r="N17" s="11">
        <f>--836487.29</f>
        <v>836487.29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"4053", " - ", "TAXABLE SALES-FOOD")</f>
        <v xml:space="preserve">          4053 - TAXABLE SALES-FOOD</v>
      </c>
      <c r="D18" s="11">
        <f>-242037.64*-1</f>
        <v>242037.64</v>
      </c>
      <c r="F18" s="11">
        <f>-307067.81*-1</f>
        <v>307067.81</v>
      </c>
      <c r="G18" s="3"/>
      <c r="H18" s="11">
        <f>-370986.9*-1</f>
        <v>370986.9</v>
      </c>
      <c r="I18" s="3"/>
      <c r="J18" s="11">
        <f>--327187.91</f>
        <v>327187.90999999997</v>
      </c>
      <c r="K18" s="3"/>
      <c r="L18" s="11">
        <f>--325290.63</f>
        <v>325290.63</v>
      </c>
      <c r="M18" s="3"/>
      <c r="N18" s="11">
        <f>--253270.4</f>
        <v>253270.39999999999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"4055", " - ", "TAXABLE SALES-FOOD")</f>
        <v xml:space="preserve">          4055 - TAXABLE SALES-FOOD</v>
      </c>
      <c r="D19" s="11">
        <f>-386552.16*-1</f>
        <v>386552.16</v>
      </c>
      <c r="F19" s="11">
        <f>-520707.08*-1</f>
        <v>520707.08</v>
      </c>
      <c r="G19" s="3"/>
      <c r="H19" s="11">
        <f>-590507.97*-1</f>
        <v>590507.97</v>
      </c>
      <c r="I19" s="3"/>
      <c r="J19" s="11">
        <f>--591812.35</f>
        <v>591812.35</v>
      </c>
      <c r="K19" s="3"/>
      <c r="L19" s="11">
        <f>--625909.88</f>
        <v>625909.88</v>
      </c>
      <c r="M19" s="3"/>
      <c r="N19" s="11">
        <f>--381406.04</f>
        <v>381406.04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"4057", " - ", "TAXABLE SALES-FOOD")</f>
        <v xml:space="preserve">          4057 - TAXABLE SALES-FOOD</v>
      </c>
      <c r="D20" s="11">
        <f>0*-1</f>
        <v>0</v>
      </c>
      <c r="F20" s="11">
        <f>0*-1</f>
        <v>0</v>
      </c>
      <c r="G20" s="3"/>
      <c r="H20" s="11">
        <f>0*-1</f>
        <v>0</v>
      </c>
      <c r="I20" s="3"/>
      <c r="J20" s="11">
        <f>--115214.52</f>
        <v>115214.52</v>
      </c>
      <c r="K20" s="3"/>
      <c r="L20" s="11">
        <f>--11506.08</f>
        <v>11506.08</v>
      </c>
      <c r="M20" s="3"/>
      <c r="N20" s="11">
        <f>0</f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"4058", " - ", "TAXABLE SALES-FOOD")</f>
        <v xml:space="preserve">          4058 - TAXABLE SALES-FOOD</v>
      </c>
      <c r="D21" s="11">
        <f>-65572.24*-1</f>
        <v>65572.240000000005</v>
      </c>
      <c r="F21" s="11">
        <f>-56827.74*-1</f>
        <v>56827.74</v>
      </c>
      <c r="G21" s="3"/>
      <c r="H21" s="11">
        <f>-96320.96*-1</f>
        <v>96320.960000000006</v>
      </c>
      <c r="I21" s="3"/>
      <c r="J21" s="11">
        <f>--167154.32</f>
        <v>167154.32</v>
      </c>
      <c r="K21" s="3"/>
      <c r="L21" s="11">
        <f>--200045.36</f>
        <v>200045.36</v>
      </c>
      <c r="M21" s="3"/>
      <c r="N21" s="11">
        <f>--117077.57</f>
        <v>117077.57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"4100", " - ", "NON-TAXABLE SALES")</f>
        <v xml:space="preserve">          4100 - NON-TAXABLE SALES</v>
      </c>
      <c r="D22" s="11">
        <f>0*-1</f>
        <v>0</v>
      </c>
      <c r="F22" s="11">
        <f>0*-1</f>
        <v>0</v>
      </c>
      <c r="G22" s="3"/>
      <c r="H22" s="11">
        <f>0*-1</f>
        <v>0</v>
      </c>
      <c r="I22" s="3"/>
      <c r="J22" s="11">
        <f t="shared" ref="J22:J23" si="1">0</f>
        <v>0</v>
      </c>
      <c r="K22" s="3"/>
      <c r="L22" s="11">
        <f t="shared" ref="L22:L23" si="2">0</f>
        <v>0</v>
      </c>
      <c r="M22" s="3"/>
      <c r="N22" s="11">
        <f>0</f>
        <v>0</v>
      </c>
      <c r="O22" s="3"/>
      <c r="P22" s="11">
        <v>723563</v>
      </c>
      <c r="Q22" s="3"/>
      <c r="R22" s="11">
        <v>1682154</v>
      </c>
    </row>
    <row r="23" spans="2:18" s="16" customFormat="1" hidden="1" outlineLevel="1" x14ac:dyDescent="0.35">
      <c r="B23" s="35" t="str">
        <f>CONCATENATE("          ", "4131", " - ", "NON-TAXABLE SALES-FOOD")</f>
        <v xml:space="preserve">          4131 - NON-TAXABLE SALES-FOOD</v>
      </c>
      <c r="D23" s="11">
        <f>-22.6*-1</f>
        <v>22.6</v>
      </c>
      <c r="F23" s="11">
        <f>-1083.06*-1</f>
        <v>1083.06</v>
      </c>
      <c r="G23" s="3"/>
      <c r="H23" s="11">
        <f>-69.99*-1</f>
        <v>69.989999999999995</v>
      </c>
      <c r="I23" s="3"/>
      <c r="J23" s="11">
        <f t="shared" si="1"/>
        <v>0</v>
      </c>
      <c r="K23" s="3"/>
      <c r="L23" s="11">
        <f t="shared" si="2"/>
        <v>0</v>
      </c>
      <c r="M23" s="3"/>
      <c r="N23" s="11">
        <f>--2.48</f>
        <v>2.48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"4132", " - ", "NON-TAXABLE SALES-JUICE")</f>
        <v xml:space="preserve">          4132 - NON-TAXABLE SALES-JUICE</v>
      </c>
      <c r="D24" s="11">
        <f>-1271886.16*-1</f>
        <v>1271886.1599999999</v>
      </c>
      <c r="F24" s="11">
        <f>-1367204.25*-1</f>
        <v>1367204.25</v>
      </c>
      <c r="G24" s="3"/>
      <c r="H24" s="11">
        <f>-1494524.97*-1</f>
        <v>1494524.97</v>
      </c>
      <c r="I24" s="3"/>
      <c r="J24" s="11">
        <f>--1282905.21</f>
        <v>1282905.21</v>
      </c>
      <c r="K24" s="3"/>
      <c r="L24" s="11">
        <f>--1305186.95</f>
        <v>1305186.95</v>
      </c>
      <c r="M24" s="3"/>
      <c r="N24" s="11">
        <f>--1093892.63</f>
        <v>1093892.6299999999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"4133", " - ", "NON-TAXABLE SALES-CANDY")</f>
        <v xml:space="preserve">          4133 - NON-TAXABLE SALES-CANDY</v>
      </c>
      <c r="D25" s="11">
        <f t="shared" ref="D25:D26" si="3">0*-1</f>
        <v>0</v>
      </c>
      <c r="F25" s="11">
        <f>-5779.71*-1</f>
        <v>5779.71</v>
      </c>
      <c r="G25" s="3"/>
      <c r="H25" s="11">
        <f>-53.63*-1</f>
        <v>53.63</v>
      </c>
      <c r="I25" s="3"/>
      <c r="J25" s="11">
        <f>--7.25</f>
        <v>7.25</v>
      </c>
      <c r="K25" s="3"/>
      <c r="L25" s="11">
        <f>0</f>
        <v>0</v>
      </c>
      <c r="M25" s="3"/>
      <c r="N25" s="11">
        <f>--1.59</f>
        <v>1.59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"4134", " - ", "NON-TAXABLE SALES-SODA")</f>
        <v xml:space="preserve">          4134 - NON-TAXABLE SALES-SODA</v>
      </c>
      <c r="D26" s="11">
        <f t="shared" si="3"/>
        <v>0</v>
      </c>
      <c r="F26" s="11">
        <f>-298.62*-1</f>
        <v>298.62</v>
      </c>
      <c r="G26" s="3"/>
      <c r="H26" s="11">
        <f>-66.31*-1</f>
        <v>66.31</v>
      </c>
      <c r="I26" s="3"/>
      <c r="J26" s="11">
        <f>--36.01</f>
        <v>36.01</v>
      </c>
      <c r="K26" s="3"/>
      <c r="L26" s="11">
        <f>--55.83</f>
        <v>55.83</v>
      </c>
      <c r="M26" s="3"/>
      <c r="N26" s="11">
        <f>--99.83</f>
        <v>99.83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"4137", " - ", "NON-TAXABLE SALES-WATER")</f>
        <v xml:space="preserve">          4137 - NON-TAXABLE SALES-WATER</v>
      </c>
      <c r="D27" s="11">
        <f>-4.48*-1</f>
        <v>4.4800000000000004</v>
      </c>
      <c r="F27" s="11">
        <f>-2418.94*-1</f>
        <v>2418.94</v>
      </c>
      <c r="G27" s="3"/>
      <c r="H27" s="11">
        <f>-3356.89*-1</f>
        <v>3356.89</v>
      </c>
      <c r="I27" s="3"/>
      <c r="J27" s="11">
        <f>--3230.99</f>
        <v>3230.99</v>
      </c>
      <c r="K27" s="3"/>
      <c r="L27" s="11">
        <f>--2318.79</f>
        <v>2318.79</v>
      </c>
      <c r="M27" s="3"/>
      <c r="N27" s="11">
        <f>--1575.68</f>
        <v>1575.68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"4151", " - ", "NON-TAXABLE SALES-FOOD")</f>
        <v xml:space="preserve">          4151 - NON-TAXABLE SALES-FOOD</v>
      </c>
      <c r="D28" s="11">
        <f>-3254562.46*-1</f>
        <v>3254562.46</v>
      </c>
      <c r="F28" s="11">
        <f>-3359122.34*-1</f>
        <v>3359122.34</v>
      </c>
      <c r="G28" s="3"/>
      <c r="H28" s="11">
        <f>-3466700.57*-1</f>
        <v>3466700.57</v>
      </c>
      <c r="I28" s="3"/>
      <c r="J28" s="11">
        <f>--2984681.51</f>
        <v>2984681.51</v>
      </c>
      <c r="K28" s="3"/>
      <c r="L28" s="11">
        <f>--2916990.85</f>
        <v>2916990.85</v>
      </c>
      <c r="M28" s="3"/>
      <c r="N28" s="11">
        <f>--2191470.18</f>
        <v>2191470.1800000002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"4152", " - ", "NON-TAXABLE SALES-FOOD")</f>
        <v xml:space="preserve">          4152 - NON-TAXABLE SALES-FOOD</v>
      </c>
      <c r="D29" s="11">
        <f>-198310.99*-1</f>
        <v>198310.99</v>
      </c>
      <c r="F29" s="11">
        <f>-201509.51*-1</f>
        <v>201509.51</v>
      </c>
      <c r="G29" s="3"/>
      <c r="H29" s="11">
        <f>-194411.74*-1</f>
        <v>194411.74</v>
      </c>
      <c r="I29" s="3"/>
      <c r="J29" s="11">
        <f>--95908.76</f>
        <v>95908.76</v>
      </c>
      <c r="K29" s="3"/>
      <c r="L29" s="11">
        <f>--79299.25</f>
        <v>79299.25</v>
      </c>
      <c r="M29" s="3"/>
      <c r="N29" s="11">
        <f>--51415.27</f>
        <v>51415.27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"4153", " - ", "NON-TAXABLE SALES-FOOD")</f>
        <v xml:space="preserve">          4153 - NON-TAXABLE SALES-FOOD</v>
      </c>
      <c r="D30" s="11">
        <f>-19242.46*-1</f>
        <v>19242.46</v>
      </c>
      <c r="F30" s="11">
        <f>-16251.73*-1</f>
        <v>16251.73</v>
      </c>
      <c r="G30" s="3"/>
      <c r="H30" s="11">
        <f>-14897.97*-1</f>
        <v>14897.97</v>
      </c>
      <c r="I30" s="3"/>
      <c r="J30" s="11">
        <f>--13704.01</f>
        <v>13704.01</v>
      </c>
      <c r="K30" s="3"/>
      <c r="L30" s="11">
        <f>--15057.8</f>
        <v>15057.8</v>
      </c>
      <c r="M30" s="3"/>
      <c r="N30" s="11">
        <f>--12314.09</f>
        <v>12314.09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"4155", " - ", "NON-TAXABLE SALES-FOOD")</f>
        <v xml:space="preserve">          4155 - NON-TAXABLE SALES-FOOD</v>
      </c>
      <c r="D31" s="11">
        <f>-885197.26*-1</f>
        <v>885197.26</v>
      </c>
      <c r="F31" s="11">
        <f>-882921.57*-1</f>
        <v>882921.57</v>
      </c>
      <c r="G31" s="3"/>
      <c r="H31" s="11">
        <f>-982827.69*-1</f>
        <v>982827.69</v>
      </c>
      <c r="I31" s="3"/>
      <c r="J31" s="11">
        <f>--878966.46</f>
        <v>878966.46</v>
      </c>
      <c r="K31" s="3"/>
      <c r="L31" s="11">
        <f>--913989.89</f>
        <v>913989.89</v>
      </c>
      <c r="M31" s="3"/>
      <c r="N31" s="11">
        <f>--687389.73</f>
        <v>687389.73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"4157", " - ", "NON-TAXABLE SALES-FOOD")</f>
        <v xml:space="preserve">          4157 - NON-TAXABLE SALES-FOOD</v>
      </c>
      <c r="D32" s="11">
        <f>0*-1</f>
        <v>0</v>
      </c>
      <c r="F32" s="11">
        <f>0*-1</f>
        <v>0</v>
      </c>
      <c r="G32" s="3"/>
      <c r="H32" s="11">
        <f>0*-1</f>
        <v>0</v>
      </c>
      <c r="I32" s="3"/>
      <c r="J32" s="11">
        <f>--315</f>
        <v>315</v>
      </c>
      <c r="K32" s="3"/>
      <c r="L32" s="11">
        <f>--208</f>
        <v>208</v>
      </c>
      <c r="M32" s="3"/>
      <c r="N32" s="11">
        <f>0</f>
        <v>0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"4158", " - ", "NON-TAXABLE SALES-FOOD")</f>
        <v xml:space="preserve">          4158 - NON-TAXABLE SALES-FOOD</v>
      </c>
      <c r="D33" s="11">
        <f>-648173.12*-1</f>
        <v>648173.12</v>
      </c>
      <c r="F33" s="11">
        <f>-721706.32*-1</f>
        <v>721706.32</v>
      </c>
      <c r="G33" s="3"/>
      <c r="H33" s="11">
        <f>-777414.04*-1</f>
        <v>777414.04</v>
      </c>
      <c r="I33" s="3"/>
      <c r="J33" s="11">
        <f>--621038.24</f>
        <v>621038.24</v>
      </c>
      <c r="K33" s="3"/>
      <c r="L33" s="11">
        <f>--597801.18</f>
        <v>597801.18000000005</v>
      </c>
      <c r="M33" s="3"/>
      <c r="N33" s="11">
        <f>--474853.67</f>
        <v>474853.67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"4233", " - ", "SALES RETURN TAXABLE-CANDY")</f>
        <v xml:space="preserve">          4233 - SALES RETURN TAXABLE-CANDY</v>
      </c>
      <c r="D34" s="11">
        <f t="shared" ref="D34:D36" si="4">0*-1</f>
        <v>0</v>
      </c>
      <c r="F34" s="11">
        <f>12.04*-1</f>
        <v>-12.04</v>
      </c>
      <c r="G34" s="3"/>
      <c r="H34" s="11">
        <f>2.88*-1</f>
        <v>-2.88</v>
      </c>
      <c r="I34" s="3"/>
      <c r="J34" s="11">
        <f t="shared" ref="J34:J36" si="5">0</f>
        <v>0</v>
      </c>
      <c r="K34" s="3"/>
      <c r="L34" s="11">
        <f>-1.69</f>
        <v>-1.69</v>
      </c>
      <c r="M34" s="3"/>
      <c r="N34" s="11">
        <f t="shared" ref="N34:N36" si="6">0</f>
        <v>0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"4332", " - ", "SALES RETURN NON TAXABLE-JUICE")</f>
        <v xml:space="preserve">          4332 - SALES RETURN NON TAXABLE-JUICE</v>
      </c>
      <c r="D35" s="11">
        <f t="shared" si="4"/>
        <v>0</v>
      </c>
      <c r="F35" s="11">
        <f>268.26*-1</f>
        <v>-268.26</v>
      </c>
      <c r="G35" s="3"/>
      <c r="H35" s="11">
        <f t="shared" ref="H35:H36" si="7">0*-1</f>
        <v>0</v>
      </c>
      <c r="I35" s="3"/>
      <c r="J35" s="11">
        <f t="shared" si="5"/>
        <v>0</v>
      </c>
      <c r="K35" s="3"/>
      <c r="L35" s="11">
        <f t="shared" ref="L35:L36" si="8">0</f>
        <v>0</v>
      </c>
      <c r="M35" s="3"/>
      <c r="N35" s="11">
        <f t="shared" si="6"/>
        <v>0</v>
      </c>
      <c r="O35" s="3"/>
      <c r="P35" s="11"/>
      <c r="Q35" s="3"/>
      <c r="R35" s="11"/>
    </row>
    <row r="36" spans="1:18" s="16" customFormat="1" hidden="1" outlineLevel="1" x14ac:dyDescent="0.35">
      <c r="B36" s="35" t="str">
        <f>CONCATENATE("          ", "4333", " - ", "SALES RETURN NON TAXABLE-CANDY")</f>
        <v xml:space="preserve">          4333 - SALES RETURN NON TAXABLE-CANDY</v>
      </c>
      <c r="D36" s="11">
        <f t="shared" si="4"/>
        <v>0</v>
      </c>
      <c r="F36" s="11">
        <f>2*-1</f>
        <v>-2</v>
      </c>
      <c r="G36" s="3"/>
      <c r="H36" s="11">
        <f t="shared" si="7"/>
        <v>0</v>
      </c>
      <c r="I36" s="3"/>
      <c r="J36" s="11">
        <f t="shared" si="5"/>
        <v>0</v>
      </c>
      <c r="K36" s="3"/>
      <c r="L36" s="11">
        <f t="shared" si="8"/>
        <v>0</v>
      </c>
      <c r="M36" s="3"/>
      <c r="N36" s="11">
        <f t="shared" si="6"/>
        <v>0</v>
      </c>
      <c r="O36" s="3"/>
      <c r="P36" s="11"/>
      <c r="Q36" s="3"/>
      <c r="R36" s="11"/>
    </row>
    <row r="37" spans="1:18" s="12" customFormat="1" x14ac:dyDescent="0.35">
      <c r="B37" s="7"/>
      <c r="D37" s="6"/>
      <c r="F37" s="6"/>
      <c r="G37" s="5"/>
      <c r="H37" s="6"/>
      <c r="I37" s="5"/>
      <c r="J37" s="6"/>
      <c r="K37" s="5"/>
      <c r="L37" s="6"/>
      <c r="M37" s="5"/>
      <c r="N37" s="6"/>
      <c r="O37" s="5"/>
      <c r="P37" s="6"/>
      <c r="Q37" s="5"/>
      <c r="R37" s="6"/>
    </row>
    <row r="38" spans="1:18" s="12" customFormat="1" collapsed="1" x14ac:dyDescent="0.35">
      <c r="B38" s="7" t="s">
        <v>278</v>
      </c>
      <c r="D38" s="8">
        <f>SUM(OSRRefD14x_0)</f>
        <v>3455201.5</v>
      </c>
      <c r="E38" s="8"/>
      <c r="F38" s="8">
        <f>SUM(OSRRefF14x_0)</f>
        <v>3687406.19</v>
      </c>
      <c r="G38" s="8"/>
      <c r="H38" s="8">
        <f>SUM(OSRRefH14x_0)</f>
        <v>3858502.3200000003</v>
      </c>
      <c r="I38" s="8"/>
      <c r="J38" s="8">
        <f>SUM(OSRRefJ14x_0)</f>
        <v>3825729.63</v>
      </c>
      <c r="K38" s="8"/>
      <c r="L38" s="8">
        <f>SUM(OSRRefL14x_0)</f>
        <v>3639492.13</v>
      </c>
      <c r="M38" s="8"/>
      <c r="N38" s="8">
        <f>SUM(OSRRefN14x_0)</f>
        <v>2914716.16</v>
      </c>
      <c r="O38" s="8"/>
      <c r="P38" s="8">
        <f>SUM(OSRRefP14x_0)</f>
        <v>359333</v>
      </c>
      <c r="Q38" s="8"/>
      <c r="R38" s="8">
        <f>SUM(OSRRefR14x_0)</f>
        <v>986429</v>
      </c>
    </row>
    <row r="39" spans="1:18" s="44" customFormat="1" hidden="1" outlineLevel="1" x14ac:dyDescent="0.35">
      <c r="A39" s="16"/>
      <c r="B39" s="35" t="str">
        <f>CONCATENATE("          ", "5000", " - ", "PURCHASES @ COST")</f>
        <v xml:space="preserve">          5000 - PURCHASES @ COST</v>
      </c>
      <c r="C39" s="16"/>
      <c r="D39" s="11"/>
      <c r="E39" s="16"/>
      <c r="F39" s="11"/>
      <c r="G39" s="3"/>
      <c r="H39" s="11"/>
      <c r="I39" s="3"/>
      <c r="J39" s="11"/>
      <c r="K39" s="3"/>
      <c r="L39" s="11"/>
      <c r="M39" s="3"/>
      <c r="N39" s="11"/>
      <c r="O39" s="3"/>
      <c r="P39" s="11">
        <v>359333</v>
      </c>
      <c r="Q39" s="3"/>
      <c r="R39" s="11">
        <v>986429</v>
      </c>
    </row>
    <row r="40" spans="1:18" s="44" customFormat="1" hidden="1" outlineLevel="1" x14ac:dyDescent="0.35">
      <c r="A40" s="16"/>
      <c r="B40" s="35" t="str">
        <f>CONCATENATE("          ", "5053", " - ", "PURCHASES @ COST-FOOD")</f>
        <v xml:space="preserve">          5053 - PURCHASES @ COST-FOOD</v>
      </c>
      <c r="C40" s="16"/>
      <c r="D40" s="11">
        <v>3267261.55</v>
      </c>
      <c r="E40" s="16"/>
      <c r="F40" s="11">
        <v>3549917.79</v>
      </c>
      <c r="G40" s="3"/>
      <c r="H40" s="11">
        <v>3769301.47</v>
      </c>
      <c r="I40" s="3"/>
      <c r="J40" s="11">
        <v>3630632.31</v>
      </c>
      <c r="K40" s="3"/>
      <c r="L40" s="11">
        <v>3554764.88</v>
      </c>
      <c r="M40" s="3"/>
      <c r="N40" s="11">
        <v>2758827.37</v>
      </c>
      <c r="O40" s="3"/>
      <c r="P40" s="11"/>
      <c r="Q40" s="3"/>
      <c r="R40" s="11"/>
    </row>
    <row r="41" spans="1:18" s="44" customFormat="1" hidden="1" outlineLevel="1" x14ac:dyDescent="0.35">
      <c r="A41" s="16"/>
      <c r="B41" s="35" t="str">
        <f>CONCATENATE("          ", "5055", " - ", "PURCHASES @ COST-FOOD")</f>
        <v xml:space="preserve">          5055 - PURCHASES @ COST-FOOD</v>
      </c>
      <c r="C41" s="16"/>
      <c r="D41" s="11"/>
      <c r="E41" s="16"/>
      <c r="F41" s="11">
        <v>94.33</v>
      </c>
      <c r="G41" s="3"/>
      <c r="H41" s="11"/>
      <c r="I41" s="3"/>
      <c r="J41" s="11"/>
      <c r="K41" s="3"/>
      <c r="L41" s="11"/>
      <c r="M41" s="3"/>
      <c r="N41" s="11"/>
      <c r="O41" s="3"/>
      <c r="P41" s="11"/>
      <c r="Q41" s="3"/>
      <c r="R41" s="11"/>
    </row>
    <row r="42" spans="1:18" s="44" customFormat="1" hidden="1" outlineLevel="1" x14ac:dyDescent="0.35">
      <c r="A42" s="16"/>
      <c r="B42" s="35" t="str">
        <f>CONCATENATE("          ", "5059", " - ", "PURCHASES @ COST-FOOD")</f>
        <v xml:space="preserve">          5059 - PURCHASES @ COST-FOOD</v>
      </c>
      <c r="C42" s="16"/>
      <c r="D42" s="11">
        <v>187939.95</v>
      </c>
      <c r="E42" s="16"/>
      <c r="F42" s="11">
        <v>137394.07</v>
      </c>
      <c r="G42" s="3"/>
      <c r="H42" s="11">
        <v>89200.85</v>
      </c>
      <c r="I42" s="3"/>
      <c r="J42" s="11">
        <v>195097.32</v>
      </c>
      <c r="K42" s="3"/>
      <c r="L42" s="11">
        <v>84727.25</v>
      </c>
      <c r="M42" s="3"/>
      <c r="N42" s="11">
        <v>155888.79</v>
      </c>
      <c r="O42" s="3"/>
      <c r="P42" s="11"/>
      <c r="Q42" s="3"/>
      <c r="R42" s="11"/>
    </row>
    <row r="43" spans="1:18" x14ac:dyDescent="0.35">
      <c r="A43" s="12"/>
      <c r="B43" s="7"/>
      <c r="C43" s="7"/>
      <c r="D43" s="6"/>
      <c r="F43" s="6"/>
      <c r="H43" s="6"/>
      <c r="J43" s="6"/>
      <c r="L43" s="6"/>
      <c r="N43" s="6"/>
      <c r="P43" s="6"/>
      <c r="R43" s="6"/>
    </row>
    <row r="44" spans="1:18" s="15" customFormat="1" x14ac:dyDescent="0.35">
      <c r="A44" s="7"/>
      <c r="B44" s="22" t="s">
        <v>107</v>
      </c>
      <c r="C44" s="22"/>
      <c r="D44" s="10">
        <f>+D10-D38</f>
        <v>5339275.0999999996</v>
      </c>
      <c r="E44" s="12"/>
      <c r="F44" s="10">
        <f>+F10-F38</f>
        <v>5827896.5100000016</v>
      </c>
      <c r="G44" s="5"/>
      <c r="H44" s="10">
        <f>+H10-H38</f>
        <v>6436952.4499999974</v>
      </c>
      <c r="I44" s="5"/>
      <c r="J44" s="10">
        <f>+J10-J38</f>
        <v>6083017.8600000003</v>
      </c>
      <c r="K44" s="5"/>
      <c r="L44" s="10">
        <f>+L10-L38</f>
        <v>6238018.0300000003</v>
      </c>
      <c r="M44" s="5"/>
      <c r="N44" s="10">
        <f>+N10-N38</f>
        <v>4069554.91</v>
      </c>
      <c r="O44" s="5"/>
      <c r="P44" s="10">
        <f>+P10-P38</f>
        <v>486821</v>
      </c>
      <c r="Q44" s="5"/>
      <c r="R44" s="10">
        <f>+R10-R38</f>
        <v>1668156</v>
      </c>
    </row>
    <row r="45" spans="1:18" s="27" customFormat="1" x14ac:dyDescent="0.35">
      <c r="A45" s="18"/>
      <c r="B45" s="31"/>
      <c r="C45" s="18"/>
      <c r="D45" s="9">
        <f>IFERROR(D44/D10, 0)</f>
        <v>0.60711686924040476</v>
      </c>
      <c r="E45" s="13"/>
      <c r="F45" s="9">
        <f>IFERROR(F44/F10, 0)</f>
        <v>0.61247620740431108</v>
      </c>
      <c r="G45" s="26"/>
      <c r="H45" s="9">
        <f>IFERROR(H44/H10, 0)</f>
        <v>0.62522274088918162</v>
      </c>
      <c r="I45" s="26"/>
      <c r="J45" s="9">
        <f>IFERROR(J44/J10, 0)</f>
        <v>0.61390381237780434</v>
      </c>
      <c r="K45" s="26"/>
      <c r="L45" s="9">
        <f>IFERROR(L44/L10, 0)</f>
        <v>0.63153749567998418</v>
      </c>
      <c r="M45" s="26"/>
      <c r="N45" s="9">
        <f>IFERROR(N44/N10, 0)</f>
        <v>0.58267425035666609</v>
      </c>
      <c r="O45" s="26"/>
      <c r="P45" s="9">
        <f>IFERROR(P44/P10, 0)</f>
        <v>0.57533380448476279</v>
      </c>
      <c r="Q45" s="26"/>
      <c r="R45" s="9">
        <f>IFERROR(R44/R10, 0)</f>
        <v>0.62840556998551567</v>
      </c>
    </row>
    <row r="46" spans="1:18" s="27" customFormat="1" x14ac:dyDescent="0.35">
      <c r="A46" s="18"/>
      <c r="B46" s="31"/>
      <c r="C46" s="18"/>
      <c r="D46" s="13"/>
      <c r="E46" s="13"/>
      <c r="F46" s="13"/>
      <c r="G46" s="26"/>
      <c r="H46" s="13"/>
      <c r="I46" s="26"/>
      <c r="J46" s="13"/>
      <c r="K46" s="26"/>
      <c r="L46" s="13"/>
      <c r="M46" s="26"/>
      <c r="N46" s="13"/>
      <c r="O46" s="26"/>
      <c r="P46" s="13"/>
      <c r="Q46" s="26"/>
      <c r="R46" s="13"/>
    </row>
    <row r="47" spans="1:18" s="15" customFormat="1" x14ac:dyDescent="0.35">
      <c r="A47" s="7"/>
      <c r="B47" s="34" t="s">
        <v>314</v>
      </c>
      <c r="C47" s="7"/>
      <c r="D47" s="8">
        <f>SUM(OSRRefD21x_0)</f>
        <v>5521850.5999999996</v>
      </c>
      <c r="E47" s="19"/>
      <c r="F47" s="8">
        <f>SUM(OSRRefF21x_0)</f>
        <v>6297188.2399999974</v>
      </c>
      <c r="G47" s="4"/>
      <c r="H47" s="8">
        <f>SUM(OSRRefH21x_0)</f>
        <v>6434426.7700000033</v>
      </c>
      <c r="I47" s="4"/>
      <c r="J47" s="8">
        <f>SUM(OSRRefJ21x_0)</f>
        <v>6611437.0400000019</v>
      </c>
      <c r="K47" s="4"/>
      <c r="L47" s="8">
        <f>SUM(OSRRefL21x_0)</f>
        <v>6876589.1500000004</v>
      </c>
      <c r="M47" s="4"/>
      <c r="N47" s="8">
        <f>SUM(OSRRefN21x_0)</f>
        <v>5936957.7800000003</v>
      </c>
      <c r="O47" s="4"/>
      <c r="P47" s="8">
        <f>SUM(OSRRefP21x_0)</f>
        <v>1968705.326152785</v>
      </c>
      <c r="Q47" s="4"/>
      <c r="R47" s="8">
        <f>SUM(OSRRefR21x_0)</f>
        <v>2678134.7344945678</v>
      </c>
    </row>
    <row r="48" spans="1:18" s="15" customFormat="1" outlineLevel="1" collapsed="1" x14ac:dyDescent="0.35">
      <c r="A48" s="7"/>
      <c r="B48" s="20" t="str">
        <f>CONCATENATE("     ","*Benefits                                         ")</f>
        <v xml:space="preserve">     *Benefits                                         </v>
      </c>
      <c r="C48" s="7"/>
      <c r="D48" s="1">
        <f>SUM(OSRRefD21_0x_0)</f>
        <v>677263.19000000006</v>
      </c>
      <c r="E48" s="19"/>
      <c r="F48" s="1">
        <f>SUM(OSRRefF21_0x_0)</f>
        <v>822880.25000000012</v>
      </c>
      <c r="G48" s="4"/>
      <c r="H48" s="1">
        <f>SUM(OSRRefH21_0x_0)</f>
        <v>783022.97</v>
      </c>
      <c r="I48" s="4"/>
      <c r="J48" s="1">
        <f>SUM(OSRRefJ21_0x_0)</f>
        <v>837664.84</v>
      </c>
      <c r="K48" s="4"/>
      <c r="L48" s="1">
        <f>SUM(OSRRefL21_0x_0)</f>
        <v>882321.0199999999</v>
      </c>
      <c r="M48" s="4"/>
      <c r="N48" s="1">
        <f>SUM(OSRRefN21_0x_0)</f>
        <v>781747.87</v>
      </c>
      <c r="O48" s="4"/>
      <c r="P48" s="1">
        <f>SUM(OSRRefP21_0x_0)</f>
        <v>259562.27735278499</v>
      </c>
      <c r="Q48" s="4"/>
      <c r="R48" s="1">
        <f>SUM(OSRRefR21_0x_0)</f>
        <v>408378.69610456808</v>
      </c>
    </row>
    <row r="49" spans="1:18" s="16" customFormat="1" hidden="1" outlineLevel="2" x14ac:dyDescent="0.35">
      <c r="B49" s="11" t="str">
        <f>CONCATENATE("          ", "6111", " - ", "F.I.C.A.")</f>
        <v xml:space="preserve">          6111 - F.I.C.A.</v>
      </c>
      <c r="D49" s="2">
        <v>113528.74</v>
      </c>
      <c r="F49" s="2">
        <v>138825.92000000001</v>
      </c>
      <c r="G49" s="3"/>
      <c r="H49" s="2">
        <v>150007.89000000001</v>
      </c>
      <c r="I49" s="3"/>
      <c r="J49" s="2">
        <v>163320.67000000001</v>
      </c>
      <c r="K49" s="3"/>
      <c r="L49" s="2">
        <v>168771.27</v>
      </c>
      <c r="M49" s="3"/>
      <c r="N49" s="2">
        <v>161110.72</v>
      </c>
      <c r="O49" s="3"/>
      <c r="P49" s="2">
        <v>32918.490221400003</v>
      </c>
      <c r="Q49" s="3"/>
      <c r="R49" s="2">
        <v>52666.817963105997</v>
      </c>
    </row>
    <row r="50" spans="1:18" s="16" customFormat="1" hidden="1" outlineLevel="2" x14ac:dyDescent="0.35">
      <c r="B50" s="11" t="str">
        <f>CONCATENATE("          ", "6112", " - ", "COMPENSATION INSURANCE")</f>
        <v xml:space="preserve">          6112 - COMPENSATION INSURANCE</v>
      </c>
      <c r="D50" s="2">
        <v>46023.03</v>
      </c>
      <c r="F50" s="2">
        <v>90240.38</v>
      </c>
      <c r="G50" s="3"/>
      <c r="H50" s="2">
        <v>100432.87</v>
      </c>
      <c r="I50" s="3"/>
      <c r="J50" s="2">
        <v>75809.31</v>
      </c>
      <c r="K50" s="3"/>
      <c r="L50" s="2">
        <v>91223.44</v>
      </c>
      <c r="M50" s="3"/>
      <c r="N50" s="2">
        <v>81411.14</v>
      </c>
      <c r="O50" s="3"/>
      <c r="P50" s="2">
        <v>13559.274987999999</v>
      </c>
      <c r="Q50" s="3"/>
      <c r="R50" s="2">
        <v>41715.147131329999</v>
      </c>
    </row>
    <row r="51" spans="1:18" s="16" customFormat="1" hidden="1" outlineLevel="2" x14ac:dyDescent="0.35">
      <c r="B51" s="11" t="str">
        <f>CONCATENATE("          ", "6113", " - ", "GROUP INSURANCE")</f>
        <v xml:space="preserve">          6113 - GROUP INSURANCE</v>
      </c>
      <c r="D51" s="2">
        <v>271330.95</v>
      </c>
      <c r="F51" s="2">
        <v>307583.40999999997</v>
      </c>
      <c r="G51" s="3"/>
      <c r="H51" s="2">
        <v>304213.76000000001</v>
      </c>
      <c r="I51" s="3"/>
      <c r="J51" s="2">
        <v>324029.08</v>
      </c>
      <c r="K51" s="3"/>
      <c r="L51" s="2">
        <v>329637.95</v>
      </c>
      <c r="M51" s="3"/>
      <c r="N51" s="2">
        <v>313890.68</v>
      </c>
      <c r="O51" s="3"/>
      <c r="P51" s="2">
        <v>136514.884615385</v>
      </c>
      <c r="Q51" s="3"/>
      <c r="R51" s="2">
        <v>191065.811538462</v>
      </c>
    </row>
    <row r="52" spans="1:18" s="16" customFormat="1" hidden="1" outlineLevel="2" x14ac:dyDescent="0.35">
      <c r="B52" s="11" t="str">
        <f>CONCATENATE("          ", "6114", " - ", "STATE UNEMPLOYMENT INSURANCE")</f>
        <v xml:space="preserve">          6114 - STATE UNEMPLOYMENT INSURANCE</v>
      </c>
      <c r="D52" s="2">
        <v>13988.52</v>
      </c>
      <c r="F52" s="2">
        <v>16751.43</v>
      </c>
      <c r="G52" s="3"/>
      <c r="H52" s="2">
        <v>9157.7000000000007</v>
      </c>
      <c r="I52" s="3"/>
      <c r="J52" s="2">
        <v>9340.7099999999991</v>
      </c>
      <c r="K52" s="3"/>
      <c r="L52" s="2">
        <v>8759.25</v>
      </c>
      <c r="M52" s="3"/>
      <c r="N52" s="2">
        <v>0</v>
      </c>
      <c r="O52" s="3"/>
      <c r="P52" s="2">
        <v>1605.312488</v>
      </c>
      <c r="Q52" s="3"/>
      <c r="R52" s="2">
        <v>2311.3933766700002</v>
      </c>
    </row>
    <row r="53" spans="1:18" s="16" customFormat="1" hidden="1" outlineLevel="2" x14ac:dyDescent="0.35">
      <c r="B53" s="11" t="str">
        <f>CONCATENATE("          ", "6115", " - ", "P.E.R.S.")</f>
        <v xml:space="preserve">          6115 - P.E.R.S.</v>
      </c>
      <c r="D53" s="2">
        <v>87208.05</v>
      </c>
      <c r="F53" s="2">
        <v>77406.05</v>
      </c>
      <c r="G53" s="3"/>
      <c r="H53" s="2">
        <v>88744.87</v>
      </c>
      <c r="I53" s="3"/>
      <c r="J53" s="2">
        <v>89152.94</v>
      </c>
      <c r="K53" s="3"/>
      <c r="L53" s="2">
        <v>93392.71</v>
      </c>
      <c r="M53" s="3"/>
      <c r="N53" s="2">
        <v>96972.78</v>
      </c>
      <c r="O53" s="3"/>
      <c r="P53" s="2">
        <v>29079.415639999999</v>
      </c>
      <c r="Q53" s="3"/>
      <c r="R53" s="2">
        <v>38648.435259999998</v>
      </c>
    </row>
    <row r="54" spans="1:18" s="16" customFormat="1" hidden="1" outlineLevel="2" x14ac:dyDescent="0.35">
      <c r="B54" s="11" t="str">
        <f>CONCATENATE("          ", "6116", " - ", "EDUCATIONAL BENEFITS")</f>
        <v xml:space="preserve">          6116 - EDUCATIONAL BENEFITS</v>
      </c>
      <c r="D54" s="2"/>
      <c r="F54" s="2"/>
      <c r="G54" s="3"/>
      <c r="H54" s="2"/>
      <c r="I54" s="3"/>
      <c r="J54" s="2"/>
      <c r="K54" s="3"/>
      <c r="L54" s="2"/>
      <c r="M54" s="3"/>
      <c r="N54" s="2"/>
      <c r="O54" s="3"/>
      <c r="P54" s="2">
        <v>0</v>
      </c>
      <c r="Q54" s="3"/>
      <c r="R54" s="2">
        <v>0</v>
      </c>
    </row>
    <row r="55" spans="1:18" s="16" customFormat="1" hidden="1" outlineLevel="2" x14ac:dyDescent="0.35">
      <c r="B55" s="11" t="str">
        <f>CONCATENATE("          ", "6117", " - ", "RETIREMENT STAFF HOURLY")</f>
        <v xml:space="preserve">          6117 - RETIREMENT STAFF HOURLY</v>
      </c>
      <c r="D55" s="2">
        <v>2550.3000000000002</v>
      </c>
      <c r="F55" s="2">
        <v>196</v>
      </c>
      <c r="G55" s="3"/>
      <c r="H55" s="2">
        <v>769.75</v>
      </c>
      <c r="I55" s="3"/>
      <c r="J55" s="2">
        <v>761.32</v>
      </c>
      <c r="K55" s="3"/>
      <c r="L55" s="2">
        <v>728</v>
      </c>
      <c r="M55" s="3"/>
      <c r="N55" s="2">
        <v>1352.45</v>
      </c>
      <c r="O55" s="3"/>
      <c r="P55" s="2"/>
      <c r="Q55" s="3"/>
      <c r="R55" s="2"/>
    </row>
    <row r="56" spans="1:18" s="16" customFormat="1" hidden="1" outlineLevel="2" x14ac:dyDescent="0.35">
      <c r="B56" s="11" t="str">
        <f>CONCATENATE("          ", "6118", " - ", "VACATION")</f>
        <v xml:space="preserve">          6118 - VACATION</v>
      </c>
      <c r="D56" s="2">
        <v>60743.54</v>
      </c>
      <c r="F56" s="2">
        <v>80304.02</v>
      </c>
      <c r="G56" s="3"/>
      <c r="H56" s="2">
        <v>68859.710000000006</v>
      </c>
      <c r="I56" s="3"/>
      <c r="J56" s="2">
        <v>74313.75</v>
      </c>
      <c r="K56" s="3"/>
      <c r="L56" s="2">
        <v>84971.56</v>
      </c>
      <c r="M56" s="3"/>
      <c r="N56" s="2">
        <v>91985.75</v>
      </c>
      <c r="O56" s="3"/>
      <c r="P56" s="2">
        <v>24684.607</v>
      </c>
      <c r="Q56" s="3"/>
      <c r="R56" s="2">
        <v>33450.917756000003</v>
      </c>
    </row>
    <row r="57" spans="1:18" s="16" customFormat="1" hidden="1" outlineLevel="2" x14ac:dyDescent="0.35">
      <c r="B57" s="11" t="str">
        <f>CONCATENATE("          ", "6119", " - ", "SICK LEAVE")</f>
        <v xml:space="preserve">          6119 - SICK LEAVE</v>
      </c>
      <c r="D57" s="2">
        <v>40478.94</v>
      </c>
      <c r="F57" s="2">
        <v>75418.13</v>
      </c>
      <c r="G57" s="3"/>
      <c r="H57" s="2">
        <v>26116.73</v>
      </c>
      <c r="I57" s="3"/>
      <c r="J57" s="2">
        <v>64008.18</v>
      </c>
      <c r="K57" s="3"/>
      <c r="L57" s="2">
        <v>66488.600000000006</v>
      </c>
      <c r="M57" s="3"/>
      <c r="N57" s="2">
        <v>3228.11</v>
      </c>
      <c r="O57" s="3"/>
      <c r="P57" s="2">
        <v>14900.2924</v>
      </c>
      <c r="Q57" s="3"/>
      <c r="R57" s="2">
        <v>23844.173079</v>
      </c>
    </row>
    <row r="58" spans="1:18" s="16" customFormat="1" hidden="1" outlineLevel="2" x14ac:dyDescent="0.35">
      <c r="B58" s="11" t="str">
        <f>CONCATENATE("          ", "6156", " - ", "EMPLOYEE MEALS")</f>
        <v xml:space="preserve">          6156 - EMPLOYEE MEALS</v>
      </c>
      <c r="D58" s="2">
        <v>41411.120000000003</v>
      </c>
      <c r="F58" s="2">
        <v>36154.910000000003</v>
      </c>
      <c r="G58" s="3"/>
      <c r="H58" s="2">
        <v>34719.69</v>
      </c>
      <c r="I58" s="3"/>
      <c r="J58" s="2">
        <v>36928.879999999997</v>
      </c>
      <c r="K58" s="3"/>
      <c r="L58" s="2">
        <v>38348.239999999998</v>
      </c>
      <c r="M58" s="3"/>
      <c r="N58" s="2">
        <v>31796.240000000002</v>
      </c>
      <c r="O58" s="3"/>
      <c r="P58" s="2">
        <v>6300</v>
      </c>
      <c r="Q58" s="3"/>
      <c r="R58" s="2">
        <v>24676</v>
      </c>
    </row>
    <row r="59" spans="1:18" s="15" customFormat="1" outlineLevel="1" collapsed="1" x14ac:dyDescent="0.35">
      <c r="A59" s="7"/>
      <c r="B59" s="20" t="str">
        <f>CONCATENATE("     ","*Payroll                                          ")</f>
        <v xml:space="preserve">     *Payroll                                          </v>
      </c>
      <c r="C59" s="7"/>
      <c r="D59" s="1">
        <f>SUM(OSRRefD21_1x_0)</f>
        <v>2178859.75</v>
      </c>
      <c r="E59" s="19"/>
      <c r="F59" s="1">
        <f>SUM(OSRRefF21_1x_0)</f>
        <v>2592213.5299999998</v>
      </c>
      <c r="G59" s="4"/>
      <c r="H59" s="1">
        <f>SUM(OSRRefH21_1x_0)</f>
        <v>2828745.52</v>
      </c>
      <c r="I59" s="4"/>
      <c r="J59" s="1">
        <f>SUM(OSRRefJ21_1x_0)</f>
        <v>2927320.75</v>
      </c>
      <c r="K59" s="4"/>
      <c r="L59" s="1">
        <f>SUM(OSRRefL21_1x_0)</f>
        <v>3136079.9699999997</v>
      </c>
      <c r="M59" s="4"/>
      <c r="N59" s="1">
        <f>SUM(OSRRefN21_1x_0)</f>
        <v>2681909.4400000004</v>
      </c>
      <c r="O59" s="4"/>
      <c r="P59" s="1">
        <f>SUM(OSRRefP21_1x_0)</f>
        <v>579405.04880000011</v>
      </c>
      <c r="Q59" s="4"/>
      <c r="R59" s="1">
        <f>SUM(OSRRefR21_1x_0)</f>
        <v>1044417.7883900001</v>
      </c>
    </row>
    <row r="60" spans="1:18" s="16" customFormat="1" hidden="1" outlineLevel="2" x14ac:dyDescent="0.35">
      <c r="B60" s="11" t="str">
        <f>CONCATENATE("          ", "6001", " - ", "ADMINISTRATIVE SALARIES")</f>
        <v xml:space="preserve">          6001 - ADMINISTRATIVE SALARIES</v>
      </c>
      <c r="D60" s="2">
        <v>141595.93</v>
      </c>
      <c r="F60" s="2">
        <v>199249.42</v>
      </c>
      <c r="G60" s="3"/>
      <c r="H60" s="2">
        <v>195582.13</v>
      </c>
      <c r="I60" s="3"/>
      <c r="J60" s="2">
        <v>209011.52</v>
      </c>
      <c r="K60" s="3"/>
      <c r="L60" s="2">
        <v>204636.1</v>
      </c>
      <c r="M60" s="3"/>
      <c r="N60" s="2">
        <v>187186.24</v>
      </c>
      <c r="O60" s="3"/>
      <c r="P60" s="2">
        <v>198250.1</v>
      </c>
      <c r="Q60" s="3"/>
      <c r="R60" s="2">
        <v>133488</v>
      </c>
    </row>
    <row r="61" spans="1:18" s="16" customFormat="1" hidden="1" outlineLevel="2" x14ac:dyDescent="0.35">
      <c r="B61" s="11" t="str">
        <f>CONCATENATE("          ", "6002", " - ", "STAFF SALARIES")</f>
        <v xml:space="preserve">          6002 - STAFF SALARIES</v>
      </c>
      <c r="D61" s="2">
        <v>531490.64</v>
      </c>
      <c r="F61" s="2">
        <v>707585.15</v>
      </c>
      <c r="G61" s="3"/>
      <c r="H61" s="2">
        <v>800025.89</v>
      </c>
      <c r="I61" s="3"/>
      <c r="J61" s="2">
        <v>831108.77</v>
      </c>
      <c r="K61" s="3"/>
      <c r="L61" s="2">
        <v>896382.49</v>
      </c>
      <c r="M61" s="3"/>
      <c r="N61" s="2">
        <v>797718.81</v>
      </c>
      <c r="O61" s="3"/>
      <c r="P61" s="2">
        <v>109687.266</v>
      </c>
      <c r="Q61" s="3"/>
      <c r="R61" s="2">
        <v>278898.78950000001</v>
      </c>
    </row>
    <row r="62" spans="1:18" s="16" customFormat="1" hidden="1" outlineLevel="2" x14ac:dyDescent="0.35">
      <c r="B62" s="11" t="str">
        <f>CONCATENATE("          ", "6003", " - ", "STAFF HOURLY-9 MONTH")</f>
        <v xml:space="preserve">          6003 - STAFF HOURLY-9 MONTH</v>
      </c>
      <c r="D62" s="2"/>
      <c r="F62" s="2">
        <v>48.38</v>
      </c>
      <c r="G62" s="3"/>
      <c r="H62" s="2"/>
      <c r="I62" s="3"/>
      <c r="J62" s="2"/>
      <c r="K62" s="3"/>
      <c r="L62" s="2"/>
      <c r="M62" s="3"/>
      <c r="N62" s="2"/>
      <c r="O62" s="3"/>
      <c r="P62" s="2">
        <v>0</v>
      </c>
      <c r="Q62" s="3"/>
      <c r="R62" s="2">
        <v>0</v>
      </c>
    </row>
    <row r="63" spans="1:18" s="16" customFormat="1" hidden="1" outlineLevel="2" x14ac:dyDescent="0.35">
      <c r="B63" s="11" t="str">
        <f>CONCATENATE("          ", "6004", " - ", "STAFF HOURLY")</f>
        <v xml:space="preserve">          6004 - STAFF HOURLY</v>
      </c>
      <c r="D63" s="2">
        <v>179388.95</v>
      </c>
      <c r="F63" s="2">
        <v>160294.35999999999</v>
      </c>
      <c r="G63" s="3"/>
      <c r="H63" s="2">
        <v>133626.28</v>
      </c>
      <c r="I63" s="3"/>
      <c r="J63" s="2">
        <v>160303.89000000001</v>
      </c>
      <c r="K63" s="3"/>
      <c r="L63" s="2">
        <v>171890.18</v>
      </c>
      <c r="M63" s="3"/>
      <c r="N63" s="2">
        <v>217791.13</v>
      </c>
      <c r="O63" s="3"/>
      <c r="P63" s="2">
        <v>80529.66</v>
      </c>
      <c r="Q63" s="3"/>
      <c r="R63" s="2">
        <v>211121.80718999999</v>
      </c>
    </row>
    <row r="64" spans="1:18" s="16" customFormat="1" hidden="1" outlineLevel="2" x14ac:dyDescent="0.35">
      <c r="B64" s="11" t="str">
        <f>CONCATENATE("          ", "6005", " - ", "TEMPORARY WAGES-HOURLY")</f>
        <v xml:space="preserve">          6005 - TEMPORARY WAGES-HOURLY</v>
      </c>
      <c r="D64" s="2">
        <v>420536.8</v>
      </c>
      <c r="F64" s="2">
        <v>495764.59</v>
      </c>
      <c r="G64" s="3"/>
      <c r="H64" s="2">
        <v>544998.11</v>
      </c>
      <c r="I64" s="3"/>
      <c r="J64" s="2">
        <v>531675.56000000006</v>
      </c>
      <c r="K64" s="3"/>
      <c r="L64" s="2">
        <v>568973.71</v>
      </c>
      <c r="M64" s="3"/>
      <c r="N64" s="2">
        <v>505027.62</v>
      </c>
      <c r="O64" s="3"/>
      <c r="P64" s="2">
        <v>88350.618000000002</v>
      </c>
      <c r="Q64" s="3"/>
      <c r="R64" s="2">
        <v>126721.62450000001</v>
      </c>
    </row>
    <row r="65" spans="1:18" s="16" customFormat="1" hidden="1" outlineLevel="2" x14ac:dyDescent="0.35">
      <c r="B65" s="11" t="str">
        <f>CONCATENATE("          ", "6006", " - ", "TEMPORARY PART TIME")</f>
        <v xml:space="preserve">          6006 - TEMPORARY PART TIME</v>
      </c>
      <c r="D65" s="2">
        <v>3113.27</v>
      </c>
      <c r="F65" s="2">
        <v>61308.17</v>
      </c>
      <c r="G65" s="3"/>
      <c r="H65" s="2">
        <v>40888.639999999999</v>
      </c>
      <c r="I65" s="3"/>
      <c r="J65" s="2">
        <v>57737.22</v>
      </c>
      <c r="K65" s="3"/>
      <c r="L65" s="2">
        <v>55767.98</v>
      </c>
      <c r="M65" s="3"/>
      <c r="N65" s="2">
        <v>33612.15</v>
      </c>
      <c r="O65" s="3"/>
      <c r="P65" s="2">
        <v>0</v>
      </c>
      <c r="Q65" s="3"/>
      <c r="R65" s="2">
        <v>0</v>
      </c>
    </row>
    <row r="66" spans="1:18" s="16" customFormat="1" hidden="1" outlineLevel="2" x14ac:dyDescent="0.35">
      <c r="B66" s="11" t="str">
        <f>CONCATENATE("          ", "6007", " - ", "STUDENT HOURLY")</f>
        <v xml:space="preserve">          6007 - STUDENT HOURLY</v>
      </c>
      <c r="D66" s="2">
        <v>883749.4</v>
      </c>
      <c r="F66" s="2">
        <v>900214.06</v>
      </c>
      <c r="G66" s="3"/>
      <c r="H66" s="2">
        <v>1005497.51</v>
      </c>
      <c r="I66" s="3"/>
      <c r="J66" s="2">
        <v>1026823.12</v>
      </c>
      <c r="K66" s="3"/>
      <c r="L66" s="2">
        <v>1141045.71</v>
      </c>
      <c r="M66" s="3"/>
      <c r="N66" s="2">
        <v>893279.31</v>
      </c>
      <c r="O66" s="3"/>
      <c r="P66" s="2">
        <v>7193.2484000000004</v>
      </c>
      <c r="Q66" s="3"/>
      <c r="R66" s="2">
        <v>18888.098000000002</v>
      </c>
    </row>
    <row r="67" spans="1:18" s="16" customFormat="1" hidden="1" outlineLevel="2" x14ac:dyDescent="0.35">
      <c r="B67" s="11" t="str">
        <f>CONCATENATE("          ", "6008", " - ", "STUDENT HOURLY-FICA EXEMPT")</f>
        <v xml:space="preserve">          6008 - STUDENT HOURLY-FICA EXEMPT</v>
      </c>
      <c r="D67" s="2">
        <v>18984.759999999998</v>
      </c>
      <c r="F67" s="2">
        <v>67749.399999999994</v>
      </c>
      <c r="G67" s="3"/>
      <c r="H67" s="2">
        <v>108126.96</v>
      </c>
      <c r="I67" s="3"/>
      <c r="J67" s="2">
        <v>110660.67</v>
      </c>
      <c r="K67" s="3"/>
      <c r="L67" s="2">
        <v>97383.8</v>
      </c>
      <c r="M67" s="3"/>
      <c r="N67" s="2">
        <v>47294.18</v>
      </c>
      <c r="O67" s="3"/>
      <c r="P67" s="2">
        <v>95394.156400000007</v>
      </c>
      <c r="Q67" s="3"/>
      <c r="R67" s="2">
        <v>275299.46919999999</v>
      </c>
    </row>
    <row r="68" spans="1:18" s="16" customFormat="1" hidden="1" outlineLevel="2" x14ac:dyDescent="0.35">
      <c r="B68" s="11" t="str">
        <f>CONCATENATE("          ", "6009", " - ", "TEMPORARY-SEASONAL")</f>
        <v xml:space="preserve">          6009 - TEMPORARY-SEASONAL</v>
      </c>
      <c r="D68" s="2"/>
      <c r="F68" s="2"/>
      <c r="G68" s="3"/>
      <c r="H68" s="2"/>
      <c r="I68" s="3"/>
      <c r="J68" s="2"/>
      <c r="K68" s="3"/>
      <c r="L68" s="2"/>
      <c r="M68" s="3"/>
      <c r="N68" s="2"/>
      <c r="O68" s="3"/>
      <c r="P68" s="2">
        <v>0</v>
      </c>
      <c r="Q68" s="3"/>
      <c r="R68" s="2">
        <v>0</v>
      </c>
    </row>
    <row r="69" spans="1:18" s="16" customFormat="1" hidden="1" outlineLevel="2" x14ac:dyDescent="0.35">
      <c r="B69" s="11" t="str">
        <f>CONCATENATE("          ", "6010", " - ", "GRATUITY")</f>
        <v xml:space="preserve">          6010 - GRATUITY</v>
      </c>
      <c r="D69" s="2"/>
      <c r="F69" s="2"/>
      <c r="G69" s="3"/>
      <c r="H69" s="2"/>
      <c r="I69" s="3"/>
      <c r="J69" s="2"/>
      <c r="K69" s="3"/>
      <c r="L69" s="2"/>
      <c r="M69" s="3"/>
      <c r="N69" s="2"/>
      <c r="O69" s="3"/>
      <c r="P69" s="2">
        <v>0</v>
      </c>
      <c r="Q69" s="3"/>
      <c r="R69" s="2">
        <v>0</v>
      </c>
    </row>
    <row r="70" spans="1:18" s="15" customFormat="1" outlineLevel="1" collapsed="1" x14ac:dyDescent="0.35">
      <c r="A70" s="7"/>
      <c r="B70" s="20" t="str">
        <f>CONCATENATE("     ","Advertising/Promo                                 ")</f>
        <v xml:space="preserve">     Advertising/Promo                                 </v>
      </c>
      <c r="C70" s="7"/>
      <c r="D70" s="1">
        <f>SUM(OSRRefD21_2x_0)</f>
        <v>35460.71</v>
      </c>
      <c r="E70" s="19"/>
      <c r="F70" s="1">
        <f>SUM(OSRRefF21_2x_0)</f>
        <v>34884.46</v>
      </c>
      <c r="G70" s="4"/>
      <c r="H70" s="1">
        <f>SUM(OSRRefH21_2x_0)</f>
        <v>28556.66</v>
      </c>
      <c r="I70" s="4"/>
      <c r="J70" s="1">
        <f>SUM(OSRRefJ21_2x_0)</f>
        <v>44323.6</v>
      </c>
      <c r="K70" s="4"/>
      <c r="L70" s="1">
        <f>SUM(OSRRefL21_2x_0)</f>
        <v>47089.61</v>
      </c>
      <c r="M70" s="4"/>
      <c r="N70" s="1">
        <f>SUM(OSRRefN21_2x_0)</f>
        <v>32110.92</v>
      </c>
      <c r="O70" s="4"/>
      <c r="P70" s="1">
        <f>SUM(OSRRefP21_2x_0)</f>
        <v>10128</v>
      </c>
      <c r="Q70" s="4"/>
      <c r="R70" s="1">
        <f>SUM(OSRRefR21_2x_0)</f>
        <v>0</v>
      </c>
    </row>
    <row r="71" spans="1:18" s="16" customFormat="1" hidden="1" outlineLevel="2" x14ac:dyDescent="0.35">
      <c r="B71" s="11" t="str">
        <f>CONCATENATE("          ", "6362", " - ", "ADVERTISING EXPENSE")</f>
        <v xml:space="preserve">          6362 - ADVERTISING EXPENSE</v>
      </c>
      <c r="D71" s="2">
        <v>35460.71</v>
      </c>
      <c r="F71" s="2">
        <v>34884.46</v>
      </c>
      <c r="G71" s="3"/>
      <c r="H71" s="2">
        <v>28556.66</v>
      </c>
      <c r="I71" s="3"/>
      <c r="J71" s="2">
        <v>44323.6</v>
      </c>
      <c r="K71" s="3"/>
      <c r="L71" s="2">
        <v>47089.61</v>
      </c>
      <c r="M71" s="3"/>
      <c r="N71" s="2">
        <v>32110.92</v>
      </c>
      <c r="O71" s="3"/>
      <c r="P71" s="2">
        <v>10128</v>
      </c>
      <c r="Q71" s="3"/>
      <c r="R71" s="2">
        <v>0</v>
      </c>
    </row>
    <row r="72" spans="1:18" s="15" customFormat="1" outlineLevel="1" collapsed="1" x14ac:dyDescent="0.35">
      <c r="A72" s="7"/>
      <c r="B72" s="20" t="str">
        <f>CONCATENATE("     ","Bad Debts/Over/Short                              ")</f>
        <v xml:space="preserve">     Bad Debts/Over/Short                              </v>
      </c>
      <c r="C72" s="7"/>
      <c r="D72" s="1">
        <f>SUM(OSRRefD21_3x_0)</f>
        <v>1558.9199999999998</v>
      </c>
      <c r="E72" s="19"/>
      <c r="F72" s="1">
        <f>SUM(OSRRefF21_3x_0)</f>
        <v>-269.39999999999998</v>
      </c>
      <c r="G72" s="4"/>
      <c r="H72" s="1">
        <f>SUM(OSRRefH21_3x_0)</f>
        <v>5663.09</v>
      </c>
      <c r="I72" s="4"/>
      <c r="J72" s="1">
        <f>SUM(OSRRefJ21_3x_0)</f>
        <v>-346.1</v>
      </c>
      <c r="K72" s="4"/>
      <c r="L72" s="1">
        <f>SUM(OSRRefL21_3x_0)</f>
        <v>12193.26</v>
      </c>
      <c r="M72" s="4"/>
      <c r="N72" s="1">
        <f>SUM(OSRRefN21_3x_0)</f>
        <v>-689.57</v>
      </c>
      <c r="O72" s="4"/>
      <c r="P72" s="1">
        <f>SUM(OSRRefP21_3x_0)</f>
        <v>179</v>
      </c>
      <c r="Q72" s="4"/>
      <c r="R72" s="1">
        <f>SUM(OSRRefR21_3x_0)</f>
        <v>80</v>
      </c>
    </row>
    <row r="73" spans="1:18" s="16" customFormat="1" hidden="1" outlineLevel="2" x14ac:dyDescent="0.35">
      <c r="B73" s="11" t="str">
        <f>CONCATENATE("          ", "6272", " - ", "CASH (OVER/SHORT)")</f>
        <v xml:space="preserve">          6272 - CASH (OVER/SHORT)</v>
      </c>
      <c r="D73" s="2">
        <v>3383.43</v>
      </c>
      <c r="F73" s="2">
        <v>-269.39999999999998</v>
      </c>
      <c r="G73" s="3"/>
      <c r="H73" s="2">
        <v>48.09</v>
      </c>
      <c r="I73" s="3"/>
      <c r="J73" s="2">
        <v>-346.1</v>
      </c>
      <c r="K73" s="3"/>
      <c r="L73" s="2">
        <v>12193.26</v>
      </c>
      <c r="M73" s="3"/>
      <c r="N73" s="2">
        <v>-689.57</v>
      </c>
      <c r="O73" s="3"/>
      <c r="P73" s="2">
        <v>179</v>
      </c>
      <c r="Q73" s="3"/>
      <c r="R73" s="2">
        <v>80</v>
      </c>
    </row>
    <row r="74" spans="1:18" s="16" customFormat="1" hidden="1" outlineLevel="2" x14ac:dyDescent="0.35">
      <c r="B74" s="11" t="str">
        <f>CONCATENATE("          ", "6342", " - ", "BAD DEBT")</f>
        <v xml:space="preserve">          6342 - BAD DEBT</v>
      </c>
      <c r="D74" s="2">
        <v>-1824.51</v>
      </c>
      <c r="F74" s="2"/>
      <c r="G74" s="3"/>
      <c r="H74" s="2">
        <v>5615</v>
      </c>
      <c r="I74" s="3"/>
      <c r="J74" s="2"/>
      <c r="K74" s="3"/>
      <c r="L74" s="2"/>
      <c r="M74" s="3"/>
      <c r="N74" s="2"/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","Bank/card Fees                                    ")</f>
        <v xml:space="preserve">     Bank/card Fees                                    </v>
      </c>
      <c r="C75" s="7"/>
      <c r="D75" s="1">
        <f>SUM(OSRRefD21_4x_0)</f>
        <v>262034.75</v>
      </c>
      <c r="E75" s="19"/>
      <c r="F75" s="1">
        <f>SUM(OSRRefF21_4x_0)</f>
        <v>280023.84000000003</v>
      </c>
      <c r="G75" s="4"/>
      <c r="H75" s="1">
        <f>SUM(OSRRefH21_4x_0)</f>
        <v>309267.81</v>
      </c>
      <c r="I75" s="4"/>
      <c r="J75" s="1">
        <f>SUM(OSRRefJ21_4x_0)</f>
        <v>320458.90000000002</v>
      </c>
      <c r="K75" s="4"/>
      <c r="L75" s="1">
        <f>SUM(OSRRefL21_4x_0)</f>
        <v>321653.83</v>
      </c>
      <c r="M75" s="4"/>
      <c r="N75" s="1">
        <f>SUM(OSRRefN21_4x_0)</f>
        <v>238904.25</v>
      </c>
      <c r="O75" s="4"/>
      <c r="P75" s="1">
        <f>SUM(OSRRefP21_4x_0)</f>
        <v>76386</v>
      </c>
      <c r="Q75" s="4"/>
      <c r="R75" s="1">
        <f>SUM(OSRRefR21_4x_0)</f>
        <v>125912.25</v>
      </c>
    </row>
    <row r="76" spans="1:18" s="16" customFormat="1" hidden="1" outlineLevel="2" x14ac:dyDescent="0.35">
      <c r="B76" s="11" t="str">
        <f>CONCATENATE("          ", "6381", " - ", "BANK/CREDIT CARD FEES")</f>
        <v xml:space="preserve">          6381 - BANK/CREDIT CARD FEES</v>
      </c>
      <c r="D76" s="2">
        <v>262034.75</v>
      </c>
      <c r="F76" s="2">
        <v>280023.84000000003</v>
      </c>
      <c r="G76" s="3"/>
      <c r="H76" s="2">
        <v>309267.81</v>
      </c>
      <c r="I76" s="3"/>
      <c r="J76" s="2">
        <v>320458.90000000002</v>
      </c>
      <c r="K76" s="3"/>
      <c r="L76" s="2">
        <v>321653.83</v>
      </c>
      <c r="M76" s="3"/>
      <c r="N76" s="2">
        <v>238904.25</v>
      </c>
      <c r="O76" s="3"/>
      <c r="P76" s="2">
        <v>76386</v>
      </c>
      <c r="Q76" s="3"/>
      <c r="R76" s="2">
        <v>125912.25</v>
      </c>
    </row>
    <row r="77" spans="1:18" s="15" customFormat="1" outlineLevel="1" collapsed="1" x14ac:dyDescent="0.35">
      <c r="A77" s="7"/>
      <c r="B77" s="20" t="str">
        <f>CONCATENATE("     ","Depreciation                                      ")</f>
        <v xml:space="preserve">     Depreciation                                      </v>
      </c>
      <c r="C77" s="7"/>
      <c r="D77" s="1">
        <f>SUM(OSRRefD21_5x_0)</f>
        <v>610159.31000000006</v>
      </c>
      <c r="E77" s="19"/>
      <c r="F77" s="1">
        <f>SUM(OSRRefF21_5x_0)</f>
        <v>654110.01</v>
      </c>
      <c r="G77" s="4"/>
      <c r="H77" s="1">
        <f>SUM(OSRRefH21_5x_0)</f>
        <v>617005.65</v>
      </c>
      <c r="I77" s="4"/>
      <c r="J77" s="1">
        <f>SUM(OSRRefJ21_5x_0)</f>
        <v>571021.07000000007</v>
      </c>
      <c r="K77" s="4"/>
      <c r="L77" s="1">
        <f>SUM(OSRRefL21_5x_0)</f>
        <v>576601.77</v>
      </c>
      <c r="M77" s="4"/>
      <c r="N77" s="1">
        <f>SUM(OSRRefN21_5x_0)</f>
        <v>581057.55999999994</v>
      </c>
      <c r="O77" s="4"/>
      <c r="P77" s="1">
        <f>SUM(OSRRefP21_5x_0)</f>
        <v>556272</v>
      </c>
      <c r="Q77" s="4"/>
      <c r="R77" s="1">
        <f>SUM(OSRRefR21_5x_0)</f>
        <v>469344</v>
      </c>
    </row>
    <row r="78" spans="1:18" s="16" customFormat="1" hidden="1" outlineLevel="2" x14ac:dyDescent="0.35">
      <c r="B78" s="11" t="str">
        <f>CONCATENATE("          ", "6321", " - ", "BUILDING DEPRECIATION")</f>
        <v xml:space="preserve">          6321 - BUILDING DEPRECIATION</v>
      </c>
      <c r="D78" s="2">
        <v>484373.8</v>
      </c>
      <c r="F78" s="2">
        <v>476604.37</v>
      </c>
      <c r="G78" s="3"/>
      <c r="H78" s="2">
        <v>456886.09</v>
      </c>
      <c r="I78" s="3"/>
      <c r="J78" s="2">
        <v>389652.83</v>
      </c>
      <c r="K78" s="3"/>
      <c r="L78" s="2">
        <v>364429.03</v>
      </c>
      <c r="M78" s="3"/>
      <c r="N78" s="2">
        <v>349466.54</v>
      </c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"6322", " - ", "EQUIPMENT DEPRECIATION EXPENSE")</f>
        <v xml:space="preserve">          6322 - EQUIPMENT DEPRECIATION EXPENSE</v>
      </c>
      <c r="D79" s="2">
        <v>124727.58</v>
      </c>
      <c r="F79" s="2">
        <v>172205.22</v>
      </c>
      <c r="G79" s="3"/>
      <c r="H79" s="2">
        <v>154854.16</v>
      </c>
      <c r="I79" s="3"/>
      <c r="J79" s="2">
        <v>176277.25</v>
      </c>
      <c r="K79" s="3"/>
      <c r="L79" s="2">
        <v>207081.75</v>
      </c>
      <c r="M79" s="3"/>
      <c r="N79" s="2">
        <v>227348.54</v>
      </c>
      <c r="O79" s="3"/>
      <c r="P79" s="2">
        <v>549672</v>
      </c>
      <c r="Q79" s="3"/>
      <c r="R79" s="2">
        <v>469344</v>
      </c>
    </row>
    <row r="80" spans="1:18" s="16" customFormat="1" hidden="1" outlineLevel="2" x14ac:dyDescent="0.35">
      <c r="B80" s="11" t="str">
        <f>CONCATENATE("          ", "6324", " - ", "FURNITURE + FIXT DEPRECIATION")</f>
        <v xml:space="preserve">          6324 - FURNITURE + FIXT DEPRECIATION</v>
      </c>
      <c r="D80" s="2">
        <v>209.43</v>
      </c>
      <c r="F80" s="2">
        <v>209.43</v>
      </c>
      <c r="G80" s="3"/>
      <c r="H80" s="2">
        <v>174.41</v>
      </c>
      <c r="I80" s="3"/>
      <c r="J80" s="2"/>
      <c r="K80" s="3"/>
      <c r="L80" s="2"/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"6326", " - ", "VEHICLES DEPRECIATION EXPENSE")</f>
        <v xml:space="preserve">          6326 - VEHICLES DEPRECIATION EXPENSE</v>
      </c>
      <c r="D81" s="2">
        <v>848.5</v>
      </c>
      <c r="F81" s="2">
        <v>5090.99</v>
      </c>
      <c r="G81" s="3"/>
      <c r="H81" s="2">
        <v>5090.99</v>
      </c>
      <c r="I81" s="3"/>
      <c r="J81" s="2">
        <v>5090.99</v>
      </c>
      <c r="K81" s="3"/>
      <c r="L81" s="2">
        <v>5090.99</v>
      </c>
      <c r="M81" s="3"/>
      <c r="N81" s="2">
        <v>4242.4799999999996</v>
      </c>
      <c r="O81" s="3"/>
      <c r="P81" s="2">
        <v>6600</v>
      </c>
      <c r="Q81" s="3"/>
      <c r="R81" s="2"/>
    </row>
    <row r="82" spans="1:18" s="15" customFormat="1" outlineLevel="1" collapsed="1" x14ac:dyDescent="0.35">
      <c r="A82" s="7"/>
      <c r="B82" s="20" t="str">
        <f>CONCATENATE("     ","Discounts and Markdowns                           ")</f>
        <v xml:space="preserve">     Discounts and Markdowns                           </v>
      </c>
      <c r="C82" s="7"/>
      <c r="D82" s="1">
        <f>SUM(OSRRefD21_6x_0)</f>
        <v>-23.84</v>
      </c>
      <c r="E82" s="19"/>
      <c r="F82" s="1">
        <f>SUM(OSRRefF21_6x_0)</f>
        <v>724.77</v>
      </c>
      <c r="G82" s="4"/>
      <c r="H82" s="1">
        <f>SUM(OSRRefH21_6x_0)</f>
        <v>193.88</v>
      </c>
      <c r="I82" s="4"/>
      <c r="J82" s="1">
        <f>SUM(OSRRefJ21_6x_0)</f>
        <v>-1104.47</v>
      </c>
      <c r="K82" s="4"/>
      <c r="L82" s="1">
        <f>SUM(OSRRefL21_6x_0)</f>
        <v>142.36000000000001</v>
      </c>
      <c r="M82" s="4"/>
      <c r="N82" s="1">
        <f>SUM(OSRRefN21_6x_0)</f>
        <v>125.96</v>
      </c>
      <c r="O82" s="4"/>
      <c r="P82" s="1">
        <f>SUM(OSRRefP21_6x_0)</f>
        <v>0</v>
      </c>
      <c r="Q82" s="4"/>
      <c r="R82" s="1">
        <f>SUM(OSRRefR21_6x_0)</f>
        <v>0</v>
      </c>
    </row>
    <row r="83" spans="1:18" s="16" customFormat="1" hidden="1" outlineLevel="2" x14ac:dyDescent="0.35">
      <c r="B83" s="11" t="str">
        <f>CONCATENATE("          ", "6382", " - ", "DISCOUNTS/MARK DOWNS")</f>
        <v xml:space="preserve">          6382 - DISCOUNTS/MARK DOWNS</v>
      </c>
      <c r="D83" s="2">
        <v>2.96</v>
      </c>
      <c r="F83" s="2">
        <v>837.47</v>
      </c>
      <c r="G83" s="3"/>
      <c r="H83" s="2">
        <v>184.62</v>
      </c>
      <c r="I83" s="3"/>
      <c r="J83" s="2">
        <v>209.29</v>
      </c>
      <c r="K83" s="3"/>
      <c r="L83" s="2">
        <v>142.36000000000001</v>
      </c>
      <c r="M83" s="3"/>
      <c r="N83" s="2">
        <v>125.96</v>
      </c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"9175", " - ", "EARNED DISCOUNTS")</f>
        <v xml:space="preserve">          9175 - EARNED DISCOUNTS</v>
      </c>
      <c r="D84" s="2">
        <v>-26.8</v>
      </c>
      <c r="F84" s="2">
        <v>-112.7</v>
      </c>
      <c r="G84" s="3"/>
      <c r="H84" s="2">
        <v>9.26</v>
      </c>
      <c r="I84" s="3"/>
      <c r="J84" s="2">
        <v>-1313.76</v>
      </c>
      <c r="K84" s="3"/>
      <c r="L84" s="2"/>
      <c r="M84" s="3"/>
      <c r="N84" s="2"/>
      <c r="O84" s="3"/>
      <c r="P84" s="2"/>
      <c r="Q84" s="3"/>
      <c r="R84" s="2"/>
    </row>
    <row r="85" spans="1:18" s="15" customFormat="1" outlineLevel="1" collapsed="1" x14ac:dyDescent="0.35">
      <c r="A85" s="7"/>
      <c r="B85" s="20" t="str">
        <f>CONCATENATE("     ","Donations                                         ")</f>
        <v xml:space="preserve">     Donations                                         </v>
      </c>
      <c r="C85" s="7"/>
      <c r="D85" s="1">
        <f>SUM(OSRRefD21_7x_0)</f>
        <v>434.4</v>
      </c>
      <c r="E85" s="19"/>
      <c r="F85" s="1">
        <f>SUM(OSRRefF21_7x_0)</f>
        <v>1020.25</v>
      </c>
      <c r="G85" s="4"/>
      <c r="H85" s="1">
        <f>SUM(OSRRefH21_7x_0)</f>
        <v>374.17</v>
      </c>
      <c r="I85" s="4"/>
      <c r="J85" s="1">
        <f>SUM(OSRRefJ21_7x_0)</f>
        <v>596.65</v>
      </c>
      <c r="K85" s="4"/>
      <c r="L85" s="1">
        <f>SUM(OSRRefL21_7x_0)</f>
        <v>1038.48</v>
      </c>
      <c r="M85" s="4"/>
      <c r="N85" s="1">
        <f>SUM(OSRRefN21_7x_0)</f>
        <v>236.68</v>
      </c>
      <c r="O85" s="4"/>
      <c r="P85" s="1">
        <f>SUM(OSRRefP21_7x_0)</f>
        <v>0</v>
      </c>
      <c r="Q85" s="4"/>
      <c r="R85" s="1">
        <f>SUM(OSRRefR21_7x_0)</f>
        <v>0</v>
      </c>
    </row>
    <row r="86" spans="1:18" s="16" customFormat="1" hidden="1" outlineLevel="2" x14ac:dyDescent="0.35">
      <c r="B86" s="11" t="str">
        <f>CONCATENATE("          ", "6399", " - ", "DONATION-ON CAMPUS")</f>
        <v xml:space="preserve">          6399 - DONATION-ON CAMPUS</v>
      </c>
      <c r="D86" s="2">
        <v>434.4</v>
      </c>
      <c r="F86" s="2">
        <v>1020.25</v>
      </c>
      <c r="G86" s="3"/>
      <c r="H86" s="2">
        <v>374.17</v>
      </c>
      <c r="I86" s="3"/>
      <c r="J86" s="2">
        <v>596.65</v>
      </c>
      <c r="K86" s="3"/>
      <c r="L86" s="2">
        <v>1038.48</v>
      </c>
      <c r="M86" s="3"/>
      <c r="N86" s="2">
        <v>236.68</v>
      </c>
      <c r="O86" s="3"/>
      <c r="P86" s="2"/>
      <c r="Q86" s="3"/>
      <c r="R86" s="2"/>
    </row>
    <row r="87" spans="1:18" s="15" customFormat="1" outlineLevel="1" collapsed="1" x14ac:dyDescent="0.35">
      <c r="A87" s="7"/>
      <c r="B87" s="20" t="str">
        <f>CONCATENATE("     ","Employees' Appreciation                           ")</f>
        <v xml:space="preserve">     Employees' Appreciation                           </v>
      </c>
      <c r="C87" s="7"/>
      <c r="D87" s="1">
        <f>SUM(OSRRefD21_8x_0)</f>
        <v>1558.18</v>
      </c>
      <c r="E87" s="19"/>
      <c r="F87" s="1">
        <f>SUM(OSRRefF21_8x_0)</f>
        <v>2237.2399999999998</v>
      </c>
      <c r="G87" s="4"/>
      <c r="H87" s="1">
        <f>SUM(OSRRefH21_8x_0)</f>
        <v>1951.1</v>
      </c>
      <c r="I87" s="4"/>
      <c r="J87" s="1">
        <f>SUM(OSRRefJ21_8x_0)</f>
        <v>4112.87</v>
      </c>
      <c r="K87" s="4"/>
      <c r="L87" s="1">
        <f>SUM(OSRRefL21_8x_0)</f>
        <v>5070.8599999999997</v>
      </c>
      <c r="M87" s="4"/>
      <c r="N87" s="1">
        <f>SUM(OSRRefN21_8x_0)</f>
        <v>1836.65</v>
      </c>
      <c r="O87" s="4"/>
      <c r="P87" s="1">
        <f>SUM(OSRRefP21_8x_0)</f>
        <v>350</v>
      </c>
      <c r="Q87" s="4"/>
      <c r="R87" s="1">
        <f>SUM(OSRRefR21_8x_0)</f>
        <v>480</v>
      </c>
    </row>
    <row r="88" spans="1:18" s="16" customFormat="1" hidden="1" outlineLevel="2" x14ac:dyDescent="0.35">
      <c r="B88" s="11" t="str">
        <f>CONCATENATE("          ", "6277", " - ", "EMPLOYEE APPRECIATION")</f>
        <v xml:space="preserve">          6277 - EMPLOYEE APPRECIATION</v>
      </c>
      <c r="D88" s="2">
        <v>1558.18</v>
      </c>
      <c r="F88" s="2">
        <v>2237.2399999999998</v>
      </c>
      <c r="G88" s="3"/>
      <c r="H88" s="2">
        <v>1951.1</v>
      </c>
      <c r="I88" s="3"/>
      <c r="J88" s="2">
        <v>4112.87</v>
      </c>
      <c r="K88" s="3"/>
      <c r="L88" s="2">
        <v>5070.8599999999997</v>
      </c>
      <c r="M88" s="3"/>
      <c r="N88" s="2">
        <v>1836.65</v>
      </c>
      <c r="O88" s="3"/>
      <c r="P88" s="2">
        <v>350</v>
      </c>
      <c r="Q88" s="3"/>
      <c r="R88" s="2">
        <v>480</v>
      </c>
    </row>
    <row r="89" spans="1:18" s="15" customFormat="1" outlineLevel="1" collapsed="1" x14ac:dyDescent="0.35">
      <c r="A89" s="7"/>
      <c r="B89" s="20" t="str">
        <f>CONCATENATE("     ","Equipment Rental                                  ")</f>
        <v xml:space="preserve">     Equipment Rental                                  </v>
      </c>
      <c r="C89" s="7"/>
      <c r="D89" s="1">
        <f>SUM(OSRRefD21_9x_0)</f>
        <v>19965.009999999998</v>
      </c>
      <c r="E89" s="19"/>
      <c r="F89" s="1">
        <f>SUM(OSRRefF21_9x_0)</f>
        <v>22423.14</v>
      </c>
      <c r="G89" s="4"/>
      <c r="H89" s="1">
        <f>SUM(OSRRefH21_9x_0)</f>
        <v>20494.939999999999</v>
      </c>
      <c r="I89" s="4"/>
      <c r="J89" s="1">
        <f>SUM(OSRRefJ21_9x_0)</f>
        <v>27247.72</v>
      </c>
      <c r="K89" s="4"/>
      <c r="L89" s="1">
        <f>SUM(OSRRefL21_9x_0)</f>
        <v>22897.97</v>
      </c>
      <c r="M89" s="4"/>
      <c r="N89" s="1">
        <f>SUM(OSRRefN21_9x_0)</f>
        <v>29359.94</v>
      </c>
      <c r="O89" s="4"/>
      <c r="P89" s="1">
        <f>SUM(OSRRefP21_9x_0)</f>
        <v>5259</v>
      </c>
      <c r="Q89" s="4"/>
      <c r="R89" s="1">
        <f>SUM(OSRRefR21_9x_0)</f>
        <v>11412</v>
      </c>
    </row>
    <row r="90" spans="1:18" s="16" customFormat="1" hidden="1" outlineLevel="2" x14ac:dyDescent="0.35">
      <c r="B90" s="11" t="str">
        <f>CONCATENATE("          ", "6351", " - ", "EQUIPMENT RENTAL")</f>
        <v xml:space="preserve">          6351 - EQUIPMENT RENTAL</v>
      </c>
      <c r="D90" s="2">
        <v>19965.009999999998</v>
      </c>
      <c r="F90" s="2">
        <v>22423.14</v>
      </c>
      <c r="G90" s="3"/>
      <c r="H90" s="2">
        <v>20494.939999999999</v>
      </c>
      <c r="I90" s="3"/>
      <c r="J90" s="2">
        <v>27247.72</v>
      </c>
      <c r="K90" s="3"/>
      <c r="L90" s="2">
        <v>22897.97</v>
      </c>
      <c r="M90" s="3"/>
      <c r="N90" s="2">
        <v>29359.94</v>
      </c>
      <c r="O90" s="3"/>
      <c r="P90" s="2">
        <v>5259</v>
      </c>
      <c r="Q90" s="3"/>
      <c r="R90" s="2">
        <v>11412</v>
      </c>
    </row>
    <row r="91" spans="1:18" s="15" customFormat="1" outlineLevel="1" collapsed="1" x14ac:dyDescent="0.35">
      <c r="A91" s="7"/>
      <c r="B91" s="20" t="str">
        <f>CONCATENATE("     ","Freight out/Postage                               ")</f>
        <v xml:space="preserve">     Freight out/Postage                               </v>
      </c>
      <c r="C91" s="7"/>
      <c r="D91" s="1">
        <f>SUM(OSRRefD21_10x_0)</f>
        <v>306.14999999999998</v>
      </c>
      <c r="E91" s="19"/>
      <c r="F91" s="1">
        <f>SUM(OSRRefF21_10x_0)</f>
        <v>1672.05</v>
      </c>
      <c r="G91" s="4"/>
      <c r="H91" s="1">
        <f>SUM(OSRRefH21_10x_0)</f>
        <v>317.74</v>
      </c>
      <c r="I91" s="4"/>
      <c r="J91" s="1">
        <f>SUM(OSRRefJ21_10x_0)</f>
        <v>329.47</v>
      </c>
      <c r="K91" s="4"/>
      <c r="L91" s="1">
        <f>SUM(OSRRefL21_10x_0)</f>
        <v>764.44</v>
      </c>
      <c r="M91" s="4"/>
      <c r="N91" s="1">
        <f>SUM(OSRRefN21_10x_0)</f>
        <v>331.76</v>
      </c>
      <c r="O91" s="4"/>
      <c r="P91" s="1">
        <f>SUM(OSRRefP21_10x_0)</f>
        <v>0</v>
      </c>
      <c r="Q91" s="4"/>
      <c r="R91" s="1">
        <f>SUM(OSRRefR21_10x_0)</f>
        <v>0</v>
      </c>
    </row>
    <row r="92" spans="1:18" s="16" customFormat="1" hidden="1" outlineLevel="2" x14ac:dyDescent="0.35">
      <c r="B92" s="11" t="str">
        <f>CONCATENATE("          ", "6305", " - ", "FREIGHT OUT")</f>
        <v xml:space="preserve">          6305 - FREIGHT OUT</v>
      </c>
      <c r="D92" s="2">
        <v>96.98</v>
      </c>
      <c r="F92" s="2">
        <v>121.97</v>
      </c>
      <c r="G92" s="3"/>
      <c r="H92" s="2">
        <v>286.79000000000002</v>
      </c>
      <c r="I92" s="3"/>
      <c r="J92" s="2">
        <v>318.67</v>
      </c>
      <c r="K92" s="3"/>
      <c r="L92" s="2">
        <v>728.36</v>
      </c>
      <c r="M92" s="3"/>
      <c r="N92" s="2">
        <v>331.18</v>
      </c>
      <c r="O92" s="3"/>
      <c r="P92" s="2"/>
      <c r="Q92" s="3"/>
      <c r="R92" s="2"/>
    </row>
    <row r="93" spans="1:18" s="16" customFormat="1" hidden="1" outlineLevel="2" x14ac:dyDescent="0.35">
      <c r="B93" s="11" t="str">
        <f>CONCATENATE("          ", "6307", " - ", "POSTAGE")</f>
        <v xml:space="preserve">          6307 - POSTAGE</v>
      </c>
      <c r="D93" s="2">
        <v>209.17</v>
      </c>
      <c r="F93" s="2">
        <v>1550.08</v>
      </c>
      <c r="G93" s="3"/>
      <c r="H93" s="2">
        <v>30.95</v>
      </c>
      <c r="I93" s="3"/>
      <c r="J93" s="2">
        <v>10.8</v>
      </c>
      <c r="K93" s="3"/>
      <c r="L93" s="2">
        <v>36.08</v>
      </c>
      <c r="M93" s="3"/>
      <c r="N93" s="2">
        <v>0.57999999999999996</v>
      </c>
      <c r="O93" s="3"/>
      <c r="P93" s="2"/>
      <c r="Q93" s="3"/>
      <c r="R93" s="2"/>
    </row>
    <row r="94" spans="1:18" s="15" customFormat="1" outlineLevel="1" collapsed="1" x14ac:dyDescent="0.35">
      <c r="A94" s="7"/>
      <c r="B94" s="20" t="str">
        <f>CONCATENATE("     ","General                                           ")</f>
        <v xml:space="preserve">     General                                           </v>
      </c>
      <c r="C94" s="7"/>
      <c r="D94" s="1">
        <f>SUM(OSRRefD21_11x_0)</f>
        <v>70915.87</v>
      </c>
      <c r="E94" s="19"/>
      <c r="F94" s="1">
        <f>SUM(OSRRefF21_11x_0)</f>
        <v>107596.84</v>
      </c>
      <c r="G94" s="4"/>
      <c r="H94" s="1">
        <f>SUM(OSRRefH21_11x_0)</f>
        <v>56947.08</v>
      </c>
      <c r="I94" s="4"/>
      <c r="J94" s="1">
        <f>SUM(OSRRefJ21_11x_0)</f>
        <v>87521.91</v>
      </c>
      <c r="K94" s="4"/>
      <c r="L94" s="1">
        <f>SUM(OSRRefL21_11x_0)</f>
        <v>69725.98</v>
      </c>
      <c r="M94" s="4"/>
      <c r="N94" s="1">
        <f>SUM(OSRRefN21_11x_0)</f>
        <v>98942.55</v>
      </c>
      <c r="O94" s="4"/>
      <c r="P94" s="1">
        <f>SUM(OSRRefP21_11x_0)</f>
        <v>9760</v>
      </c>
      <c r="Q94" s="4"/>
      <c r="R94" s="1">
        <f>SUM(OSRRefR21_11x_0)</f>
        <v>6900</v>
      </c>
    </row>
    <row r="95" spans="1:18" s="16" customFormat="1" hidden="1" outlineLevel="2" x14ac:dyDescent="0.35">
      <c r="B95" s="11" t="str">
        <f>CONCATENATE("          ", "6269", " - ", "ENTERTAINMENT")</f>
        <v xml:space="preserve">          6269 - ENTERTAINMENT</v>
      </c>
      <c r="D95" s="2">
        <v>1884.79</v>
      </c>
      <c r="F95" s="2">
        <v>2513.13</v>
      </c>
      <c r="G95" s="3"/>
      <c r="H95" s="2">
        <v>2661.68</v>
      </c>
      <c r="I95" s="3"/>
      <c r="J95" s="2">
        <v>6380</v>
      </c>
      <c r="K95" s="3"/>
      <c r="L95" s="2">
        <v>10824.27</v>
      </c>
      <c r="M95" s="3"/>
      <c r="N95" s="2">
        <v>10050</v>
      </c>
      <c r="O95" s="3"/>
      <c r="P95" s="2"/>
      <c r="Q95" s="3"/>
      <c r="R95" s="2">
        <v>500</v>
      </c>
    </row>
    <row r="96" spans="1:18" s="16" customFormat="1" hidden="1" outlineLevel="2" x14ac:dyDescent="0.35">
      <c r="B96" s="11" t="str">
        <f>CONCATENATE("          ", "6276", " - ", "PROPERTY TAX")</f>
        <v xml:space="preserve">          6276 - PROPERTY TAX</v>
      </c>
      <c r="D96" s="2">
        <v>213.38</v>
      </c>
      <c r="F96" s="2">
        <v>211.84</v>
      </c>
      <c r="G96" s="3"/>
      <c r="H96" s="2"/>
      <c r="I96" s="3"/>
      <c r="J96" s="2"/>
      <c r="K96" s="3"/>
      <c r="L96" s="2"/>
      <c r="M96" s="3"/>
      <c r="N96" s="2"/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"6279", " - ", "GENERAL EXPENSE")</f>
        <v xml:space="preserve">          6279 - GENERAL EXPENSE</v>
      </c>
      <c r="D97" s="2">
        <v>68817.7</v>
      </c>
      <c r="F97" s="2">
        <v>104871.87</v>
      </c>
      <c r="G97" s="3"/>
      <c r="H97" s="2">
        <v>54285.4</v>
      </c>
      <c r="I97" s="3"/>
      <c r="J97" s="2">
        <v>81141.91</v>
      </c>
      <c r="K97" s="3"/>
      <c r="L97" s="2">
        <v>58901.71</v>
      </c>
      <c r="M97" s="3"/>
      <c r="N97" s="2">
        <v>88892.55</v>
      </c>
      <c r="O97" s="3"/>
      <c r="P97" s="2">
        <v>9760</v>
      </c>
      <c r="Q97" s="3"/>
      <c r="R97" s="2">
        <v>6400</v>
      </c>
    </row>
    <row r="98" spans="1:18" s="15" customFormat="1" outlineLevel="1" collapsed="1" x14ac:dyDescent="0.35">
      <c r="A98" s="7"/>
      <c r="B98" s="20" t="str">
        <f>CONCATENATE("     ","Insurance                                         ")</f>
        <v xml:space="preserve">     Insurance                                         </v>
      </c>
      <c r="C98" s="7"/>
      <c r="D98" s="1">
        <f>SUM(OSRRefD21_12x_0)</f>
        <v>43178.239999999998</v>
      </c>
      <c r="E98" s="19"/>
      <c r="F98" s="1">
        <f>SUM(OSRRefF21_12x_0)</f>
        <v>50937.8</v>
      </c>
      <c r="G98" s="4"/>
      <c r="H98" s="1">
        <f>SUM(OSRRefH21_12x_0)</f>
        <v>44988.51</v>
      </c>
      <c r="I98" s="4"/>
      <c r="J98" s="1">
        <f>SUM(OSRRefJ21_12x_0)</f>
        <v>49288.92</v>
      </c>
      <c r="K98" s="4"/>
      <c r="L98" s="1">
        <f>SUM(OSRRefL21_12x_0)</f>
        <v>47746.74</v>
      </c>
      <c r="M98" s="4"/>
      <c r="N98" s="1">
        <f>SUM(OSRRefN21_12x_0)</f>
        <v>59565.04</v>
      </c>
      <c r="O98" s="4"/>
      <c r="P98" s="1">
        <f>SUM(OSRRefP21_12x_0)</f>
        <v>58020</v>
      </c>
      <c r="Q98" s="4"/>
      <c r="R98" s="1">
        <f>SUM(OSRRefR21_12x_0)</f>
        <v>72000</v>
      </c>
    </row>
    <row r="99" spans="1:18" s="16" customFormat="1" hidden="1" outlineLevel="2" x14ac:dyDescent="0.35">
      <c r="B99" s="11" t="str">
        <f>CONCATENATE("          ", "6314", " - ", "LIABILITY INSURANCE")</f>
        <v xml:space="preserve">          6314 - LIABILITY INSURANCE</v>
      </c>
      <c r="D99" s="2">
        <v>43178.239999999998</v>
      </c>
      <c r="F99" s="2">
        <v>50937.8</v>
      </c>
      <c r="G99" s="3"/>
      <c r="H99" s="2">
        <v>44988.51</v>
      </c>
      <c r="I99" s="3"/>
      <c r="J99" s="2">
        <v>49288.92</v>
      </c>
      <c r="K99" s="3"/>
      <c r="L99" s="2">
        <v>47746.74</v>
      </c>
      <c r="M99" s="3"/>
      <c r="N99" s="2">
        <v>59565.04</v>
      </c>
      <c r="O99" s="3"/>
      <c r="P99" s="2">
        <v>58020</v>
      </c>
      <c r="Q99" s="3"/>
      <c r="R99" s="2">
        <v>72000</v>
      </c>
    </row>
    <row r="100" spans="1:18" s="15" customFormat="1" outlineLevel="1" collapsed="1" x14ac:dyDescent="0.35">
      <c r="A100" s="7"/>
      <c r="B100" s="20" t="str">
        <f>CONCATENATE("     ","Interest                                          ")</f>
        <v xml:space="preserve">     Interest                                          </v>
      </c>
      <c r="C100" s="7"/>
      <c r="D100" s="1">
        <f>SUM(OSRRefD21_13x_0)</f>
        <v>182409.46</v>
      </c>
      <c r="E100" s="19"/>
      <c r="F100" s="1">
        <f>SUM(OSRRefF21_13x_0)</f>
        <v>170066</v>
      </c>
      <c r="G100" s="4"/>
      <c r="H100" s="1">
        <f>SUM(OSRRefH21_13x_0)</f>
        <v>139836.01</v>
      </c>
      <c r="I100" s="4"/>
      <c r="J100" s="1">
        <f>SUM(OSRRefJ21_13x_0)</f>
        <v>133581.37</v>
      </c>
      <c r="K100" s="4"/>
      <c r="L100" s="1">
        <f>SUM(OSRRefL21_13x_0)</f>
        <v>131525.23000000001</v>
      </c>
      <c r="M100" s="4"/>
      <c r="N100" s="1">
        <f>SUM(OSRRefN21_13x_0)</f>
        <v>126739.28</v>
      </c>
      <c r="O100" s="4"/>
      <c r="P100" s="1">
        <f>SUM(OSRRefP21_13x_0)</f>
        <v>137856</v>
      </c>
      <c r="Q100" s="4"/>
      <c r="R100" s="1">
        <f>SUM(OSRRefR21_13x_0)</f>
        <v>133064</v>
      </c>
    </row>
    <row r="101" spans="1:18" s="16" customFormat="1" hidden="1" outlineLevel="2" x14ac:dyDescent="0.35">
      <c r="B101" s="11" t="str">
        <f>CONCATENATE("          ", "6401", " - ", "INTEREST EXPENSE")</f>
        <v xml:space="preserve">          6401 - INTEREST EXPENSE</v>
      </c>
      <c r="D101" s="2">
        <v>182409.46</v>
      </c>
      <c r="F101" s="2">
        <v>170066</v>
      </c>
      <c r="G101" s="3"/>
      <c r="H101" s="2">
        <v>139836.01</v>
      </c>
      <c r="I101" s="3"/>
      <c r="J101" s="2">
        <v>133581.37</v>
      </c>
      <c r="K101" s="3"/>
      <c r="L101" s="2">
        <v>131525.23000000001</v>
      </c>
      <c r="M101" s="3"/>
      <c r="N101" s="2">
        <v>126739.28</v>
      </c>
      <c r="O101" s="3"/>
      <c r="P101" s="2">
        <v>137856</v>
      </c>
      <c r="Q101" s="3"/>
      <c r="R101" s="2">
        <v>133064</v>
      </c>
    </row>
    <row r="102" spans="1:18" s="15" customFormat="1" outlineLevel="1" collapsed="1" x14ac:dyDescent="0.35">
      <c r="A102" s="7"/>
      <c r="B102" s="20" t="str">
        <f>CONCATENATE("     ","Professional Services                             ")</f>
        <v xml:space="preserve">     Professional Services                             </v>
      </c>
      <c r="C102" s="7"/>
      <c r="D102" s="1">
        <f>SUM(OSRRefD21_14x_0)</f>
        <v>3750</v>
      </c>
      <c r="E102" s="19"/>
      <c r="F102" s="1">
        <f>SUM(OSRRefF21_14x_0)</f>
        <v>0</v>
      </c>
      <c r="G102" s="4"/>
      <c r="H102" s="1">
        <f>SUM(OSRRefH21_14x_0)</f>
        <v>30780.42</v>
      </c>
      <c r="I102" s="4"/>
      <c r="J102" s="1">
        <f>SUM(OSRRefJ21_14x_0)</f>
        <v>21209.759999999998</v>
      </c>
      <c r="K102" s="4"/>
      <c r="L102" s="1">
        <f>SUM(OSRRefL21_14x_0)</f>
        <v>0</v>
      </c>
      <c r="M102" s="4"/>
      <c r="N102" s="1">
        <f>SUM(OSRRefN21_14x_0)</f>
        <v>125</v>
      </c>
      <c r="O102" s="4"/>
      <c r="P102" s="1">
        <f>SUM(OSRRefP21_14x_0)</f>
        <v>0</v>
      </c>
      <c r="Q102" s="4"/>
      <c r="R102" s="1">
        <f>SUM(OSRRefR21_14x_0)</f>
        <v>0</v>
      </c>
    </row>
    <row r="103" spans="1:18" s="16" customFormat="1" hidden="1" outlineLevel="2" x14ac:dyDescent="0.35">
      <c r="B103" s="11" t="str">
        <f>CONCATENATE("          ", "6336", " - ", "PROFESSIONAL SERVICES")</f>
        <v xml:space="preserve">          6336 - PROFESSIONAL SERVICES</v>
      </c>
      <c r="D103" s="2">
        <v>3750</v>
      </c>
      <c r="F103" s="2"/>
      <c r="G103" s="3"/>
      <c r="H103" s="2">
        <v>30780.42</v>
      </c>
      <c r="I103" s="3"/>
      <c r="J103" s="2">
        <v>21209.759999999998</v>
      </c>
      <c r="K103" s="3"/>
      <c r="L103" s="2"/>
      <c r="M103" s="3"/>
      <c r="N103" s="2">
        <v>125</v>
      </c>
      <c r="O103" s="3"/>
      <c r="P103" s="2"/>
      <c r="Q103" s="3"/>
      <c r="R103" s="2"/>
    </row>
    <row r="104" spans="1:18" s="15" customFormat="1" outlineLevel="1" collapsed="1" x14ac:dyDescent="0.35">
      <c r="A104" s="7"/>
      <c r="B104" s="20" t="str">
        <f>CONCATENATE("     ","R/H Commissions                                   ")</f>
        <v xml:space="preserve">     R/H Commissions                                   </v>
      </c>
      <c r="C104" s="7"/>
      <c r="D104" s="1">
        <f>SUM(OSRRefD21_15x_0)</f>
        <v>0</v>
      </c>
      <c r="E104" s="19"/>
      <c r="F104" s="1">
        <f>SUM(OSRRefF21_15x_0)</f>
        <v>0</v>
      </c>
      <c r="G104" s="4"/>
      <c r="H104" s="1">
        <f>SUM(OSRRefH21_15x_0)</f>
        <v>0</v>
      </c>
      <c r="I104" s="4"/>
      <c r="J104" s="1">
        <f>SUM(OSRRefJ21_15x_0)</f>
        <v>0</v>
      </c>
      <c r="K104" s="4"/>
      <c r="L104" s="1">
        <f>SUM(OSRRefL21_15x_0)</f>
        <v>0</v>
      </c>
      <c r="M104" s="4"/>
      <c r="N104" s="1">
        <f>SUM(OSRRefN21_15x_0)</f>
        <v>0</v>
      </c>
      <c r="O104" s="4"/>
      <c r="P104" s="1">
        <f>SUM(OSRRefP21_15x_0)</f>
        <v>2000</v>
      </c>
      <c r="Q104" s="4"/>
      <c r="R104" s="1">
        <f>SUM(OSRRefR21_15x_0)</f>
        <v>0</v>
      </c>
    </row>
    <row r="105" spans="1:18" s="16" customFormat="1" hidden="1" outlineLevel="2" x14ac:dyDescent="0.35">
      <c r="B105" s="11" t="str">
        <f>CONCATENATE("          ", "6387", " - ", "COMMISSION DUE HOUSING")</f>
        <v xml:space="preserve">          6387 - COMMISSION DUE HOUSING</v>
      </c>
      <c r="D105" s="2"/>
      <c r="F105" s="2"/>
      <c r="G105" s="3"/>
      <c r="H105" s="2"/>
      <c r="I105" s="3"/>
      <c r="J105" s="2"/>
      <c r="K105" s="3"/>
      <c r="L105" s="2"/>
      <c r="M105" s="3"/>
      <c r="N105" s="2"/>
      <c r="O105" s="3"/>
      <c r="P105" s="2">
        <v>2000</v>
      </c>
      <c r="Q105" s="3"/>
      <c r="R105" s="2"/>
    </row>
    <row r="106" spans="1:18" s="15" customFormat="1" outlineLevel="1" collapsed="1" x14ac:dyDescent="0.35">
      <c r="A106" s="7"/>
      <c r="B106" s="20" t="str">
        <f>CONCATENATE("     ","Rent                                              ")</f>
        <v xml:space="preserve">     Rent                                              </v>
      </c>
      <c r="C106" s="7"/>
      <c r="D106" s="1">
        <f>SUM(OSRRefD21_16x_0)</f>
        <v>18000</v>
      </c>
      <c r="E106" s="19"/>
      <c r="F106" s="1">
        <f>SUM(OSRRefF21_16x_0)</f>
        <v>18000</v>
      </c>
      <c r="G106" s="4"/>
      <c r="H106" s="1">
        <f>SUM(OSRRefH21_16x_0)</f>
        <v>20500</v>
      </c>
      <c r="I106" s="4"/>
      <c r="J106" s="1">
        <f>SUM(OSRRefJ21_16x_0)</f>
        <v>18000</v>
      </c>
      <c r="K106" s="4"/>
      <c r="L106" s="1">
        <f>SUM(OSRRefL21_16x_0)</f>
        <v>36000</v>
      </c>
      <c r="M106" s="4"/>
      <c r="N106" s="1">
        <f>SUM(OSRRefN21_16x_0)</f>
        <v>36000</v>
      </c>
      <c r="O106" s="4"/>
      <c r="P106" s="1">
        <f>SUM(OSRRefP21_16x_0)</f>
        <v>23316</v>
      </c>
      <c r="Q106" s="4"/>
      <c r="R106" s="1">
        <f>SUM(OSRRefR21_16x_0)</f>
        <v>22200</v>
      </c>
    </row>
    <row r="107" spans="1:18" s="16" customFormat="1" hidden="1" outlineLevel="2" x14ac:dyDescent="0.35">
      <c r="B107" s="11" t="str">
        <f>CONCATENATE("          ", "6273", " - ", "RENT")</f>
        <v xml:space="preserve">          6273 - RENT</v>
      </c>
      <c r="D107" s="2">
        <v>18000</v>
      </c>
      <c r="F107" s="2">
        <v>18000</v>
      </c>
      <c r="G107" s="3"/>
      <c r="H107" s="2">
        <v>20500</v>
      </c>
      <c r="I107" s="3"/>
      <c r="J107" s="2">
        <v>18000</v>
      </c>
      <c r="K107" s="3"/>
      <c r="L107" s="2">
        <v>36000</v>
      </c>
      <c r="M107" s="3"/>
      <c r="N107" s="2">
        <v>36000</v>
      </c>
      <c r="O107" s="3"/>
      <c r="P107" s="2">
        <v>23316</v>
      </c>
      <c r="Q107" s="3"/>
      <c r="R107" s="2">
        <v>22200</v>
      </c>
    </row>
    <row r="108" spans="1:18" s="15" customFormat="1" outlineLevel="1" collapsed="1" x14ac:dyDescent="0.35">
      <c r="A108" s="7"/>
      <c r="B108" s="20" t="str">
        <f>CONCATENATE("     ","Repair and Maintenance                            ")</f>
        <v xml:space="preserve">     Repair and Maintenance                            </v>
      </c>
      <c r="C108" s="7"/>
      <c r="D108" s="1">
        <f>SUM(OSRRefD21_17x_0)</f>
        <v>304281.26</v>
      </c>
      <c r="E108" s="19"/>
      <c r="F108" s="1">
        <f>SUM(OSRRefF21_17x_0)</f>
        <v>266172.64</v>
      </c>
      <c r="G108" s="4"/>
      <c r="H108" s="1">
        <f>SUM(OSRRefH21_17x_0)</f>
        <v>266636.92000000004</v>
      </c>
      <c r="I108" s="4"/>
      <c r="J108" s="1">
        <f>SUM(OSRRefJ21_17x_0)</f>
        <v>276699.5</v>
      </c>
      <c r="K108" s="4"/>
      <c r="L108" s="1">
        <f>SUM(OSRRefL21_17x_0)</f>
        <v>334966.53000000003</v>
      </c>
      <c r="M108" s="4"/>
      <c r="N108" s="1">
        <f>SUM(OSRRefN21_17x_0)</f>
        <v>251979.42</v>
      </c>
      <c r="O108" s="4"/>
      <c r="P108" s="1">
        <f>SUM(OSRRefP21_17x_0)</f>
        <v>28445</v>
      </c>
      <c r="Q108" s="4"/>
      <c r="R108" s="1">
        <f>SUM(OSRRefR21_17x_0)</f>
        <v>60929</v>
      </c>
    </row>
    <row r="109" spans="1:18" s="16" customFormat="1" hidden="1" outlineLevel="2" x14ac:dyDescent="0.35">
      <c r="B109" s="11" t="str">
        <f>CONCATENATE("          ", "6371", " - ", "COMPUTER SOFTWARE MAINTENANCE")</f>
        <v xml:space="preserve">          6371 - COMPUTER SOFTWARE MAINTENANCE</v>
      </c>
      <c r="D109" s="2">
        <v>34148.81</v>
      </c>
      <c r="F109" s="2">
        <v>38029.35</v>
      </c>
      <c r="G109" s="3"/>
      <c r="H109" s="2">
        <v>52008.42</v>
      </c>
      <c r="I109" s="3"/>
      <c r="J109" s="2">
        <v>49340.65</v>
      </c>
      <c r="K109" s="3"/>
      <c r="L109" s="2">
        <v>30582.34</v>
      </c>
      <c r="M109" s="3"/>
      <c r="N109" s="2">
        <v>12244.62</v>
      </c>
      <c r="O109" s="3"/>
      <c r="P109" s="2">
        <v>43</v>
      </c>
      <c r="Q109" s="3"/>
      <c r="R109" s="2">
        <v>2623</v>
      </c>
    </row>
    <row r="110" spans="1:18" s="16" customFormat="1" hidden="1" outlineLevel="2" x14ac:dyDescent="0.35">
      <c r="B110" s="11" t="str">
        <f>CONCATENATE("          ", "6372", " - ", "COMPUTER HARDWARE MAINTENANCE")</f>
        <v xml:space="preserve">          6372 - COMPUTER HARDWARE MAINTENANCE</v>
      </c>
      <c r="D110" s="2"/>
      <c r="F110" s="2"/>
      <c r="G110" s="3"/>
      <c r="H110" s="2"/>
      <c r="I110" s="3"/>
      <c r="J110" s="2">
        <v>1027.96</v>
      </c>
      <c r="K110" s="3"/>
      <c r="L110" s="2">
        <v>880.96</v>
      </c>
      <c r="M110" s="3"/>
      <c r="N110" s="2">
        <v>8142.87</v>
      </c>
      <c r="O110" s="3"/>
      <c r="P110" s="2">
        <v>437</v>
      </c>
      <c r="Q110" s="3"/>
      <c r="R110" s="2">
        <v>8000</v>
      </c>
    </row>
    <row r="111" spans="1:18" s="16" customFormat="1" hidden="1" outlineLevel="2" x14ac:dyDescent="0.35">
      <c r="B111" s="11" t="str">
        <f>CONCATENATE("          ", "6373", " - ", "MAINTENANCE CONTRACTS")</f>
        <v xml:space="preserve">          6373 - MAINTENANCE CONTRACTS</v>
      </c>
      <c r="D111" s="2">
        <v>106571.36</v>
      </c>
      <c r="F111" s="2">
        <v>98042.4</v>
      </c>
      <c r="G111" s="3"/>
      <c r="H111" s="2">
        <v>81814.080000000002</v>
      </c>
      <c r="I111" s="3"/>
      <c r="J111" s="2">
        <v>99801.86</v>
      </c>
      <c r="K111" s="3"/>
      <c r="L111" s="2">
        <v>128104.47</v>
      </c>
      <c r="M111" s="3"/>
      <c r="N111" s="2">
        <v>102134.05</v>
      </c>
      <c r="O111" s="3"/>
      <c r="P111" s="2">
        <v>4000</v>
      </c>
      <c r="Q111" s="3"/>
      <c r="R111" s="2">
        <v>6919</v>
      </c>
    </row>
    <row r="112" spans="1:18" s="16" customFormat="1" hidden="1" outlineLevel="2" x14ac:dyDescent="0.35">
      <c r="B112" s="11" t="str">
        <f>CONCATENATE("          ", "6375", " - ", "OUTSIDE REPAIRS &amp; MAINTENANCE")</f>
        <v xml:space="preserve">          6375 - OUTSIDE REPAIRS &amp; MAINTENANCE</v>
      </c>
      <c r="D112" s="2">
        <v>163561.09</v>
      </c>
      <c r="F112" s="2">
        <v>130100.89</v>
      </c>
      <c r="G112" s="3"/>
      <c r="H112" s="2">
        <v>132814.42000000001</v>
      </c>
      <c r="I112" s="3"/>
      <c r="J112" s="2">
        <v>126529.03</v>
      </c>
      <c r="K112" s="3"/>
      <c r="L112" s="2">
        <v>175398.76</v>
      </c>
      <c r="M112" s="3"/>
      <c r="N112" s="2">
        <v>129457.88</v>
      </c>
      <c r="O112" s="3"/>
      <c r="P112" s="2">
        <v>23965</v>
      </c>
      <c r="Q112" s="3"/>
      <c r="R112" s="2">
        <v>43387</v>
      </c>
    </row>
    <row r="113" spans="1:18" s="15" customFormat="1" outlineLevel="1" collapsed="1" x14ac:dyDescent="0.35">
      <c r="A113" s="7"/>
      <c r="B113" s="20" t="str">
        <f>CONCATENATE("     ","Royalty &amp; Commissions                             ")</f>
        <v xml:space="preserve">     Royalty &amp; Commissions                             </v>
      </c>
      <c r="C113" s="7"/>
      <c r="D113" s="1">
        <f>SUM(OSRRefD21_18x_0)</f>
        <v>322550.89</v>
      </c>
      <c r="E113" s="19"/>
      <c r="F113" s="1">
        <f>SUM(OSRRefF21_18x_0)</f>
        <v>394452.55000000005</v>
      </c>
      <c r="G113" s="4"/>
      <c r="H113" s="1">
        <f>SUM(OSRRefH21_18x_0)</f>
        <v>410818.51</v>
      </c>
      <c r="I113" s="4"/>
      <c r="J113" s="1">
        <f>SUM(OSRRefJ21_18x_0)</f>
        <v>520320.47</v>
      </c>
      <c r="K113" s="4"/>
      <c r="L113" s="1">
        <f>SUM(OSRRefL21_18x_0)</f>
        <v>475597.18</v>
      </c>
      <c r="M113" s="4"/>
      <c r="N113" s="1">
        <f>SUM(OSRRefN21_18x_0)</f>
        <v>258319.61</v>
      </c>
      <c r="O113" s="4"/>
      <c r="P113" s="1">
        <f>SUM(OSRRefP21_18x_0)</f>
        <v>10320</v>
      </c>
      <c r="Q113" s="4"/>
      <c r="R113" s="1">
        <f>SUM(OSRRefR21_18x_0)</f>
        <v>14170</v>
      </c>
    </row>
    <row r="114" spans="1:18" s="16" customFormat="1" hidden="1" outlineLevel="2" x14ac:dyDescent="0.35">
      <c r="B114" s="11" t="str">
        <f>CONCATENATE("          ", "6254", " - ", "ROYALTY &amp; COMMISSIONS")</f>
        <v xml:space="preserve">          6254 - ROYALTY &amp; COMMISSIONS</v>
      </c>
      <c r="D114" s="2">
        <v>190839.45</v>
      </c>
      <c r="F114" s="2">
        <v>249375.67</v>
      </c>
      <c r="G114" s="3"/>
      <c r="H114" s="2">
        <v>248112.19</v>
      </c>
      <c r="I114" s="3"/>
      <c r="J114" s="2">
        <v>371962.31</v>
      </c>
      <c r="K114" s="3"/>
      <c r="L114" s="2">
        <v>334593.74</v>
      </c>
      <c r="M114" s="3"/>
      <c r="N114" s="2">
        <v>153649.65</v>
      </c>
      <c r="O114" s="3"/>
      <c r="P114" s="2">
        <v>0</v>
      </c>
      <c r="Q114" s="3"/>
      <c r="R114" s="2"/>
    </row>
    <row r="115" spans="1:18" s="16" customFormat="1" hidden="1" outlineLevel="2" x14ac:dyDescent="0.35">
      <c r="B115" s="11" t="str">
        <f>CONCATENATE("          ", "6259", " - ", "ROYALTY &amp; COMMISSIONS")</f>
        <v xml:space="preserve">          6259 - ROYALTY &amp; COMMISSIONS</v>
      </c>
      <c r="D115" s="2">
        <v>131711.44</v>
      </c>
      <c r="F115" s="2">
        <v>145076.88</v>
      </c>
      <c r="G115" s="3"/>
      <c r="H115" s="2">
        <v>162706.32</v>
      </c>
      <c r="I115" s="3"/>
      <c r="J115" s="2">
        <v>148358.16</v>
      </c>
      <c r="K115" s="3"/>
      <c r="L115" s="2">
        <v>141003.44</v>
      </c>
      <c r="M115" s="3"/>
      <c r="N115" s="2">
        <v>104669.96</v>
      </c>
      <c r="O115" s="3"/>
      <c r="P115" s="2">
        <v>10320</v>
      </c>
      <c r="Q115" s="3"/>
      <c r="R115" s="2">
        <v>14170</v>
      </c>
    </row>
    <row r="116" spans="1:18" s="15" customFormat="1" outlineLevel="1" collapsed="1" x14ac:dyDescent="0.35">
      <c r="A116" s="7"/>
      <c r="B116" s="20" t="str">
        <f>CONCATENATE("     ","Services                                          ")</f>
        <v xml:space="preserve">     Services                                          </v>
      </c>
      <c r="C116" s="7"/>
      <c r="D116" s="1">
        <f>SUM(OSRRefD21_19x_0)</f>
        <v>252616.87</v>
      </c>
      <c r="E116" s="19"/>
      <c r="F116" s="1">
        <f>SUM(OSRRefF21_19x_0)</f>
        <v>271130.98</v>
      </c>
      <c r="G116" s="4"/>
      <c r="H116" s="1">
        <f>SUM(OSRRefH21_19x_0)</f>
        <v>284238.82</v>
      </c>
      <c r="I116" s="4"/>
      <c r="J116" s="1">
        <f>SUM(OSRRefJ21_19x_0)</f>
        <v>282227.32999999996</v>
      </c>
      <c r="K116" s="4"/>
      <c r="L116" s="1">
        <f>SUM(OSRRefL21_19x_0)</f>
        <v>297567.25</v>
      </c>
      <c r="M116" s="4"/>
      <c r="N116" s="1">
        <f>SUM(OSRRefN21_19x_0)</f>
        <v>268160.99</v>
      </c>
      <c r="O116" s="4"/>
      <c r="P116" s="1">
        <f>SUM(OSRRefP21_19x_0)</f>
        <v>98425</v>
      </c>
      <c r="Q116" s="4"/>
      <c r="R116" s="1">
        <f>SUM(OSRRefR21_19x_0)</f>
        <v>132468</v>
      </c>
    </row>
    <row r="117" spans="1:18" s="16" customFormat="1" hidden="1" outlineLevel="2" x14ac:dyDescent="0.35">
      <c r="B117" s="11" t="str">
        <f>CONCATENATE("          ", "6282", " - ", "JANITORIAL/EXTERMINATOR EXPENS")</f>
        <v xml:space="preserve">          6282 - JANITORIAL/EXTERMINATOR EXPENS</v>
      </c>
      <c r="D117" s="2">
        <v>18780.28</v>
      </c>
      <c r="F117" s="2">
        <v>19889.169999999998</v>
      </c>
      <c r="G117" s="3"/>
      <c r="H117" s="2">
        <v>21445.87</v>
      </c>
      <c r="I117" s="3"/>
      <c r="J117" s="2">
        <v>23623.17</v>
      </c>
      <c r="K117" s="3"/>
      <c r="L117" s="2">
        <v>21016.93</v>
      </c>
      <c r="M117" s="3"/>
      <c r="N117" s="2">
        <v>21589.13</v>
      </c>
      <c r="O117" s="3"/>
      <c r="P117" s="2">
        <v>14220</v>
      </c>
      <c r="Q117" s="3"/>
      <c r="R117" s="2">
        <v>16274</v>
      </c>
    </row>
    <row r="118" spans="1:18" s="16" customFormat="1" hidden="1" outlineLevel="2" x14ac:dyDescent="0.35">
      <c r="B118" s="11" t="str">
        <f>CONCATENATE("          ", "6283", " - ", "PLANT SERVICE")</f>
        <v xml:space="preserve">          6283 - PLANT SERVICE</v>
      </c>
      <c r="D118" s="2">
        <v>2624</v>
      </c>
      <c r="F118" s="2">
        <v>1752</v>
      </c>
      <c r="G118" s="3"/>
      <c r="H118" s="2">
        <v>2488.9899999999998</v>
      </c>
      <c r="I118" s="3"/>
      <c r="J118" s="2">
        <v>1936</v>
      </c>
      <c r="K118" s="3"/>
      <c r="L118" s="2">
        <v>2135.7800000000002</v>
      </c>
      <c r="M118" s="3"/>
      <c r="N118" s="2">
        <v>1798.02</v>
      </c>
      <c r="O118" s="3"/>
      <c r="P118" s="2">
        <v>310</v>
      </c>
      <c r="Q118" s="3"/>
      <c r="R118" s="2">
        <v>1200</v>
      </c>
    </row>
    <row r="119" spans="1:18" s="16" customFormat="1" hidden="1" outlineLevel="2" x14ac:dyDescent="0.35">
      <c r="B119" s="11" t="str">
        <f>CONCATENATE("          ", "6284", " - ", "TRASH REMOVAL EXPENSE")</f>
        <v xml:space="preserve">          6284 - TRASH REMOVAL EXPENSE</v>
      </c>
      <c r="D119" s="2">
        <v>37372.589999999997</v>
      </c>
      <c r="F119" s="2">
        <v>47087.74</v>
      </c>
      <c r="G119" s="3"/>
      <c r="H119" s="2">
        <v>44433.21</v>
      </c>
      <c r="I119" s="3"/>
      <c r="J119" s="2">
        <v>53853.25</v>
      </c>
      <c r="K119" s="3"/>
      <c r="L119" s="2">
        <v>62592</v>
      </c>
      <c r="M119" s="3"/>
      <c r="N119" s="2">
        <v>68095</v>
      </c>
      <c r="O119" s="3"/>
      <c r="P119" s="2">
        <v>39526</v>
      </c>
      <c r="Q119" s="3"/>
      <c r="R119" s="2">
        <v>12000</v>
      </c>
    </row>
    <row r="120" spans="1:18" s="16" customFormat="1" hidden="1" outlineLevel="2" x14ac:dyDescent="0.35">
      <c r="B120" s="11" t="str">
        <f>CONCATENATE("          ", "6285", " - ", "JANITORIAL SERVICES")</f>
        <v xml:space="preserve">          6285 - JANITORIAL SERVICES</v>
      </c>
      <c r="D120" s="2">
        <v>137886.04999999999</v>
      </c>
      <c r="F120" s="2">
        <v>143636.03</v>
      </c>
      <c r="G120" s="3"/>
      <c r="H120" s="2">
        <v>151445.75</v>
      </c>
      <c r="I120" s="3"/>
      <c r="J120" s="2">
        <v>151030.10999999999</v>
      </c>
      <c r="K120" s="3"/>
      <c r="L120" s="2">
        <v>159533.73000000001</v>
      </c>
      <c r="M120" s="3"/>
      <c r="N120" s="2">
        <v>143481.06</v>
      </c>
      <c r="O120" s="3"/>
      <c r="P120" s="2">
        <v>43128</v>
      </c>
      <c r="Q120" s="3"/>
      <c r="R120" s="2">
        <v>95255</v>
      </c>
    </row>
    <row r="121" spans="1:18" s="16" customFormat="1" hidden="1" outlineLevel="2" x14ac:dyDescent="0.35">
      <c r="B121" s="11" t="str">
        <f>CONCATENATE("          ", "6286", " - ", "LAUNDRY EXPENSE")</f>
        <v xml:space="preserve">          6286 - LAUNDRY EXPENSE</v>
      </c>
      <c r="D121" s="2">
        <v>55953.95</v>
      </c>
      <c r="F121" s="2">
        <v>58766.04</v>
      </c>
      <c r="G121" s="3"/>
      <c r="H121" s="2">
        <v>64425</v>
      </c>
      <c r="I121" s="3"/>
      <c r="J121" s="2">
        <v>51784.800000000003</v>
      </c>
      <c r="K121" s="3"/>
      <c r="L121" s="2">
        <v>52288.81</v>
      </c>
      <c r="M121" s="3"/>
      <c r="N121" s="2">
        <v>33197.78</v>
      </c>
      <c r="O121" s="3"/>
      <c r="P121" s="2">
        <v>1241</v>
      </c>
      <c r="Q121" s="3"/>
      <c r="R121" s="2">
        <v>7739</v>
      </c>
    </row>
    <row r="122" spans="1:18" s="15" customFormat="1" outlineLevel="1" collapsed="1" x14ac:dyDescent="0.35">
      <c r="A122" s="7"/>
      <c r="B122" s="20" t="str">
        <f>CONCATENATE("     ","Subscriptions &amp; Dues                              ")</f>
        <v xml:space="preserve">     Subscriptions &amp; Dues                              </v>
      </c>
      <c r="C122" s="7"/>
      <c r="D122" s="1">
        <f>SUM(OSRRefD21_20x_0)</f>
        <v>7431.96</v>
      </c>
      <c r="E122" s="19"/>
      <c r="F122" s="1">
        <f>SUM(OSRRefF21_20x_0)</f>
        <v>17118.75</v>
      </c>
      <c r="G122" s="4"/>
      <c r="H122" s="1">
        <f>SUM(OSRRefH21_20x_0)</f>
        <v>4935.9799999999996</v>
      </c>
      <c r="I122" s="4"/>
      <c r="J122" s="1">
        <f>SUM(OSRRefJ21_20x_0)</f>
        <v>12502.84</v>
      </c>
      <c r="K122" s="4"/>
      <c r="L122" s="1">
        <f>SUM(OSRRefL21_20x_0)</f>
        <v>9453.630000000001</v>
      </c>
      <c r="M122" s="4"/>
      <c r="N122" s="1">
        <f>SUM(OSRRefN21_20x_0)</f>
        <v>8711.75</v>
      </c>
      <c r="O122" s="4"/>
      <c r="P122" s="1">
        <f>SUM(OSRRefP21_20x_0)</f>
        <v>5393</v>
      </c>
      <c r="Q122" s="4"/>
      <c r="R122" s="1">
        <f>SUM(OSRRefR21_20x_0)</f>
        <v>7090</v>
      </c>
    </row>
    <row r="123" spans="1:18" s="16" customFormat="1" hidden="1" outlineLevel="2" x14ac:dyDescent="0.35">
      <c r="B123" s="11" t="str">
        <f>CONCATENATE("          ", "6258", " - ", "MEMBERSHIP DUES")</f>
        <v xml:space="preserve">          6258 - MEMBERSHIP DUES</v>
      </c>
      <c r="D123" s="2">
        <v>865</v>
      </c>
      <c r="F123" s="2">
        <v>457.5</v>
      </c>
      <c r="G123" s="3"/>
      <c r="H123" s="2">
        <v>633.75</v>
      </c>
      <c r="I123" s="3"/>
      <c r="J123" s="2">
        <v>1468.67</v>
      </c>
      <c r="K123" s="3"/>
      <c r="L123" s="2">
        <v>383.2</v>
      </c>
      <c r="M123" s="3"/>
      <c r="N123" s="2">
        <v>3730</v>
      </c>
      <c r="O123" s="3"/>
      <c r="P123" s="2">
        <v>900</v>
      </c>
      <c r="Q123" s="3"/>
      <c r="R123" s="2"/>
    </row>
    <row r="124" spans="1:18" s="16" customFormat="1" hidden="1" outlineLevel="2" x14ac:dyDescent="0.35">
      <c r="B124" s="11" t="str">
        <f>CONCATENATE("          ", "6275", " - ", "SUBSCRIPTIONS")</f>
        <v xml:space="preserve">          6275 - SUBSCRIPTIONS</v>
      </c>
      <c r="D124" s="2">
        <v>6566.96</v>
      </c>
      <c r="F124" s="2">
        <v>16661.25</v>
      </c>
      <c r="G124" s="3"/>
      <c r="H124" s="2">
        <v>4302.2299999999996</v>
      </c>
      <c r="I124" s="3"/>
      <c r="J124" s="2">
        <v>11034.17</v>
      </c>
      <c r="K124" s="3"/>
      <c r="L124" s="2">
        <v>9070.43</v>
      </c>
      <c r="M124" s="3"/>
      <c r="N124" s="2">
        <v>4981.75</v>
      </c>
      <c r="O124" s="3"/>
      <c r="P124" s="2">
        <v>4493</v>
      </c>
      <c r="Q124" s="3"/>
      <c r="R124" s="2">
        <v>7090</v>
      </c>
    </row>
    <row r="125" spans="1:18" s="15" customFormat="1" outlineLevel="1" collapsed="1" x14ac:dyDescent="0.35">
      <c r="A125" s="7"/>
      <c r="B125" s="20" t="str">
        <f>CONCATENATE("     ","Supplies                                          ")</f>
        <v xml:space="preserve">     Supplies                                          </v>
      </c>
      <c r="C125" s="7"/>
      <c r="D125" s="1">
        <f>SUM(OSRRefD21_21x_0)</f>
        <v>273877.03000000003</v>
      </c>
      <c r="E125" s="19"/>
      <c r="F125" s="1">
        <f>SUM(OSRRefF21_21x_0)</f>
        <v>257014.73</v>
      </c>
      <c r="G125" s="4"/>
      <c r="H125" s="1">
        <f>SUM(OSRRefH21_21x_0)</f>
        <v>309292.79999999999</v>
      </c>
      <c r="I125" s="4"/>
      <c r="J125" s="1">
        <f>SUM(OSRRefJ21_21x_0)</f>
        <v>290651.51000000007</v>
      </c>
      <c r="K125" s="4"/>
      <c r="L125" s="1">
        <f>SUM(OSRRefL21_21x_0)</f>
        <v>282661.76000000007</v>
      </c>
      <c r="M125" s="4"/>
      <c r="N125" s="1">
        <f>SUM(OSRRefN21_21x_0)</f>
        <v>219299.43999999997</v>
      </c>
      <c r="O125" s="4"/>
      <c r="P125" s="1">
        <f>SUM(OSRRefP21_21x_0)</f>
        <v>48318</v>
      </c>
      <c r="Q125" s="4"/>
      <c r="R125" s="1">
        <f>SUM(OSRRefR21_21x_0)</f>
        <v>51723</v>
      </c>
    </row>
    <row r="126" spans="1:18" s="16" customFormat="1" hidden="1" outlineLevel="2" x14ac:dyDescent="0.35">
      <c r="B126" s="11" t="str">
        <f>CONCATENATE("          ", "6234", " - ", "EXPENDABLE SUPPLIES &amp; EQUIPMEN")</f>
        <v xml:space="preserve">          6234 - EXPENDABLE SUPPLIES &amp; EQUIPMEN</v>
      </c>
      <c r="D126" s="2">
        <v>24235.33</v>
      </c>
      <c r="F126" s="2">
        <v>8318.27</v>
      </c>
      <c r="G126" s="3"/>
      <c r="H126" s="2">
        <v>11556.1</v>
      </c>
      <c r="I126" s="3"/>
      <c r="J126" s="2">
        <v>11316.51</v>
      </c>
      <c r="K126" s="3"/>
      <c r="L126" s="2">
        <v>9406.08</v>
      </c>
      <c r="M126" s="3"/>
      <c r="N126" s="2">
        <v>16827.75</v>
      </c>
      <c r="O126" s="3"/>
      <c r="P126" s="2">
        <v>1104</v>
      </c>
      <c r="Q126" s="3"/>
      <c r="R126" s="2">
        <v>850</v>
      </c>
    </row>
    <row r="127" spans="1:18" s="16" customFormat="1" hidden="1" outlineLevel="2" x14ac:dyDescent="0.35">
      <c r="B127" s="11" t="str">
        <f>CONCATENATE("          ", "6235", " - ", "COVID-19 EXPENSES")</f>
        <v xml:space="preserve">          6235 - COVID-19 EXPENSES</v>
      </c>
      <c r="D127" s="2"/>
      <c r="F127" s="2"/>
      <c r="G127" s="3"/>
      <c r="H127" s="2"/>
      <c r="I127" s="3"/>
      <c r="J127" s="2"/>
      <c r="K127" s="3"/>
      <c r="L127" s="2"/>
      <c r="M127" s="3"/>
      <c r="N127" s="2">
        <v>1095.08</v>
      </c>
      <c r="O127" s="3"/>
      <c r="P127" s="2">
        <v>5100</v>
      </c>
      <c r="Q127" s="3"/>
      <c r="R127" s="2">
        <v>3225</v>
      </c>
    </row>
    <row r="128" spans="1:18" s="16" customFormat="1" hidden="1" outlineLevel="2" x14ac:dyDescent="0.35">
      <c r="B128" s="11" t="str">
        <f>CONCATENATE("          ", "6237", " - ", "JANITORIAL SUPPLIES")</f>
        <v xml:space="preserve">          6237 - JANITORIAL SUPPLIES</v>
      </c>
      <c r="D128" s="2">
        <v>41010.519999999997</v>
      </c>
      <c r="F128" s="2">
        <v>46671.8</v>
      </c>
      <c r="G128" s="3"/>
      <c r="H128" s="2">
        <v>53948.09</v>
      </c>
      <c r="I128" s="3"/>
      <c r="J128" s="2">
        <v>53031.81</v>
      </c>
      <c r="K128" s="3"/>
      <c r="L128" s="2">
        <v>64362.04</v>
      </c>
      <c r="M128" s="3"/>
      <c r="N128" s="2">
        <v>52899.67</v>
      </c>
      <c r="O128" s="3"/>
      <c r="P128" s="2">
        <v>11673</v>
      </c>
      <c r="Q128" s="3"/>
      <c r="R128" s="2">
        <v>4378</v>
      </c>
    </row>
    <row r="129" spans="1:18" s="16" customFormat="1" hidden="1" outlineLevel="2" x14ac:dyDescent="0.35">
      <c r="B129" s="11" t="str">
        <f>CONCATENATE("          ", "6239", " - ", "KITCHEN SUPPLIES")</f>
        <v xml:space="preserve">          6239 - KITCHEN SUPPLIES</v>
      </c>
      <c r="D129" s="2">
        <v>22512.26</v>
      </c>
      <c r="F129" s="2">
        <v>32842.019999999997</v>
      </c>
      <c r="G129" s="3"/>
      <c r="H129" s="2">
        <v>52639.09</v>
      </c>
      <c r="I129" s="3"/>
      <c r="J129" s="2">
        <v>37862.9</v>
      </c>
      <c r="K129" s="3"/>
      <c r="L129" s="2">
        <v>73399.39</v>
      </c>
      <c r="M129" s="3"/>
      <c r="N129" s="2">
        <v>45966.83</v>
      </c>
      <c r="O129" s="3"/>
      <c r="P129" s="2">
        <v>543</v>
      </c>
      <c r="Q129" s="3"/>
      <c r="R129" s="2">
        <v>5349</v>
      </c>
    </row>
    <row r="130" spans="1:18" s="16" customFormat="1" hidden="1" outlineLevel="2" x14ac:dyDescent="0.35">
      <c r="B130" s="11" t="str">
        <f>CONCATENATE("          ", "6241", " - ", "OFFICE EXPENSE")</f>
        <v xml:space="preserve">          6241 - OFFICE EXPENSE</v>
      </c>
      <c r="D130" s="2">
        <v>20886.599999999999</v>
      </c>
      <c r="F130" s="2">
        <v>27337.07</v>
      </c>
      <c r="G130" s="3"/>
      <c r="H130" s="2">
        <v>35406.9</v>
      </c>
      <c r="I130" s="3"/>
      <c r="J130" s="2">
        <v>47052.61</v>
      </c>
      <c r="K130" s="3"/>
      <c r="L130" s="2">
        <v>37369.660000000003</v>
      </c>
      <c r="M130" s="3"/>
      <c r="N130" s="2">
        <v>19301.78</v>
      </c>
      <c r="O130" s="3"/>
      <c r="P130" s="2">
        <v>5862</v>
      </c>
      <c r="Q130" s="3"/>
      <c r="R130" s="2">
        <v>3227</v>
      </c>
    </row>
    <row r="131" spans="1:18" s="16" customFormat="1" hidden="1" outlineLevel="2" x14ac:dyDescent="0.35">
      <c r="B131" s="11" t="str">
        <f>CONCATENATE("          ", "6243", " - ", "PAPER SUPPLIES")</f>
        <v xml:space="preserve">          6243 - PAPER SUPPLIES</v>
      </c>
      <c r="D131" s="2">
        <v>66109.13</v>
      </c>
      <c r="F131" s="2">
        <v>68069.960000000006</v>
      </c>
      <c r="G131" s="3"/>
      <c r="H131" s="2">
        <v>74698.899999999994</v>
      </c>
      <c r="I131" s="3"/>
      <c r="J131" s="2">
        <v>78890.77</v>
      </c>
      <c r="K131" s="3"/>
      <c r="L131" s="2">
        <v>58285.66</v>
      </c>
      <c r="M131" s="3"/>
      <c r="N131" s="2">
        <v>34117.769999999997</v>
      </c>
      <c r="O131" s="3"/>
      <c r="P131" s="2">
        <v>7826</v>
      </c>
      <c r="Q131" s="3"/>
      <c r="R131" s="2">
        <v>10733</v>
      </c>
    </row>
    <row r="132" spans="1:18" s="16" customFormat="1" hidden="1" outlineLevel="2" x14ac:dyDescent="0.35">
      <c r="B132" s="11" t="str">
        <f>CONCATENATE("          ", "6244", " - ", "SAFETY SUPPLY EXPENSE")</f>
        <v xml:space="preserve">          6244 - SAFETY SUPPLY EXPENSE</v>
      </c>
      <c r="D132" s="2"/>
      <c r="F132" s="2"/>
      <c r="G132" s="3"/>
      <c r="H132" s="2"/>
      <c r="I132" s="3"/>
      <c r="J132" s="2"/>
      <c r="K132" s="3"/>
      <c r="L132" s="2"/>
      <c r="M132" s="3"/>
      <c r="N132" s="2"/>
      <c r="O132" s="3"/>
      <c r="P132" s="2">
        <v>0</v>
      </c>
      <c r="Q132" s="3"/>
      <c r="R132" s="2">
        <v>150</v>
      </c>
    </row>
    <row r="133" spans="1:18" s="16" customFormat="1" hidden="1" outlineLevel="2" x14ac:dyDescent="0.35">
      <c r="B133" s="11" t="str">
        <f>CONCATENATE("          ", "6245", " - ", "PRINTING")</f>
        <v xml:space="preserve">          6245 - PRINTING</v>
      </c>
      <c r="D133" s="2">
        <v>1633.41</v>
      </c>
      <c r="F133" s="2">
        <v>1848.88</v>
      </c>
      <c r="G133" s="3"/>
      <c r="H133" s="2">
        <v>962.69</v>
      </c>
      <c r="I133" s="3"/>
      <c r="J133" s="2">
        <v>446.13</v>
      </c>
      <c r="K133" s="3"/>
      <c r="L133" s="2">
        <v>403.91</v>
      </c>
      <c r="M133" s="3"/>
      <c r="N133" s="2">
        <v>613.02</v>
      </c>
      <c r="O133" s="3"/>
      <c r="P133" s="2">
        <v>0</v>
      </c>
      <c r="Q133" s="3"/>
      <c r="R133" s="2">
        <v>2000</v>
      </c>
    </row>
    <row r="134" spans="1:18" s="16" customFormat="1" hidden="1" outlineLevel="2" x14ac:dyDescent="0.35">
      <c r="B134" s="11" t="str">
        <f>CONCATENATE("          ", "6246", " - ", "REPLACEMENTS")</f>
        <v xml:space="preserve">          6246 - REPLACEMENTS</v>
      </c>
      <c r="D134" s="2"/>
      <c r="F134" s="2"/>
      <c r="G134" s="3"/>
      <c r="H134" s="2"/>
      <c r="I134" s="3"/>
      <c r="J134" s="2">
        <v>1011.44</v>
      </c>
      <c r="K134" s="3"/>
      <c r="L134" s="2"/>
      <c r="M134" s="3"/>
      <c r="N134" s="2">
        <v>25.87</v>
      </c>
      <c r="O134" s="3"/>
      <c r="P134" s="2">
        <v>0</v>
      </c>
      <c r="Q134" s="3"/>
      <c r="R134" s="2"/>
    </row>
    <row r="135" spans="1:18" s="16" customFormat="1" hidden="1" outlineLevel="2" x14ac:dyDescent="0.35">
      <c r="B135" s="11" t="str">
        <f>CONCATENATE("          ", "6247", " - ", "STORE SUPPLIES")</f>
        <v xml:space="preserve">          6247 - STORE SUPPLIES</v>
      </c>
      <c r="D135" s="2">
        <v>88446.66</v>
      </c>
      <c r="F135" s="2">
        <v>59390.91</v>
      </c>
      <c r="G135" s="3"/>
      <c r="H135" s="2">
        <v>70984.210000000006</v>
      </c>
      <c r="I135" s="3"/>
      <c r="J135" s="2">
        <v>47779.41</v>
      </c>
      <c r="K135" s="3"/>
      <c r="L135" s="2">
        <v>28508.81</v>
      </c>
      <c r="M135" s="3"/>
      <c r="N135" s="2">
        <v>43533.599999999999</v>
      </c>
      <c r="O135" s="3"/>
      <c r="P135" s="2">
        <v>15995</v>
      </c>
      <c r="Q135" s="3"/>
      <c r="R135" s="2">
        <v>17961</v>
      </c>
    </row>
    <row r="136" spans="1:18" s="16" customFormat="1" hidden="1" outlineLevel="2" x14ac:dyDescent="0.35">
      <c r="B136" s="11" t="str">
        <f>CONCATENATE("          ", "6248", " - ", "UNIFORMS")</f>
        <v xml:space="preserve">          6248 - UNIFORMS</v>
      </c>
      <c r="D136" s="2">
        <v>9043.1200000000008</v>
      </c>
      <c r="F136" s="2">
        <v>12535.82</v>
      </c>
      <c r="G136" s="3"/>
      <c r="H136" s="2">
        <v>9096.82</v>
      </c>
      <c r="I136" s="3"/>
      <c r="J136" s="2">
        <v>13259.93</v>
      </c>
      <c r="K136" s="3"/>
      <c r="L136" s="2">
        <v>10926.21</v>
      </c>
      <c r="M136" s="3"/>
      <c r="N136" s="2">
        <v>4918.07</v>
      </c>
      <c r="O136" s="3"/>
      <c r="P136" s="2">
        <v>215</v>
      </c>
      <c r="Q136" s="3"/>
      <c r="R136" s="2">
        <v>3850</v>
      </c>
    </row>
    <row r="137" spans="1:18" s="15" customFormat="1" outlineLevel="1" collapsed="1" x14ac:dyDescent="0.35">
      <c r="A137" s="7"/>
      <c r="B137" s="20" t="str">
        <f>CONCATENATE("     ","Telephone/Data Lines                              ")</f>
        <v xml:space="preserve">     Telephone/Data Lines                              </v>
      </c>
      <c r="C137" s="7"/>
      <c r="D137" s="1">
        <f>SUM(OSRRefD21_22x_0)</f>
        <v>19285.849999999999</v>
      </c>
      <c r="E137" s="19"/>
      <c r="F137" s="1">
        <f>SUM(OSRRefF21_22x_0)</f>
        <v>23990.639999999999</v>
      </c>
      <c r="G137" s="4"/>
      <c r="H137" s="1">
        <f>SUM(OSRRefH21_22x_0)</f>
        <v>22963.919999999998</v>
      </c>
      <c r="I137" s="4"/>
      <c r="J137" s="1">
        <f>SUM(OSRRefJ21_22x_0)</f>
        <v>27094.98</v>
      </c>
      <c r="K137" s="4"/>
      <c r="L137" s="1">
        <f>SUM(OSRRefL21_22x_0)</f>
        <v>27257.9</v>
      </c>
      <c r="M137" s="4"/>
      <c r="N137" s="1">
        <f>SUM(OSRRefN21_22x_0)</f>
        <v>25695.17</v>
      </c>
      <c r="O137" s="4"/>
      <c r="P137" s="1">
        <f>SUM(OSRRefP21_22x_0)</f>
        <v>7477</v>
      </c>
      <c r="Q137" s="4"/>
      <c r="R137" s="1">
        <f>SUM(OSRRefR21_22x_0)</f>
        <v>7056</v>
      </c>
    </row>
    <row r="138" spans="1:18" s="16" customFormat="1" hidden="1" outlineLevel="2" x14ac:dyDescent="0.35">
      <c r="B138" s="11" t="str">
        <f>CONCATENATE("          ", "6303", " - ", "DATA PHONE LINES")</f>
        <v xml:space="preserve">          6303 - DATA PHONE LINES</v>
      </c>
      <c r="D138" s="2"/>
      <c r="F138" s="2"/>
      <c r="G138" s="3"/>
      <c r="H138" s="2"/>
      <c r="I138" s="3"/>
      <c r="J138" s="2"/>
      <c r="K138" s="3"/>
      <c r="L138" s="2"/>
      <c r="M138" s="3"/>
      <c r="N138" s="2"/>
      <c r="O138" s="3"/>
      <c r="P138" s="2">
        <v>4477</v>
      </c>
      <c r="Q138" s="3"/>
      <c r="R138" s="2">
        <v>2220</v>
      </c>
    </row>
    <row r="139" spans="1:18" s="16" customFormat="1" hidden="1" outlineLevel="2" x14ac:dyDescent="0.35">
      <c r="B139" s="11" t="str">
        <f>CONCATENATE("          ", "6309", " - ", "TELEPHONE")</f>
        <v xml:space="preserve">          6309 - TELEPHONE</v>
      </c>
      <c r="D139" s="2">
        <v>19285.849999999999</v>
      </c>
      <c r="F139" s="2">
        <v>23990.639999999999</v>
      </c>
      <c r="G139" s="3"/>
      <c r="H139" s="2">
        <v>22963.919999999998</v>
      </c>
      <c r="I139" s="3"/>
      <c r="J139" s="2">
        <v>27094.98</v>
      </c>
      <c r="K139" s="3"/>
      <c r="L139" s="2">
        <v>27257.9</v>
      </c>
      <c r="M139" s="3"/>
      <c r="N139" s="2">
        <v>25695.17</v>
      </c>
      <c r="O139" s="3"/>
      <c r="P139" s="2">
        <v>3000</v>
      </c>
      <c r="Q139" s="3"/>
      <c r="R139" s="2">
        <v>4836</v>
      </c>
    </row>
    <row r="140" spans="1:18" s="15" customFormat="1" outlineLevel="1" collapsed="1" x14ac:dyDescent="0.35">
      <c r="A140" s="7"/>
      <c r="B140" s="20" t="str">
        <f>CONCATENATE("     ","Training                                          ")</f>
        <v xml:space="preserve">     Training                                          </v>
      </c>
      <c r="C140" s="7"/>
      <c r="D140" s="1">
        <f>SUM(OSRRefD21_23x_0)</f>
        <v>5509.68</v>
      </c>
      <c r="E140" s="19"/>
      <c r="F140" s="1">
        <f>SUM(OSRRefF21_23x_0)</f>
        <v>4691.47</v>
      </c>
      <c r="G140" s="4"/>
      <c r="H140" s="1">
        <f>SUM(OSRRefH21_23x_0)</f>
        <v>6799.49</v>
      </c>
      <c r="I140" s="4"/>
      <c r="J140" s="1">
        <f>SUM(OSRRefJ21_23x_0)</f>
        <v>4871.1899999999996</v>
      </c>
      <c r="K140" s="4"/>
      <c r="L140" s="1">
        <f>SUM(OSRRefL21_23x_0)</f>
        <v>2274.85</v>
      </c>
      <c r="M140" s="4"/>
      <c r="N140" s="1">
        <f>SUM(OSRRefN21_23x_0)</f>
        <v>2233.0100000000002</v>
      </c>
      <c r="O140" s="4"/>
      <c r="P140" s="1">
        <f>SUM(OSRRefP21_23x_0)</f>
        <v>240</v>
      </c>
      <c r="Q140" s="4"/>
      <c r="R140" s="1">
        <f>SUM(OSRRefR21_23x_0)</f>
        <v>5310</v>
      </c>
    </row>
    <row r="141" spans="1:18" s="16" customFormat="1" hidden="1" outlineLevel="2" x14ac:dyDescent="0.35">
      <c r="B141" s="11" t="str">
        <f>CONCATENATE("          ", "6376", " - ", "TRAINING")</f>
        <v xml:space="preserve">          6376 - TRAINING</v>
      </c>
      <c r="D141" s="2">
        <v>5509.68</v>
      </c>
      <c r="F141" s="2">
        <v>4691.47</v>
      </c>
      <c r="G141" s="3"/>
      <c r="H141" s="2">
        <v>6799.49</v>
      </c>
      <c r="I141" s="3"/>
      <c r="J141" s="2">
        <v>4871.1899999999996</v>
      </c>
      <c r="K141" s="3"/>
      <c r="L141" s="2">
        <v>2274.85</v>
      </c>
      <c r="M141" s="3"/>
      <c r="N141" s="2">
        <v>2233.0100000000002</v>
      </c>
      <c r="O141" s="3"/>
      <c r="P141" s="2">
        <v>240</v>
      </c>
      <c r="Q141" s="3"/>
      <c r="R141" s="2">
        <v>5310</v>
      </c>
    </row>
    <row r="142" spans="1:18" s="15" customFormat="1" outlineLevel="1" collapsed="1" x14ac:dyDescent="0.35">
      <c r="A142" s="7"/>
      <c r="B142" s="20" t="str">
        <f>CONCATENATE("     ","Travel                                            ")</f>
        <v xml:space="preserve">     Travel                                            </v>
      </c>
      <c r="C142" s="7"/>
      <c r="D142" s="1">
        <f>SUM(OSRRefD21_24x_0)</f>
        <v>8459.56</v>
      </c>
      <c r="E142" s="19"/>
      <c r="F142" s="1">
        <f>SUM(OSRRefF21_24x_0)</f>
        <v>8182.24</v>
      </c>
      <c r="G142" s="4"/>
      <c r="H142" s="1">
        <f>SUM(OSRRefH21_24x_0)</f>
        <v>11141.699999999999</v>
      </c>
      <c r="I142" s="4"/>
      <c r="J142" s="1">
        <f>SUM(OSRRefJ21_24x_0)</f>
        <v>6320.37</v>
      </c>
      <c r="K142" s="4"/>
      <c r="L142" s="1">
        <f>SUM(OSRRefL21_24x_0)</f>
        <v>4239.42</v>
      </c>
      <c r="M142" s="4"/>
      <c r="N142" s="1">
        <f>SUM(OSRRefN21_24x_0)</f>
        <v>6407.32</v>
      </c>
      <c r="O142" s="4"/>
      <c r="P142" s="1">
        <f>SUM(OSRRefP21_24x_0)</f>
        <v>1500</v>
      </c>
      <c r="Q142" s="4"/>
      <c r="R142" s="1">
        <f>SUM(OSRRefR21_24x_0)</f>
        <v>1200</v>
      </c>
    </row>
    <row r="143" spans="1:18" s="16" customFormat="1" hidden="1" outlineLevel="2" x14ac:dyDescent="0.35">
      <c r="B143" s="11" t="str">
        <f>CONCATENATE("          ", "6292", " - ", "TRAVEL/CONFERENCE")</f>
        <v xml:space="preserve">          6292 - TRAVEL/CONFERENCE</v>
      </c>
      <c r="D143" s="2">
        <v>5960.79</v>
      </c>
      <c r="F143" s="2">
        <v>7013.01</v>
      </c>
      <c r="G143" s="3"/>
      <c r="H143" s="2">
        <v>7444.71</v>
      </c>
      <c r="I143" s="3"/>
      <c r="J143" s="2">
        <v>3611.63</v>
      </c>
      <c r="K143" s="3"/>
      <c r="L143" s="2">
        <v>1493.8</v>
      </c>
      <c r="M143" s="3"/>
      <c r="N143" s="2">
        <v>4995.68</v>
      </c>
      <c r="O143" s="3"/>
      <c r="P143" s="2">
        <v>1500</v>
      </c>
      <c r="Q143" s="3"/>
      <c r="R143" s="2">
        <v>1200</v>
      </c>
    </row>
    <row r="144" spans="1:18" s="16" customFormat="1" hidden="1" outlineLevel="2" x14ac:dyDescent="0.35">
      <c r="B144" s="11" t="str">
        <f>CONCATENATE("          ", "6294", " - ", "TRAVEL OPERATIONAL")</f>
        <v xml:space="preserve">          6294 - TRAVEL OPERATIONAL</v>
      </c>
      <c r="D144" s="2">
        <v>1512.64</v>
      </c>
      <c r="F144" s="2">
        <v>108.37</v>
      </c>
      <c r="G144" s="3"/>
      <c r="H144" s="2">
        <v>2633.25</v>
      </c>
      <c r="I144" s="3"/>
      <c r="J144" s="2">
        <v>1262.3800000000001</v>
      </c>
      <c r="K144" s="3"/>
      <c r="L144" s="2">
        <v>1299.02</v>
      </c>
      <c r="M144" s="3"/>
      <c r="N144" s="2">
        <v>56.99</v>
      </c>
      <c r="O144" s="3"/>
      <c r="P144" s="2">
        <v>0</v>
      </c>
      <c r="Q144" s="3"/>
      <c r="R144" s="2"/>
    </row>
    <row r="145" spans="1:18" s="16" customFormat="1" hidden="1" outlineLevel="2" x14ac:dyDescent="0.35">
      <c r="B145" s="11" t="str">
        <f>CONCATENATE("          ", "6298", " - ", "VEHICLE MILEAGE")</f>
        <v xml:space="preserve">          6298 - VEHICLE MILEAGE</v>
      </c>
      <c r="D145" s="2">
        <v>986.13</v>
      </c>
      <c r="F145" s="2">
        <v>1060.8599999999999</v>
      </c>
      <c r="G145" s="3"/>
      <c r="H145" s="2">
        <v>1063.74</v>
      </c>
      <c r="I145" s="3"/>
      <c r="J145" s="2">
        <v>1446.36</v>
      </c>
      <c r="K145" s="3"/>
      <c r="L145" s="2">
        <v>1446.6</v>
      </c>
      <c r="M145" s="3"/>
      <c r="N145" s="2">
        <v>1354.65</v>
      </c>
      <c r="O145" s="3"/>
      <c r="P145" s="2"/>
      <c r="Q145" s="3"/>
      <c r="R145" s="2"/>
    </row>
    <row r="146" spans="1:18" s="15" customFormat="1" outlineLevel="1" collapsed="1" x14ac:dyDescent="0.35">
      <c r="A146" s="7"/>
      <c r="B146" s="20" t="str">
        <f>CONCATENATE("     ","Utilities                                         ")</f>
        <v xml:space="preserve">     Utilities                                         </v>
      </c>
      <c r="C146" s="7"/>
      <c r="D146" s="1">
        <f>SUM(OSRRefD21_25x_0)</f>
        <v>222007.4</v>
      </c>
      <c r="E146" s="19"/>
      <c r="F146" s="1">
        <f>SUM(OSRRefF21_25x_0)</f>
        <v>295913.46000000002</v>
      </c>
      <c r="G146" s="4"/>
      <c r="H146" s="1">
        <f>SUM(OSRRefH21_25x_0)</f>
        <v>228953.08</v>
      </c>
      <c r="I146" s="4"/>
      <c r="J146" s="1">
        <f>SUM(OSRRefJ21_25x_0)</f>
        <v>149521.59</v>
      </c>
      <c r="K146" s="4"/>
      <c r="L146" s="1">
        <f>SUM(OSRRefL21_25x_0)</f>
        <v>151719.10999999999</v>
      </c>
      <c r="M146" s="4"/>
      <c r="N146" s="1">
        <f>SUM(OSRRefN21_25x_0)</f>
        <v>227847.74</v>
      </c>
      <c r="O146" s="4"/>
      <c r="P146" s="1">
        <f>SUM(OSRRefP21_25x_0)</f>
        <v>50094</v>
      </c>
      <c r="Q146" s="4"/>
      <c r="R146" s="1">
        <f>SUM(OSRRefR21_25x_0)</f>
        <v>104000</v>
      </c>
    </row>
    <row r="147" spans="1:18" s="16" customFormat="1" hidden="1" outlineLevel="2" x14ac:dyDescent="0.35">
      <c r="B147" s="11" t="str">
        <f>CONCATENATE("          ", "6274", " - ", "UTILITIES")</f>
        <v xml:space="preserve">          6274 - UTILITIES</v>
      </c>
      <c r="D147" s="2">
        <v>222007.4</v>
      </c>
      <c r="F147" s="2">
        <v>295913.46000000002</v>
      </c>
      <c r="G147" s="3"/>
      <c r="H147" s="2">
        <v>228953.08</v>
      </c>
      <c r="I147" s="3"/>
      <c r="J147" s="2">
        <v>149521.59</v>
      </c>
      <c r="K147" s="3"/>
      <c r="L147" s="2">
        <v>151719.10999999999</v>
      </c>
      <c r="M147" s="3"/>
      <c r="N147" s="2">
        <v>227847.74</v>
      </c>
      <c r="O147" s="3"/>
      <c r="P147" s="2">
        <v>50094</v>
      </c>
      <c r="Q147" s="3"/>
      <c r="R147" s="2">
        <v>104000</v>
      </c>
    </row>
    <row r="148" spans="1:18" x14ac:dyDescent="0.35">
      <c r="A148" s="12"/>
      <c r="B148" s="12"/>
      <c r="C148" s="12"/>
      <c r="D148" s="1"/>
      <c r="F148" s="1"/>
      <c r="H148" s="1"/>
      <c r="J148" s="1"/>
      <c r="L148" s="1"/>
      <c r="N148" s="1"/>
      <c r="P148" s="1"/>
      <c r="R148" s="1"/>
    </row>
    <row r="149" spans="1:18" s="7" customFormat="1" collapsed="1" x14ac:dyDescent="0.35">
      <c r="A149" s="36"/>
      <c r="B149" s="34" t="s">
        <v>295</v>
      </c>
      <c r="D149" s="6">
        <f>SUM(OSRRefD24x_0)</f>
        <v>737159.65</v>
      </c>
      <c r="E149" s="12"/>
      <c r="F149" s="6">
        <f>SUM(OSRRefF24x_0)</f>
        <v>663813.24</v>
      </c>
      <c r="G149" s="5"/>
      <c r="H149" s="6">
        <f>SUM(OSRRefH24x_0)</f>
        <v>739983.07000000007</v>
      </c>
      <c r="I149" s="5"/>
      <c r="J149" s="6">
        <f>SUM(OSRRefJ24x_0)</f>
        <v>714517.19</v>
      </c>
      <c r="K149" s="5"/>
      <c r="L149" s="6">
        <f>SUM(OSRRefL24x_0)</f>
        <v>731041.09</v>
      </c>
      <c r="M149" s="5"/>
      <c r="N149" s="6">
        <f>SUM(OSRRefN24x_0)</f>
        <v>730460.52</v>
      </c>
      <c r="O149" s="5"/>
      <c r="P149" s="6">
        <f>SUM(OSRRefP24x_0)</f>
        <v>108558</v>
      </c>
      <c r="Q149" s="5"/>
      <c r="R149" s="6">
        <f>SUM(OSRRefR24x_0)</f>
        <v>175853.02000000002</v>
      </c>
    </row>
    <row r="150" spans="1:18" s="7" customFormat="1" hidden="1" outlineLevel="1" x14ac:dyDescent="0.35">
      <c r="A150" s="36"/>
      <c r="B150" s="11" t="str">
        <f>CONCATENATE("          ", "9150", " - ", "MISC. INCOME")</f>
        <v xml:space="preserve">          9150 - MISC. INCOME</v>
      </c>
      <c r="D150" s="11">
        <f>--352876.14</f>
        <v>352876.14</v>
      </c>
      <c r="E150" s="16"/>
      <c r="F150" s="11">
        <f>--318919.08</f>
        <v>318919.08</v>
      </c>
      <c r="G150" s="3"/>
      <c r="H150" s="11">
        <f>--386810.12</f>
        <v>386810.12</v>
      </c>
      <c r="I150" s="3"/>
      <c r="J150" s="11">
        <f>--379317.36</f>
        <v>379317.36</v>
      </c>
      <c r="K150" s="3"/>
      <c r="L150" s="11">
        <f>--389464.12</f>
        <v>389464.12</v>
      </c>
      <c r="M150" s="3"/>
      <c r="N150" s="11">
        <f>--330936.39</f>
        <v>330936.39</v>
      </c>
      <c r="O150" s="3"/>
      <c r="P150" s="11">
        <v>42725</v>
      </c>
      <c r="Q150" s="3"/>
      <c r="R150" s="11">
        <v>1000</v>
      </c>
    </row>
    <row r="151" spans="1:18" s="7" customFormat="1" hidden="1" outlineLevel="1" x14ac:dyDescent="0.35">
      <c r="A151" s="36"/>
      <c r="B151" s="11" t="str">
        <f>CONCATENATE("          ", "9151", " - ", "MISC. INCOME")</f>
        <v xml:space="preserve">          9151 - MISC. INCOME</v>
      </c>
      <c r="D151" s="11">
        <f>0</f>
        <v>0</v>
      </c>
      <c r="E151" s="16"/>
      <c r="F151" s="11">
        <f>0</f>
        <v>0</v>
      </c>
      <c r="G151" s="3"/>
      <c r="H151" s="11">
        <f>0</f>
        <v>0</v>
      </c>
      <c r="I151" s="3"/>
      <c r="J151" s="11">
        <f>0</f>
        <v>0</v>
      </c>
      <c r="K151" s="3"/>
      <c r="L151" s="11">
        <f>0</f>
        <v>0</v>
      </c>
      <c r="M151" s="3"/>
      <c r="N151" s="11">
        <f>0</f>
        <v>0</v>
      </c>
      <c r="O151" s="3"/>
      <c r="P151" s="11">
        <v>41738</v>
      </c>
      <c r="Q151" s="3"/>
      <c r="R151" s="11">
        <v>83840.89</v>
      </c>
    </row>
    <row r="152" spans="1:18" s="7" customFormat="1" hidden="1" outlineLevel="1" x14ac:dyDescent="0.35">
      <c r="A152" s="36"/>
      <c r="B152" s="11" t="str">
        <f>CONCATENATE("          ", "9160", " - ", "MISC. INCOME")</f>
        <v xml:space="preserve">          9160 - MISC. INCOME</v>
      </c>
      <c r="D152" s="11">
        <f>--112645.41</f>
        <v>112645.41</v>
      </c>
      <c r="E152" s="16"/>
      <c r="F152" s="11">
        <f>--68345.7</f>
        <v>68345.7</v>
      </c>
      <c r="G152" s="3"/>
      <c r="H152" s="11">
        <f>--90320.02</f>
        <v>90320.02</v>
      </c>
      <c r="I152" s="3"/>
      <c r="J152" s="11">
        <f>--85355.63</f>
        <v>85355.63</v>
      </c>
      <c r="K152" s="3"/>
      <c r="L152" s="11">
        <f>--91560.73</f>
        <v>91560.73</v>
      </c>
      <c r="M152" s="3"/>
      <c r="N152" s="11">
        <f>--155089.34</f>
        <v>155089.34</v>
      </c>
      <c r="O152" s="3"/>
      <c r="P152" s="11">
        <v>24095</v>
      </c>
      <c r="Q152" s="3"/>
      <c r="R152" s="11">
        <v>91012.13</v>
      </c>
    </row>
    <row r="153" spans="1:18" s="7" customFormat="1" hidden="1" outlineLevel="1" x14ac:dyDescent="0.35">
      <c r="A153" s="36"/>
      <c r="B153" s="11" t="str">
        <f>CONCATENATE("          ", "9165", " - ", "OTHER INCOME")</f>
        <v xml:space="preserve">          9165 - OTHER INCOME</v>
      </c>
      <c r="D153" s="11">
        <f>--271638.1</f>
        <v>271638.09999999998</v>
      </c>
      <c r="E153" s="16"/>
      <c r="F153" s="11">
        <f>--276548.46</f>
        <v>276548.46000000002</v>
      </c>
      <c r="G153" s="3"/>
      <c r="H153" s="11">
        <f>--262852.93</f>
        <v>262852.93</v>
      </c>
      <c r="I153" s="3"/>
      <c r="J153" s="11">
        <f>--249844.2</f>
        <v>249844.2</v>
      </c>
      <c r="K153" s="3"/>
      <c r="L153" s="11">
        <f>--250016.24</f>
        <v>250016.24</v>
      </c>
      <c r="M153" s="3"/>
      <c r="N153" s="11">
        <f>--244434.79</f>
        <v>244434.79</v>
      </c>
      <c r="O153" s="3"/>
      <c r="P153" s="11"/>
      <c r="Q153" s="3"/>
      <c r="R153" s="11"/>
    </row>
    <row r="154" spans="1:18" x14ac:dyDescent="0.35">
      <c r="A154" s="12"/>
      <c r="B154" s="7"/>
      <c r="C154" s="7"/>
      <c r="D154" s="6"/>
      <c r="F154" s="6"/>
      <c r="H154" s="6"/>
      <c r="J154" s="6"/>
      <c r="L154" s="6"/>
      <c r="N154" s="6"/>
      <c r="P154" s="6"/>
      <c r="R154" s="6"/>
    </row>
    <row r="155" spans="1:18" s="15" customFormat="1" x14ac:dyDescent="0.35">
      <c r="A155" s="7"/>
      <c r="B155" s="22" t="s">
        <v>279</v>
      </c>
      <c r="C155" s="22"/>
      <c r="D155" s="10">
        <f>+D44-D47+D149</f>
        <v>554584.15</v>
      </c>
      <c r="E155" s="12"/>
      <c r="F155" s="10">
        <f>+F44-F47+F149</f>
        <v>194521.5100000042</v>
      </c>
      <c r="G155" s="5"/>
      <c r="H155" s="10">
        <f>+H44-H47+H149</f>
        <v>742508.74999999418</v>
      </c>
      <c r="I155" s="5"/>
      <c r="J155" s="10">
        <f>+J44-J47+J149</f>
        <v>186098.00999999838</v>
      </c>
      <c r="K155" s="5"/>
      <c r="L155" s="10">
        <f>+L44-L47+L149</f>
        <v>92469.969999999856</v>
      </c>
      <c r="M155" s="5"/>
      <c r="N155" s="10">
        <f>+N44-N47+N149</f>
        <v>-1136942.3500000001</v>
      </c>
      <c r="O155" s="5"/>
      <c r="P155" s="10">
        <f>+P44-P47+P149</f>
        <v>-1373326.326152785</v>
      </c>
      <c r="Q155" s="5"/>
      <c r="R155" s="10">
        <f>+R44-R47+R149</f>
        <v>-834125.71449456783</v>
      </c>
    </row>
    <row r="156" spans="1:18" s="27" customFormat="1" x14ac:dyDescent="0.35">
      <c r="A156" s="18"/>
      <c r="B156" s="31"/>
      <c r="C156" s="18"/>
      <c r="D156" s="9">
        <f>IFERROR(D155/D10, 0)</f>
        <v>6.3060506636631458E-2</v>
      </c>
      <c r="E156" s="18"/>
      <c r="F156" s="9">
        <f>IFERROR(F155/F10, 0)</f>
        <v>2.0443018591516187E-2</v>
      </c>
      <c r="G156" s="14"/>
      <c r="H156" s="9">
        <f>IFERROR(H155/H10, 0)</f>
        <v>7.2120053614687901E-2</v>
      </c>
      <c r="I156" s="14"/>
      <c r="J156" s="9">
        <f>IFERROR(J155/J10, 0)</f>
        <v>1.8781184018243496E-2</v>
      </c>
      <c r="K156" s="14"/>
      <c r="L156" s="9">
        <f>IFERROR(L155/L10, 0)</f>
        <v>9.3616679205723898E-3</v>
      </c>
      <c r="M156" s="14"/>
      <c r="N156" s="9">
        <f>IFERROR(N155/N10, 0)</f>
        <v>-0.16278611448567387</v>
      </c>
      <c r="O156" s="14"/>
      <c r="P156" s="9">
        <f>IFERROR(P155/P10, 0)</f>
        <v>-1.6230217267220683</v>
      </c>
      <c r="Q156" s="14"/>
      <c r="R156" s="9">
        <f>IFERROR(R155/R10, 0)</f>
        <v>-0.31422075936335353</v>
      </c>
    </row>
    <row r="157" spans="1:18" s="27" customFormat="1" x14ac:dyDescent="0.35">
      <c r="A157" s="18"/>
      <c r="B157" s="31"/>
      <c r="C157" s="18"/>
      <c r="D157" s="13"/>
      <c r="E157" s="18"/>
      <c r="F157" s="13"/>
      <c r="G157" s="14"/>
      <c r="H157" s="13"/>
      <c r="I157" s="14"/>
      <c r="J157" s="13"/>
      <c r="K157" s="14"/>
      <c r="L157" s="13"/>
      <c r="M157" s="14"/>
      <c r="N157" s="13"/>
      <c r="O157" s="14"/>
      <c r="P157" s="13"/>
      <c r="Q157" s="14"/>
      <c r="R157" s="13"/>
    </row>
    <row r="158" spans="1:18" s="15" customFormat="1" x14ac:dyDescent="0.35">
      <c r="A158" s="37"/>
      <c r="B158" s="7" t="s">
        <v>127</v>
      </c>
      <c r="C158" s="7"/>
      <c r="D158" s="6">
        <v>1911106.34</v>
      </c>
      <c r="E158" s="12"/>
      <c r="F158" s="6">
        <v>1354569.25</v>
      </c>
      <c r="G158" s="5"/>
      <c r="H158" s="6">
        <v>1376561.51</v>
      </c>
      <c r="I158" s="5"/>
      <c r="J158" s="6">
        <v>1329887.4099999999</v>
      </c>
      <c r="K158" s="5"/>
      <c r="L158" s="6">
        <v>704040.2</v>
      </c>
      <c r="M158" s="5"/>
      <c r="N158" s="6">
        <v>1057576.6200000001</v>
      </c>
      <c r="O158" s="5"/>
      <c r="P158" s="6">
        <v>142980</v>
      </c>
      <c r="Q158" s="5"/>
      <c r="R158" s="6">
        <v>301017</v>
      </c>
    </row>
    <row r="159" spans="1:18" x14ac:dyDescent="0.35">
      <c r="A159" s="12"/>
      <c r="B159" s="7"/>
      <c r="C159" s="7"/>
      <c r="D159" s="6"/>
      <c r="F159" s="6"/>
      <c r="H159" s="6"/>
      <c r="J159" s="6"/>
      <c r="L159" s="6"/>
      <c r="N159" s="6"/>
      <c r="P159" s="6"/>
      <c r="R159" s="6"/>
    </row>
    <row r="160" spans="1:18" s="15" customFormat="1" x14ac:dyDescent="0.35">
      <c r="A160" s="7"/>
      <c r="B160" s="22" t="s">
        <v>126</v>
      </c>
      <c r="C160" s="22"/>
      <c r="D160" s="10">
        <f>+D155-D158</f>
        <v>-1356522.19</v>
      </c>
      <c r="E160" s="12"/>
      <c r="F160" s="10">
        <f>+F155-F158</f>
        <v>-1160047.7399999958</v>
      </c>
      <c r="G160" s="5"/>
      <c r="H160" s="10">
        <f>+H155-H158</f>
        <v>-634052.76000000583</v>
      </c>
      <c r="I160" s="5"/>
      <c r="J160" s="10">
        <f>+J155-J158</f>
        <v>-1143789.4000000015</v>
      </c>
      <c r="K160" s="5"/>
      <c r="L160" s="10">
        <f>+L155-L158</f>
        <v>-611570.2300000001</v>
      </c>
      <c r="M160" s="5"/>
      <c r="N160" s="10">
        <f>+N155-N158</f>
        <v>-2194518.9700000002</v>
      </c>
      <c r="O160" s="5"/>
      <c r="P160" s="10">
        <f>+P155-P158</f>
        <v>-1516306.326152785</v>
      </c>
      <c r="Q160" s="5"/>
      <c r="R160" s="10">
        <f>+R155-R158</f>
        <v>-1135142.7144945678</v>
      </c>
    </row>
    <row r="161" spans="1:18" s="27" customFormat="1" x14ac:dyDescent="0.35">
      <c r="A161" s="18"/>
      <c r="B161" s="18"/>
      <c r="C161" s="18"/>
      <c r="D161" s="9">
        <f>IFERROR(D160/D10, 0)</f>
        <v>-0.15424706343524752</v>
      </c>
      <c r="E161" s="18"/>
      <c r="F161" s="9">
        <f>IFERROR(F160/F10, 0)</f>
        <v>-0.12191390821439613</v>
      </c>
      <c r="G161" s="14"/>
      <c r="H161" s="9">
        <f>IFERROR(H160/H10, 0)</f>
        <v>-6.1585697199853365E-2</v>
      </c>
      <c r="I161" s="14"/>
      <c r="J161" s="9">
        <f>IFERROR(J160/J10, 0)</f>
        <v>-0.11543228860704387</v>
      </c>
      <c r="K161" s="14"/>
      <c r="L161" s="9">
        <f>IFERROR(L160/L10, 0)</f>
        <v>-6.1915424038399579E-2</v>
      </c>
      <c r="M161" s="14"/>
      <c r="N161" s="9">
        <f>IFERROR(N160/N10, 0)</f>
        <v>-0.31420873388294768</v>
      </c>
      <c r="O161" s="14"/>
      <c r="P161" s="9">
        <f>IFERROR(P160/P10, 0)</f>
        <v>-1.7919980596354623</v>
      </c>
      <c r="Q161" s="14"/>
      <c r="R161" s="9">
        <f>IFERROR(R160/R10, 0)</f>
        <v>-0.42761588515514398</v>
      </c>
    </row>
    <row r="162" spans="1:18" s="27" customFormat="1" x14ac:dyDescent="0.35">
      <c r="A162" s="18"/>
      <c r="B162" s="18"/>
      <c r="C162" s="18"/>
      <c r="D162" s="13"/>
      <c r="E162" s="18"/>
      <c r="F162" s="13"/>
      <c r="G162" s="14"/>
      <c r="H162" s="13"/>
      <c r="I162" s="14"/>
      <c r="J162" s="13"/>
      <c r="K162" s="14"/>
      <c r="L162" s="13"/>
      <c r="M162" s="14"/>
      <c r="N162" s="13"/>
      <c r="O162" s="14"/>
      <c r="P162" s="13"/>
      <c r="Q162" s="14"/>
      <c r="R162" s="13"/>
    </row>
    <row r="163" spans="1:18" x14ac:dyDescent="0.35">
      <c r="A163" s="12"/>
      <c r="B163" s="12"/>
      <c r="C163" s="12"/>
      <c r="D163" s="6"/>
      <c r="F163" s="6"/>
      <c r="H163" s="6"/>
      <c r="J163" s="6"/>
      <c r="L163" s="6"/>
      <c r="N163" s="6"/>
      <c r="P163" s="6"/>
      <c r="R163" s="6"/>
    </row>
    <row r="164" spans="1:18" s="15" customFormat="1" x14ac:dyDescent="0.35">
      <c r="A164" s="7"/>
      <c r="B164" s="22" t="s">
        <v>296</v>
      </c>
      <c r="C164" s="22"/>
      <c r="D164" s="10">
        <f>SUM(D160:D163)</f>
        <v>-1356522.3442470634</v>
      </c>
      <c r="E164" s="12"/>
      <c r="F164" s="10">
        <f>SUM(F160:F163)</f>
        <v>-1160047.8619139041</v>
      </c>
      <c r="G164" s="5"/>
      <c r="H164" s="10">
        <f>SUM(H160:H163)</f>
        <v>-634052.82158570306</v>
      </c>
      <c r="I164" s="5"/>
      <c r="J164" s="10">
        <f>SUM(J160:J163)</f>
        <v>-1143789.51543229</v>
      </c>
      <c r="K164" s="5"/>
      <c r="L164" s="10">
        <f>SUM(L160:L163)</f>
        <v>-611570.29191542417</v>
      </c>
      <c r="M164" s="5"/>
      <c r="N164" s="10">
        <f>SUM(N160:N163)</f>
        <v>-2194519.2842087341</v>
      </c>
      <c r="O164" s="5"/>
      <c r="P164" s="10">
        <f>SUM(P160:P163)</f>
        <v>-1516308.1181508447</v>
      </c>
      <c r="Q164" s="5"/>
      <c r="R164" s="10">
        <f>SUM(R160:R163)</f>
        <v>-1135143.142110453</v>
      </c>
    </row>
    <row r="165" spans="1:18" s="27" customFormat="1" x14ac:dyDescent="0.35">
      <c r="A165" s="18"/>
      <c r="B165" s="41"/>
      <c r="C165" s="18"/>
      <c r="D165" s="9">
        <f>IFERROR(D164/D10, 0)</f>
        <v>-0.15424708097433149</v>
      </c>
      <c r="E165" s="18"/>
      <c r="F165" s="9">
        <f>IFERROR(F164/F10, 0)</f>
        <v>-0.12191392102680075</v>
      </c>
      <c r="G165" s="14"/>
      <c r="H165" s="9">
        <f>IFERROR(H164/H10, 0)</f>
        <v>-6.1585703181686963E-2</v>
      </c>
      <c r="I165" s="14"/>
      <c r="J165" s="9">
        <f>IFERROR(J164/J10, 0)</f>
        <v>-0.11543230025657764</v>
      </c>
      <c r="K165" s="14"/>
      <c r="L165" s="9">
        <f>IFERROR(L164/L10, 0)</f>
        <v>-6.1915430306722578E-2</v>
      </c>
      <c r="M165" s="14"/>
      <c r="N165" s="9">
        <f>IFERROR(N164/N10, 0)</f>
        <v>-0.31420877887099735</v>
      </c>
      <c r="O165" s="14"/>
      <c r="P165" s="9">
        <f>IFERROR(P164/P10, 0)</f>
        <v>-1.792000177450966</v>
      </c>
      <c r="Q165" s="14"/>
      <c r="R165" s="9">
        <f>IFERROR(R164/R10, 0)</f>
        <v>-0.42761604624092014</v>
      </c>
    </row>
    <row r="166" spans="1:18" x14ac:dyDescent="0.35">
      <c r="A166" s="12"/>
      <c r="B166" s="40">
        <v>44319.883395289355</v>
      </c>
      <c r="D166" s="24"/>
      <c r="F166" s="24"/>
      <c r="H166" s="24"/>
      <c r="J166" s="24"/>
      <c r="L166" s="24"/>
      <c r="N166" s="24"/>
      <c r="P166" s="24"/>
      <c r="R166" s="24"/>
    </row>
    <row r="167" spans="1:18" x14ac:dyDescent="0.35">
      <c r="A167" s="12"/>
      <c r="B167" s="39" t="s">
        <v>23</v>
      </c>
      <c r="D167" s="24"/>
      <c r="F167" s="24"/>
      <c r="H167" s="24"/>
      <c r="J167" s="24"/>
      <c r="L167" s="24"/>
      <c r="N167" s="24"/>
      <c r="P167" s="24"/>
      <c r="R167" s="24"/>
    </row>
    <row r="168" spans="1:18" x14ac:dyDescent="0.35">
      <c r="A168" s="12"/>
      <c r="D168" s="24"/>
      <c r="F168" s="24"/>
      <c r="H168" s="24"/>
      <c r="J168" s="24"/>
      <c r="L168" s="24"/>
      <c r="N168" s="24"/>
      <c r="P168" s="24"/>
      <c r="R168" s="24"/>
    </row>
    <row r="169" spans="1:18" x14ac:dyDescent="0.35">
      <c r="D169" s="24"/>
      <c r="F169" s="24"/>
      <c r="H169" s="24"/>
      <c r="J169" s="24"/>
      <c r="L169" s="24"/>
      <c r="N169" s="24"/>
      <c r="P169" s="24"/>
      <c r="R169" s="24"/>
    </row>
  </sheetData>
  <pageMargins left="0.5" right="0.5" top="0.5" bottom="0.5" header="0.3" footer="0.3"/>
  <pageSetup scale="5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B9" sqref="B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CONCATENATE("Summary of Departments ",_xll.OneStop.ReportPlayer.OSRFunctions.OSRPar("Department"))</f>
        <v>Summary of Departments [@Department]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_xll.OneStop.ReportPlayer.OSRFunctions.OSRGet("GL_F_Trans","Value1")*-1</f>
        <v>#VALUE!</v>
      </c>
      <c r="K11" s="3"/>
      <c r="L11" s="11" t="e">
        <f>_xll.OneStop.ReportPlayer.OSRFunctions.OSRGet("GL_F_Trans","Value1")*-1</f>
        <v>#VALUE!</v>
      </c>
      <c r="M11" s="3"/>
      <c r="N11" s="11" t="e">
        <f>_xll.OneStop.ReportPlayer.OSRFunctions.OSRGet("GL_F_Trans","Value1")*-1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55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55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15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5739373.9300000006</v>
      </c>
      <c r="F10" s="8">
        <f>SUM(OSRRefF11x_0)</f>
        <v>6453905.2500000009</v>
      </c>
      <c r="G10" s="8"/>
      <c r="H10" s="8">
        <f>SUM(OSRRefH11x_0)</f>
        <v>6946746.5300000003</v>
      </c>
      <c r="I10" s="8"/>
      <c r="J10" s="8">
        <f>SUM(OSRRefJ11x_0)</f>
        <v>6824796.3600000003</v>
      </c>
      <c r="K10" s="8"/>
      <c r="L10" s="8">
        <f>SUM(OSRRefL11x_0)</f>
        <v>6849380.919999999</v>
      </c>
      <c r="M10" s="8"/>
      <c r="N10" s="8">
        <f>SUM(OSRRefN11x_0)</f>
        <v>4619542.3499999996</v>
      </c>
      <c r="O10" s="8"/>
      <c r="P10" s="8">
        <f>SUM(OSRRefP11x_0)</f>
        <v>233685</v>
      </c>
      <c r="Q10" s="8"/>
      <c r="R10" s="8">
        <f>SUM(OSRRefR11x_0)</f>
        <v>2136676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72679</v>
      </c>
      <c r="Q11" s="3"/>
      <c r="R11" s="11">
        <v>871160</v>
      </c>
    </row>
    <row r="12" spans="1:18" s="16" customFormat="1" hidden="1" outlineLevel="1" x14ac:dyDescent="0.35">
      <c r="B12" s="35" t="str">
        <f>CONCATENATE("          ", "4051", " - ", "TAXABLE SALES-FOOD")</f>
        <v xml:space="preserve">          4051 - TAXABLE SALES-FOOD</v>
      </c>
      <c r="D12" s="11">
        <f>-203895.11*-1</f>
        <v>203895.11</v>
      </c>
      <c r="F12" s="11">
        <f>-344290.55*-1</f>
        <v>344290.55</v>
      </c>
      <c r="G12" s="3"/>
      <c r="H12" s="11">
        <f>-566427.17*-1</f>
        <v>566427.17000000004</v>
      </c>
      <c r="I12" s="3"/>
      <c r="J12" s="11">
        <f>--766861.58</f>
        <v>766861.58</v>
      </c>
      <c r="K12" s="3"/>
      <c r="L12" s="11">
        <f>--682221.54</f>
        <v>682221.54</v>
      </c>
      <c r="M12" s="3"/>
      <c r="N12" s="11">
        <f>--454738.68</f>
        <v>454738.68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"4052", " - ", "TAXABLE SALES-FOOD")</f>
        <v xml:space="preserve">          4052 - TAXABLE SALES-FOOD</v>
      </c>
      <c r="D13" s="11">
        <f>-1059890.78*-1</f>
        <v>1059890.78</v>
      </c>
      <c r="F13" s="11">
        <f>-1241523.06*-1</f>
        <v>1241523.06</v>
      </c>
      <c r="G13" s="3"/>
      <c r="H13" s="11">
        <f>-1183255.47*-1</f>
        <v>1183255.47</v>
      </c>
      <c r="I13" s="3"/>
      <c r="J13" s="11">
        <f>--1404144.65</f>
        <v>1404144.65</v>
      </c>
      <c r="K13" s="3"/>
      <c r="L13" s="11">
        <f>--1589998.48</f>
        <v>1589998.48</v>
      </c>
      <c r="M13" s="3"/>
      <c r="N13" s="11">
        <f>--836487.29</f>
        <v>836487.29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"4053", " - ", "TAXABLE SALES-FOOD")</f>
        <v xml:space="preserve">          4053 - TAXABLE SALES-FOOD</v>
      </c>
      <c r="D14" s="11">
        <f>-242037.64*-1</f>
        <v>242037.64</v>
      </c>
      <c r="F14" s="11">
        <f>-307067.81*-1</f>
        <v>307067.81</v>
      </c>
      <c r="G14" s="3"/>
      <c r="H14" s="11">
        <f>-370986.9*-1</f>
        <v>370986.9</v>
      </c>
      <c r="I14" s="3"/>
      <c r="J14" s="11">
        <f>--327187.91</f>
        <v>327187.90999999997</v>
      </c>
      <c r="K14" s="3"/>
      <c r="L14" s="11">
        <f>--325290.63</f>
        <v>325290.63</v>
      </c>
      <c r="M14" s="3"/>
      <c r="N14" s="11">
        <f>--253270.4</f>
        <v>253270.39999999999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"4055", " - ", "TAXABLE SALES-FOOD")</f>
        <v xml:space="preserve">          4055 - TAXABLE SALES-FOOD</v>
      </c>
      <c r="D15" s="11">
        <f>-386552.16*-1</f>
        <v>386552.16</v>
      </c>
      <c r="F15" s="11">
        <f>-520707.08*-1</f>
        <v>520707.08</v>
      </c>
      <c r="G15" s="3"/>
      <c r="H15" s="11">
        <f>-590507.97*-1</f>
        <v>590507.97</v>
      </c>
      <c r="I15" s="3"/>
      <c r="J15" s="11">
        <f>--591812.35</f>
        <v>591812.35</v>
      </c>
      <c r="K15" s="3"/>
      <c r="L15" s="11">
        <f>--625909.88</f>
        <v>625909.88</v>
      </c>
      <c r="M15" s="3"/>
      <c r="N15" s="11">
        <f>--381406.04</f>
        <v>381406.04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"4057", " - ", "TAXABLE SALES-FOOD")</f>
        <v xml:space="preserve">          4057 - TAXABLE SALES-FOOD</v>
      </c>
      <c r="D16" s="11">
        <f>0*-1</f>
        <v>0</v>
      </c>
      <c r="F16" s="11">
        <f>0*-1</f>
        <v>0</v>
      </c>
      <c r="G16" s="3"/>
      <c r="H16" s="11">
        <f>0*-1</f>
        <v>0</v>
      </c>
      <c r="I16" s="3"/>
      <c r="J16" s="11">
        <f>--115214.52</f>
        <v>115214.52</v>
      </c>
      <c r="K16" s="3"/>
      <c r="L16" s="11">
        <f>--11506.08</f>
        <v>11506.08</v>
      </c>
      <c r="M16" s="3"/>
      <c r="N16" s="11">
        <f>0</f>
        <v>0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"4058", " - ", "TAXABLE SALES-FOOD")</f>
        <v xml:space="preserve">          4058 - TAXABLE SALES-FOOD</v>
      </c>
      <c r="D17" s="11">
        <f>-65572.24*-1</f>
        <v>65572.240000000005</v>
      </c>
      <c r="F17" s="11">
        <f>-56827.74*-1</f>
        <v>56827.74</v>
      </c>
      <c r="G17" s="3"/>
      <c r="H17" s="11">
        <f>-96320.96*-1</f>
        <v>96320.960000000006</v>
      </c>
      <c r="I17" s="3"/>
      <c r="J17" s="11">
        <f>--167154.32</f>
        <v>167154.32</v>
      </c>
      <c r="K17" s="3"/>
      <c r="L17" s="11">
        <f>--200045.36</f>
        <v>200045.36</v>
      </c>
      <c r="M17" s="3"/>
      <c r="N17" s="11">
        <f>--117077.57</f>
        <v>117077.57</v>
      </c>
      <c r="O17" s="3"/>
      <c r="P17" s="11"/>
      <c r="Q17" s="3"/>
      <c r="R17" s="11"/>
    </row>
    <row r="18" spans="1:18" s="16" customFormat="1" hidden="1" outlineLevel="1" x14ac:dyDescent="0.35">
      <c r="B18" s="35" t="str">
        <f>CONCATENATE("          ", "4100", " - ", "NON-TAXABLE SALES")</f>
        <v xml:space="preserve">          4100 - NON-TAXABLE SALES</v>
      </c>
      <c r="D18" s="11">
        <f>0*-1</f>
        <v>0</v>
      </c>
      <c r="F18" s="11">
        <f>0*-1</f>
        <v>0</v>
      </c>
      <c r="G18" s="3"/>
      <c r="H18" s="11">
        <f>0*-1</f>
        <v>0</v>
      </c>
      <c r="I18" s="3"/>
      <c r="J18" s="11">
        <f>0</f>
        <v>0</v>
      </c>
      <c r="K18" s="3"/>
      <c r="L18" s="11">
        <f>0</f>
        <v>0</v>
      </c>
      <c r="M18" s="3"/>
      <c r="N18" s="11">
        <f>0</f>
        <v>0</v>
      </c>
      <c r="O18" s="3"/>
      <c r="P18" s="11">
        <v>161006</v>
      </c>
      <c r="Q18" s="3"/>
      <c r="R18" s="11">
        <v>1265516</v>
      </c>
    </row>
    <row r="19" spans="1:18" s="16" customFormat="1" hidden="1" outlineLevel="1" x14ac:dyDescent="0.35">
      <c r="B19" s="35" t="str">
        <f>CONCATENATE("          ", "4151", " - ", "NON-TAXABLE SALES-FOOD")</f>
        <v xml:space="preserve">          4151 - NON-TAXABLE SALES-FOOD</v>
      </c>
      <c r="D19" s="11">
        <f>-2038065.59*-1</f>
        <v>2038065.59</v>
      </c>
      <c r="F19" s="11">
        <f>-2170744.88*-1</f>
        <v>2170744.88</v>
      </c>
      <c r="G19" s="3"/>
      <c r="H19" s="11">
        <f>-2184330.87*-1</f>
        <v>2184330.87</v>
      </c>
      <c r="I19" s="3"/>
      <c r="J19" s="11">
        <f>--1855204.07</f>
        <v>1855204.07</v>
      </c>
      <c r="K19" s="3"/>
      <c r="L19" s="11">
        <f>--1822583.5</f>
        <v>1822583.5</v>
      </c>
      <c r="M19" s="3"/>
      <c r="N19" s="11">
        <f>--1363402.11</f>
        <v>1363402.11</v>
      </c>
      <c r="O19" s="3"/>
      <c r="P19" s="11"/>
      <c r="Q19" s="3"/>
      <c r="R19" s="11"/>
    </row>
    <row r="20" spans="1:18" s="16" customFormat="1" hidden="1" outlineLevel="1" x14ac:dyDescent="0.35">
      <c r="B20" s="35" t="str">
        <f>CONCATENATE("          ", "4152", " - ", "NON-TAXABLE SALES-FOOD")</f>
        <v xml:space="preserve">          4152 - NON-TAXABLE SALES-FOOD</v>
      </c>
      <c r="D20" s="11">
        <f>-198310.99*-1</f>
        <v>198310.99</v>
      </c>
      <c r="F20" s="11">
        <f>-201509.51*-1</f>
        <v>201509.51</v>
      </c>
      <c r="G20" s="3"/>
      <c r="H20" s="11">
        <f>-194411.74*-1</f>
        <v>194411.74</v>
      </c>
      <c r="I20" s="3"/>
      <c r="J20" s="11">
        <f>--95908.76</f>
        <v>95908.76</v>
      </c>
      <c r="K20" s="3"/>
      <c r="L20" s="11">
        <f>--79299.25</f>
        <v>79299.25</v>
      </c>
      <c r="M20" s="3"/>
      <c r="N20" s="11">
        <f>--51415.27</f>
        <v>51415.27</v>
      </c>
      <c r="O20" s="3"/>
      <c r="P20" s="11"/>
      <c r="Q20" s="3"/>
      <c r="R20" s="11"/>
    </row>
    <row r="21" spans="1:18" s="16" customFormat="1" hidden="1" outlineLevel="1" x14ac:dyDescent="0.35">
      <c r="B21" s="35" t="str">
        <f>CONCATENATE("          ", "4153", " - ", "NON-TAXABLE SALES-FOOD")</f>
        <v xml:space="preserve">          4153 - NON-TAXABLE SALES-FOOD</v>
      </c>
      <c r="D21" s="11">
        <f>-11679.04*-1</f>
        <v>11679.04</v>
      </c>
      <c r="F21" s="11">
        <f>-6606.73*-1</f>
        <v>6606.73</v>
      </c>
      <c r="G21" s="3"/>
      <c r="H21" s="11">
        <f>-263.72*-1</f>
        <v>263.72000000000003</v>
      </c>
      <c r="I21" s="3"/>
      <c r="J21" s="11">
        <f>--988.5</f>
        <v>988.5</v>
      </c>
      <c r="K21" s="3"/>
      <c r="L21" s="11">
        <f>--527.13</f>
        <v>527.13</v>
      </c>
      <c r="M21" s="3"/>
      <c r="N21" s="11">
        <f>-498.41</f>
        <v>-498.41</v>
      </c>
      <c r="O21" s="3"/>
      <c r="P21" s="11"/>
      <c r="Q21" s="3"/>
      <c r="R21" s="11"/>
    </row>
    <row r="22" spans="1:18" s="16" customFormat="1" hidden="1" outlineLevel="1" x14ac:dyDescent="0.35">
      <c r="B22" s="35" t="str">
        <f>CONCATENATE("          ", "4155", " - ", "NON-TAXABLE SALES-FOOD")</f>
        <v xml:space="preserve">          4155 - NON-TAXABLE SALES-FOOD</v>
      </c>
      <c r="D22" s="11">
        <f>-885197.26*-1</f>
        <v>885197.26</v>
      </c>
      <c r="F22" s="11">
        <f>-882921.57*-1</f>
        <v>882921.57</v>
      </c>
      <c r="G22" s="3"/>
      <c r="H22" s="11">
        <f>-982827.69*-1</f>
        <v>982827.69</v>
      </c>
      <c r="I22" s="3"/>
      <c r="J22" s="11">
        <f>--878966.46</f>
        <v>878966.46</v>
      </c>
      <c r="K22" s="3"/>
      <c r="L22" s="11">
        <f>--913989.89</f>
        <v>913989.89</v>
      </c>
      <c r="M22" s="3"/>
      <c r="N22" s="11">
        <f>--687389.73</f>
        <v>687389.73</v>
      </c>
      <c r="O22" s="3"/>
      <c r="P22" s="11"/>
      <c r="Q22" s="3"/>
      <c r="R22" s="11"/>
    </row>
    <row r="23" spans="1:18" s="16" customFormat="1" hidden="1" outlineLevel="1" x14ac:dyDescent="0.35">
      <c r="B23" s="35" t="str">
        <f>CONCATENATE("          ", "4157", " - ", "NON-TAXABLE SALES-FOOD")</f>
        <v xml:space="preserve">          4157 - NON-TAXABLE SALES-FOOD</v>
      </c>
      <c r="D23" s="11">
        <f>0*-1</f>
        <v>0</v>
      </c>
      <c r="F23" s="11">
        <f>0*-1</f>
        <v>0</v>
      </c>
      <c r="G23" s="3"/>
      <c r="H23" s="11">
        <f>0*-1</f>
        <v>0</v>
      </c>
      <c r="I23" s="3"/>
      <c r="J23" s="11">
        <f>--315</f>
        <v>315</v>
      </c>
      <c r="K23" s="3"/>
      <c r="L23" s="11">
        <f>--208</f>
        <v>208</v>
      </c>
      <c r="M23" s="3"/>
      <c r="N23" s="11">
        <f>0</f>
        <v>0</v>
      </c>
      <c r="O23" s="3"/>
      <c r="P23" s="11"/>
      <c r="Q23" s="3"/>
      <c r="R23" s="11"/>
    </row>
    <row r="24" spans="1:18" s="16" customFormat="1" hidden="1" outlineLevel="1" x14ac:dyDescent="0.35">
      <c r="B24" s="35" t="str">
        <f>CONCATENATE("          ", "4158", " - ", "NON-TAXABLE SALES-FOOD")</f>
        <v xml:space="preserve">          4158 - NON-TAXABLE SALES-FOOD</v>
      </c>
      <c r="D24" s="11">
        <f>-648173.12*-1</f>
        <v>648173.12</v>
      </c>
      <c r="F24" s="11">
        <f>-721706.32*-1</f>
        <v>721706.32</v>
      </c>
      <c r="G24" s="3"/>
      <c r="H24" s="11">
        <f>-777414.04*-1</f>
        <v>777414.04</v>
      </c>
      <c r="I24" s="3"/>
      <c r="J24" s="11">
        <f>--621038.24</f>
        <v>621038.24</v>
      </c>
      <c r="K24" s="3"/>
      <c r="L24" s="11">
        <f>--597801.18</f>
        <v>597801.18000000005</v>
      </c>
      <c r="M24" s="3"/>
      <c r="N24" s="11">
        <f>--474853.67</f>
        <v>474853.67</v>
      </c>
      <c r="O24" s="3"/>
      <c r="P24" s="11"/>
      <c r="Q24" s="3"/>
      <c r="R24" s="11"/>
    </row>
    <row r="25" spans="1:18" s="12" customFormat="1" x14ac:dyDescent="0.35">
      <c r="B25" s="7"/>
      <c r="D25" s="6"/>
      <c r="F25" s="6"/>
      <c r="G25" s="5"/>
      <c r="H25" s="6"/>
      <c r="I25" s="5"/>
      <c r="J25" s="6"/>
      <c r="K25" s="5"/>
      <c r="L25" s="6"/>
      <c r="M25" s="5"/>
      <c r="N25" s="6"/>
      <c r="O25" s="5"/>
      <c r="P25" s="6"/>
      <c r="Q25" s="5"/>
      <c r="R25" s="6"/>
    </row>
    <row r="26" spans="1:18" s="12" customFormat="1" collapsed="1" x14ac:dyDescent="0.35">
      <c r="B26" s="7" t="s">
        <v>278</v>
      </c>
      <c r="D26" s="8">
        <f>SUM(OSRRefD14x_0)</f>
        <v>1889781.33</v>
      </c>
      <c r="E26" s="8"/>
      <c r="F26" s="8">
        <f>SUM(OSRRefF14x_0)</f>
        <v>2090218</v>
      </c>
      <c r="G26" s="8"/>
      <c r="H26" s="8">
        <f>SUM(OSRRefH14x_0)</f>
        <v>2218852.73</v>
      </c>
      <c r="I26" s="8"/>
      <c r="J26" s="8">
        <f>SUM(OSRRefJ14x_0)</f>
        <v>2209151.1800000002</v>
      </c>
      <c r="K26" s="8"/>
      <c r="L26" s="8">
        <f>SUM(OSRRefL14x_0)</f>
        <v>2157913.66</v>
      </c>
      <c r="M26" s="8"/>
      <c r="N26" s="8">
        <f>SUM(OSRRefN14x_0)</f>
        <v>1678796.26</v>
      </c>
      <c r="O26" s="8"/>
      <c r="P26" s="8">
        <f>SUM(OSRRefP14x_0)</f>
        <v>73448</v>
      </c>
      <c r="Q26" s="8"/>
      <c r="R26" s="8">
        <f>SUM(OSRRefR14x_0)</f>
        <v>732478</v>
      </c>
    </row>
    <row r="27" spans="1:18" s="44" customFormat="1" hidden="1" outlineLevel="1" x14ac:dyDescent="0.35">
      <c r="A27" s="16"/>
      <c r="B27" s="35" t="str">
        <f>CONCATENATE("          ", "5000", " - ", "PURCHASES @ COST")</f>
        <v xml:space="preserve">          5000 - PURCHASES @ COST</v>
      </c>
      <c r="C27" s="16"/>
      <c r="D27" s="11"/>
      <c r="E27" s="16"/>
      <c r="F27" s="11"/>
      <c r="G27" s="3"/>
      <c r="H27" s="11"/>
      <c r="I27" s="3"/>
      <c r="J27" s="11"/>
      <c r="K27" s="3"/>
      <c r="L27" s="11"/>
      <c r="M27" s="3"/>
      <c r="N27" s="11"/>
      <c r="O27" s="3"/>
      <c r="P27" s="11">
        <v>73448</v>
      </c>
      <c r="Q27" s="3"/>
      <c r="R27" s="11">
        <v>732478</v>
      </c>
    </row>
    <row r="28" spans="1:18" s="44" customFormat="1" hidden="1" outlineLevel="1" x14ac:dyDescent="0.35">
      <c r="A28" s="16"/>
      <c r="B28" s="35" t="str">
        <f>CONCATENATE("          ", "5053", " - ", "PURCHASES @ COST-FOOD")</f>
        <v xml:space="preserve">          5053 - PURCHASES @ COST-FOOD</v>
      </c>
      <c r="C28" s="16"/>
      <c r="D28" s="11">
        <v>1915543.26</v>
      </c>
      <c r="E28" s="16"/>
      <c r="F28" s="11">
        <v>2115165.19</v>
      </c>
      <c r="G28" s="3"/>
      <c r="H28" s="11">
        <v>2241201.0499999998</v>
      </c>
      <c r="I28" s="3"/>
      <c r="J28" s="11">
        <v>2222423.7200000002</v>
      </c>
      <c r="K28" s="3"/>
      <c r="L28" s="11">
        <v>2187551.29</v>
      </c>
      <c r="M28" s="3"/>
      <c r="N28" s="11">
        <v>1603213.27</v>
      </c>
      <c r="O28" s="3"/>
      <c r="P28" s="11"/>
      <c r="Q28" s="3"/>
      <c r="R28" s="11"/>
    </row>
    <row r="29" spans="1:18" s="44" customFormat="1" hidden="1" outlineLevel="1" x14ac:dyDescent="0.35">
      <c r="A29" s="16"/>
      <c r="B29" s="35" t="str">
        <f>CONCATENATE("          ", "5055", " - ", "PURCHASES @ COST-FOOD")</f>
        <v xml:space="preserve">          5055 - PURCHASES @ COST-FOOD</v>
      </c>
      <c r="C29" s="16"/>
      <c r="D29" s="11"/>
      <c r="E29" s="16"/>
      <c r="F29" s="11">
        <v>94.33</v>
      </c>
      <c r="G29" s="3"/>
      <c r="H29" s="11"/>
      <c r="I29" s="3"/>
      <c r="J29" s="11"/>
      <c r="K29" s="3"/>
      <c r="L29" s="11"/>
      <c r="M29" s="3"/>
      <c r="N29" s="11"/>
      <c r="O29" s="3"/>
      <c r="P29" s="11"/>
      <c r="Q29" s="3"/>
      <c r="R29" s="11"/>
    </row>
    <row r="30" spans="1:18" s="44" customFormat="1" hidden="1" outlineLevel="1" x14ac:dyDescent="0.35">
      <c r="A30" s="16"/>
      <c r="B30" s="35" t="str">
        <f>CONCATENATE("          ", "5059", " - ", "PURCHASES @ COST-FOOD")</f>
        <v xml:space="preserve">          5059 - PURCHASES @ COST-FOOD</v>
      </c>
      <c r="C30" s="16"/>
      <c r="D30" s="11">
        <v>-25761.93</v>
      </c>
      <c r="E30" s="16"/>
      <c r="F30" s="11">
        <v>-25041.52</v>
      </c>
      <c r="G30" s="3"/>
      <c r="H30" s="11">
        <v>-22348.32</v>
      </c>
      <c r="I30" s="3"/>
      <c r="J30" s="11">
        <v>-13272.54</v>
      </c>
      <c r="K30" s="3"/>
      <c r="L30" s="11">
        <v>-29637.63</v>
      </c>
      <c r="M30" s="3"/>
      <c r="N30" s="11">
        <v>75582.990000000005</v>
      </c>
      <c r="O30" s="3"/>
      <c r="P30" s="11"/>
      <c r="Q30" s="3"/>
      <c r="R30" s="11"/>
    </row>
    <row r="31" spans="1:18" x14ac:dyDescent="0.35">
      <c r="A31" s="12"/>
      <c r="B31" s="7"/>
      <c r="C31" s="7"/>
      <c r="D31" s="6"/>
      <c r="F31" s="6"/>
      <c r="H31" s="6"/>
      <c r="J31" s="6"/>
      <c r="L31" s="6"/>
      <c r="N31" s="6"/>
      <c r="P31" s="6"/>
      <c r="R31" s="6"/>
    </row>
    <row r="32" spans="1:18" s="15" customFormat="1" x14ac:dyDescent="0.35">
      <c r="A32" s="7"/>
      <c r="B32" s="22" t="s">
        <v>107</v>
      </c>
      <c r="C32" s="22"/>
      <c r="D32" s="10">
        <f>+D10-D26</f>
        <v>3849592.6000000006</v>
      </c>
      <c r="E32" s="12"/>
      <c r="F32" s="10">
        <f>+F10-F26</f>
        <v>4363687.2500000009</v>
      </c>
      <c r="G32" s="5"/>
      <c r="H32" s="10">
        <f>+H10-H26</f>
        <v>4727893.8000000007</v>
      </c>
      <c r="I32" s="5"/>
      <c r="J32" s="10">
        <f>+J10-J26</f>
        <v>4615645.18</v>
      </c>
      <c r="K32" s="5"/>
      <c r="L32" s="10">
        <f>+L10-L26</f>
        <v>4691467.2599999988</v>
      </c>
      <c r="M32" s="5"/>
      <c r="N32" s="10">
        <f>+N10-N26</f>
        <v>2940746.09</v>
      </c>
      <c r="O32" s="5"/>
      <c r="P32" s="10">
        <f>+P10-P26</f>
        <v>160237</v>
      </c>
      <c r="Q32" s="5"/>
      <c r="R32" s="10">
        <f>+R10-R26</f>
        <v>1404198</v>
      </c>
    </row>
    <row r="33" spans="1:18" s="27" customFormat="1" x14ac:dyDescent="0.35">
      <c r="A33" s="18"/>
      <c r="B33" s="31"/>
      <c r="C33" s="18"/>
      <c r="D33" s="9">
        <f>IFERROR(D32/D10, 0)</f>
        <v>0.67073388961084823</v>
      </c>
      <c r="E33" s="13"/>
      <c r="F33" s="9">
        <f>IFERROR(F32/F10, 0)</f>
        <v>0.67613128500763164</v>
      </c>
      <c r="G33" s="26"/>
      <c r="H33" s="9">
        <f>IFERROR(H32/H10, 0)</f>
        <v>0.68059109103553261</v>
      </c>
      <c r="I33" s="26"/>
      <c r="J33" s="9">
        <f>IFERROR(J32/J10, 0)</f>
        <v>0.67630518722173261</v>
      </c>
      <c r="K33" s="26"/>
      <c r="L33" s="9">
        <f>IFERROR(L32/L10, 0)</f>
        <v>0.68494763465425712</v>
      </c>
      <c r="M33" s="26"/>
      <c r="N33" s="9">
        <f>IFERROR(N32/N10, 0)</f>
        <v>0.63658818713936027</v>
      </c>
      <c r="O33" s="26"/>
      <c r="P33" s="9">
        <f>IFERROR(P32/P10, 0)</f>
        <v>0.68569655733145041</v>
      </c>
      <c r="Q33" s="26"/>
      <c r="R33" s="9">
        <f>IFERROR(R32/R10, 0)</f>
        <v>0.65718808092569958</v>
      </c>
    </row>
    <row r="34" spans="1:18" s="27" customFormat="1" x14ac:dyDescent="0.35">
      <c r="A34" s="18"/>
      <c r="B34" s="31"/>
      <c r="C34" s="18"/>
      <c r="D34" s="13"/>
      <c r="E34" s="13"/>
      <c r="F34" s="13"/>
      <c r="G34" s="26"/>
      <c r="H34" s="13"/>
      <c r="I34" s="26"/>
      <c r="J34" s="13"/>
      <c r="K34" s="26"/>
      <c r="L34" s="13"/>
      <c r="M34" s="26"/>
      <c r="N34" s="13"/>
      <c r="O34" s="26"/>
      <c r="P34" s="13"/>
      <c r="Q34" s="26"/>
      <c r="R34" s="13"/>
    </row>
    <row r="35" spans="1:18" s="15" customFormat="1" x14ac:dyDescent="0.35">
      <c r="A35" s="7"/>
      <c r="B35" s="34" t="s">
        <v>314</v>
      </c>
      <c r="C35" s="7"/>
      <c r="D35" s="8">
        <f>SUM(OSRRefD21x_0)</f>
        <v>4519606.01</v>
      </c>
      <c r="E35" s="19"/>
      <c r="F35" s="8">
        <f>SUM(OSRRefF21x_0)</f>
        <v>5208947.7</v>
      </c>
      <c r="G35" s="4"/>
      <c r="H35" s="8">
        <f>SUM(OSRRefH21x_0)</f>
        <v>5310438.5500000007</v>
      </c>
      <c r="I35" s="4"/>
      <c r="J35" s="8">
        <f>SUM(OSRRefJ21x_0)</f>
        <v>5441501.0499999989</v>
      </c>
      <c r="K35" s="4"/>
      <c r="L35" s="8">
        <f>SUM(OSRRefL21x_0)</f>
        <v>5649127.4299999997</v>
      </c>
      <c r="M35" s="4"/>
      <c r="N35" s="8">
        <f>SUM(OSRRefN21x_0)</f>
        <v>4863298.62</v>
      </c>
      <c r="O35" s="4"/>
      <c r="P35" s="8">
        <f>SUM(OSRRefP21x_0)</f>
        <v>1311300.7554583848</v>
      </c>
      <c r="Q35" s="4"/>
      <c r="R35" s="8">
        <f>SUM(OSRRefR21x_0)</f>
        <v>2241707.5271398183</v>
      </c>
    </row>
    <row r="36" spans="1:18" s="15" customFormat="1" outlineLevel="1" collapsed="1" x14ac:dyDescent="0.35">
      <c r="A36" s="7"/>
      <c r="B36" s="20" t="str">
        <f>CONCATENATE("     ","*Benefits                                         ")</f>
        <v xml:space="preserve">     *Benefits                                         </v>
      </c>
      <c r="C36" s="7"/>
      <c r="D36" s="1">
        <f>SUM(OSRRefD21_0x_0)</f>
        <v>571457.0199999999</v>
      </c>
      <c r="E36" s="19"/>
      <c r="F36" s="1">
        <f>SUM(OSRRefF21_0x_0)</f>
        <v>700373.1</v>
      </c>
      <c r="G36" s="4"/>
      <c r="H36" s="1">
        <f>SUM(OSRRefH21_0x_0)</f>
        <v>669598.71</v>
      </c>
      <c r="I36" s="4"/>
      <c r="J36" s="1">
        <f>SUM(OSRRefJ21_0x_0)</f>
        <v>705507.33</v>
      </c>
      <c r="K36" s="4"/>
      <c r="L36" s="1">
        <f>SUM(OSRRefL21_0x_0)</f>
        <v>721507.13</v>
      </c>
      <c r="M36" s="4"/>
      <c r="N36" s="1">
        <f>SUM(OSRRefN21_0x_0)</f>
        <v>637018.50999999989</v>
      </c>
      <c r="O36" s="4"/>
      <c r="P36" s="1">
        <f>SUM(OSRRefP21_0x_0)</f>
        <v>166765.88985838459</v>
      </c>
      <c r="Q36" s="4"/>
      <c r="R36" s="1">
        <f>SUM(OSRRefR21_0x_0)</f>
        <v>354683.83889981802</v>
      </c>
    </row>
    <row r="37" spans="1:18" s="16" customFormat="1" hidden="1" outlineLevel="2" x14ac:dyDescent="0.35">
      <c r="B37" s="11" t="str">
        <f>CONCATENATE("          ", "6111", " - ", "F.I.C.A.")</f>
        <v xml:space="preserve">          6111 - F.I.C.A.</v>
      </c>
      <c r="D37" s="2">
        <v>97352.17</v>
      </c>
      <c r="F37" s="2">
        <v>116819.09</v>
      </c>
      <c r="G37" s="3"/>
      <c r="H37" s="2">
        <v>130149.8</v>
      </c>
      <c r="I37" s="3"/>
      <c r="J37" s="2">
        <v>138532.28</v>
      </c>
      <c r="K37" s="3"/>
      <c r="L37" s="2">
        <v>140966.31</v>
      </c>
      <c r="M37" s="3"/>
      <c r="N37" s="2">
        <v>137065.68</v>
      </c>
      <c r="O37" s="3"/>
      <c r="P37" s="2">
        <v>19495.872093000002</v>
      </c>
      <c r="Q37" s="3"/>
      <c r="R37" s="2">
        <v>45194.767408355998</v>
      </c>
    </row>
    <row r="38" spans="1:18" s="16" customFormat="1" hidden="1" outlineLevel="2" x14ac:dyDescent="0.35">
      <c r="B38" s="11" t="str">
        <f>CONCATENATE("          ", "6112", " - ", "COMPENSATION INSURANCE")</f>
        <v xml:space="preserve">          6112 - COMPENSATION INSURANCE</v>
      </c>
      <c r="D38" s="2">
        <v>38738.89</v>
      </c>
      <c r="F38" s="2">
        <v>76120.78</v>
      </c>
      <c r="G38" s="3"/>
      <c r="H38" s="2">
        <v>91343.64</v>
      </c>
      <c r="I38" s="3"/>
      <c r="J38" s="2">
        <v>70021.710000000006</v>
      </c>
      <c r="K38" s="3"/>
      <c r="L38" s="2">
        <v>82904.84</v>
      </c>
      <c r="M38" s="3"/>
      <c r="N38" s="2">
        <v>71894.929999999993</v>
      </c>
      <c r="O38" s="3"/>
      <c r="P38" s="2">
        <v>8077.5573780000004</v>
      </c>
      <c r="Q38" s="3"/>
      <c r="R38" s="2">
        <v>34614.260170829999</v>
      </c>
    </row>
    <row r="39" spans="1:18" s="16" customFormat="1" hidden="1" outlineLevel="2" x14ac:dyDescent="0.35">
      <c r="B39" s="11" t="str">
        <f>CONCATENATE("          ", "6113", " - ", "GROUP INSURANCE")</f>
        <v xml:space="preserve">          6113 - GROUP INSURANCE</v>
      </c>
      <c r="D39" s="2">
        <v>229165.62</v>
      </c>
      <c r="F39" s="2">
        <v>260866.99</v>
      </c>
      <c r="G39" s="3"/>
      <c r="H39" s="2">
        <v>259307.53</v>
      </c>
      <c r="I39" s="3"/>
      <c r="J39" s="2">
        <v>263791.02</v>
      </c>
      <c r="K39" s="3"/>
      <c r="L39" s="2">
        <v>255259.91</v>
      </c>
      <c r="M39" s="3"/>
      <c r="N39" s="2">
        <v>249331.83</v>
      </c>
      <c r="O39" s="3"/>
      <c r="P39" s="2">
        <v>88994.884615384595</v>
      </c>
      <c r="Q39" s="3"/>
      <c r="R39" s="2">
        <v>167341.811538462</v>
      </c>
    </row>
    <row r="40" spans="1:18" s="16" customFormat="1" hidden="1" outlineLevel="2" x14ac:dyDescent="0.35">
      <c r="B40" s="11" t="str">
        <f>CONCATENATE("          ", "6114", " - ", "STATE UNEMPLOYMENT INSURANCE")</f>
        <v xml:space="preserve">          6114 - STATE UNEMPLOYMENT INSURANCE</v>
      </c>
      <c r="D40" s="2">
        <v>11056.07</v>
      </c>
      <c r="F40" s="2">
        <v>13338.39</v>
      </c>
      <c r="G40" s="3"/>
      <c r="H40" s="2">
        <v>7409.25</v>
      </c>
      <c r="I40" s="3"/>
      <c r="J40" s="2">
        <v>7464.48</v>
      </c>
      <c r="K40" s="3"/>
      <c r="L40" s="2">
        <v>6973.81</v>
      </c>
      <c r="M40" s="3"/>
      <c r="N40" s="2">
        <v>0</v>
      </c>
      <c r="O40" s="3"/>
      <c r="P40" s="2">
        <v>834.90893200000005</v>
      </c>
      <c r="Q40" s="3"/>
      <c r="R40" s="2">
        <v>1917.94053717</v>
      </c>
    </row>
    <row r="41" spans="1:18" s="16" customFormat="1" hidden="1" outlineLevel="2" x14ac:dyDescent="0.35">
      <c r="B41" s="11" t="str">
        <f>CONCATENATE("          ", "6115", " - ", "P.E.R.S.")</f>
        <v xml:space="preserve">          6115 - P.E.R.S.</v>
      </c>
      <c r="D41" s="2">
        <v>73616.36</v>
      </c>
      <c r="F41" s="2">
        <v>66303.429999999993</v>
      </c>
      <c r="G41" s="3"/>
      <c r="H41" s="2">
        <v>76556.639999999999</v>
      </c>
      <c r="I41" s="3"/>
      <c r="J41" s="2">
        <v>73915.789999999994</v>
      </c>
      <c r="K41" s="3"/>
      <c r="L41" s="2">
        <v>76237.14</v>
      </c>
      <c r="M41" s="3"/>
      <c r="N41" s="2">
        <v>78997.83</v>
      </c>
      <c r="O41" s="3"/>
      <c r="P41" s="2">
        <v>18019.712439999999</v>
      </c>
      <c r="Q41" s="3"/>
      <c r="R41" s="2">
        <v>33475.363259999998</v>
      </c>
    </row>
    <row r="42" spans="1:18" s="16" customFormat="1" hidden="1" outlineLevel="2" x14ac:dyDescent="0.35">
      <c r="B42" s="11" t="str">
        <f>CONCATENATE("          ", "6116", " - ", "EDUCATIONAL BENEFITS")</f>
        <v xml:space="preserve">          6116 - EDUCATIONAL BENEFITS</v>
      </c>
      <c r="D42" s="2"/>
      <c r="F42" s="2"/>
      <c r="G42" s="3"/>
      <c r="H42" s="2"/>
      <c r="I42" s="3"/>
      <c r="J42" s="2"/>
      <c r="K42" s="3"/>
      <c r="L42" s="2"/>
      <c r="M42" s="3"/>
      <c r="N42" s="2"/>
      <c r="O42" s="3"/>
      <c r="P42" s="2">
        <v>0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"6117", " - ", "RETIREMENT STAFF HOURLY")</f>
        <v xml:space="preserve">          6117 - RETIREMENT STAFF HOURLY</v>
      </c>
      <c r="D43" s="2">
        <v>2550.3000000000002</v>
      </c>
      <c r="F43" s="2">
        <v>196</v>
      </c>
      <c r="G43" s="3"/>
      <c r="H43" s="2">
        <v>769.75</v>
      </c>
      <c r="I43" s="3"/>
      <c r="J43" s="2">
        <v>761.32</v>
      </c>
      <c r="K43" s="3"/>
      <c r="L43" s="2">
        <v>728</v>
      </c>
      <c r="M43" s="3"/>
      <c r="N43" s="2">
        <v>1352.45</v>
      </c>
      <c r="O43" s="3"/>
      <c r="P43" s="2"/>
      <c r="Q43" s="3"/>
      <c r="R43" s="2"/>
    </row>
    <row r="44" spans="1:18" s="16" customFormat="1" hidden="1" outlineLevel="2" x14ac:dyDescent="0.35">
      <c r="B44" s="11" t="str">
        <f>CONCATENATE("          ", "6118", " - ", "VACATION")</f>
        <v xml:space="preserve">          6118 - VACATION</v>
      </c>
      <c r="D44" s="2">
        <v>50683.48</v>
      </c>
      <c r="F44" s="2">
        <v>70122.22</v>
      </c>
      <c r="G44" s="3"/>
      <c r="H44" s="2">
        <v>58736.25</v>
      </c>
      <c r="I44" s="3"/>
      <c r="J44" s="2">
        <v>62852.78</v>
      </c>
      <c r="K44" s="3"/>
      <c r="L44" s="2">
        <v>71164.929999999993</v>
      </c>
      <c r="M44" s="3"/>
      <c r="N44" s="2">
        <v>78006.8</v>
      </c>
      <c r="O44" s="3"/>
      <c r="P44" s="2">
        <v>19701.706999999999</v>
      </c>
      <c r="Q44" s="3"/>
      <c r="R44" s="2">
        <v>30443.317756</v>
      </c>
    </row>
    <row r="45" spans="1:18" s="16" customFormat="1" hidden="1" outlineLevel="2" x14ac:dyDescent="0.35">
      <c r="B45" s="11" t="str">
        <f>CONCATENATE("          ", "6119", " - ", "SICK LEAVE")</f>
        <v xml:space="preserve">          6119 - SICK LEAVE</v>
      </c>
      <c r="D45" s="2">
        <v>33209.519999999997</v>
      </c>
      <c r="F45" s="2">
        <v>67213.39</v>
      </c>
      <c r="G45" s="3"/>
      <c r="H45" s="2">
        <v>17826.27</v>
      </c>
      <c r="I45" s="3"/>
      <c r="J45" s="2">
        <v>57588.95</v>
      </c>
      <c r="K45" s="3"/>
      <c r="L45" s="2">
        <v>55311.42</v>
      </c>
      <c r="M45" s="3"/>
      <c r="N45" s="2">
        <v>-6285.35</v>
      </c>
      <c r="O45" s="3"/>
      <c r="P45" s="2">
        <v>7441.2474000000002</v>
      </c>
      <c r="Q45" s="3"/>
      <c r="R45" s="2">
        <v>17020.378229000002</v>
      </c>
    </row>
    <row r="46" spans="1:18" s="16" customFormat="1" hidden="1" outlineLevel="2" x14ac:dyDescent="0.35">
      <c r="B46" s="11" t="str">
        <f>CONCATENATE("          ", "6156", " - ", "EMPLOYEE MEALS")</f>
        <v xml:space="preserve">          6156 - EMPLOYEE MEALS</v>
      </c>
      <c r="D46" s="2">
        <v>35084.61</v>
      </c>
      <c r="F46" s="2">
        <v>29392.81</v>
      </c>
      <c r="G46" s="3"/>
      <c r="H46" s="2">
        <v>27499.58</v>
      </c>
      <c r="I46" s="3"/>
      <c r="J46" s="2">
        <v>30579</v>
      </c>
      <c r="K46" s="3"/>
      <c r="L46" s="2">
        <v>31960.77</v>
      </c>
      <c r="M46" s="3"/>
      <c r="N46" s="2">
        <v>26654.34</v>
      </c>
      <c r="O46" s="3"/>
      <c r="P46" s="2">
        <v>4200</v>
      </c>
      <c r="Q46" s="3"/>
      <c r="R46" s="2">
        <v>24676</v>
      </c>
    </row>
    <row r="47" spans="1:18" s="15" customFormat="1" outlineLevel="1" collapsed="1" x14ac:dyDescent="0.35">
      <c r="A47" s="7"/>
      <c r="B47" s="20" t="str">
        <f>CONCATENATE("     ","*Payroll                                          ")</f>
        <v xml:space="preserve">     *Payroll                                          </v>
      </c>
      <c r="C47" s="7"/>
      <c r="D47" s="1">
        <f>SUM(OSRRefD21_1x_0)</f>
        <v>1714208.2599999998</v>
      </c>
      <c r="E47" s="19"/>
      <c r="F47" s="1">
        <f>SUM(OSRRefF21_1x_0)</f>
        <v>2057058.36</v>
      </c>
      <c r="G47" s="4"/>
      <c r="H47" s="1">
        <f>SUM(OSRRefH21_1x_0)</f>
        <v>2270436.84</v>
      </c>
      <c r="I47" s="4"/>
      <c r="J47" s="1">
        <f>SUM(OSRRefJ21_1x_0)</f>
        <v>2315450.6</v>
      </c>
      <c r="K47" s="4"/>
      <c r="L47" s="1">
        <f>SUM(OSRRefL21_1x_0)</f>
        <v>2481621.9500000002</v>
      </c>
      <c r="M47" s="4"/>
      <c r="N47" s="1">
        <f>SUM(OSRRefN21_1x_0)</f>
        <v>2164366.9900000002</v>
      </c>
      <c r="O47" s="4"/>
      <c r="P47" s="1">
        <f>SUM(OSRRefP21_1x_0)</f>
        <v>293975.86560000002</v>
      </c>
      <c r="Q47" s="4"/>
      <c r="R47" s="1">
        <f>SUM(OSRRefR21_1x_0)</f>
        <v>866890.68824000005</v>
      </c>
    </row>
    <row r="48" spans="1:18" s="16" customFormat="1" hidden="1" outlineLevel="2" x14ac:dyDescent="0.35">
      <c r="B48" s="11" t="str">
        <f>CONCATENATE("          ", "6001", " - ", "ADMINISTRATIVE SALARIES")</f>
        <v xml:space="preserve">          6001 - ADMINISTRATIVE SALARIES</v>
      </c>
      <c r="D48" s="2">
        <v>141595.93</v>
      </c>
      <c r="F48" s="2">
        <v>199249.42</v>
      </c>
      <c r="G48" s="3"/>
      <c r="H48" s="2">
        <v>195582.13</v>
      </c>
      <c r="I48" s="3"/>
      <c r="J48" s="2">
        <v>209011.52</v>
      </c>
      <c r="K48" s="3"/>
      <c r="L48" s="2">
        <v>204636.1</v>
      </c>
      <c r="M48" s="3"/>
      <c r="N48" s="2">
        <v>187186.24</v>
      </c>
      <c r="O48" s="3"/>
      <c r="P48" s="2">
        <v>129510</v>
      </c>
      <c r="Q48" s="3"/>
      <c r="R48" s="2">
        <v>133488</v>
      </c>
    </row>
    <row r="49" spans="1:18" s="16" customFormat="1" hidden="1" outlineLevel="2" x14ac:dyDescent="0.35">
      <c r="B49" s="11" t="str">
        <f>CONCATENATE("          ", "6002", " - ", "STAFF SALARIES")</f>
        <v xml:space="preserve">          6002 - STAFF SALARIES</v>
      </c>
      <c r="D49" s="2">
        <v>423948.34</v>
      </c>
      <c r="F49" s="2">
        <v>566372.49</v>
      </c>
      <c r="G49" s="3"/>
      <c r="H49" s="2">
        <v>655246.43999999994</v>
      </c>
      <c r="I49" s="3"/>
      <c r="J49" s="2">
        <v>645724.66</v>
      </c>
      <c r="K49" s="3"/>
      <c r="L49" s="2">
        <v>695002.79</v>
      </c>
      <c r="M49" s="3"/>
      <c r="N49" s="2">
        <v>626772.43999999994</v>
      </c>
      <c r="O49" s="3"/>
      <c r="P49" s="2">
        <v>59068.385999999999</v>
      </c>
      <c r="Q49" s="3"/>
      <c r="R49" s="2">
        <v>224761.9895</v>
      </c>
    </row>
    <row r="50" spans="1:18" s="16" customFormat="1" hidden="1" outlineLevel="2" x14ac:dyDescent="0.35">
      <c r="B50" s="11" t="str">
        <f>CONCATENATE("          ", "6003", " - ", "STAFF HOURLY-9 MONTH")</f>
        <v xml:space="preserve">          6003 - STAFF HOURLY-9 MONTH</v>
      </c>
      <c r="D50" s="2"/>
      <c r="F50" s="2">
        <v>48.38</v>
      </c>
      <c r="G50" s="3"/>
      <c r="H50" s="2"/>
      <c r="I50" s="3"/>
      <c r="J50" s="2"/>
      <c r="K50" s="3"/>
      <c r="L50" s="2"/>
      <c r="M50" s="3"/>
      <c r="N50" s="2"/>
      <c r="O50" s="3"/>
      <c r="P50" s="2">
        <v>0</v>
      </c>
      <c r="Q50" s="3"/>
      <c r="R50" s="2">
        <v>0</v>
      </c>
    </row>
    <row r="51" spans="1:18" s="16" customFormat="1" hidden="1" outlineLevel="2" x14ac:dyDescent="0.35">
      <c r="B51" s="11" t="str">
        <f>CONCATENATE("          ", "6004", " - ", "STAFF HOURLY")</f>
        <v xml:space="preserve">          6004 - STAFF HOURLY</v>
      </c>
      <c r="D51" s="2">
        <v>152979.75</v>
      </c>
      <c r="F51" s="2">
        <v>142218.21</v>
      </c>
      <c r="G51" s="3"/>
      <c r="H51" s="2">
        <v>111678.04</v>
      </c>
      <c r="I51" s="3"/>
      <c r="J51" s="2">
        <v>158438.87</v>
      </c>
      <c r="K51" s="3"/>
      <c r="L51" s="2">
        <v>171890.18</v>
      </c>
      <c r="M51" s="3"/>
      <c r="N51" s="2">
        <v>221154.82</v>
      </c>
      <c r="O51" s="3"/>
      <c r="P51" s="2">
        <v>36542.339999999997</v>
      </c>
      <c r="Q51" s="3"/>
      <c r="R51" s="2">
        <v>174762.73944</v>
      </c>
    </row>
    <row r="52" spans="1:18" s="16" customFormat="1" hidden="1" outlineLevel="2" x14ac:dyDescent="0.35">
      <c r="B52" s="11" t="str">
        <f>CONCATENATE("          ", "6005", " - ", "TEMPORARY WAGES-HOURLY")</f>
        <v xml:space="preserve">          6005 - TEMPORARY WAGES-HOURLY</v>
      </c>
      <c r="D52" s="2">
        <v>405864.09</v>
      </c>
      <c r="F52" s="2">
        <v>443460.64</v>
      </c>
      <c r="G52" s="3"/>
      <c r="H52" s="2">
        <v>497770.99</v>
      </c>
      <c r="I52" s="3"/>
      <c r="J52" s="2">
        <v>481689.91</v>
      </c>
      <c r="K52" s="3"/>
      <c r="L52" s="2">
        <v>495107.42</v>
      </c>
      <c r="M52" s="3"/>
      <c r="N52" s="2">
        <v>437740.4</v>
      </c>
      <c r="O52" s="3"/>
      <c r="P52" s="2">
        <v>36362.196000000004</v>
      </c>
      <c r="Q52" s="3"/>
      <c r="R52" s="2">
        <v>126721.62450000001</v>
      </c>
    </row>
    <row r="53" spans="1:18" s="16" customFormat="1" hidden="1" outlineLevel="2" x14ac:dyDescent="0.35">
      <c r="B53" s="11" t="str">
        <f>CONCATENATE("          ", "6006", " - ", "TEMPORARY PART TIME")</f>
        <v xml:space="preserve">          6006 - TEMPORARY PART TIME</v>
      </c>
      <c r="D53" s="2">
        <v>1562.64</v>
      </c>
      <c r="F53" s="2">
        <v>18693.37</v>
      </c>
      <c r="G53" s="3"/>
      <c r="H53" s="2">
        <v>24364.5</v>
      </c>
      <c r="I53" s="3"/>
      <c r="J53" s="2">
        <v>28206.53</v>
      </c>
      <c r="K53" s="3"/>
      <c r="L53" s="2">
        <v>20289.099999999999</v>
      </c>
      <c r="M53" s="3"/>
      <c r="N53" s="2">
        <v>11826.56</v>
      </c>
      <c r="O53" s="3"/>
      <c r="P53" s="2">
        <v>0</v>
      </c>
      <c r="Q53" s="3"/>
      <c r="R53" s="2">
        <v>0</v>
      </c>
    </row>
    <row r="54" spans="1:18" s="16" customFormat="1" hidden="1" outlineLevel="2" x14ac:dyDescent="0.35">
      <c r="B54" s="11" t="str">
        <f>CONCATENATE("          ", "6007", " - ", "STUDENT HOURLY")</f>
        <v xml:space="preserve">          6007 - STUDENT HOURLY</v>
      </c>
      <c r="D54" s="2">
        <v>573335.13</v>
      </c>
      <c r="F54" s="2">
        <v>626176.96</v>
      </c>
      <c r="G54" s="3"/>
      <c r="H54" s="2">
        <v>692102.9</v>
      </c>
      <c r="I54" s="3"/>
      <c r="J54" s="2">
        <v>700166.76</v>
      </c>
      <c r="K54" s="3"/>
      <c r="L54" s="2">
        <v>826669.67</v>
      </c>
      <c r="M54" s="3"/>
      <c r="N54" s="2">
        <v>643229.24</v>
      </c>
      <c r="O54" s="3"/>
      <c r="P54" s="2">
        <v>4475.5411999999997</v>
      </c>
      <c r="Q54" s="3"/>
      <c r="R54" s="2">
        <v>18888.098000000002</v>
      </c>
    </row>
    <row r="55" spans="1:18" s="16" customFormat="1" hidden="1" outlineLevel="2" x14ac:dyDescent="0.35">
      <c r="B55" s="11" t="str">
        <f>CONCATENATE("          ", "6008", " - ", "STUDENT HOURLY-FICA EXEMPT")</f>
        <v xml:space="preserve">          6008 - STUDENT HOURLY-FICA EXEMPT</v>
      </c>
      <c r="D55" s="2">
        <v>14922.38</v>
      </c>
      <c r="F55" s="2">
        <v>60838.89</v>
      </c>
      <c r="G55" s="3"/>
      <c r="H55" s="2">
        <v>93691.839999999997</v>
      </c>
      <c r="I55" s="3"/>
      <c r="J55" s="2">
        <v>92212.35</v>
      </c>
      <c r="K55" s="3"/>
      <c r="L55" s="2">
        <v>68026.69</v>
      </c>
      <c r="M55" s="3"/>
      <c r="N55" s="2">
        <v>36457.29</v>
      </c>
      <c r="O55" s="3"/>
      <c r="P55" s="2">
        <v>28017.402399999999</v>
      </c>
      <c r="Q55" s="3"/>
      <c r="R55" s="2">
        <v>188268.23680000001</v>
      </c>
    </row>
    <row r="56" spans="1:18" s="16" customFormat="1" hidden="1" outlineLevel="2" x14ac:dyDescent="0.35">
      <c r="B56" s="11" t="str">
        <f>CONCATENATE("          ", "6009", " - ", "TEMPORARY-SEASONAL")</f>
        <v xml:space="preserve">          6009 - TEMPORARY-SEASONAL</v>
      </c>
      <c r="D56" s="2"/>
      <c r="F56" s="2"/>
      <c r="G56" s="3"/>
      <c r="H56" s="2"/>
      <c r="I56" s="3"/>
      <c r="J56" s="2"/>
      <c r="K56" s="3"/>
      <c r="L56" s="2"/>
      <c r="M56" s="3"/>
      <c r="N56" s="2"/>
      <c r="O56" s="3"/>
      <c r="P56" s="2">
        <v>0</v>
      </c>
      <c r="Q56" s="3"/>
      <c r="R56" s="2">
        <v>0</v>
      </c>
    </row>
    <row r="57" spans="1:18" s="16" customFormat="1" hidden="1" outlineLevel="2" x14ac:dyDescent="0.35">
      <c r="B57" s="11" t="str">
        <f>CONCATENATE("          ", "6010", " - ", "GRATUITY")</f>
        <v xml:space="preserve">          6010 - GRATUITY</v>
      </c>
      <c r="D57" s="2"/>
      <c r="F57" s="2"/>
      <c r="G57" s="3"/>
      <c r="H57" s="2"/>
      <c r="I57" s="3"/>
      <c r="J57" s="2"/>
      <c r="K57" s="3"/>
      <c r="L57" s="2"/>
      <c r="M57" s="3"/>
      <c r="N57" s="2"/>
      <c r="O57" s="3"/>
      <c r="P57" s="2">
        <v>0</v>
      </c>
      <c r="Q57" s="3"/>
      <c r="R57" s="2">
        <v>0</v>
      </c>
    </row>
    <row r="58" spans="1:18" s="15" customFormat="1" outlineLevel="1" collapsed="1" x14ac:dyDescent="0.35">
      <c r="A58" s="7"/>
      <c r="B58" s="20" t="str">
        <f>CONCATENATE("     ","Advertising/Promo                                 ")</f>
        <v xml:space="preserve">     Advertising/Promo                                 </v>
      </c>
      <c r="C58" s="7"/>
      <c r="D58" s="1">
        <f>SUM(OSRRefD21_2x_0)</f>
        <v>27399.11</v>
      </c>
      <c r="E58" s="19"/>
      <c r="F58" s="1">
        <f>SUM(OSRRefF21_2x_0)</f>
        <v>28812.26</v>
      </c>
      <c r="G58" s="4"/>
      <c r="H58" s="1">
        <f>SUM(OSRRefH21_2x_0)</f>
        <v>25942.02</v>
      </c>
      <c r="I58" s="4"/>
      <c r="J58" s="1">
        <f>SUM(OSRRefJ21_2x_0)</f>
        <v>41649.79</v>
      </c>
      <c r="K58" s="4"/>
      <c r="L58" s="1">
        <f>SUM(OSRRefL21_2x_0)</f>
        <v>41508.949999999997</v>
      </c>
      <c r="M58" s="4"/>
      <c r="N58" s="1">
        <f>SUM(OSRRefN21_2x_0)</f>
        <v>28503.73</v>
      </c>
      <c r="O58" s="4"/>
      <c r="P58" s="1">
        <f>SUM(OSRRefP21_2x_0)</f>
        <v>6479</v>
      </c>
      <c r="Q58" s="4"/>
      <c r="R58" s="1">
        <f>SUM(OSRRefR21_2x_0)</f>
        <v>0</v>
      </c>
    </row>
    <row r="59" spans="1:18" s="16" customFormat="1" hidden="1" outlineLevel="2" x14ac:dyDescent="0.35">
      <c r="B59" s="11" t="str">
        <f>CONCATENATE("          ", "6362", " - ", "ADVERTISING EXPENSE")</f>
        <v xml:space="preserve">          6362 - ADVERTISING EXPENSE</v>
      </c>
      <c r="D59" s="2">
        <v>27399.11</v>
      </c>
      <c r="F59" s="2">
        <v>28812.26</v>
      </c>
      <c r="G59" s="3"/>
      <c r="H59" s="2">
        <v>25942.02</v>
      </c>
      <c r="I59" s="3"/>
      <c r="J59" s="2">
        <v>41649.79</v>
      </c>
      <c r="K59" s="3"/>
      <c r="L59" s="2">
        <v>41508.949999999997</v>
      </c>
      <c r="M59" s="3"/>
      <c r="N59" s="2">
        <v>28503.73</v>
      </c>
      <c r="O59" s="3"/>
      <c r="P59" s="2">
        <v>6479</v>
      </c>
      <c r="Q59" s="3"/>
      <c r="R59" s="2"/>
    </row>
    <row r="60" spans="1:18" s="15" customFormat="1" outlineLevel="1" collapsed="1" x14ac:dyDescent="0.35">
      <c r="A60" s="7"/>
      <c r="B60" s="20" t="str">
        <f>CONCATENATE("     ","Bad Debts/Over/Short                              ")</f>
        <v xml:space="preserve">     Bad Debts/Over/Short                              </v>
      </c>
      <c r="C60" s="7"/>
      <c r="D60" s="1">
        <f>SUM(OSRRefD21_3x_0)</f>
        <v>-193.28999999999996</v>
      </c>
      <c r="E60" s="19"/>
      <c r="F60" s="1">
        <f>SUM(OSRRefF21_3x_0)</f>
        <v>-1036.8800000000001</v>
      </c>
      <c r="G60" s="4"/>
      <c r="H60" s="1">
        <f>SUM(OSRRefH21_3x_0)</f>
        <v>7421.1900000000005</v>
      </c>
      <c r="I60" s="4"/>
      <c r="J60" s="1">
        <f>SUM(OSRRefJ21_3x_0)</f>
        <v>704.38</v>
      </c>
      <c r="K60" s="4"/>
      <c r="L60" s="1">
        <f>SUM(OSRRefL21_3x_0)</f>
        <v>8198.16</v>
      </c>
      <c r="M60" s="4"/>
      <c r="N60" s="1">
        <f>SUM(OSRRefN21_3x_0)</f>
        <v>-260.64999999999998</v>
      </c>
      <c r="O60" s="4"/>
      <c r="P60" s="1">
        <f>SUM(OSRRefP21_3x_0)</f>
        <v>90</v>
      </c>
      <c r="Q60" s="4"/>
      <c r="R60" s="1">
        <f>SUM(OSRRefR21_3x_0)</f>
        <v>80</v>
      </c>
    </row>
    <row r="61" spans="1:18" s="16" customFormat="1" hidden="1" outlineLevel="2" x14ac:dyDescent="0.35">
      <c r="B61" s="11" t="str">
        <f>CONCATENATE("          ", "6272", " - ", "CASH (OVER/SHORT)")</f>
        <v xml:space="preserve">          6272 - CASH (OVER/SHORT)</v>
      </c>
      <c r="D61" s="2">
        <v>1631.22</v>
      </c>
      <c r="F61" s="2">
        <v>-1036.8800000000001</v>
      </c>
      <c r="G61" s="3"/>
      <c r="H61" s="2">
        <v>1806.19</v>
      </c>
      <c r="I61" s="3"/>
      <c r="J61" s="2">
        <v>704.38</v>
      </c>
      <c r="K61" s="3"/>
      <c r="L61" s="2">
        <v>8198.16</v>
      </c>
      <c r="M61" s="3"/>
      <c r="N61" s="2">
        <v>-260.64999999999998</v>
      </c>
      <c r="O61" s="3"/>
      <c r="P61" s="2">
        <v>90</v>
      </c>
      <c r="Q61" s="3"/>
      <c r="R61" s="2">
        <v>80</v>
      </c>
    </row>
    <row r="62" spans="1:18" s="16" customFormat="1" hidden="1" outlineLevel="2" x14ac:dyDescent="0.35">
      <c r="B62" s="11" t="str">
        <f>CONCATENATE("          ", "6342", " - ", "BAD DEBT")</f>
        <v xml:space="preserve">          6342 - BAD DEBT</v>
      </c>
      <c r="D62" s="2">
        <v>-1824.51</v>
      </c>
      <c r="F62" s="2"/>
      <c r="G62" s="3"/>
      <c r="H62" s="2">
        <v>5615</v>
      </c>
      <c r="I62" s="3"/>
      <c r="J62" s="2"/>
      <c r="K62" s="3"/>
      <c r="L62" s="2"/>
      <c r="M62" s="3"/>
      <c r="N62" s="2"/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","Bank/card Fees                                    ")</f>
        <v xml:space="preserve">     Bank/card Fees                                    </v>
      </c>
      <c r="C63" s="7"/>
      <c r="D63" s="1">
        <f>SUM(OSRRefD21_4x_0)</f>
        <v>165598.45000000001</v>
      </c>
      <c r="E63" s="19"/>
      <c r="F63" s="1">
        <f>SUM(OSRRefF21_4x_0)</f>
        <v>165073.15</v>
      </c>
      <c r="G63" s="4"/>
      <c r="H63" s="1">
        <f>SUM(OSRRefH21_4x_0)</f>
        <v>208635.82</v>
      </c>
      <c r="I63" s="4"/>
      <c r="J63" s="1">
        <f>SUM(OSRRefJ21_4x_0)</f>
        <v>222002.68</v>
      </c>
      <c r="K63" s="4"/>
      <c r="L63" s="1">
        <f>SUM(OSRRefL21_4x_0)</f>
        <v>221991.89</v>
      </c>
      <c r="M63" s="4"/>
      <c r="N63" s="1">
        <f>SUM(OSRRefN21_4x_0)</f>
        <v>149623.62</v>
      </c>
      <c r="O63" s="4"/>
      <c r="P63" s="1">
        <f>SUM(OSRRefP21_4x_0)</f>
        <v>28242</v>
      </c>
      <c r="Q63" s="4"/>
      <c r="R63" s="1">
        <f>SUM(OSRRefR21_4x_0)</f>
        <v>101453</v>
      </c>
    </row>
    <row r="64" spans="1:18" s="16" customFormat="1" hidden="1" outlineLevel="2" x14ac:dyDescent="0.35">
      <c r="B64" s="11" t="str">
        <f>CONCATENATE("          ", "6381", " - ", "BANK/CREDIT CARD FEES")</f>
        <v xml:space="preserve">          6381 - BANK/CREDIT CARD FEES</v>
      </c>
      <c r="D64" s="2">
        <v>165598.45000000001</v>
      </c>
      <c r="F64" s="2">
        <v>165073.15</v>
      </c>
      <c r="G64" s="3"/>
      <c r="H64" s="2">
        <v>208635.82</v>
      </c>
      <c r="I64" s="3"/>
      <c r="J64" s="2">
        <v>222002.68</v>
      </c>
      <c r="K64" s="3"/>
      <c r="L64" s="2">
        <v>221991.89</v>
      </c>
      <c r="M64" s="3"/>
      <c r="N64" s="2">
        <v>149623.62</v>
      </c>
      <c r="O64" s="3"/>
      <c r="P64" s="2">
        <v>28242</v>
      </c>
      <c r="Q64" s="3"/>
      <c r="R64" s="2">
        <v>101453</v>
      </c>
    </row>
    <row r="65" spans="1:18" s="15" customFormat="1" outlineLevel="1" collapsed="1" x14ac:dyDescent="0.35">
      <c r="A65" s="7"/>
      <c r="B65" s="20" t="str">
        <f>CONCATENATE("     ","Depreciation                                      ")</f>
        <v xml:space="preserve">     Depreciation                                      </v>
      </c>
      <c r="C65" s="7"/>
      <c r="D65" s="1">
        <f>SUM(OSRRefD21_5x_0)</f>
        <v>516087.42</v>
      </c>
      <c r="E65" s="19"/>
      <c r="F65" s="1">
        <f>SUM(OSRRefF21_5x_0)</f>
        <v>562713.30000000005</v>
      </c>
      <c r="G65" s="4"/>
      <c r="H65" s="1">
        <f>SUM(OSRRefH21_5x_0)</f>
        <v>535006.05000000005</v>
      </c>
      <c r="I65" s="4"/>
      <c r="J65" s="1">
        <f>SUM(OSRRefJ21_5x_0)</f>
        <v>470238.74</v>
      </c>
      <c r="K65" s="4"/>
      <c r="L65" s="1">
        <f>SUM(OSRRefL21_5x_0)</f>
        <v>475304.19999999995</v>
      </c>
      <c r="M65" s="4"/>
      <c r="N65" s="1">
        <f>SUM(OSRRefN21_5x_0)</f>
        <v>477347.9</v>
      </c>
      <c r="O65" s="4"/>
      <c r="P65" s="1">
        <f>SUM(OSRRefP21_5x_0)</f>
        <v>453068</v>
      </c>
      <c r="Q65" s="4"/>
      <c r="R65" s="1">
        <f>SUM(OSRRefR21_5x_0)</f>
        <v>391184</v>
      </c>
    </row>
    <row r="66" spans="1:18" s="16" customFormat="1" hidden="1" outlineLevel="2" x14ac:dyDescent="0.35">
      <c r="B66" s="11" t="str">
        <f>CONCATENATE("          ", "6321", " - ", "BUILDING DEPRECIATION")</f>
        <v xml:space="preserve">          6321 - BUILDING DEPRECIATION</v>
      </c>
      <c r="D66" s="2">
        <v>423407.71</v>
      </c>
      <c r="F66" s="2">
        <v>415638.28</v>
      </c>
      <c r="G66" s="3"/>
      <c r="H66" s="2">
        <v>395920</v>
      </c>
      <c r="I66" s="3"/>
      <c r="J66" s="2">
        <v>328686.74</v>
      </c>
      <c r="K66" s="3"/>
      <c r="L66" s="2">
        <v>303462.94</v>
      </c>
      <c r="M66" s="3"/>
      <c r="N66" s="2">
        <v>288500.45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"6322", " - ", "EQUIPMENT DEPRECIATION EXPENSE")</f>
        <v xml:space="preserve">          6322 - EQUIPMENT DEPRECIATION EXPENSE</v>
      </c>
      <c r="D67" s="2">
        <v>91621.78</v>
      </c>
      <c r="F67" s="2">
        <v>141774.6</v>
      </c>
      <c r="G67" s="3"/>
      <c r="H67" s="2">
        <v>133820.65</v>
      </c>
      <c r="I67" s="3"/>
      <c r="J67" s="2">
        <v>136461.01</v>
      </c>
      <c r="K67" s="3"/>
      <c r="L67" s="2">
        <v>166750.26999999999</v>
      </c>
      <c r="M67" s="3"/>
      <c r="N67" s="2">
        <v>184604.97</v>
      </c>
      <c r="O67" s="3"/>
      <c r="P67" s="2">
        <v>446468</v>
      </c>
      <c r="Q67" s="3"/>
      <c r="R67" s="2">
        <v>391184</v>
      </c>
    </row>
    <row r="68" spans="1:18" s="16" customFormat="1" hidden="1" outlineLevel="2" x14ac:dyDescent="0.35">
      <c r="B68" s="11" t="str">
        <f>CONCATENATE("          ", "6324", " - ", "FURNITURE + FIXT DEPRECIATION")</f>
        <v xml:space="preserve">          6324 - FURNITURE + FIXT DEPRECIATION</v>
      </c>
      <c r="D68" s="2">
        <v>209.43</v>
      </c>
      <c r="F68" s="2">
        <v>209.43</v>
      </c>
      <c r="G68" s="3"/>
      <c r="H68" s="2">
        <v>174.41</v>
      </c>
      <c r="I68" s="3"/>
      <c r="J68" s="2"/>
      <c r="K68" s="3"/>
      <c r="L68" s="2"/>
      <c r="M68" s="3"/>
      <c r="N68" s="2"/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"6326", " - ", "VEHICLES DEPRECIATION EXPENSE")</f>
        <v xml:space="preserve">          6326 - VEHICLES DEPRECIATION EXPENSE</v>
      </c>
      <c r="D69" s="2">
        <v>848.5</v>
      </c>
      <c r="F69" s="2">
        <v>5090.99</v>
      </c>
      <c r="G69" s="3"/>
      <c r="H69" s="2">
        <v>5090.99</v>
      </c>
      <c r="I69" s="3"/>
      <c r="J69" s="2">
        <v>5090.99</v>
      </c>
      <c r="K69" s="3"/>
      <c r="L69" s="2">
        <v>5090.99</v>
      </c>
      <c r="M69" s="3"/>
      <c r="N69" s="2">
        <v>4242.4799999999996</v>
      </c>
      <c r="O69" s="3"/>
      <c r="P69" s="2">
        <v>6600</v>
      </c>
      <c r="Q69" s="3"/>
      <c r="R69" s="2"/>
    </row>
    <row r="70" spans="1:18" s="15" customFormat="1" outlineLevel="1" collapsed="1" x14ac:dyDescent="0.35">
      <c r="A70" s="7"/>
      <c r="B70" s="20" t="str">
        <f>CONCATENATE("     ","Discounts and Markdowns                           ")</f>
        <v xml:space="preserve">     Discounts and Markdowns                           </v>
      </c>
      <c r="C70" s="7"/>
      <c r="D70" s="1">
        <f>SUM(OSRRefD21_6x_0)</f>
        <v>-26.8</v>
      </c>
      <c r="E70" s="19"/>
      <c r="F70" s="1">
        <f>SUM(OSRRefF21_6x_0)</f>
        <v>-112.7</v>
      </c>
      <c r="G70" s="4"/>
      <c r="H70" s="1">
        <f>SUM(OSRRefH21_6x_0)</f>
        <v>9.26</v>
      </c>
      <c r="I70" s="4"/>
      <c r="J70" s="1">
        <f>SUM(OSRRefJ21_6x_0)</f>
        <v>-1313.76</v>
      </c>
      <c r="K70" s="4"/>
      <c r="L70" s="1">
        <f>SUM(OSRRefL21_6x_0)</f>
        <v>0</v>
      </c>
      <c r="M70" s="4"/>
      <c r="N70" s="1">
        <f>SUM(OSRRefN21_6x_0)</f>
        <v>0.09</v>
      </c>
      <c r="O70" s="4"/>
      <c r="P70" s="1">
        <f>SUM(OSRRefP21_6x_0)</f>
        <v>0</v>
      </c>
      <c r="Q70" s="4"/>
      <c r="R70" s="1">
        <f>SUM(OSRRefR21_6x_0)</f>
        <v>0</v>
      </c>
    </row>
    <row r="71" spans="1:18" s="16" customFormat="1" hidden="1" outlineLevel="2" x14ac:dyDescent="0.35">
      <c r="B71" s="11" t="str">
        <f>CONCATENATE("          ", "6382", " - ", "DISCOUNTS/MARK DOWNS")</f>
        <v xml:space="preserve">          6382 - DISCOUNTS/MARK DOWNS</v>
      </c>
      <c r="D71" s="2"/>
      <c r="F71" s="2"/>
      <c r="G71" s="3"/>
      <c r="H71" s="2"/>
      <c r="I71" s="3"/>
      <c r="J71" s="2"/>
      <c r="K71" s="3"/>
      <c r="L71" s="2"/>
      <c r="M71" s="3"/>
      <c r="N71" s="2">
        <v>0.09</v>
      </c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"9175", " - ", "EARNED DISCOUNTS")</f>
        <v xml:space="preserve">          9175 - EARNED DISCOUNTS</v>
      </c>
      <c r="D72" s="2">
        <v>-26.8</v>
      </c>
      <c r="F72" s="2">
        <v>-112.7</v>
      </c>
      <c r="G72" s="3"/>
      <c r="H72" s="2">
        <v>9.26</v>
      </c>
      <c r="I72" s="3"/>
      <c r="J72" s="2">
        <v>-1313.76</v>
      </c>
      <c r="K72" s="3"/>
      <c r="L72" s="2"/>
      <c r="M72" s="3"/>
      <c r="N72" s="2"/>
      <c r="O72" s="3"/>
      <c r="P72" s="2"/>
      <c r="Q72" s="3"/>
      <c r="R72" s="2"/>
    </row>
    <row r="73" spans="1:18" s="15" customFormat="1" outlineLevel="1" collapsed="1" x14ac:dyDescent="0.35">
      <c r="A73" s="7"/>
      <c r="B73" s="20" t="str">
        <f>CONCATENATE("     ","Donations                                         ")</f>
        <v xml:space="preserve">     Donations                                         </v>
      </c>
      <c r="C73" s="7"/>
      <c r="D73" s="1">
        <f>SUM(OSRRefD21_7x_0)</f>
        <v>434.4</v>
      </c>
      <c r="E73" s="19"/>
      <c r="F73" s="1">
        <f>SUM(OSRRefF21_7x_0)</f>
        <v>1020.25</v>
      </c>
      <c r="G73" s="4"/>
      <c r="H73" s="1">
        <f>SUM(OSRRefH21_7x_0)</f>
        <v>374.17</v>
      </c>
      <c r="I73" s="4"/>
      <c r="J73" s="1">
        <f>SUM(OSRRefJ21_7x_0)</f>
        <v>596.65</v>
      </c>
      <c r="K73" s="4"/>
      <c r="L73" s="1">
        <f>SUM(OSRRefL21_7x_0)</f>
        <v>1038.48</v>
      </c>
      <c r="M73" s="4"/>
      <c r="N73" s="1">
        <f>SUM(OSRRefN21_7x_0)</f>
        <v>236.68</v>
      </c>
      <c r="O73" s="4"/>
      <c r="P73" s="1">
        <f>SUM(OSRRefP21_7x_0)</f>
        <v>0</v>
      </c>
      <c r="Q73" s="4"/>
      <c r="R73" s="1">
        <f>SUM(OSRRefR21_7x_0)</f>
        <v>0</v>
      </c>
    </row>
    <row r="74" spans="1:18" s="16" customFormat="1" hidden="1" outlineLevel="2" x14ac:dyDescent="0.35">
      <c r="B74" s="11" t="str">
        <f>CONCATENATE("          ", "6399", " - ", "DONATION-ON CAMPUS")</f>
        <v xml:space="preserve">          6399 - DONATION-ON CAMPUS</v>
      </c>
      <c r="D74" s="2">
        <v>434.4</v>
      </c>
      <c r="F74" s="2">
        <v>1020.25</v>
      </c>
      <c r="G74" s="3"/>
      <c r="H74" s="2">
        <v>374.17</v>
      </c>
      <c r="I74" s="3"/>
      <c r="J74" s="2">
        <v>596.65</v>
      </c>
      <c r="K74" s="3"/>
      <c r="L74" s="2">
        <v>1038.48</v>
      </c>
      <c r="M74" s="3"/>
      <c r="N74" s="2">
        <v>236.68</v>
      </c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","Employees' Appreciation                           ")</f>
        <v xml:space="preserve">     Employees' Appreciation                           </v>
      </c>
      <c r="C75" s="7"/>
      <c r="D75" s="1">
        <f>SUM(OSRRefD21_8x_0)</f>
        <v>1311.05</v>
      </c>
      <c r="E75" s="19"/>
      <c r="F75" s="1">
        <f>SUM(OSRRefF21_8x_0)</f>
        <v>1786.93</v>
      </c>
      <c r="G75" s="4"/>
      <c r="H75" s="1">
        <f>SUM(OSRRefH21_8x_0)</f>
        <v>1669.43</v>
      </c>
      <c r="I75" s="4"/>
      <c r="J75" s="1">
        <f>SUM(OSRRefJ21_8x_0)</f>
        <v>3286.65</v>
      </c>
      <c r="K75" s="4"/>
      <c r="L75" s="1">
        <f>SUM(OSRRefL21_8x_0)</f>
        <v>4653.0200000000004</v>
      </c>
      <c r="M75" s="4"/>
      <c r="N75" s="1">
        <f>SUM(OSRRefN21_8x_0)</f>
        <v>1672.81</v>
      </c>
      <c r="O75" s="4"/>
      <c r="P75" s="1">
        <f>SUM(OSRRefP21_8x_0)</f>
        <v>200</v>
      </c>
      <c r="Q75" s="4"/>
      <c r="R75" s="1">
        <f>SUM(OSRRefR21_8x_0)</f>
        <v>380</v>
      </c>
    </row>
    <row r="76" spans="1:18" s="16" customFormat="1" hidden="1" outlineLevel="2" x14ac:dyDescent="0.35">
      <c r="B76" s="11" t="str">
        <f>CONCATENATE("          ", "6277", " - ", "EMPLOYEE APPRECIATION")</f>
        <v xml:space="preserve">          6277 - EMPLOYEE APPRECIATION</v>
      </c>
      <c r="D76" s="2">
        <v>1311.05</v>
      </c>
      <c r="F76" s="2">
        <v>1786.93</v>
      </c>
      <c r="G76" s="3"/>
      <c r="H76" s="2">
        <v>1669.43</v>
      </c>
      <c r="I76" s="3"/>
      <c r="J76" s="2">
        <v>3286.65</v>
      </c>
      <c r="K76" s="3"/>
      <c r="L76" s="2">
        <v>4653.0200000000004</v>
      </c>
      <c r="M76" s="3"/>
      <c r="N76" s="2">
        <v>1672.81</v>
      </c>
      <c r="O76" s="3"/>
      <c r="P76" s="2">
        <v>200</v>
      </c>
      <c r="Q76" s="3"/>
      <c r="R76" s="2">
        <v>380</v>
      </c>
    </row>
    <row r="77" spans="1:18" s="15" customFormat="1" outlineLevel="1" collapsed="1" x14ac:dyDescent="0.35">
      <c r="A77" s="7"/>
      <c r="B77" s="20" t="str">
        <f>CONCATENATE("     ","Equipment Rental                                  ")</f>
        <v xml:space="preserve">     Equipment Rental                                  </v>
      </c>
      <c r="C77" s="7"/>
      <c r="D77" s="1">
        <f>SUM(OSRRefD21_9x_0)</f>
        <v>19922.099999999999</v>
      </c>
      <c r="E77" s="19"/>
      <c r="F77" s="1">
        <f>SUM(OSRRefF21_9x_0)</f>
        <v>22362.49</v>
      </c>
      <c r="G77" s="4"/>
      <c r="H77" s="1">
        <f>SUM(OSRRefH21_9x_0)</f>
        <v>19550.54</v>
      </c>
      <c r="I77" s="4"/>
      <c r="J77" s="1">
        <f>SUM(OSRRefJ21_9x_0)</f>
        <v>26091.43</v>
      </c>
      <c r="K77" s="4"/>
      <c r="L77" s="1">
        <f>SUM(OSRRefL21_9x_0)</f>
        <v>21453.759999999998</v>
      </c>
      <c r="M77" s="4"/>
      <c r="N77" s="1">
        <f>SUM(OSRRefN21_9x_0)</f>
        <v>28337.55</v>
      </c>
      <c r="O77" s="4"/>
      <c r="P77" s="1">
        <f>SUM(OSRRefP21_9x_0)</f>
        <v>3945</v>
      </c>
      <c r="Q77" s="4"/>
      <c r="R77" s="1">
        <f>SUM(OSRRefR21_9x_0)</f>
        <v>9300</v>
      </c>
    </row>
    <row r="78" spans="1:18" s="16" customFormat="1" hidden="1" outlineLevel="2" x14ac:dyDescent="0.35">
      <c r="B78" s="11" t="str">
        <f>CONCATENATE("          ", "6351", " - ", "EQUIPMENT RENTAL")</f>
        <v xml:space="preserve">          6351 - EQUIPMENT RENTAL</v>
      </c>
      <c r="D78" s="2">
        <v>19922.099999999999</v>
      </c>
      <c r="F78" s="2">
        <v>22362.49</v>
      </c>
      <c r="G78" s="3"/>
      <c r="H78" s="2">
        <v>19550.54</v>
      </c>
      <c r="I78" s="3"/>
      <c r="J78" s="2">
        <v>26091.43</v>
      </c>
      <c r="K78" s="3"/>
      <c r="L78" s="2">
        <v>21453.759999999998</v>
      </c>
      <c r="M78" s="3"/>
      <c r="N78" s="2">
        <v>28337.55</v>
      </c>
      <c r="O78" s="3"/>
      <c r="P78" s="2">
        <v>3945</v>
      </c>
      <c r="Q78" s="3"/>
      <c r="R78" s="2">
        <v>9300</v>
      </c>
    </row>
    <row r="79" spans="1:18" s="15" customFormat="1" outlineLevel="1" collapsed="1" x14ac:dyDescent="0.35">
      <c r="A79" s="7"/>
      <c r="B79" s="20" t="str">
        <f>CONCATENATE("     ","Freight out/Postage                               ")</f>
        <v xml:space="preserve">     Freight out/Postage                               </v>
      </c>
      <c r="C79" s="7"/>
      <c r="D79" s="1">
        <f>SUM(OSRRefD21_10x_0)</f>
        <v>0</v>
      </c>
      <c r="E79" s="19"/>
      <c r="F79" s="1">
        <f>SUM(OSRRefF21_10x_0)</f>
        <v>59.91</v>
      </c>
      <c r="G79" s="4"/>
      <c r="H79" s="1">
        <f>SUM(OSRRefH21_10x_0)</f>
        <v>0</v>
      </c>
      <c r="I79" s="4"/>
      <c r="J79" s="1">
        <f>SUM(OSRRefJ21_10x_0)</f>
        <v>10.8</v>
      </c>
      <c r="K79" s="4"/>
      <c r="L79" s="1">
        <f>SUM(OSRRefL21_10x_0)</f>
        <v>44.01</v>
      </c>
      <c r="M79" s="4"/>
      <c r="N79" s="1">
        <f>SUM(OSRRefN21_10x_0)</f>
        <v>0.57999999999999996</v>
      </c>
      <c r="O79" s="4"/>
      <c r="P79" s="1">
        <f>SUM(OSRRefP21_10x_0)</f>
        <v>0</v>
      </c>
      <c r="Q79" s="4"/>
      <c r="R79" s="1">
        <f>SUM(OSRRefR21_10x_0)</f>
        <v>0</v>
      </c>
    </row>
    <row r="80" spans="1:18" s="16" customFormat="1" hidden="1" outlineLevel="2" x14ac:dyDescent="0.35">
      <c r="B80" s="11" t="str">
        <f>CONCATENATE("          ", "6307", " - ", "POSTAGE")</f>
        <v xml:space="preserve">          6307 - POSTAGE</v>
      </c>
      <c r="D80" s="2"/>
      <c r="F80" s="2">
        <v>59.91</v>
      </c>
      <c r="G80" s="3"/>
      <c r="H80" s="2"/>
      <c r="I80" s="3"/>
      <c r="J80" s="2">
        <v>10.8</v>
      </c>
      <c r="K80" s="3"/>
      <c r="L80" s="2">
        <v>44.01</v>
      </c>
      <c r="M80" s="3"/>
      <c r="N80" s="2">
        <v>0.57999999999999996</v>
      </c>
      <c r="O80" s="3"/>
      <c r="P80" s="2"/>
      <c r="Q80" s="3"/>
      <c r="R80" s="2"/>
    </row>
    <row r="81" spans="1:18" s="15" customFormat="1" outlineLevel="1" collapsed="1" x14ac:dyDescent="0.35">
      <c r="A81" s="7"/>
      <c r="B81" s="20" t="str">
        <f>CONCATENATE("     ","General                                           ")</f>
        <v xml:space="preserve">     General                                           </v>
      </c>
      <c r="C81" s="7"/>
      <c r="D81" s="1">
        <f>SUM(OSRRefD21_11x_0)</f>
        <v>51882.31</v>
      </c>
      <c r="E81" s="19"/>
      <c r="F81" s="1">
        <f>SUM(OSRRefF21_11x_0)</f>
        <v>100474.94</v>
      </c>
      <c r="G81" s="4"/>
      <c r="H81" s="1">
        <f>SUM(OSRRefH21_11x_0)</f>
        <v>49704.1</v>
      </c>
      <c r="I81" s="4"/>
      <c r="J81" s="1">
        <f>SUM(OSRRefJ21_11x_0)</f>
        <v>81468.649999999994</v>
      </c>
      <c r="K81" s="4"/>
      <c r="L81" s="1">
        <f>SUM(OSRRefL21_11x_0)</f>
        <v>61443.56</v>
      </c>
      <c r="M81" s="4"/>
      <c r="N81" s="1">
        <f>SUM(OSRRefN21_11x_0)</f>
        <v>88161.41</v>
      </c>
      <c r="O81" s="4"/>
      <c r="P81" s="1">
        <f>SUM(OSRRefP21_11x_0)</f>
        <v>6610</v>
      </c>
      <c r="Q81" s="4"/>
      <c r="R81" s="1">
        <f>SUM(OSRRefR21_11x_0)</f>
        <v>5690</v>
      </c>
    </row>
    <row r="82" spans="1:18" s="16" customFormat="1" hidden="1" outlineLevel="2" x14ac:dyDescent="0.35">
      <c r="B82" s="11" t="str">
        <f>CONCATENATE("          ", "6269", " - ", "ENTERTAINMENT")</f>
        <v xml:space="preserve">          6269 - ENTERTAINMENT</v>
      </c>
      <c r="D82" s="2">
        <v>1884.79</v>
      </c>
      <c r="F82" s="2">
        <v>2513.13</v>
      </c>
      <c r="G82" s="3"/>
      <c r="H82" s="2">
        <v>2661.68</v>
      </c>
      <c r="I82" s="3"/>
      <c r="J82" s="2">
        <v>6380</v>
      </c>
      <c r="K82" s="3"/>
      <c r="L82" s="2">
        <v>10824.27</v>
      </c>
      <c r="M82" s="3"/>
      <c r="N82" s="2">
        <v>10050</v>
      </c>
      <c r="O82" s="3"/>
      <c r="P82" s="2"/>
      <c r="Q82" s="3"/>
      <c r="R82" s="2">
        <v>500</v>
      </c>
    </row>
    <row r="83" spans="1:18" s="16" customFormat="1" hidden="1" outlineLevel="2" x14ac:dyDescent="0.35">
      <c r="B83" s="11" t="str">
        <f>CONCATENATE("          ", "6279", " - ", "GENERAL EXPENSE")</f>
        <v xml:space="preserve">          6279 - GENERAL EXPENSE</v>
      </c>
      <c r="D83" s="2">
        <v>49997.52</v>
      </c>
      <c r="F83" s="2">
        <v>97961.81</v>
      </c>
      <c r="G83" s="3"/>
      <c r="H83" s="2">
        <v>47042.42</v>
      </c>
      <c r="I83" s="3"/>
      <c r="J83" s="2">
        <v>75088.649999999994</v>
      </c>
      <c r="K83" s="3"/>
      <c r="L83" s="2">
        <v>50619.29</v>
      </c>
      <c r="M83" s="3"/>
      <c r="N83" s="2">
        <v>78111.41</v>
      </c>
      <c r="O83" s="3"/>
      <c r="P83" s="2">
        <v>6610</v>
      </c>
      <c r="Q83" s="3"/>
      <c r="R83" s="2">
        <v>5190</v>
      </c>
    </row>
    <row r="84" spans="1:18" s="15" customFormat="1" outlineLevel="1" collapsed="1" x14ac:dyDescent="0.35">
      <c r="A84" s="7"/>
      <c r="B84" s="20" t="str">
        <f>CONCATENATE("     ","Insurance                                         ")</f>
        <v xml:space="preserve">     Insurance                                         </v>
      </c>
      <c r="C84" s="7"/>
      <c r="D84" s="1">
        <f>SUM(OSRRefD21_12x_0)</f>
        <v>41155.980000000003</v>
      </c>
      <c r="E84" s="19"/>
      <c r="F84" s="1">
        <f>SUM(OSRRefF21_12x_0)</f>
        <v>48489.8</v>
      </c>
      <c r="G84" s="4"/>
      <c r="H84" s="1">
        <f>SUM(OSRRefH21_12x_0)</f>
        <v>42829.29</v>
      </c>
      <c r="I84" s="4"/>
      <c r="J84" s="1">
        <f>SUM(OSRRefJ21_12x_0)</f>
        <v>46875.83</v>
      </c>
      <c r="K84" s="4"/>
      <c r="L84" s="1">
        <f>SUM(OSRRefL21_12x_0)</f>
        <v>45402.85</v>
      </c>
      <c r="M84" s="4"/>
      <c r="N84" s="1">
        <f>SUM(OSRRefN21_12x_0)</f>
        <v>56642.559999999998</v>
      </c>
      <c r="O84" s="4"/>
      <c r="P84" s="1">
        <f>SUM(OSRRefP21_12x_0)</f>
        <v>54780</v>
      </c>
      <c r="Q84" s="4"/>
      <c r="R84" s="1">
        <f>SUM(OSRRefR21_12x_0)</f>
        <v>68040</v>
      </c>
    </row>
    <row r="85" spans="1:18" s="16" customFormat="1" hidden="1" outlineLevel="2" x14ac:dyDescent="0.35">
      <c r="B85" s="11" t="str">
        <f>CONCATENATE("          ", "6314", " - ", "LIABILITY INSURANCE")</f>
        <v xml:space="preserve">          6314 - LIABILITY INSURANCE</v>
      </c>
      <c r="D85" s="2">
        <v>41155.980000000003</v>
      </c>
      <c r="F85" s="2">
        <v>48489.8</v>
      </c>
      <c r="G85" s="3"/>
      <c r="H85" s="2">
        <v>42829.29</v>
      </c>
      <c r="I85" s="3"/>
      <c r="J85" s="2">
        <v>46875.83</v>
      </c>
      <c r="K85" s="3"/>
      <c r="L85" s="2">
        <v>45402.85</v>
      </c>
      <c r="M85" s="3"/>
      <c r="N85" s="2">
        <v>56642.559999999998</v>
      </c>
      <c r="O85" s="3"/>
      <c r="P85" s="2">
        <v>54780</v>
      </c>
      <c r="Q85" s="3"/>
      <c r="R85" s="2">
        <v>68040</v>
      </c>
    </row>
    <row r="86" spans="1:18" s="15" customFormat="1" outlineLevel="1" collapsed="1" x14ac:dyDescent="0.35">
      <c r="A86" s="7"/>
      <c r="B86" s="20" t="str">
        <f>CONCATENATE("     ","Interest                                          ")</f>
        <v xml:space="preserve">     Interest                                          </v>
      </c>
      <c r="C86" s="7"/>
      <c r="D86" s="1">
        <f>SUM(OSRRefD21_13x_0)</f>
        <v>118860.89</v>
      </c>
      <c r="E86" s="19"/>
      <c r="F86" s="1">
        <f>SUM(OSRRefF21_13x_0)</f>
        <v>110653.33</v>
      </c>
      <c r="G86" s="4"/>
      <c r="H86" s="1">
        <f>SUM(OSRRefH21_13x_0)</f>
        <v>90889.8</v>
      </c>
      <c r="I86" s="4"/>
      <c r="J86" s="1">
        <f>SUM(OSRRefJ21_13x_0)</f>
        <v>86827.28</v>
      </c>
      <c r="K86" s="4"/>
      <c r="L86" s="1">
        <f>SUM(OSRRefL21_13x_0)</f>
        <v>85492.9</v>
      </c>
      <c r="M86" s="4"/>
      <c r="N86" s="1">
        <f>SUM(OSRRefN21_13x_0)</f>
        <v>82378.58</v>
      </c>
      <c r="O86" s="4"/>
      <c r="P86" s="1">
        <f>SUM(OSRRefP21_13x_0)</f>
        <v>89606</v>
      </c>
      <c r="Q86" s="4"/>
      <c r="R86" s="1">
        <f>SUM(OSRRefR21_13x_0)</f>
        <v>86494</v>
      </c>
    </row>
    <row r="87" spans="1:18" s="16" customFormat="1" hidden="1" outlineLevel="2" x14ac:dyDescent="0.35">
      <c r="B87" s="11" t="str">
        <f>CONCATENATE("          ", "6401", " - ", "INTEREST EXPENSE")</f>
        <v xml:space="preserve">          6401 - INTEREST EXPENSE</v>
      </c>
      <c r="D87" s="2">
        <v>118860.89</v>
      </c>
      <c r="F87" s="2">
        <v>110653.33</v>
      </c>
      <c r="G87" s="3"/>
      <c r="H87" s="2">
        <v>90889.8</v>
      </c>
      <c r="I87" s="3"/>
      <c r="J87" s="2">
        <v>86827.28</v>
      </c>
      <c r="K87" s="3"/>
      <c r="L87" s="2">
        <v>85492.9</v>
      </c>
      <c r="M87" s="3"/>
      <c r="N87" s="2">
        <v>82378.58</v>
      </c>
      <c r="O87" s="3"/>
      <c r="P87" s="2">
        <v>89606</v>
      </c>
      <c r="Q87" s="3"/>
      <c r="R87" s="2">
        <v>86494</v>
      </c>
    </row>
    <row r="88" spans="1:18" s="15" customFormat="1" outlineLevel="1" collapsed="1" x14ac:dyDescent="0.35">
      <c r="A88" s="7"/>
      <c r="B88" s="20" t="str">
        <f>CONCATENATE("     ","Professional Services                             ")</f>
        <v xml:space="preserve">     Professional Services                             </v>
      </c>
      <c r="C88" s="7"/>
      <c r="D88" s="1">
        <f>SUM(OSRRefD21_14x_0)</f>
        <v>0</v>
      </c>
      <c r="E88" s="19"/>
      <c r="F88" s="1">
        <f>SUM(OSRRefF21_14x_0)</f>
        <v>0</v>
      </c>
      <c r="G88" s="4"/>
      <c r="H88" s="1">
        <f>SUM(OSRRefH21_14x_0)</f>
        <v>300</v>
      </c>
      <c r="I88" s="4"/>
      <c r="J88" s="1">
        <f>SUM(OSRRefJ21_14x_0)</f>
        <v>0</v>
      </c>
      <c r="K88" s="4"/>
      <c r="L88" s="1">
        <f>SUM(OSRRefL21_14x_0)</f>
        <v>0</v>
      </c>
      <c r="M88" s="4"/>
      <c r="N88" s="1">
        <f>SUM(OSRRefN21_14x_0)</f>
        <v>125</v>
      </c>
      <c r="O88" s="4"/>
      <c r="P88" s="1">
        <f>SUM(OSRRefP21_14x_0)</f>
        <v>0</v>
      </c>
      <c r="Q88" s="4"/>
      <c r="R88" s="1">
        <f>SUM(OSRRefR21_14x_0)</f>
        <v>0</v>
      </c>
    </row>
    <row r="89" spans="1:18" s="16" customFormat="1" hidden="1" outlineLevel="2" x14ac:dyDescent="0.35">
      <c r="B89" s="11" t="str">
        <f>CONCATENATE("          ", "6336", " - ", "PROFESSIONAL SERVICES")</f>
        <v xml:space="preserve">          6336 - PROFESSIONAL SERVICES</v>
      </c>
      <c r="D89" s="2"/>
      <c r="F89" s="2"/>
      <c r="G89" s="3"/>
      <c r="H89" s="2">
        <v>300</v>
      </c>
      <c r="I89" s="3"/>
      <c r="J89" s="2"/>
      <c r="K89" s="3"/>
      <c r="L89" s="2"/>
      <c r="M89" s="3"/>
      <c r="N89" s="2">
        <v>125</v>
      </c>
      <c r="O89" s="3"/>
      <c r="P89" s="2"/>
      <c r="Q89" s="3"/>
      <c r="R89" s="2"/>
    </row>
    <row r="90" spans="1:18" s="15" customFormat="1" outlineLevel="1" collapsed="1" x14ac:dyDescent="0.35">
      <c r="A90" s="7"/>
      <c r="B90" s="20" t="str">
        <f>CONCATENATE("     ","R/H Commissions                                   ")</f>
        <v xml:space="preserve">     R/H Commissions                                   </v>
      </c>
      <c r="C90" s="7"/>
      <c r="D90" s="1">
        <f>SUM(OSRRefD21_15x_0)</f>
        <v>0</v>
      </c>
      <c r="E90" s="19"/>
      <c r="F90" s="1">
        <f>SUM(OSRRefF21_15x_0)</f>
        <v>0</v>
      </c>
      <c r="G90" s="4"/>
      <c r="H90" s="1">
        <f>SUM(OSRRefH21_15x_0)</f>
        <v>0</v>
      </c>
      <c r="I90" s="4"/>
      <c r="J90" s="1">
        <f>SUM(OSRRefJ21_15x_0)</f>
        <v>0</v>
      </c>
      <c r="K90" s="4"/>
      <c r="L90" s="1">
        <f>SUM(OSRRefL21_15x_0)</f>
        <v>0</v>
      </c>
      <c r="M90" s="4"/>
      <c r="N90" s="1">
        <f>SUM(OSRRefN21_15x_0)</f>
        <v>0</v>
      </c>
      <c r="O90" s="4"/>
      <c r="P90" s="1">
        <f>SUM(OSRRefP21_15x_0)</f>
        <v>2000</v>
      </c>
      <c r="Q90" s="4"/>
      <c r="R90" s="1">
        <f>SUM(OSRRefR21_15x_0)</f>
        <v>0</v>
      </c>
    </row>
    <row r="91" spans="1:18" s="16" customFormat="1" hidden="1" outlineLevel="2" x14ac:dyDescent="0.35">
      <c r="B91" s="11" t="str">
        <f>CONCATENATE("          ", "6387", " - ", "COMMISSION DUE HOUSING")</f>
        <v xml:space="preserve">          6387 - COMMISSION DUE HOUSING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2000</v>
      </c>
      <c r="Q91" s="3"/>
      <c r="R91" s="2"/>
    </row>
    <row r="92" spans="1:18" s="15" customFormat="1" outlineLevel="1" collapsed="1" x14ac:dyDescent="0.35">
      <c r="A92" s="7"/>
      <c r="B92" s="20" t="str">
        <f>CONCATENATE("     ","Rent                                              ")</f>
        <v xml:space="preserve">     Rent                                              </v>
      </c>
      <c r="C92" s="7"/>
      <c r="D92" s="1">
        <f>SUM(OSRRefD21_16x_0)</f>
        <v>12000</v>
      </c>
      <c r="E92" s="19"/>
      <c r="F92" s="1">
        <f>SUM(OSRRefF21_16x_0)</f>
        <v>12000</v>
      </c>
      <c r="G92" s="4"/>
      <c r="H92" s="1">
        <f>SUM(OSRRefH21_16x_0)</f>
        <v>14500</v>
      </c>
      <c r="I92" s="4"/>
      <c r="J92" s="1">
        <f>SUM(OSRRefJ21_16x_0)</f>
        <v>12000</v>
      </c>
      <c r="K92" s="4"/>
      <c r="L92" s="1">
        <f>SUM(OSRRefL21_16x_0)</f>
        <v>22200</v>
      </c>
      <c r="M92" s="4"/>
      <c r="N92" s="1">
        <f>SUM(OSRRefN21_16x_0)</f>
        <v>22200</v>
      </c>
      <c r="O92" s="4"/>
      <c r="P92" s="1">
        <f>SUM(OSRRefP21_16x_0)</f>
        <v>23316</v>
      </c>
      <c r="Q92" s="4"/>
      <c r="R92" s="1">
        <f>SUM(OSRRefR21_16x_0)</f>
        <v>22200</v>
      </c>
    </row>
    <row r="93" spans="1:18" s="16" customFormat="1" hidden="1" outlineLevel="2" x14ac:dyDescent="0.35">
      <c r="B93" s="11" t="str">
        <f>CONCATENATE("          ", "6273", " - ", "RENT")</f>
        <v xml:space="preserve">          6273 - RENT</v>
      </c>
      <c r="D93" s="2">
        <v>12000</v>
      </c>
      <c r="F93" s="2">
        <v>12000</v>
      </c>
      <c r="G93" s="3"/>
      <c r="H93" s="2">
        <v>14500</v>
      </c>
      <c r="I93" s="3"/>
      <c r="J93" s="2">
        <v>12000</v>
      </c>
      <c r="K93" s="3"/>
      <c r="L93" s="2">
        <v>22200</v>
      </c>
      <c r="M93" s="3"/>
      <c r="N93" s="2">
        <v>22200</v>
      </c>
      <c r="O93" s="3"/>
      <c r="P93" s="2">
        <v>23316</v>
      </c>
      <c r="Q93" s="3"/>
      <c r="R93" s="2">
        <v>22200</v>
      </c>
    </row>
    <row r="94" spans="1:18" s="15" customFormat="1" outlineLevel="1" collapsed="1" x14ac:dyDescent="0.35">
      <c r="A94" s="7"/>
      <c r="B94" s="20" t="str">
        <f>CONCATENATE("     ","Repair and Maintenance                            ")</f>
        <v xml:space="preserve">     Repair and Maintenance                            </v>
      </c>
      <c r="C94" s="7"/>
      <c r="D94" s="1">
        <f>SUM(OSRRefD21_17x_0)</f>
        <v>280010.74</v>
      </c>
      <c r="E94" s="19"/>
      <c r="F94" s="1">
        <f>SUM(OSRRefF21_17x_0)</f>
        <v>247327.09999999998</v>
      </c>
      <c r="G94" s="4"/>
      <c r="H94" s="1">
        <f>SUM(OSRRefH21_17x_0)</f>
        <v>247475.06999999998</v>
      </c>
      <c r="I94" s="4"/>
      <c r="J94" s="1">
        <f>SUM(OSRRefJ21_17x_0)</f>
        <v>252365.08000000002</v>
      </c>
      <c r="K94" s="4"/>
      <c r="L94" s="1">
        <f>SUM(OSRRefL21_17x_0)</f>
        <v>319544.03999999998</v>
      </c>
      <c r="M94" s="4"/>
      <c r="N94" s="1">
        <f>SUM(OSRRefN21_17x_0)</f>
        <v>234062.56</v>
      </c>
      <c r="O94" s="4"/>
      <c r="P94" s="1">
        <f>SUM(OSRRefP21_17x_0)</f>
        <v>24063</v>
      </c>
      <c r="Q94" s="4"/>
      <c r="R94" s="1">
        <f>SUM(OSRRefR21_17x_0)</f>
        <v>52822</v>
      </c>
    </row>
    <row r="95" spans="1:18" s="16" customFormat="1" hidden="1" outlineLevel="2" x14ac:dyDescent="0.35">
      <c r="B95" s="11" t="str">
        <f>CONCATENATE("          ", "6371", " - ", "COMPUTER SOFTWARE MAINTENANCE")</f>
        <v xml:space="preserve">          6371 - COMPUTER SOFTWARE MAINTENANCE</v>
      </c>
      <c r="D95" s="2">
        <v>34148.81</v>
      </c>
      <c r="F95" s="2">
        <v>38029.35</v>
      </c>
      <c r="G95" s="3"/>
      <c r="H95" s="2">
        <v>52008.42</v>
      </c>
      <c r="I95" s="3"/>
      <c r="J95" s="2">
        <v>49340.65</v>
      </c>
      <c r="K95" s="3"/>
      <c r="L95" s="2">
        <v>30582.34</v>
      </c>
      <c r="M95" s="3"/>
      <c r="N95" s="2">
        <v>10932.69</v>
      </c>
      <c r="O95" s="3"/>
      <c r="P95" s="2">
        <v>0</v>
      </c>
      <c r="Q95" s="3"/>
      <c r="R95" s="2"/>
    </row>
    <row r="96" spans="1:18" s="16" customFormat="1" hidden="1" outlineLevel="2" x14ac:dyDescent="0.35">
      <c r="B96" s="11" t="str">
        <f>CONCATENATE("          ", "6372", " - ", "COMPUTER HARDWARE MAINTENANCE")</f>
        <v xml:space="preserve">          6372 - COMPUTER HARDWARE MAINTENANCE</v>
      </c>
      <c r="D96" s="2"/>
      <c r="F96" s="2"/>
      <c r="G96" s="3"/>
      <c r="H96" s="2"/>
      <c r="I96" s="3"/>
      <c r="J96" s="2">
        <v>1027.96</v>
      </c>
      <c r="K96" s="3"/>
      <c r="L96" s="2">
        <v>880.96</v>
      </c>
      <c r="M96" s="3"/>
      <c r="N96" s="2">
        <v>8142.87</v>
      </c>
      <c r="O96" s="3"/>
      <c r="P96" s="2">
        <v>0</v>
      </c>
      <c r="Q96" s="3"/>
      <c r="R96" s="2">
        <v>8000</v>
      </c>
    </row>
    <row r="97" spans="1:18" s="16" customFormat="1" hidden="1" outlineLevel="2" x14ac:dyDescent="0.35">
      <c r="B97" s="11" t="str">
        <f>CONCATENATE("          ", "6373", " - ", "MAINTENANCE CONTRACTS")</f>
        <v xml:space="preserve">          6373 - MAINTENANCE CONTRACTS</v>
      </c>
      <c r="D97" s="2">
        <v>95001.13</v>
      </c>
      <c r="F97" s="2">
        <v>92154.73</v>
      </c>
      <c r="G97" s="3"/>
      <c r="H97" s="2">
        <v>81564.5</v>
      </c>
      <c r="I97" s="3"/>
      <c r="J97" s="2">
        <v>95239.360000000001</v>
      </c>
      <c r="K97" s="3"/>
      <c r="L97" s="2">
        <v>126736.87</v>
      </c>
      <c r="M97" s="3"/>
      <c r="N97" s="2">
        <v>100948.53</v>
      </c>
      <c r="O97" s="3"/>
      <c r="P97" s="2">
        <v>3769</v>
      </c>
      <c r="Q97" s="3"/>
      <c r="R97" s="2">
        <v>5645</v>
      </c>
    </row>
    <row r="98" spans="1:18" s="16" customFormat="1" hidden="1" outlineLevel="2" x14ac:dyDescent="0.35">
      <c r="B98" s="11" t="str">
        <f>CONCATENATE("          ", "6375", " - ", "OUTSIDE REPAIRS &amp; MAINTENANCE")</f>
        <v xml:space="preserve">          6375 - OUTSIDE REPAIRS &amp; MAINTENANCE</v>
      </c>
      <c r="D98" s="2">
        <v>150860.79999999999</v>
      </c>
      <c r="F98" s="2">
        <v>117143.02</v>
      </c>
      <c r="G98" s="3"/>
      <c r="H98" s="2">
        <v>113902.15</v>
      </c>
      <c r="I98" s="3"/>
      <c r="J98" s="2">
        <v>106757.11</v>
      </c>
      <c r="K98" s="3"/>
      <c r="L98" s="2">
        <v>161343.87</v>
      </c>
      <c r="M98" s="3"/>
      <c r="N98" s="2">
        <v>114038.47</v>
      </c>
      <c r="O98" s="3"/>
      <c r="P98" s="2">
        <v>20294</v>
      </c>
      <c r="Q98" s="3"/>
      <c r="R98" s="2">
        <v>39177</v>
      </c>
    </row>
    <row r="99" spans="1:18" s="15" customFormat="1" outlineLevel="1" collapsed="1" x14ac:dyDescent="0.35">
      <c r="A99" s="7"/>
      <c r="B99" s="20" t="str">
        <f>CONCATENATE("     ","Royalty &amp; Commissions                             ")</f>
        <v xml:space="preserve">     Royalty &amp; Commissions                             </v>
      </c>
      <c r="C99" s="7"/>
      <c r="D99" s="1">
        <f>SUM(OSRRefD21_18x_0)</f>
        <v>304270.89</v>
      </c>
      <c r="E99" s="19"/>
      <c r="F99" s="1">
        <f>SUM(OSRRefF21_18x_0)</f>
        <v>374798.08999999997</v>
      </c>
      <c r="G99" s="4"/>
      <c r="H99" s="1">
        <f>SUM(OSRRefH21_18x_0)</f>
        <v>377501.65</v>
      </c>
      <c r="I99" s="4"/>
      <c r="J99" s="1">
        <f>SUM(OSRRefJ21_18x_0)</f>
        <v>493517.35</v>
      </c>
      <c r="K99" s="4"/>
      <c r="L99" s="1">
        <f>SUM(OSRRefL21_18x_0)</f>
        <v>446474.05</v>
      </c>
      <c r="M99" s="4"/>
      <c r="N99" s="1">
        <f>SUM(OSRRefN21_18x_0)</f>
        <v>233763.47</v>
      </c>
      <c r="O99" s="4"/>
      <c r="P99" s="1">
        <f>SUM(OSRRefP21_18x_0)</f>
        <v>0</v>
      </c>
      <c r="Q99" s="4"/>
      <c r="R99" s="1">
        <f>SUM(OSRRefR21_18x_0)</f>
        <v>0</v>
      </c>
    </row>
    <row r="100" spans="1:18" s="16" customFormat="1" hidden="1" outlineLevel="2" x14ac:dyDescent="0.35">
      <c r="B100" s="11" t="str">
        <f>CONCATENATE("          ", "6254", " - ", "ROYALTY &amp; COMMISSIONS")</f>
        <v xml:space="preserve">          6254 - ROYALTY &amp; COMMISSIONS</v>
      </c>
      <c r="D100" s="2">
        <v>172559.45</v>
      </c>
      <c r="F100" s="2">
        <v>229721.21</v>
      </c>
      <c r="G100" s="3"/>
      <c r="H100" s="2">
        <v>214795.33</v>
      </c>
      <c r="I100" s="3"/>
      <c r="J100" s="2">
        <v>345159.19</v>
      </c>
      <c r="K100" s="3"/>
      <c r="L100" s="2">
        <v>305470.61</v>
      </c>
      <c r="M100" s="3"/>
      <c r="N100" s="2">
        <v>129093.51</v>
      </c>
      <c r="O100" s="3"/>
      <c r="P100" s="2">
        <v>0</v>
      </c>
      <c r="Q100" s="3"/>
      <c r="R100" s="2"/>
    </row>
    <row r="101" spans="1:18" s="16" customFormat="1" hidden="1" outlineLevel="2" x14ac:dyDescent="0.35">
      <c r="B101" s="11" t="str">
        <f>CONCATENATE("          ", "6259", " - ", "ROYALTY &amp; COMMISSIONS")</f>
        <v xml:space="preserve">          6259 - ROYALTY &amp; COMMISSIONS</v>
      </c>
      <c r="D101" s="2">
        <v>131711.44</v>
      </c>
      <c r="F101" s="2">
        <v>145076.88</v>
      </c>
      <c r="G101" s="3"/>
      <c r="H101" s="2">
        <v>162706.32</v>
      </c>
      <c r="I101" s="3"/>
      <c r="J101" s="2">
        <v>148358.16</v>
      </c>
      <c r="K101" s="3"/>
      <c r="L101" s="2">
        <v>141003.44</v>
      </c>
      <c r="M101" s="3"/>
      <c r="N101" s="2">
        <v>104669.96</v>
      </c>
      <c r="O101" s="3"/>
      <c r="P101" s="2">
        <v>0</v>
      </c>
      <c r="Q101" s="3"/>
      <c r="R101" s="2"/>
    </row>
    <row r="102" spans="1:18" s="15" customFormat="1" outlineLevel="1" collapsed="1" x14ac:dyDescent="0.35">
      <c r="A102" s="7"/>
      <c r="B102" s="20" t="str">
        <f>CONCATENATE("     ","Services                                          ")</f>
        <v xml:space="preserve">     Services                                          </v>
      </c>
      <c r="C102" s="7"/>
      <c r="D102" s="1">
        <f>SUM(OSRRefD21_19x_0)</f>
        <v>230838.13</v>
      </c>
      <c r="E102" s="19"/>
      <c r="F102" s="1">
        <f>SUM(OSRRefF21_19x_0)</f>
        <v>251583.97</v>
      </c>
      <c r="G102" s="4"/>
      <c r="H102" s="1">
        <f>SUM(OSRRefH21_19x_0)</f>
        <v>264684.96999999997</v>
      </c>
      <c r="I102" s="4"/>
      <c r="J102" s="1">
        <f>SUM(OSRRefJ21_19x_0)</f>
        <v>263347.82</v>
      </c>
      <c r="K102" s="4"/>
      <c r="L102" s="1">
        <f>SUM(OSRRefL21_19x_0)</f>
        <v>277968.99</v>
      </c>
      <c r="M102" s="4"/>
      <c r="N102" s="1">
        <f>SUM(OSRRefN21_19x_0)</f>
        <v>239690.97999999998</v>
      </c>
      <c r="O102" s="4"/>
      <c r="P102" s="1">
        <f>SUM(OSRRefP21_19x_0)</f>
        <v>87092</v>
      </c>
      <c r="Q102" s="4"/>
      <c r="R102" s="1">
        <f>SUM(OSRRefR21_19x_0)</f>
        <v>129247</v>
      </c>
    </row>
    <row r="103" spans="1:18" s="16" customFormat="1" hidden="1" outlineLevel="2" x14ac:dyDescent="0.35">
      <c r="B103" s="11" t="str">
        <f>CONCATENATE("          ", "6282", " - ", "JANITORIAL/EXTERMINATOR EXPENS")</f>
        <v xml:space="preserve">          6282 - JANITORIAL/EXTERMINATOR EXPENS</v>
      </c>
      <c r="D103" s="2">
        <v>12920.73</v>
      </c>
      <c r="F103" s="2">
        <v>14504.48</v>
      </c>
      <c r="G103" s="3"/>
      <c r="H103" s="2">
        <v>13485.51</v>
      </c>
      <c r="I103" s="3"/>
      <c r="J103" s="2">
        <v>15326.3</v>
      </c>
      <c r="K103" s="3"/>
      <c r="L103" s="2">
        <v>14009.35</v>
      </c>
      <c r="M103" s="3"/>
      <c r="N103" s="2">
        <v>14588.34</v>
      </c>
      <c r="O103" s="3"/>
      <c r="P103" s="2">
        <v>12604</v>
      </c>
      <c r="Q103" s="3"/>
      <c r="R103" s="2">
        <v>13436</v>
      </c>
    </row>
    <row r="104" spans="1:18" s="16" customFormat="1" hidden="1" outlineLevel="2" x14ac:dyDescent="0.35">
      <c r="B104" s="11" t="str">
        <f>CONCATENATE("          ", "6283", " - ", "PLANT SERVICE")</f>
        <v xml:space="preserve">          6283 - PLANT SERVICE</v>
      </c>
      <c r="D104" s="2">
        <v>2624</v>
      </c>
      <c r="F104" s="2">
        <v>1752</v>
      </c>
      <c r="G104" s="3"/>
      <c r="H104" s="2">
        <v>2488.9899999999998</v>
      </c>
      <c r="I104" s="3"/>
      <c r="J104" s="2">
        <v>1936</v>
      </c>
      <c r="K104" s="3"/>
      <c r="L104" s="2">
        <v>2135.7800000000002</v>
      </c>
      <c r="M104" s="3"/>
      <c r="N104" s="2">
        <v>1798.02</v>
      </c>
      <c r="O104" s="3"/>
      <c r="P104" s="2">
        <v>310</v>
      </c>
      <c r="Q104" s="3"/>
      <c r="R104" s="2">
        <v>1200</v>
      </c>
    </row>
    <row r="105" spans="1:18" s="16" customFormat="1" hidden="1" outlineLevel="2" x14ac:dyDescent="0.35">
      <c r="B105" s="11" t="str">
        <f>CONCATENATE("          ", "6284", " - ", "TRASH REMOVAL EXPENSE")</f>
        <v xml:space="preserve">          6284 - TRASH REMOVAL EXPENSE</v>
      </c>
      <c r="D105" s="2">
        <v>35736.1</v>
      </c>
      <c r="F105" s="2">
        <v>45151.77</v>
      </c>
      <c r="G105" s="3"/>
      <c r="H105" s="2">
        <v>43041.72</v>
      </c>
      <c r="I105" s="3"/>
      <c r="J105" s="2">
        <v>51470.93</v>
      </c>
      <c r="K105" s="3"/>
      <c r="L105" s="2">
        <v>59177.27</v>
      </c>
      <c r="M105" s="3"/>
      <c r="N105" s="2">
        <v>62179</v>
      </c>
      <c r="O105" s="3"/>
      <c r="P105" s="2">
        <v>36163</v>
      </c>
      <c r="Q105" s="3"/>
      <c r="R105" s="2">
        <v>12000</v>
      </c>
    </row>
    <row r="106" spans="1:18" s="16" customFormat="1" hidden="1" outlineLevel="2" x14ac:dyDescent="0.35">
      <c r="B106" s="11" t="str">
        <f>CONCATENATE("          ", "6285", " - ", "JANITORIAL SERVICES")</f>
        <v xml:space="preserve">          6285 - JANITORIAL SERVICES</v>
      </c>
      <c r="D106" s="2">
        <v>123676.8</v>
      </c>
      <c r="F106" s="2">
        <v>131409.68</v>
      </c>
      <c r="G106" s="3"/>
      <c r="H106" s="2">
        <v>141290.09</v>
      </c>
      <c r="I106" s="3"/>
      <c r="J106" s="2">
        <v>144560.46</v>
      </c>
      <c r="K106" s="3"/>
      <c r="L106" s="2">
        <v>158084.85</v>
      </c>
      <c r="M106" s="3"/>
      <c r="N106" s="2">
        <v>134115.01</v>
      </c>
      <c r="O106" s="3"/>
      <c r="P106" s="2">
        <v>38015</v>
      </c>
      <c r="Q106" s="3"/>
      <c r="R106" s="2">
        <v>95255</v>
      </c>
    </row>
    <row r="107" spans="1:18" s="16" customFormat="1" hidden="1" outlineLevel="2" x14ac:dyDescent="0.35">
      <c r="B107" s="11" t="str">
        <f>CONCATENATE("          ", "6286", " - ", "LAUNDRY EXPENSE")</f>
        <v xml:space="preserve">          6286 - LAUNDRY EXPENSE</v>
      </c>
      <c r="D107" s="2">
        <v>55880.5</v>
      </c>
      <c r="F107" s="2">
        <v>58766.04</v>
      </c>
      <c r="G107" s="3"/>
      <c r="H107" s="2">
        <v>64378.66</v>
      </c>
      <c r="I107" s="3"/>
      <c r="J107" s="2">
        <v>50054.13</v>
      </c>
      <c r="K107" s="3"/>
      <c r="L107" s="2">
        <v>44561.74</v>
      </c>
      <c r="M107" s="3"/>
      <c r="N107" s="2">
        <v>27010.61</v>
      </c>
      <c r="O107" s="3"/>
      <c r="P107" s="2">
        <v>0</v>
      </c>
      <c r="Q107" s="3"/>
      <c r="R107" s="2">
        <v>7356</v>
      </c>
    </row>
    <row r="108" spans="1:18" s="15" customFormat="1" outlineLevel="1" collapsed="1" x14ac:dyDescent="0.35">
      <c r="A108" s="7"/>
      <c r="B108" s="20" t="str">
        <f>CONCATENATE("     ","Subscriptions &amp; Dues                              ")</f>
        <v xml:space="preserve">     Subscriptions &amp; Dues                              </v>
      </c>
      <c r="C108" s="7"/>
      <c r="D108" s="1">
        <f>SUM(OSRRefD21_20x_0)</f>
        <v>6216.96</v>
      </c>
      <c r="E108" s="19"/>
      <c r="F108" s="1">
        <f>SUM(OSRRefF21_20x_0)</f>
        <v>9716.25</v>
      </c>
      <c r="G108" s="4"/>
      <c r="H108" s="1">
        <f>SUM(OSRRefH21_20x_0)</f>
        <v>5140.9399999999996</v>
      </c>
      <c r="I108" s="4"/>
      <c r="J108" s="1">
        <f>SUM(OSRRefJ21_20x_0)</f>
        <v>11768.99</v>
      </c>
      <c r="K108" s="4"/>
      <c r="L108" s="1">
        <f>SUM(OSRRefL21_20x_0)</f>
        <v>7666.05</v>
      </c>
      <c r="M108" s="4"/>
      <c r="N108" s="1">
        <f>SUM(OSRRefN21_20x_0)</f>
        <v>7300.55</v>
      </c>
      <c r="O108" s="4"/>
      <c r="P108" s="1">
        <f>SUM(OSRRefP21_20x_0)</f>
        <v>3281</v>
      </c>
      <c r="Q108" s="4"/>
      <c r="R108" s="1">
        <f>SUM(OSRRefR21_20x_0)</f>
        <v>7090</v>
      </c>
    </row>
    <row r="109" spans="1:18" s="16" customFormat="1" hidden="1" outlineLevel="2" x14ac:dyDescent="0.35">
      <c r="B109" s="11" t="str">
        <f>CONCATENATE("          ", "6258", " - ", "MEMBERSHIP DUES")</f>
        <v xml:space="preserve">          6258 - MEMBERSHIP DUES</v>
      </c>
      <c r="D109" s="2">
        <v>700</v>
      </c>
      <c r="F109" s="2">
        <v>255</v>
      </c>
      <c r="G109" s="3"/>
      <c r="H109" s="2">
        <v>600</v>
      </c>
      <c r="I109" s="3"/>
      <c r="J109" s="2">
        <v>1264.02</v>
      </c>
      <c r="K109" s="3"/>
      <c r="L109" s="2"/>
      <c r="M109" s="3"/>
      <c r="N109" s="2">
        <v>3730</v>
      </c>
      <c r="O109" s="3"/>
      <c r="P109" s="2">
        <v>900</v>
      </c>
      <c r="Q109" s="3"/>
      <c r="R109" s="2"/>
    </row>
    <row r="110" spans="1:18" s="16" customFormat="1" hidden="1" outlineLevel="2" x14ac:dyDescent="0.35">
      <c r="B110" s="11" t="str">
        <f>CONCATENATE("          ", "6275", " - ", "SUBSCRIPTIONS")</f>
        <v xml:space="preserve">          6275 - SUBSCRIPTIONS</v>
      </c>
      <c r="D110" s="2">
        <v>5516.96</v>
      </c>
      <c r="F110" s="2">
        <v>9461.25</v>
      </c>
      <c r="G110" s="3"/>
      <c r="H110" s="2">
        <v>4540.9399999999996</v>
      </c>
      <c r="I110" s="3"/>
      <c r="J110" s="2">
        <v>10504.97</v>
      </c>
      <c r="K110" s="3"/>
      <c r="L110" s="2">
        <v>7666.05</v>
      </c>
      <c r="M110" s="3"/>
      <c r="N110" s="2">
        <v>3570.55</v>
      </c>
      <c r="O110" s="3"/>
      <c r="P110" s="2">
        <v>2381</v>
      </c>
      <c r="Q110" s="3"/>
      <c r="R110" s="2">
        <v>7090</v>
      </c>
    </row>
    <row r="111" spans="1:18" s="15" customFormat="1" outlineLevel="1" collapsed="1" x14ac:dyDescent="0.35">
      <c r="A111" s="7"/>
      <c r="B111" s="20" t="str">
        <f>CONCATENATE("     ","Supplies                                          ")</f>
        <v xml:space="preserve">     Supplies                                          </v>
      </c>
      <c r="C111" s="7"/>
      <c r="D111" s="1">
        <f>SUM(OSRRefD21_21x_0)</f>
        <v>223483.77</v>
      </c>
      <c r="E111" s="19"/>
      <c r="F111" s="1">
        <f>SUM(OSRRefF21_21x_0)</f>
        <v>210225.46000000002</v>
      </c>
      <c r="G111" s="4"/>
      <c r="H111" s="1">
        <f>SUM(OSRRefH21_21x_0)</f>
        <v>233388.17</v>
      </c>
      <c r="I111" s="4"/>
      <c r="J111" s="1">
        <f>SUM(OSRRefJ21_21x_0)</f>
        <v>237707.93</v>
      </c>
      <c r="K111" s="4"/>
      <c r="L111" s="1">
        <f>SUM(OSRRefL21_21x_0)</f>
        <v>235149.54</v>
      </c>
      <c r="M111" s="4"/>
      <c r="N111" s="1">
        <f>SUM(OSRRefN21_21x_0)</f>
        <v>169157.28</v>
      </c>
      <c r="O111" s="4"/>
      <c r="P111" s="1">
        <f>SUM(OSRRefP21_21x_0)</f>
        <v>24125</v>
      </c>
      <c r="Q111" s="4"/>
      <c r="R111" s="1">
        <f>SUM(OSRRefR21_21x_0)</f>
        <v>30873</v>
      </c>
    </row>
    <row r="112" spans="1:18" s="16" customFormat="1" hidden="1" outlineLevel="2" x14ac:dyDescent="0.35">
      <c r="B112" s="11" t="str">
        <f>CONCATENATE("          ", "6234", " - ", "EXPENDABLE SUPPLIES &amp; EQUIPMEN")</f>
        <v xml:space="preserve">          6234 - EXPENDABLE SUPPLIES &amp; EQUIPMEN</v>
      </c>
      <c r="D112" s="2">
        <v>11164.03</v>
      </c>
      <c r="F112" s="2">
        <v>4474.4399999999996</v>
      </c>
      <c r="G112" s="3"/>
      <c r="H112" s="2">
        <v>11508.31</v>
      </c>
      <c r="I112" s="3"/>
      <c r="J112" s="2">
        <v>10154.209999999999</v>
      </c>
      <c r="K112" s="3"/>
      <c r="L112" s="2">
        <v>8466.75</v>
      </c>
      <c r="M112" s="3"/>
      <c r="N112" s="2">
        <v>15735.29</v>
      </c>
      <c r="O112" s="3"/>
      <c r="P112" s="2">
        <v>1076</v>
      </c>
      <c r="Q112" s="3"/>
      <c r="R112" s="2"/>
    </row>
    <row r="113" spans="1:18" s="16" customFormat="1" hidden="1" outlineLevel="2" x14ac:dyDescent="0.35">
      <c r="B113" s="11" t="str">
        <f>CONCATENATE("          ", "6235", " - ", "COVID-19 EXPENSES")</f>
        <v xml:space="preserve">          6235 - COVID-19 EXPENSES</v>
      </c>
      <c r="D113" s="2"/>
      <c r="F113" s="2"/>
      <c r="G113" s="3"/>
      <c r="H113" s="2"/>
      <c r="I113" s="3"/>
      <c r="J113" s="2"/>
      <c r="K113" s="3"/>
      <c r="L113" s="2"/>
      <c r="M113" s="3"/>
      <c r="N113" s="2">
        <v>1095.08</v>
      </c>
      <c r="O113" s="3"/>
      <c r="P113" s="2">
        <v>0</v>
      </c>
      <c r="Q113" s="3"/>
      <c r="R113" s="2">
        <v>3225</v>
      </c>
    </row>
    <row r="114" spans="1:18" s="16" customFormat="1" hidden="1" outlineLevel="2" x14ac:dyDescent="0.35">
      <c r="B114" s="11" t="str">
        <f>CONCATENATE("          ", "6237", " - ", "JANITORIAL SUPPLIES")</f>
        <v xml:space="preserve">          6237 - JANITORIAL SUPPLIES</v>
      </c>
      <c r="D114" s="2">
        <v>38091.620000000003</v>
      </c>
      <c r="F114" s="2">
        <v>46625.89</v>
      </c>
      <c r="G114" s="3"/>
      <c r="H114" s="2">
        <v>53164.69</v>
      </c>
      <c r="I114" s="3"/>
      <c r="J114" s="2">
        <v>51655.38</v>
      </c>
      <c r="K114" s="3"/>
      <c r="L114" s="2">
        <v>56153.93</v>
      </c>
      <c r="M114" s="3"/>
      <c r="N114" s="2">
        <v>48480.7</v>
      </c>
      <c r="O114" s="3"/>
      <c r="P114" s="2">
        <v>9899</v>
      </c>
      <c r="Q114" s="3"/>
      <c r="R114" s="2">
        <v>4128</v>
      </c>
    </row>
    <row r="115" spans="1:18" s="16" customFormat="1" hidden="1" outlineLevel="2" x14ac:dyDescent="0.35">
      <c r="B115" s="11" t="str">
        <f>CONCATENATE("          ", "6239", " - ", "KITCHEN SUPPLIES")</f>
        <v xml:space="preserve">          6239 - KITCHEN SUPPLIES</v>
      </c>
      <c r="D115" s="2">
        <v>22512.26</v>
      </c>
      <c r="F115" s="2">
        <v>32842.019999999997</v>
      </c>
      <c r="G115" s="3"/>
      <c r="H115" s="2">
        <v>52529.36</v>
      </c>
      <c r="I115" s="3"/>
      <c r="J115" s="2">
        <v>37862.9</v>
      </c>
      <c r="K115" s="3"/>
      <c r="L115" s="2">
        <v>73338.33</v>
      </c>
      <c r="M115" s="3"/>
      <c r="N115" s="2">
        <v>45525.63</v>
      </c>
      <c r="O115" s="3"/>
      <c r="P115" s="2">
        <v>543</v>
      </c>
      <c r="Q115" s="3"/>
      <c r="R115" s="2">
        <v>5349</v>
      </c>
    </row>
    <row r="116" spans="1:18" s="16" customFormat="1" hidden="1" outlineLevel="2" x14ac:dyDescent="0.35">
      <c r="B116" s="11" t="str">
        <f>CONCATENATE("          ", "6241", " - ", "OFFICE EXPENSE")</f>
        <v xml:space="preserve">          6241 - OFFICE EXPENSE</v>
      </c>
      <c r="D116" s="2">
        <v>16145.7</v>
      </c>
      <c r="F116" s="2">
        <v>19000.3</v>
      </c>
      <c r="G116" s="3"/>
      <c r="H116" s="2">
        <v>29113.34</v>
      </c>
      <c r="I116" s="3"/>
      <c r="J116" s="2">
        <v>35170.5</v>
      </c>
      <c r="K116" s="3"/>
      <c r="L116" s="2">
        <v>29428.57</v>
      </c>
      <c r="M116" s="3"/>
      <c r="N116" s="2">
        <v>16924.57</v>
      </c>
      <c r="O116" s="3"/>
      <c r="P116" s="2">
        <v>5862</v>
      </c>
      <c r="Q116" s="3"/>
      <c r="R116" s="2">
        <v>3227</v>
      </c>
    </row>
    <row r="117" spans="1:18" s="16" customFormat="1" hidden="1" outlineLevel="2" x14ac:dyDescent="0.35">
      <c r="B117" s="11" t="str">
        <f>CONCATENATE("          ", "6243", " - ", "PAPER SUPPLIES")</f>
        <v xml:space="preserve">          6243 - PAPER SUPPLIES</v>
      </c>
      <c r="D117" s="2">
        <v>66109.13</v>
      </c>
      <c r="F117" s="2">
        <v>68069.960000000006</v>
      </c>
      <c r="G117" s="3"/>
      <c r="H117" s="2">
        <v>74561.119999999995</v>
      </c>
      <c r="I117" s="3"/>
      <c r="J117" s="2">
        <v>75209.75</v>
      </c>
      <c r="K117" s="3"/>
      <c r="L117" s="2">
        <v>48956.68</v>
      </c>
      <c r="M117" s="3"/>
      <c r="N117" s="2">
        <v>29152.85</v>
      </c>
      <c r="O117" s="3"/>
      <c r="P117" s="2">
        <v>6319</v>
      </c>
      <c r="Q117" s="3"/>
      <c r="R117" s="2">
        <v>8533</v>
      </c>
    </row>
    <row r="118" spans="1:18" s="16" customFormat="1" hidden="1" outlineLevel="2" x14ac:dyDescent="0.35">
      <c r="B118" s="11" t="str">
        <f>CONCATENATE("          ", "6244", " - ", "SAFETY SUPPLY EXPENSE")</f>
        <v xml:space="preserve">          6244 - SAFETY SUPPLY EXPENSE</v>
      </c>
      <c r="D118" s="2"/>
      <c r="F118" s="2"/>
      <c r="G118" s="3"/>
      <c r="H118" s="2"/>
      <c r="I118" s="3"/>
      <c r="J118" s="2"/>
      <c r="K118" s="3"/>
      <c r="L118" s="2"/>
      <c r="M118" s="3"/>
      <c r="N118" s="2"/>
      <c r="O118" s="3"/>
      <c r="P118" s="2">
        <v>0</v>
      </c>
      <c r="Q118" s="3"/>
      <c r="R118" s="2">
        <v>150</v>
      </c>
    </row>
    <row r="119" spans="1:18" s="16" customFormat="1" hidden="1" outlineLevel="2" x14ac:dyDescent="0.35">
      <c r="B119" s="11" t="str">
        <f>CONCATENATE("          ", "6245", " - ", "PRINTING")</f>
        <v xml:space="preserve">          6245 - PRINTING</v>
      </c>
      <c r="D119" s="2">
        <v>299.92</v>
      </c>
      <c r="F119" s="2">
        <v>1579.95</v>
      </c>
      <c r="G119" s="3"/>
      <c r="H119" s="2">
        <v>632.74</v>
      </c>
      <c r="I119" s="3"/>
      <c r="J119" s="2">
        <v>428.31</v>
      </c>
      <c r="K119" s="3"/>
      <c r="L119" s="2">
        <v>352.09</v>
      </c>
      <c r="M119" s="3"/>
      <c r="N119" s="2">
        <v>531.28</v>
      </c>
      <c r="O119" s="3"/>
      <c r="P119" s="2">
        <v>0</v>
      </c>
      <c r="Q119" s="3"/>
      <c r="R119" s="2">
        <v>2000</v>
      </c>
    </row>
    <row r="120" spans="1:18" s="16" customFormat="1" hidden="1" outlineLevel="2" x14ac:dyDescent="0.35">
      <c r="B120" s="11" t="str">
        <f>CONCATENATE("          ", "6246", " - ", "REPLACEMENTS")</f>
        <v xml:space="preserve">          6246 - REPLACEMENTS</v>
      </c>
      <c r="D120" s="2"/>
      <c r="F120" s="2"/>
      <c r="G120" s="3"/>
      <c r="H120" s="2"/>
      <c r="I120" s="3"/>
      <c r="J120" s="2">
        <v>1011.44</v>
      </c>
      <c r="K120" s="3"/>
      <c r="L120" s="2"/>
      <c r="M120" s="3"/>
      <c r="N120" s="2">
        <v>25.87</v>
      </c>
      <c r="O120" s="3"/>
      <c r="P120" s="2">
        <v>0</v>
      </c>
      <c r="Q120" s="3"/>
      <c r="R120" s="2"/>
    </row>
    <row r="121" spans="1:18" s="16" customFormat="1" hidden="1" outlineLevel="2" x14ac:dyDescent="0.35">
      <c r="B121" s="11" t="str">
        <f>CONCATENATE("          ", "6247", " - ", "STORE SUPPLIES")</f>
        <v xml:space="preserve">          6247 - STORE SUPPLIES</v>
      </c>
      <c r="D121" s="2">
        <v>61038.49</v>
      </c>
      <c r="F121" s="2">
        <v>25655.439999999999</v>
      </c>
      <c r="G121" s="3"/>
      <c r="H121" s="2">
        <v>2781.79</v>
      </c>
      <c r="I121" s="3"/>
      <c r="J121" s="2">
        <v>12955.51</v>
      </c>
      <c r="K121" s="3"/>
      <c r="L121" s="2">
        <v>8678.16</v>
      </c>
      <c r="M121" s="3"/>
      <c r="N121" s="2">
        <v>6962.12</v>
      </c>
      <c r="O121" s="3"/>
      <c r="P121" s="2">
        <v>411</v>
      </c>
      <c r="Q121" s="3"/>
      <c r="R121" s="2">
        <v>411</v>
      </c>
    </row>
    <row r="122" spans="1:18" s="16" customFormat="1" hidden="1" outlineLevel="2" x14ac:dyDescent="0.35">
      <c r="B122" s="11" t="str">
        <f>CONCATENATE("          ", "6248", " - ", "UNIFORMS")</f>
        <v xml:space="preserve">          6248 - UNIFORMS</v>
      </c>
      <c r="D122" s="2">
        <v>8122.62</v>
      </c>
      <c r="F122" s="2">
        <v>11977.46</v>
      </c>
      <c r="G122" s="3"/>
      <c r="H122" s="2">
        <v>9096.82</v>
      </c>
      <c r="I122" s="3"/>
      <c r="J122" s="2">
        <v>13259.93</v>
      </c>
      <c r="K122" s="3"/>
      <c r="L122" s="2">
        <v>9775.0300000000007</v>
      </c>
      <c r="M122" s="3"/>
      <c r="N122" s="2">
        <v>4723.8900000000003</v>
      </c>
      <c r="O122" s="3"/>
      <c r="P122" s="2">
        <v>15</v>
      </c>
      <c r="Q122" s="3"/>
      <c r="R122" s="2">
        <v>3850</v>
      </c>
    </row>
    <row r="123" spans="1:18" s="15" customFormat="1" outlineLevel="1" collapsed="1" x14ac:dyDescent="0.35">
      <c r="A123" s="7"/>
      <c r="B123" s="20" t="str">
        <f>CONCATENATE("     ","Telephone/Data Lines                              ")</f>
        <v xml:space="preserve">     Telephone/Data Lines                              </v>
      </c>
      <c r="C123" s="7"/>
      <c r="D123" s="1">
        <f>SUM(OSRRefD21_22x_0)</f>
        <v>15746.38</v>
      </c>
      <c r="E123" s="19"/>
      <c r="F123" s="1">
        <f>SUM(OSRRefF21_22x_0)</f>
        <v>18139.05</v>
      </c>
      <c r="G123" s="4"/>
      <c r="H123" s="1">
        <f>SUM(OSRRefH21_22x_0)</f>
        <v>17366.72</v>
      </c>
      <c r="I123" s="4"/>
      <c r="J123" s="1">
        <f>SUM(OSRRefJ21_22x_0)</f>
        <v>22882.560000000001</v>
      </c>
      <c r="K123" s="4"/>
      <c r="L123" s="1">
        <f>SUM(OSRRefL21_22x_0)</f>
        <v>23033.83</v>
      </c>
      <c r="M123" s="4"/>
      <c r="N123" s="1">
        <f>SUM(OSRRefN21_22x_0)</f>
        <v>20968.09</v>
      </c>
      <c r="O123" s="4"/>
      <c r="P123" s="1">
        <f>SUM(OSRRefP21_22x_0)</f>
        <v>4062</v>
      </c>
      <c r="Q123" s="4"/>
      <c r="R123" s="1">
        <f>SUM(OSRRefR21_22x_0)</f>
        <v>4920</v>
      </c>
    </row>
    <row r="124" spans="1:18" s="16" customFormat="1" hidden="1" outlineLevel="2" x14ac:dyDescent="0.35">
      <c r="B124" s="11" t="str">
        <f>CONCATENATE("          ", "6303", " - ", "DATA PHONE LINES")</f>
        <v xml:space="preserve">          6303 - DATA PHONE LINES</v>
      </c>
      <c r="D124" s="2"/>
      <c r="F124" s="2"/>
      <c r="G124" s="3"/>
      <c r="H124" s="2"/>
      <c r="I124" s="3"/>
      <c r="J124" s="2"/>
      <c r="K124" s="3"/>
      <c r="L124" s="2"/>
      <c r="M124" s="3"/>
      <c r="N124" s="2"/>
      <c r="O124" s="3"/>
      <c r="P124" s="2">
        <v>1662</v>
      </c>
      <c r="Q124" s="3"/>
      <c r="R124" s="2">
        <v>1620</v>
      </c>
    </row>
    <row r="125" spans="1:18" s="16" customFormat="1" hidden="1" outlineLevel="2" x14ac:dyDescent="0.35">
      <c r="B125" s="11" t="str">
        <f>CONCATENATE("          ", "6309", " - ", "TELEPHONE")</f>
        <v xml:space="preserve">          6309 - TELEPHONE</v>
      </c>
      <c r="D125" s="2">
        <v>15746.38</v>
      </c>
      <c r="F125" s="2">
        <v>18139.05</v>
      </c>
      <c r="G125" s="3"/>
      <c r="H125" s="2">
        <v>17366.72</v>
      </c>
      <c r="I125" s="3"/>
      <c r="J125" s="2">
        <v>22882.560000000001</v>
      </c>
      <c r="K125" s="3"/>
      <c r="L125" s="2">
        <v>23033.83</v>
      </c>
      <c r="M125" s="3"/>
      <c r="N125" s="2">
        <v>20968.09</v>
      </c>
      <c r="O125" s="3"/>
      <c r="P125" s="2">
        <v>2400</v>
      </c>
      <c r="Q125" s="3"/>
      <c r="R125" s="2">
        <v>3300</v>
      </c>
    </row>
    <row r="126" spans="1:18" s="15" customFormat="1" outlineLevel="1" collapsed="1" x14ac:dyDescent="0.35">
      <c r="A126" s="7"/>
      <c r="B126" s="20" t="str">
        <f>CONCATENATE("     ","Training                                          ")</f>
        <v xml:space="preserve">     Training                                          </v>
      </c>
      <c r="C126" s="7"/>
      <c r="D126" s="1">
        <f>SUM(OSRRefD21_23x_0)</f>
        <v>3726.19</v>
      </c>
      <c r="E126" s="19"/>
      <c r="F126" s="1">
        <f>SUM(OSRRefF21_23x_0)</f>
        <v>3666.47</v>
      </c>
      <c r="G126" s="4"/>
      <c r="H126" s="1">
        <f>SUM(OSRRefH21_23x_0)</f>
        <v>6169.49</v>
      </c>
      <c r="I126" s="4"/>
      <c r="J126" s="1">
        <f>SUM(OSRRefJ21_23x_0)</f>
        <v>3821.19</v>
      </c>
      <c r="K126" s="4"/>
      <c r="L126" s="1">
        <f>SUM(OSRRefL21_23x_0)</f>
        <v>1977.03</v>
      </c>
      <c r="M126" s="4"/>
      <c r="N126" s="1">
        <f>SUM(OSRRefN21_23x_0)</f>
        <v>2123.0100000000002</v>
      </c>
      <c r="O126" s="4"/>
      <c r="P126" s="1">
        <f>SUM(OSRRefP21_23x_0)</f>
        <v>0</v>
      </c>
      <c r="Q126" s="4"/>
      <c r="R126" s="1">
        <f>SUM(OSRRefR21_23x_0)</f>
        <v>5160</v>
      </c>
    </row>
    <row r="127" spans="1:18" s="16" customFormat="1" hidden="1" outlineLevel="2" x14ac:dyDescent="0.35">
      <c r="B127" s="11" t="str">
        <f>CONCATENATE("          ", "6376", " - ", "TRAINING")</f>
        <v xml:space="preserve">          6376 - TRAINING</v>
      </c>
      <c r="D127" s="2">
        <v>3726.19</v>
      </c>
      <c r="F127" s="2">
        <v>3666.47</v>
      </c>
      <c r="G127" s="3"/>
      <c r="H127" s="2">
        <v>6169.49</v>
      </c>
      <c r="I127" s="3"/>
      <c r="J127" s="2">
        <v>3821.19</v>
      </c>
      <c r="K127" s="3"/>
      <c r="L127" s="2">
        <v>1977.03</v>
      </c>
      <c r="M127" s="3"/>
      <c r="N127" s="2">
        <v>2123.0100000000002</v>
      </c>
      <c r="O127" s="3"/>
      <c r="P127" s="2">
        <v>0</v>
      </c>
      <c r="Q127" s="3"/>
      <c r="R127" s="2">
        <v>5160</v>
      </c>
    </row>
    <row r="128" spans="1:18" s="15" customFormat="1" outlineLevel="1" collapsed="1" x14ac:dyDescent="0.35">
      <c r="A128" s="7"/>
      <c r="B128" s="20" t="str">
        <f>CONCATENATE("     ","Travel                                            ")</f>
        <v xml:space="preserve">     Travel                                            </v>
      </c>
      <c r="C128" s="7"/>
      <c r="D128" s="1">
        <f>SUM(OSRRefD21_24x_0)</f>
        <v>8346.91</v>
      </c>
      <c r="E128" s="19"/>
      <c r="F128" s="1">
        <f>SUM(OSRRefF21_24x_0)</f>
        <v>8182.24</v>
      </c>
      <c r="G128" s="4"/>
      <c r="H128" s="1">
        <f>SUM(OSRRefH21_24x_0)</f>
        <v>9538.82</v>
      </c>
      <c r="I128" s="4"/>
      <c r="J128" s="1">
        <f>SUM(OSRRefJ21_24x_0)</f>
        <v>6320.37</v>
      </c>
      <c r="K128" s="4"/>
      <c r="L128" s="1">
        <f>SUM(OSRRefL21_24x_0)</f>
        <v>4239.42</v>
      </c>
      <c r="M128" s="4"/>
      <c r="N128" s="1">
        <f>SUM(OSRRefN21_24x_0)</f>
        <v>6341.32</v>
      </c>
      <c r="O128" s="4"/>
      <c r="P128" s="1">
        <f>SUM(OSRRefP21_24x_0)</f>
        <v>0</v>
      </c>
      <c r="Q128" s="4"/>
      <c r="R128" s="1">
        <f>SUM(OSRRefR21_24x_0)</f>
        <v>1200</v>
      </c>
    </row>
    <row r="129" spans="1:18" s="16" customFormat="1" hidden="1" outlineLevel="2" x14ac:dyDescent="0.35">
      <c r="B129" s="11" t="str">
        <f>CONCATENATE("          ", "6292", " - ", "TRAVEL/CONFERENCE")</f>
        <v xml:space="preserve">          6292 - TRAVEL/CONFERENCE</v>
      </c>
      <c r="D129" s="2">
        <v>5848.14</v>
      </c>
      <c r="F129" s="2">
        <v>7013.01</v>
      </c>
      <c r="G129" s="3"/>
      <c r="H129" s="2">
        <v>6355.72</v>
      </c>
      <c r="I129" s="3"/>
      <c r="J129" s="2">
        <v>3611.63</v>
      </c>
      <c r="K129" s="3"/>
      <c r="L129" s="2">
        <v>1493.8</v>
      </c>
      <c r="M129" s="3"/>
      <c r="N129" s="2">
        <v>4995.68</v>
      </c>
      <c r="O129" s="3"/>
      <c r="P129" s="2">
        <v>0</v>
      </c>
      <c r="Q129" s="3"/>
      <c r="R129" s="2">
        <v>1200</v>
      </c>
    </row>
    <row r="130" spans="1:18" s="16" customFormat="1" hidden="1" outlineLevel="2" x14ac:dyDescent="0.35">
      <c r="B130" s="11" t="str">
        <f>CONCATENATE("          ", "6294", " - ", "TRAVEL OPERATIONAL")</f>
        <v xml:space="preserve">          6294 - TRAVEL OPERATIONAL</v>
      </c>
      <c r="D130" s="2">
        <v>1512.64</v>
      </c>
      <c r="F130" s="2">
        <v>108.37</v>
      </c>
      <c r="G130" s="3"/>
      <c r="H130" s="2">
        <v>2119.36</v>
      </c>
      <c r="I130" s="3"/>
      <c r="J130" s="2">
        <v>1262.3800000000001</v>
      </c>
      <c r="K130" s="3"/>
      <c r="L130" s="2">
        <v>1299.02</v>
      </c>
      <c r="M130" s="3"/>
      <c r="N130" s="2">
        <v>56.99</v>
      </c>
      <c r="O130" s="3"/>
      <c r="P130" s="2">
        <v>0</v>
      </c>
      <c r="Q130" s="3"/>
      <c r="R130" s="2"/>
    </row>
    <row r="131" spans="1:18" s="16" customFormat="1" hidden="1" outlineLevel="2" x14ac:dyDescent="0.35">
      <c r="B131" s="11" t="str">
        <f>CONCATENATE("          ", "6298", " - ", "VEHICLE MILEAGE")</f>
        <v xml:space="preserve">          6298 - VEHICLE MILEAGE</v>
      </c>
      <c r="D131" s="2">
        <v>986.13</v>
      </c>
      <c r="F131" s="2">
        <v>1060.8599999999999</v>
      </c>
      <c r="G131" s="3"/>
      <c r="H131" s="2">
        <v>1063.74</v>
      </c>
      <c r="I131" s="3"/>
      <c r="J131" s="2">
        <v>1446.36</v>
      </c>
      <c r="K131" s="3"/>
      <c r="L131" s="2">
        <v>1446.6</v>
      </c>
      <c r="M131" s="3"/>
      <c r="N131" s="2">
        <v>1288.6500000000001</v>
      </c>
      <c r="O131" s="3"/>
      <c r="P131" s="2"/>
      <c r="Q131" s="3"/>
      <c r="R131" s="2"/>
    </row>
    <row r="132" spans="1:18" s="15" customFormat="1" outlineLevel="1" collapsed="1" x14ac:dyDescent="0.35">
      <c r="A132" s="7"/>
      <c r="B132" s="20" t="str">
        <f>CONCATENATE("     ","Utilities                                         ")</f>
        <v xml:space="preserve">     Utilities                                         </v>
      </c>
      <c r="C132" s="7"/>
      <c r="D132" s="1">
        <f>SUM(OSRRefD21_25x_0)</f>
        <v>206869.14</v>
      </c>
      <c r="E132" s="19"/>
      <c r="F132" s="1">
        <f>SUM(OSRRefF21_25x_0)</f>
        <v>275580.83</v>
      </c>
      <c r="G132" s="4"/>
      <c r="H132" s="1">
        <f>SUM(OSRRefH21_25x_0)</f>
        <v>212305.5</v>
      </c>
      <c r="I132" s="4"/>
      <c r="J132" s="1">
        <f>SUM(OSRRefJ21_25x_0)</f>
        <v>138372.71</v>
      </c>
      <c r="K132" s="4"/>
      <c r="L132" s="1">
        <f>SUM(OSRRefL21_25x_0)</f>
        <v>141213.62</v>
      </c>
      <c r="M132" s="4"/>
      <c r="N132" s="1">
        <f>SUM(OSRRefN21_25x_0)</f>
        <v>213536</v>
      </c>
      <c r="O132" s="4"/>
      <c r="P132" s="1">
        <f>SUM(OSRRefP21_25x_0)</f>
        <v>39600</v>
      </c>
      <c r="Q132" s="4"/>
      <c r="R132" s="1">
        <f>SUM(OSRRefR21_25x_0)</f>
        <v>104000</v>
      </c>
    </row>
    <row r="133" spans="1:18" s="16" customFormat="1" hidden="1" outlineLevel="2" x14ac:dyDescent="0.35">
      <c r="B133" s="11" t="str">
        <f>CONCATENATE("          ", "6274", " - ", "UTILITIES")</f>
        <v xml:space="preserve">          6274 - UTILITIES</v>
      </c>
      <c r="D133" s="2">
        <v>206869.14</v>
      </c>
      <c r="F133" s="2">
        <v>275580.83</v>
      </c>
      <c r="G133" s="3"/>
      <c r="H133" s="2">
        <v>212305.5</v>
      </c>
      <c r="I133" s="3"/>
      <c r="J133" s="2">
        <v>138372.71</v>
      </c>
      <c r="K133" s="3"/>
      <c r="L133" s="2">
        <v>141213.62</v>
      </c>
      <c r="M133" s="3"/>
      <c r="N133" s="2">
        <v>213536</v>
      </c>
      <c r="O133" s="3"/>
      <c r="P133" s="2">
        <v>39600</v>
      </c>
      <c r="Q133" s="3"/>
      <c r="R133" s="2">
        <v>104000</v>
      </c>
    </row>
    <row r="134" spans="1:18" x14ac:dyDescent="0.35">
      <c r="A134" s="12"/>
      <c r="B134" s="12"/>
      <c r="C134" s="12"/>
      <c r="D134" s="1"/>
      <c r="F134" s="1"/>
      <c r="H134" s="1"/>
      <c r="J134" s="1"/>
      <c r="L134" s="1"/>
      <c r="N134" s="1"/>
      <c r="P134" s="1"/>
      <c r="R134" s="1"/>
    </row>
    <row r="135" spans="1:18" s="7" customFormat="1" collapsed="1" x14ac:dyDescent="0.35">
      <c r="A135" s="36"/>
      <c r="B135" s="34" t="s">
        <v>295</v>
      </c>
      <c r="D135" s="6">
        <f>SUM(OSRRefD24x_0)</f>
        <v>736934.65</v>
      </c>
      <c r="E135" s="12"/>
      <c r="F135" s="6">
        <f>SUM(OSRRefF24x_0)</f>
        <v>663813.24</v>
      </c>
      <c r="G135" s="5"/>
      <c r="H135" s="6">
        <f>SUM(OSRRefH24x_0)</f>
        <v>740432.07000000007</v>
      </c>
      <c r="I135" s="5"/>
      <c r="J135" s="6">
        <f>SUM(OSRRefJ24x_0)</f>
        <v>714517.19</v>
      </c>
      <c r="K135" s="5"/>
      <c r="L135" s="6">
        <f>SUM(OSRRefL24x_0)</f>
        <v>731041.09</v>
      </c>
      <c r="M135" s="5"/>
      <c r="N135" s="6">
        <f>SUM(OSRRefN24x_0)</f>
        <v>730460.52</v>
      </c>
      <c r="O135" s="5"/>
      <c r="P135" s="6">
        <f>SUM(OSRRefP24x_0)</f>
        <v>108558</v>
      </c>
      <c r="Q135" s="5"/>
      <c r="R135" s="6">
        <f>SUM(OSRRefR24x_0)</f>
        <v>175853.02000000002</v>
      </c>
    </row>
    <row r="136" spans="1:18" s="7" customFormat="1" hidden="1" outlineLevel="1" x14ac:dyDescent="0.35">
      <c r="A136" s="36"/>
      <c r="B136" s="11" t="str">
        <f>CONCATENATE("          ", "9150", " - ", "MISC. INCOME")</f>
        <v xml:space="preserve">          9150 - MISC. INCOME</v>
      </c>
      <c r="D136" s="11">
        <f>--352651.14</f>
        <v>352651.14</v>
      </c>
      <c r="E136" s="16"/>
      <c r="F136" s="11">
        <f>--318919.08</f>
        <v>318919.08</v>
      </c>
      <c r="G136" s="3"/>
      <c r="H136" s="11">
        <f>--387259.12</f>
        <v>387259.12</v>
      </c>
      <c r="I136" s="3"/>
      <c r="J136" s="11">
        <f>--379317.36</f>
        <v>379317.36</v>
      </c>
      <c r="K136" s="3"/>
      <c r="L136" s="11">
        <f>--389464.12</f>
        <v>389464.12</v>
      </c>
      <c r="M136" s="3"/>
      <c r="N136" s="11">
        <f>--330936.39</f>
        <v>330936.39</v>
      </c>
      <c r="O136" s="3"/>
      <c r="P136" s="11">
        <v>42725</v>
      </c>
      <c r="Q136" s="3"/>
      <c r="R136" s="11">
        <v>1000</v>
      </c>
    </row>
    <row r="137" spans="1:18" s="7" customFormat="1" hidden="1" outlineLevel="1" x14ac:dyDescent="0.35">
      <c r="A137" s="36"/>
      <c r="B137" s="11" t="str">
        <f>CONCATENATE("          ", "9151", " - ", "MISC. INCOME")</f>
        <v xml:space="preserve">          9151 - MISC. INCOME</v>
      </c>
      <c r="D137" s="11">
        <f>0</f>
        <v>0</v>
      </c>
      <c r="E137" s="16"/>
      <c r="F137" s="11">
        <f>0</f>
        <v>0</v>
      </c>
      <c r="G137" s="3"/>
      <c r="H137" s="11">
        <f>0</f>
        <v>0</v>
      </c>
      <c r="I137" s="3"/>
      <c r="J137" s="11">
        <f>0</f>
        <v>0</v>
      </c>
      <c r="K137" s="3"/>
      <c r="L137" s="11">
        <f>0</f>
        <v>0</v>
      </c>
      <c r="M137" s="3"/>
      <c r="N137" s="11">
        <f>0</f>
        <v>0</v>
      </c>
      <c r="O137" s="3"/>
      <c r="P137" s="11">
        <v>41738</v>
      </c>
      <c r="Q137" s="3"/>
      <c r="R137" s="11">
        <v>83840.89</v>
      </c>
    </row>
    <row r="138" spans="1:18" s="7" customFormat="1" hidden="1" outlineLevel="1" x14ac:dyDescent="0.35">
      <c r="A138" s="36"/>
      <c r="B138" s="11" t="str">
        <f>CONCATENATE("          ", "9160", " - ", "MISC. INCOME")</f>
        <v xml:space="preserve">          9160 - MISC. INCOME</v>
      </c>
      <c r="D138" s="11">
        <f>--112645.41</f>
        <v>112645.41</v>
      </c>
      <c r="E138" s="16"/>
      <c r="F138" s="11">
        <f>--68345.7</f>
        <v>68345.7</v>
      </c>
      <c r="G138" s="3"/>
      <c r="H138" s="11">
        <f>--90320.02</f>
        <v>90320.02</v>
      </c>
      <c r="I138" s="3"/>
      <c r="J138" s="11">
        <f>--85355.63</f>
        <v>85355.63</v>
      </c>
      <c r="K138" s="3"/>
      <c r="L138" s="11">
        <f>--91560.73</f>
        <v>91560.73</v>
      </c>
      <c r="M138" s="3"/>
      <c r="N138" s="11">
        <f>--155089.34</f>
        <v>155089.34</v>
      </c>
      <c r="O138" s="3"/>
      <c r="P138" s="11">
        <v>24095</v>
      </c>
      <c r="Q138" s="3"/>
      <c r="R138" s="11">
        <v>91012.13</v>
      </c>
    </row>
    <row r="139" spans="1:18" s="7" customFormat="1" hidden="1" outlineLevel="1" x14ac:dyDescent="0.35">
      <c r="A139" s="36"/>
      <c r="B139" s="11" t="str">
        <f>CONCATENATE("          ", "9165", " - ", "OTHER INCOME")</f>
        <v xml:space="preserve">          9165 - OTHER INCOME</v>
      </c>
      <c r="D139" s="11">
        <f>--271638.1</f>
        <v>271638.09999999998</v>
      </c>
      <c r="E139" s="16"/>
      <c r="F139" s="11">
        <f>--276548.46</f>
        <v>276548.46000000002</v>
      </c>
      <c r="G139" s="3"/>
      <c r="H139" s="11">
        <f>--262852.93</f>
        <v>262852.93</v>
      </c>
      <c r="I139" s="3"/>
      <c r="J139" s="11">
        <f>--249844.2</f>
        <v>249844.2</v>
      </c>
      <c r="K139" s="3"/>
      <c r="L139" s="11">
        <f>--250016.24</f>
        <v>250016.24</v>
      </c>
      <c r="M139" s="3"/>
      <c r="N139" s="11">
        <f>--244434.79</f>
        <v>244434.79</v>
      </c>
      <c r="O139" s="3"/>
      <c r="P139" s="11"/>
      <c r="Q139" s="3"/>
      <c r="R139" s="11"/>
    </row>
    <row r="140" spans="1:18" x14ac:dyDescent="0.35">
      <c r="A140" s="12"/>
      <c r="B140" s="7"/>
      <c r="C140" s="7"/>
      <c r="D140" s="6"/>
      <c r="F140" s="6"/>
      <c r="H140" s="6"/>
      <c r="J140" s="6"/>
      <c r="L140" s="6"/>
      <c r="N140" s="6"/>
      <c r="P140" s="6"/>
      <c r="R140" s="6"/>
    </row>
    <row r="141" spans="1:18" s="15" customFormat="1" x14ac:dyDescent="0.35">
      <c r="A141" s="7"/>
      <c r="B141" s="22" t="s">
        <v>279</v>
      </c>
      <c r="C141" s="22"/>
      <c r="D141" s="10">
        <f>+D32-D35+D135</f>
        <v>66921.240000000806</v>
      </c>
      <c r="E141" s="12"/>
      <c r="F141" s="10">
        <f>+F32-F35+F135</f>
        <v>-181447.20999999926</v>
      </c>
      <c r="G141" s="5"/>
      <c r="H141" s="10">
        <f>+H32-H35+H135</f>
        <v>157887.32000000007</v>
      </c>
      <c r="I141" s="5"/>
      <c r="J141" s="10">
        <f>+J32-J35+J135</f>
        <v>-111338.67999999924</v>
      </c>
      <c r="K141" s="5"/>
      <c r="L141" s="10">
        <f>+L32-L35+L135</f>
        <v>-226619.08000000089</v>
      </c>
      <c r="M141" s="5"/>
      <c r="N141" s="10">
        <f>+N32-N35+N135</f>
        <v>-1192092.0100000002</v>
      </c>
      <c r="O141" s="5"/>
      <c r="P141" s="10">
        <f>+P32-P35+P135</f>
        <v>-1042505.7554583848</v>
      </c>
      <c r="Q141" s="5"/>
      <c r="R141" s="10">
        <f>+R32-R35+R135</f>
        <v>-661656.50713981828</v>
      </c>
    </row>
    <row r="142" spans="1:18" s="27" customFormat="1" x14ac:dyDescent="0.35">
      <c r="A142" s="18"/>
      <c r="B142" s="31"/>
      <c r="C142" s="18"/>
      <c r="D142" s="9">
        <f>IFERROR(D141/D10, 0)</f>
        <v>1.1660024388757817E-2</v>
      </c>
      <c r="E142" s="18"/>
      <c r="F142" s="9">
        <f>IFERROR(F141/F10, 0)</f>
        <v>-2.8114328142638791E-2</v>
      </c>
      <c r="G142" s="14"/>
      <c r="H142" s="9">
        <f>IFERROR(H141/H10, 0)</f>
        <v>2.2728239661279258E-2</v>
      </c>
      <c r="I142" s="14"/>
      <c r="J142" s="9">
        <f>IFERROR(J141/J10, 0)</f>
        <v>-1.6313846469112703E-2</v>
      </c>
      <c r="K142" s="14"/>
      <c r="L142" s="9">
        <f>IFERROR(L141/L10, 0)</f>
        <v>-3.3086067579958876E-2</v>
      </c>
      <c r="M142" s="14"/>
      <c r="N142" s="9">
        <f>IFERROR(N141/N10, 0)</f>
        <v>-0.25805413603362687</v>
      </c>
      <c r="O142" s="14"/>
      <c r="P142" s="9">
        <f>IFERROR(P141/P10, 0)</f>
        <v>-4.4611582063820299</v>
      </c>
      <c r="Q142" s="14"/>
      <c r="R142" s="9">
        <f>IFERROR(R141/R10, 0)</f>
        <v>-0.3096662793703015</v>
      </c>
    </row>
    <row r="143" spans="1:18" s="27" customFormat="1" x14ac:dyDescent="0.35">
      <c r="A143" s="18"/>
      <c r="B143" s="31"/>
      <c r="C143" s="18"/>
      <c r="D143" s="13"/>
      <c r="E143" s="18"/>
      <c r="F143" s="13"/>
      <c r="G143" s="14"/>
      <c r="H143" s="13"/>
      <c r="I143" s="14"/>
      <c r="J143" s="13"/>
      <c r="K143" s="14"/>
      <c r="L143" s="13"/>
      <c r="M143" s="14"/>
      <c r="N143" s="13"/>
      <c r="O143" s="14"/>
      <c r="P143" s="13"/>
      <c r="Q143" s="14"/>
      <c r="R143" s="13"/>
    </row>
    <row r="144" spans="1:18" s="15" customFormat="1" x14ac:dyDescent="0.35">
      <c r="A144" s="37"/>
      <c r="B144" s="7" t="s">
        <v>127</v>
      </c>
      <c r="C144" s="7"/>
      <c r="D144" s="6">
        <v>1247209.3999999999</v>
      </c>
      <c r="E144" s="12"/>
      <c r="F144" s="6">
        <v>918758.1</v>
      </c>
      <c r="G144" s="5"/>
      <c r="H144" s="6">
        <v>928819.96</v>
      </c>
      <c r="I144" s="5"/>
      <c r="J144" s="6">
        <v>915979.63</v>
      </c>
      <c r="K144" s="5"/>
      <c r="L144" s="6">
        <v>488203.96</v>
      </c>
      <c r="M144" s="5"/>
      <c r="N144" s="6">
        <v>699503.21</v>
      </c>
      <c r="O144" s="5"/>
      <c r="P144" s="6">
        <v>39488</v>
      </c>
      <c r="Q144" s="5"/>
      <c r="R144" s="6">
        <v>242289</v>
      </c>
    </row>
    <row r="145" spans="1:18" x14ac:dyDescent="0.35">
      <c r="A145" s="12"/>
      <c r="B145" s="7"/>
      <c r="C145" s="7"/>
      <c r="D145" s="6"/>
      <c r="F145" s="6"/>
      <c r="H145" s="6"/>
      <c r="J145" s="6"/>
      <c r="L145" s="6"/>
      <c r="N145" s="6"/>
      <c r="P145" s="6"/>
      <c r="R145" s="6"/>
    </row>
    <row r="146" spans="1:18" s="15" customFormat="1" x14ac:dyDescent="0.35">
      <c r="A146" s="7"/>
      <c r="B146" s="22" t="s">
        <v>126</v>
      </c>
      <c r="C146" s="22"/>
      <c r="D146" s="10">
        <f>+D141-D144</f>
        <v>-1180288.1599999992</v>
      </c>
      <c r="E146" s="12"/>
      <c r="F146" s="10">
        <f>+F141-F144</f>
        <v>-1100205.3099999991</v>
      </c>
      <c r="G146" s="5"/>
      <c r="H146" s="10">
        <f>+H141-H144</f>
        <v>-770932.6399999999</v>
      </c>
      <c r="I146" s="5"/>
      <c r="J146" s="10">
        <f>+J141-J144</f>
        <v>-1027318.3099999992</v>
      </c>
      <c r="K146" s="5"/>
      <c r="L146" s="10">
        <f>+L141-L144</f>
        <v>-714823.04000000097</v>
      </c>
      <c r="M146" s="5"/>
      <c r="N146" s="10">
        <f>+N141-N144</f>
        <v>-1891595.2200000002</v>
      </c>
      <c r="O146" s="5"/>
      <c r="P146" s="10">
        <f>+P141-P144</f>
        <v>-1081993.7554583848</v>
      </c>
      <c r="Q146" s="5"/>
      <c r="R146" s="10">
        <f>+R141-R144</f>
        <v>-903945.50713981828</v>
      </c>
    </row>
    <row r="147" spans="1:18" s="27" customFormat="1" x14ac:dyDescent="0.35">
      <c r="A147" s="18"/>
      <c r="B147" s="18"/>
      <c r="C147" s="18"/>
      <c r="D147" s="9">
        <f>IFERROR(D146/D10, 0)</f>
        <v>-0.20564754525412132</v>
      </c>
      <c r="E147" s="18"/>
      <c r="F147" s="9">
        <f>IFERROR(F146/F10, 0)</f>
        <v>-0.17047125227008855</v>
      </c>
      <c r="G147" s="14"/>
      <c r="H147" s="9">
        <f>IFERROR(H146/H10, 0)</f>
        <v>-0.1109775110795643</v>
      </c>
      <c r="I147" s="14"/>
      <c r="J147" s="9">
        <f>IFERROR(J146/J10, 0)</f>
        <v>-0.15052732064228203</v>
      </c>
      <c r="K147" s="14"/>
      <c r="L147" s="9">
        <f>IFERROR(L146/L10, 0)</f>
        <v>-0.10436316045917929</v>
      </c>
      <c r="M147" s="14"/>
      <c r="N147" s="9">
        <f>IFERROR(N146/N10, 0)</f>
        <v>-0.40947675693459124</v>
      </c>
      <c r="O147" s="14"/>
      <c r="P147" s="9">
        <f>IFERROR(P146/P10, 0)</f>
        <v>-4.6301378156851518</v>
      </c>
      <c r="Q147" s="14"/>
      <c r="R147" s="9">
        <f>IFERROR(R146/R10, 0)</f>
        <v>-0.4230615718713639</v>
      </c>
    </row>
    <row r="148" spans="1:18" s="27" customFormat="1" x14ac:dyDescent="0.35">
      <c r="A148" s="18"/>
      <c r="B148" s="18"/>
      <c r="C148" s="18"/>
      <c r="D148" s="13"/>
      <c r="E148" s="18"/>
      <c r="F148" s="13"/>
      <c r="G148" s="14"/>
      <c r="H148" s="13"/>
      <c r="I148" s="14"/>
      <c r="J148" s="13"/>
      <c r="K148" s="14"/>
      <c r="L148" s="13"/>
      <c r="M148" s="14"/>
      <c r="N148" s="13"/>
      <c r="O148" s="14"/>
      <c r="P148" s="13"/>
      <c r="Q148" s="14"/>
      <c r="R148" s="13"/>
    </row>
    <row r="149" spans="1:18" x14ac:dyDescent="0.35">
      <c r="A149" s="12"/>
      <c r="B149" s="12"/>
      <c r="C149" s="12"/>
      <c r="D149" s="6"/>
      <c r="F149" s="6"/>
      <c r="H149" s="6"/>
      <c r="J149" s="6"/>
      <c r="L149" s="6"/>
      <c r="N149" s="6"/>
      <c r="P149" s="6"/>
      <c r="R149" s="6"/>
    </row>
    <row r="150" spans="1:18" s="15" customFormat="1" x14ac:dyDescent="0.35">
      <c r="A150" s="7"/>
      <c r="B150" s="22" t="s">
        <v>296</v>
      </c>
      <c r="C150" s="22"/>
      <c r="D150" s="10">
        <f>SUM(D146:D149)</f>
        <v>-1180288.3656475444</v>
      </c>
      <c r="E150" s="12"/>
      <c r="F150" s="10">
        <f>SUM(F146:F149)</f>
        <v>-1100205.4804712513</v>
      </c>
      <c r="G150" s="5"/>
      <c r="H150" s="10">
        <f>SUM(H146:H149)</f>
        <v>-770932.75097751094</v>
      </c>
      <c r="I150" s="5"/>
      <c r="J150" s="10">
        <f>SUM(J146:J149)</f>
        <v>-1027318.4605273199</v>
      </c>
      <c r="K150" s="5"/>
      <c r="L150" s="10">
        <f>SUM(L146:L149)</f>
        <v>-714823.14436316141</v>
      </c>
      <c r="M150" s="5"/>
      <c r="N150" s="10">
        <f>SUM(N146:N149)</f>
        <v>-1891595.6294767573</v>
      </c>
      <c r="O150" s="5"/>
      <c r="P150" s="10">
        <f>SUM(P146:P149)</f>
        <v>-1081998.3855962004</v>
      </c>
      <c r="Q150" s="5"/>
      <c r="R150" s="10">
        <f>SUM(R146:R149)</f>
        <v>-903945.93020139018</v>
      </c>
    </row>
    <row r="151" spans="1:18" s="27" customFormat="1" x14ac:dyDescent="0.35">
      <c r="A151" s="18"/>
      <c r="B151" s="41"/>
      <c r="C151" s="18"/>
      <c r="D151" s="9">
        <f>IFERROR(D150/D10, 0)</f>
        <v>-0.2056475810851279</v>
      </c>
      <c r="E151" s="18"/>
      <c r="F151" s="9">
        <f>IFERROR(F150/F10, 0)</f>
        <v>-0.17047127868374751</v>
      </c>
      <c r="G151" s="14"/>
      <c r="H151" s="9">
        <f>IFERROR(H150/H10, 0)</f>
        <v>-0.11097752705503001</v>
      </c>
      <c r="I151" s="14"/>
      <c r="J151" s="9">
        <f>IFERROR(J150/J10, 0)</f>
        <v>-0.15052734269822518</v>
      </c>
      <c r="K151" s="14"/>
      <c r="L151" s="9">
        <f>IFERROR(L150/L10, 0)</f>
        <v>-0.10436317569605422</v>
      </c>
      <c r="M151" s="14"/>
      <c r="N151" s="9">
        <f>IFERROR(N150/N10, 0)</f>
        <v>-0.40947684557470448</v>
      </c>
      <c r="O151" s="14"/>
      <c r="P151" s="9">
        <f>IFERROR(P150/P10, 0)</f>
        <v>-4.6301576292710287</v>
      </c>
      <c r="Q151" s="14"/>
      <c r="R151" s="9">
        <f>IFERROR(R150/R10, 0)</f>
        <v>-0.42306176987123467</v>
      </c>
    </row>
    <row r="152" spans="1:18" x14ac:dyDescent="0.35">
      <c r="A152" s="12"/>
      <c r="B152" s="40">
        <v>44319.883505706021</v>
      </c>
      <c r="D152" s="24"/>
      <c r="F152" s="24"/>
      <c r="H152" s="24"/>
      <c r="J152" s="24"/>
      <c r="L152" s="24"/>
      <c r="N152" s="24"/>
      <c r="P152" s="24"/>
      <c r="R152" s="24"/>
    </row>
    <row r="153" spans="1:18" x14ac:dyDescent="0.35">
      <c r="A153" s="12"/>
      <c r="B153" s="39" t="s">
        <v>23</v>
      </c>
      <c r="D153" s="24"/>
      <c r="F153" s="24"/>
      <c r="H153" s="24"/>
      <c r="J153" s="24"/>
      <c r="L153" s="24"/>
      <c r="N153" s="24"/>
      <c r="P153" s="24"/>
      <c r="R153" s="24"/>
    </row>
    <row r="154" spans="1:18" x14ac:dyDescent="0.35">
      <c r="A154" s="12"/>
      <c r="D154" s="24"/>
      <c r="F154" s="24"/>
      <c r="H154" s="24"/>
      <c r="J154" s="24"/>
      <c r="L154" s="24"/>
      <c r="N154" s="24"/>
      <c r="P154" s="24"/>
      <c r="R154" s="24"/>
    </row>
    <row r="155" spans="1:18" x14ac:dyDescent="0.35">
      <c r="D155" s="24"/>
      <c r="F155" s="24"/>
      <c r="H155" s="24"/>
      <c r="J155" s="24"/>
      <c r="L155" s="24"/>
      <c r="N155" s="24"/>
      <c r="P155" s="24"/>
      <c r="R155" s="24"/>
    </row>
  </sheetData>
  <pageMargins left="0.5" right="0.5" top="0.5" bottom="0.5" header="0.3" footer="0.3"/>
  <pageSetup scale="59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105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131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186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9494564.2300000004</v>
      </c>
      <c r="F10" s="8">
        <f>SUM(OSRRefF11x_0)</f>
        <v>10687816.09</v>
      </c>
      <c r="G10" s="8"/>
      <c r="H10" s="8">
        <f>SUM(OSRRefH11x_0)</f>
        <v>9874161.290000001</v>
      </c>
      <c r="I10" s="8"/>
      <c r="J10" s="8">
        <f>SUM(OSRRefJ11x_0)</f>
        <v>10074171.949999999</v>
      </c>
      <c r="K10" s="8"/>
      <c r="L10" s="8">
        <f>SUM(OSRRefL11x_0)</f>
        <v>10940162.410000002</v>
      </c>
      <c r="M10" s="8"/>
      <c r="N10" s="8">
        <f>SUM(OSRRefN11x_0)</f>
        <v>9037345.8499999996</v>
      </c>
      <c r="O10" s="8"/>
      <c r="P10" s="8">
        <f>SUM(OSRRefP11x_0)</f>
        <v>3936272</v>
      </c>
      <c r="Q10" s="8"/>
      <c r="R10" s="8">
        <f>SUM(OSRRefR11x_0)</f>
        <v>8870400</v>
      </c>
    </row>
    <row r="11" spans="1:18" s="16" customFormat="1" hidden="1" outlineLevel="1" x14ac:dyDescent="0.35">
      <c r="B11" s="35" t="str">
        <f>CONCATENATE("          ", "4052", " - ", "TAXABLE SALES-FOOD")</f>
        <v xml:space="preserve">          4052 - TAXABLE SALES-FOOD</v>
      </c>
      <c r="D11" s="11">
        <f>-1036.36*-1</f>
        <v>1036.3599999999999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"4053", " - ", "TAXABLE SALES-FOOD")</f>
        <v xml:space="preserve">          4053 - TAXABLE SALES-FOOD</v>
      </c>
      <c r="D12" s="11">
        <f>0*-1</f>
        <v>0</v>
      </c>
      <c r="F12" s="11">
        <f>-11493.12*-1</f>
        <v>11493.12</v>
      </c>
      <c r="G12" s="3"/>
      <c r="H12" s="11">
        <f>-10035.33*-1</f>
        <v>10035.33</v>
      </c>
      <c r="I12" s="3"/>
      <c r="J12" s="11">
        <f>--18947.31</f>
        <v>18947.310000000001</v>
      </c>
      <c r="K12" s="3"/>
      <c r="L12" s="11">
        <f>--21452.69</f>
        <v>21452.69</v>
      </c>
      <c r="M12" s="3"/>
      <c r="N12" s="11">
        <f>--26743.59</f>
        <v>26743.59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"4055", " - ", "TAXABLE SALES-FOOD")</f>
        <v xml:space="preserve">          4055 - TAXABLE SALES-FOOD</v>
      </c>
      <c r="D13" s="11">
        <f>-4731.69*-1</f>
        <v>4731.6899999999996</v>
      </c>
      <c r="F13" s="11">
        <f>-3805.42*-1</f>
        <v>3805.42</v>
      </c>
      <c r="G13" s="3"/>
      <c r="H13" s="11">
        <f>-10129.96*-1</f>
        <v>10129.959999999999</v>
      </c>
      <c r="I13" s="3"/>
      <c r="J13" s="11">
        <f>--5901.05</f>
        <v>5901.05</v>
      </c>
      <c r="K13" s="3"/>
      <c r="L13" s="11">
        <f>--1808.05</f>
        <v>1808.05</v>
      </c>
      <c r="M13" s="3"/>
      <c r="N13" s="11">
        <f>--973.49</f>
        <v>973.49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"4100", " - ", "NON-TAXABLE SALES")</f>
        <v xml:space="preserve">          4100 - NON-TAXABLE SALES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0</f>
        <v>0</v>
      </c>
      <c r="K14" s="3"/>
      <c r="L14" s="11">
        <f>0</f>
        <v>0</v>
      </c>
      <c r="M14" s="3"/>
      <c r="N14" s="11">
        <f>0</f>
        <v>0</v>
      </c>
      <c r="O14" s="3"/>
      <c r="P14" s="11">
        <v>3936272</v>
      </c>
      <c r="Q14" s="3"/>
      <c r="R14" s="11">
        <v>8870400</v>
      </c>
    </row>
    <row r="15" spans="1:18" s="16" customFormat="1" hidden="1" outlineLevel="1" x14ac:dyDescent="0.35">
      <c r="B15" s="35" t="str">
        <f>CONCATENATE("          ", "4151", " - ", "NON-TAXABLE SALES-FOOD")</f>
        <v xml:space="preserve">          4151 - NON-TAXABLE SALES-FOOD</v>
      </c>
      <c r="D15" s="11">
        <f>-9236343.42*-1</f>
        <v>9236343.4199999999</v>
      </c>
      <c r="F15" s="11">
        <f>-10356880.8*-1</f>
        <v>10356880.800000001</v>
      </c>
      <c r="G15" s="3"/>
      <c r="H15" s="11">
        <f>-8828710.47*-1</f>
        <v>8828710.4700000007</v>
      </c>
      <c r="I15" s="3"/>
      <c r="J15" s="11">
        <f>--9720569.49</f>
        <v>9720569.4900000002</v>
      </c>
      <c r="K15" s="3"/>
      <c r="L15" s="11">
        <f>--10588004.24</f>
        <v>10588004.24</v>
      </c>
      <c r="M15" s="3"/>
      <c r="N15" s="11">
        <f>--8700859.44</f>
        <v>8700859.4399999995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"4153", " - ", "NON-TAXABLE SALES-FOOD")</f>
        <v xml:space="preserve">          4153 - NON-TAXABLE SALES-FOOD</v>
      </c>
      <c r="D16" s="11">
        <f>-244873.59*-1</f>
        <v>244873.59</v>
      </c>
      <c r="F16" s="11">
        <f>-294046.92*-1</f>
        <v>294046.92</v>
      </c>
      <c r="G16" s="3"/>
      <c r="H16" s="11">
        <f>-978239.97*-1</f>
        <v>978239.97</v>
      </c>
      <c r="I16" s="3"/>
      <c r="J16" s="11">
        <f>--306778.26</f>
        <v>306778.26</v>
      </c>
      <c r="K16" s="3"/>
      <c r="L16" s="11">
        <f>--319373.4</f>
        <v>319373.40000000002</v>
      </c>
      <c r="M16" s="3"/>
      <c r="N16" s="11">
        <f>--304651.73</f>
        <v>304651.73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"4155", " - ", "NON-TAXABLE SALES-FOOD")</f>
        <v xml:space="preserve">          4155 - NON-TAXABLE SALES-FOOD</v>
      </c>
      <c r="D17" s="11">
        <f>-7579.17*-1</f>
        <v>7579.17</v>
      </c>
      <c r="F17" s="11">
        <f>-21589.83*-1</f>
        <v>21589.83</v>
      </c>
      <c r="G17" s="3"/>
      <c r="H17" s="11">
        <f>-47045.56*-1</f>
        <v>47045.56</v>
      </c>
      <c r="I17" s="3"/>
      <c r="J17" s="11">
        <f>--21975.84</f>
        <v>21975.84</v>
      </c>
      <c r="K17" s="3"/>
      <c r="L17" s="11">
        <f>--8469.13</f>
        <v>8469.1299999999992</v>
      </c>
      <c r="M17" s="3"/>
      <c r="N17" s="11">
        <f>--3733.9</f>
        <v>3733.9</v>
      </c>
      <c r="O17" s="3"/>
      <c r="P17" s="11"/>
      <c r="Q17" s="3"/>
      <c r="R17" s="11"/>
    </row>
    <row r="18" spans="1:18" s="16" customFormat="1" hidden="1" outlineLevel="1" x14ac:dyDescent="0.35">
      <c r="B18" s="35" t="str">
        <f>CONCATENATE("          ", "4159", " - ", "NON-TAXABLE SALES-FOOD")</f>
        <v xml:space="preserve">          4159 - NON-TAXABLE SALES-FOOD</v>
      </c>
      <c r="D18" s="11">
        <f>0*-1</f>
        <v>0</v>
      </c>
      <c r="F18" s="11">
        <f>0*-1</f>
        <v>0</v>
      </c>
      <c r="G18" s="3"/>
      <c r="H18" s="11">
        <f>0*-1</f>
        <v>0</v>
      </c>
      <c r="I18" s="3"/>
      <c r="J18" s="11">
        <f>0</f>
        <v>0</v>
      </c>
      <c r="K18" s="3"/>
      <c r="L18" s="11">
        <f>--1054.9</f>
        <v>1054.9000000000001</v>
      </c>
      <c r="M18" s="3"/>
      <c r="N18" s="11">
        <f>--383.7</f>
        <v>383.7</v>
      </c>
      <c r="O18" s="3"/>
      <c r="P18" s="11"/>
      <c r="Q18" s="3"/>
      <c r="R18" s="11"/>
    </row>
    <row r="19" spans="1:18" s="12" customFormat="1" x14ac:dyDescent="0.35">
      <c r="B19" s="7"/>
      <c r="D19" s="6"/>
      <c r="F19" s="6"/>
      <c r="G19" s="5"/>
      <c r="H19" s="6"/>
      <c r="I19" s="5"/>
      <c r="J19" s="6"/>
      <c r="K19" s="5"/>
      <c r="L19" s="6"/>
      <c r="M19" s="5"/>
      <c r="N19" s="6"/>
      <c r="O19" s="5"/>
      <c r="P19" s="6"/>
      <c r="Q19" s="5"/>
      <c r="R19" s="6"/>
    </row>
    <row r="20" spans="1:18" s="12" customFormat="1" collapsed="1" x14ac:dyDescent="0.35">
      <c r="B20" s="7" t="s">
        <v>278</v>
      </c>
      <c r="D20" s="8">
        <f>SUM(OSRRefD14x_0)</f>
        <v>2660971.0500000003</v>
      </c>
      <c r="E20" s="8"/>
      <c r="F20" s="8">
        <f>SUM(OSRRefF14x_0)</f>
        <v>2755915.09</v>
      </c>
      <c r="G20" s="8"/>
      <c r="H20" s="8">
        <f>SUM(OSRRefH14x_0)</f>
        <v>2640610.0500000003</v>
      </c>
      <c r="I20" s="8"/>
      <c r="J20" s="8">
        <f>SUM(OSRRefJ14x_0)</f>
        <v>2554082.91</v>
      </c>
      <c r="K20" s="8"/>
      <c r="L20" s="8">
        <f>SUM(OSRRefL14x_0)</f>
        <v>2731781.16</v>
      </c>
      <c r="M20" s="8"/>
      <c r="N20" s="8">
        <f>SUM(OSRRefN14x_0)</f>
        <v>2213342.35</v>
      </c>
      <c r="O20" s="8"/>
      <c r="P20" s="8">
        <f>SUM(OSRRefP14x_0)</f>
        <v>1064271</v>
      </c>
      <c r="Q20" s="8"/>
      <c r="R20" s="8">
        <f>SUM(OSRRefR14x_0)</f>
        <v>2463898</v>
      </c>
    </row>
    <row r="21" spans="1:18" s="44" customFormat="1" hidden="1" outlineLevel="1" x14ac:dyDescent="0.35">
      <c r="A21" s="16"/>
      <c r="B21" s="35" t="str">
        <f>CONCATENATE("          ", "5000", " - ", "PURCHASES @ COST")</f>
        <v xml:space="preserve">          5000 - PURCHASES @ COST</v>
      </c>
      <c r="C21" s="16"/>
      <c r="D21" s="11"/>
      <c r="E21" s="16"/>
      <c r="F21" s="11"/>
      <c r="G21" s="3"/>
      <c r="H21" s="11"/>
      <c r="I21" s="3"/>
      <c r="J21" s="11"/>
      <c r="K21" s="3"/>
      <c r="L21" s="11"/>
      <c r="M21" s="3"/>
      <c r="N21" s="11"/>
      <c r="O21" s="3"/>
      <c r="P21" s="11">
        <v>1064271</v>
      </c>
      <c r="Q21" s="3"/>
      <c r="R21" s="11">
        <v>2463898</v>
      </c>
    </row>
    <row r="22" spans="1:18" s="44" customFormat="1" hidden="1" outlineLevel="1" x14ac:dyDescent="0.35">
      <c r="A22" s="16"/>
      <c r="B22" s="35" t="str">
        <f>CONCATENATE("          ", "5053", " - ", "PURCHASES @ COST-FOOD")</f>
        <v xml:space="preserve">          5053 - PURCHASES @ COST-FOOD</v>
      </c>
      <c r="C22" s="16"/>
      <c r="D22" s="11">
        <v>2671538.4900000002</v>
      </c>
      <c r="E22" s="16"/>
      <c r="F22" s="11">
        <v>2753068.02</v>
      </c>
      <c r="G22" s="3"/>
      <c r="H22" s="11">
        <v>2660200.7000000002</v>
      </c>
      <c r="I22" s="3"/>
      <c r="J22" s="11">
        <v>2552016.2000000002</v>
      </c>
      <c r="K22" s="3"/>
      <c r="L22" s="11">
        <v>2723796.14</v>
      </c>
      <c r="M22" s="3"/>
      <c r="N22" s="11">
        <v>2183108.61</v>
      </c>
      <c r="O22" s="3"/>
      <c r="P22" s="11"/>
      <c r="Q22" s="3"/>
      <c r="R22" s="11"/>
    </row>
    <row r="23" spans="1:18" s="44" customFormat="1" hidden="1" outlineLevel="1" x14ac:dyDescent="0.35">
      <c r="A23" s="16"/>
      <c r="B23" s="35" t="str">
        <f>CONCATENATE("          ", "5059", " - ", "PURCHASES @ COST-FOOD")</f>
        <v xml:space="preserve">          5059 - PURCHASES @ COST-FOOD</v>
      </c>
      <c r="C23" s="16"/>
      <c r="D23" s="11">
        <v>-10567.44</v>
      </c>
      <c r="E23" s="16"/>
      <c r="F23" s="11">
        <v>2847.07</v>
      </c>
      <c r="G23" s="3"/>
      <c r="H23" s="11">
        <v>-19590.650000000001</v>
      </c>
      <c r="I23" s="3"/>
      <c r="J23" s="11">
        <v>2066.71</v>
      </c>
      <c r="K23" s="3"/>
      <c r="L23" s="11">
        <v>7985.02</v>
      </c>
      <c r="M23" s="3"/>
      <c r="N23" s="11">
        <v>30233.74</v>
      </c>
      <c r="O23" s="3"/>
      <c r="P23" s="11"/>
      <c r="Q23" s="3"/>
      <c r="R23" s="11"/>
    </row>
    <row r="24" spans="1:18" x14ac:dyDescent="0.35">
      <c r="A24" s="12"/>
      <c r="B24" s="7"/>
      <c r="C24" s="7"/>
      <c r="D24" s="6"/>
      <c r="F24" s="6"/>
      <c r="H24" s="6"/>
      <c r="J24" s="6"/>
      <c r="L24" s="6"/>
      <c r="N24" s="6"/>
      <c r="P24" s="6"/>
      <c r="R24" s="6"/>
    </row>
    <row r="25" spans="1:18" s="15" customFormat="1" x14ac:dyDescent="0.35">
      <c r="A25" s="7"/>
      <c r="B25" s="22" t="s">
        <v>107</v>
      </c>
      <c r="C25" s="22"/>
      <c r="D25" s="10">
        <f>+D10-D20</f>
        <v>6833593.1799999997</v>
      </c>
      <c r="E25" s="12"/>
      <c r="F25" s="10">
        <f>+F10-F20</f>
        <v>7931901</v>
      </c>
      <c r="G25" s="5"/>
      <c r="H25" s="10">
        <f>+H10-H20</f>
        <v>7233551.2400000002</v>
      </c>
      <c r="I25" s="5"/>
      <c r="J25" s="10">
        <f>+J10-J20</f>
        <v>7520089.0399999991</v>
      </c>
      <c r="K25" s="5"/>
      <c r="L25" s="10">
        <f>+L10-L20</f>
        <v>8208381.2500000019</v>
      </c>
      <c r="M25" s="5"/>
      <c r="N25" s="10">
        <f>+N10-N20</f>
        <v>6824003.5</v>
      </c>
      <c r="O25" s="5"/>
      <c r="P25" s="10">
        <f>+P10-P20</f>
        <v>2872001</v>
      </c>
      <c r="Q25" s="5"/>
      <c r="R25" s="10">
        <f>+R10-R20</f>
        <v>6406502</v>
      </c>
    </row>
    <row r="26" spans="1:18" s="27" customFormat="1" x14ac:dyDescent="0.35">
      <c r="A26" s="18"/>
      <c r="B26" s="31"/>
      <c r="C26" s="18"/>
      <c r="D26" s="9">
        <f>IFERROR(D25/D10, 0)</f>
        <v>0.71973742179845146</v>
      </c>
      <c r="E26" s="13"/>
      <c r="F26" s="9">
        <f>IFERROR(F25/F10, 0)</f>
        <v>0.74214422602400898</v>
      </c>
      <c r="G26" s="26"/>
      <c r="H26" s="9">
        <f>IFERROR(H25/H10, 0)</f>
        <v>0.73257373740954956</v>
      </c>
      <c r="I26" s="26"/>
      <c r="J26" s="9">
        <f>IFERROR(J25/J10, 0)</f>
        <v>0.74647217432098723</v>
      </c>
      <c r="K26" s="26"/>
      <c r="L26" s="9">
        <f>IFERROR(L25/L10, 0)</f>
        <v>0.75029793364831776</v>
      </c>
      <c r="M26" s="26"/>
      <c r="N26" s="9">
        <f>IFERROR(N25/N10, 0)</f>
        <v>0.75508933853626947</v>
      </c>
      <c r="O26" s="26"/>
      <c r="P26" s="9">
        <f>IFERROR(P25/P10, 0)</f>
        <v>0.72962462959876762</v>
      </c>
      <c r="Q26" s="26"/>
      <c r="R26" s="9">
        <f>IFERROR(R25/R10, 0)</f>
        <v>0.72223372113997109</v>
      </c>
    </row>
    <row r="27" spans="1:18" s="27" customFormat="1" x14ac:dyDescent="0.35">
      <c r="A27" s="18"/>
      <c r="B27" s="31"/>
      <c r="C27" s="18"/>
      <c r="D27" s="13"/>
      <c r="E27" s="13"/>
      <c r="F27" s="13"/>
      <c r="G27" s="26"/>
      <c r="H27" s="13"/>
      <c r="I27" s="26"/>
      <c r="J27" s="13"/>
      <c r="K27" s="26"/>
      <c r="L27" s="13"/>
      <c r="M27" s="26"/>
      <c r="N27" s="13"/>
      <c r="O27" s="26"/>
      <c r="P27" s="13"/>
      <c r="Q27" s="26"/>
      <c r="R27" s="13"/>
    </row>
    <row r="28" spans="1:18" s="15" customFormat="1" x14ac:dyDescent="0.35">
      <c r="A28" s="7"/>
      <c r="B28" s="34" t="s">
        <v>314</v>
      </c>
      <c r="C28" s="7"/>
      <c r="D28" s="8">
        <f>SUM(OSRRefD21x_0)</f>
        <v>4212208.5200000005</v>
      </c>
      <c r="E28" s="19"/>
      <c r="F28" s="8">
        <f>SUM(OSRRefF21x_0)</f>
        <v>4498363.8999999994</v>
      </c>
      <c r="G28" s="4"/>
      <c r="H28" s="8">
        <f>SUM(OSRRefH21x_0)</f>
        <v>4715484.21</v>
      </c>
      <c r="I28" s="4"/>
      <c r="J28" s="8">
        <f>SUM(OSRRefJ21x_0)</f>
        <v>5118518.9300000006</v>
      </c>
      <c r="K28" s="4"/>
      <c r="L28" s="8">
        <f>SUM(OSRRefL21x_0)</f>
        <v>5249177.2600000016</v>
      </c>
      <c r="M28" s="4"/>
      <c r="N28" s="8">
        <f>SUM(OSRRefN21x_0)</f>
        <v>4940577.41</v>
      </c>
      <c r="O28" s="4"/>
      <c r="P28" s="8">
        <f>SUM(OSRRefP21x_0)</f>
        <v>4275504.6328406399</v>
      </c>
      <c r="Q28" s="4"/>
      <c r="R28" s="8">
        <f>SUM(OSRRefR21x_0)</f>
        <v>5944472.470155159</v>
      </c>
    </row>
    <row r="29" spans="1:18" s="15" customFormat="1" outlineLevel="1" collapsed="1" x14ac:dyDescent="0.35">
      <c r="A29" s="7"/>
      <c r="B29" s="20" t="str">
        <f>CONCATENATE("     ","*Benefits                                         ")</f>
        <v xml:space="preserve">     *Benefits                                         </v>
      </c>
      <c r="C29" s="7"/>
      <c r="D29" s="1">
        <f>SUM(OSRRefD21_0x_0)</f>
        <v>779837.89</v>
      </c>
      <c r="E29" s="19"/>
      <c r="F29" s="1">
        <f>SUM(OSRRefF21_0x_0)</f>
        <v>862226.38</v>
      </c>
      <c r="G29" s="4"/>
      <c r="H29" s="1">
        <f>SUM(OSRRefH21_0x_0)</f>
        <v>934187.76</v>
      </c>
      <c r="I29" s="4"/>
      <c r="J29" s="1">
        <f>SUM(OSRRefJ21_0x_0)</f>
        <v>1097619.55</v>
      </c>
      <c r="K29" s="4"/>
      <c r="L29" s="1">
        <f>SUM(OSRRefL21_0x_0)</f>
        <v>1049955.71</v>
      </c>
      <c r="M29" s="4"/>
      <c r="N29" s="1">
        <f>SUM(OSRRefN21_0x_0)</f>
        <v>1005352.1799999999</v>
      </c>
      <c r="O29" s="4"/>
      <c r="P29" s="1">
        <f>SUM(OSRRefP21_0x_0)</f>
        <v>1240494.4290406399</v>
      </c>
      <c r="Q29" s="4"/>
      <c r="R29" s="1">
        <f>SUM(OSRRefR21_0x_0)</f>
        <v>1340961.2742551598</v>
      </c>
    </row>
    <row r="30" spans="1:18" s="16" customFormat="1" hidden="1" outlineLevel="2" x14ac:dyDescent="0.35">
      <c r="B30" s="11" t="str">
        <f>CONCATENATE("          ", "6111", " - ", "F.I.C.A.")</f>
        <v xml:space="preserve">          6111 - F.I.C.A.</v>
      </c>
      <c r="D30" s="2">
        <v>105226.75</v>
      </c>
      <c r="F30" s="2">
        <v>113212.68</v>
      </c>
      <c r="G30" s="3"/>
      <c r="H30" s="2">
        <v>124859.24</v>
      </c>
      <c r="I30" s="3"/>
      <c r="J30" s="2">
        <v>149153.35</v>
      </c>
      <c r="K30" s="3"/>
      <c r="L30" s="2">
        <v>150074.5</v>
      </c>
      <c r="M30" s="3"/>
      <c r="N30" s="2">
        <v>150355.07</v>
      </c>
      <c r="O30" s="3"/>
      <c r="P30" s="2">
        <v>128734.88501064001</v>
      </c>
      <c r="Q30" s="3"/>
      <c r="R30" s="2">
        <v>150131.24067515999</v>
      </c>
    </row>
    <row r="31" spans="1:18" s="16" customFormat="1" hidden="1" outlineLevel="2" x14ac:dyDescent="0.35">
      <c r="B31" s="11" t="str">
        <f>CONCATENATE("          ", "6112", " - ", "COMPENSATION INSURANCE")</f>
        <v xml:space="preserve">          6112 - COMPENSATION INSURANCE</v>
      </c>
      <c r="D31" s="2">
        <v>42808.99</v>
      </c>
      <c r="F31" s="2">
        <v>78543.710000000006</v>
      </c>
      <c r="G31" s="3"/>
      <c r="H31" s="2">
        <v>97173.82</v>
      </c>
      <c r="I31" s="3"/>
      <c r="J31" s="2">
        <v>76748.92</v>
      </c>
      <c r="K31" s="3"/>
      <c r="L31" s="2">
        <v>91837.68</v>
      </c>
      <c r="M31" s="3"/>
      <c r="N31" s="2">
        <v>94904.45</v>
      </c>
      <c r="O31" s="3"/>
      <c r="P31" s="2">
        <v>88867.361153999998</v>
      </c>
      <c r="Q31" s="3"/>
      <c r="R31" s="2">
        <v>119700.55054880001</v>
      </c>
    </row>
    <row r="32" spans="1:18" s="16" customFormat="1" hidden="1" outlineLevel="2" x14ac:dyDescent="0.35">
      <c r="B32" s="11" t="str">
        <f>CONCATENATE("          ", "6113", " - ", "GROUP INSURANCE")</f>
        <v xml:space="preserve">          6113 - GROUP INSURANCE</v>
      </c>
      <c r="D32" s="2">
        <v>394441.04</v>
      </c>
      <c r="F32" s="2">
        <v>418103.64</v>
      </c>
      <c r="G32" s="3"/>
      <c r="H32" s="2">
        <v>476982.84</v>
      </c>
      <c r="I32" s="3"/>
      <c r="J32" s="2">
        <v>582635.12</v>
      </c>
      <c r="K32" s="3"/>
      <c r="L32" s="2">
        <v>543273.29</v>
      </c>
      <c r="M32" s="3"/>
      <c r="N32" s="2">
        <v>557939.72</v>
      </c>
      <c r="O32" s="3"/>
      <c r="P32" s="2">
        <v>755520</v>
      </c>
      <c r="Q32" s="3"/>
      <c r="R32" s="2">
        <v>790620</v>
      </c>
    </row>
    <row r="33" spans="1:18" s="16" customFormat="1" hidden="1" outlineLevel="2" x14ac:dyDescent="0.35">
      <c r="B33" s="11" t="str">
        <f>CONCATENATE("          ", "6114", " - ", "STATE UNEMPLOYMENT INSURANCE")</f>
        <v xml:space="preserve">          6114 - STATE UNEMPLOYMENT INSURANCE</v>
      </c>
      <c r="D33" s="2">
        <v>12251.48</v>
      </c>
      <c r="F33" s="2">
        <v>13707.09</v>
      </c>
      <c r="G33" s="3"/>
      <c r="H33" s="2">
        <v>7794.47</v>
      </c>
      <c r="I33" s="3"/>
      <c r="J33" s="2">
        <v>8173.65</v>
      </c>
      <c r="K33" s="3"/>
      <c r="L33" s="2">
        <v>7621.31</v>
      </c>
      <c r="M33" s="3"/>
      <c r="N33" s="2">
        <v>0</v>
      </c>
      <c r="O33" s="3"/>
      <c r="P33" s="2">
        <v>5385.9006760000002</v>
      </c>
      <c r="Q33" s="3"/>
      <c r="R33" s="2">
        <v>6632.4843312000003</v>
      </c>
    </row>
    <row r="34" spans="1:18" s="16" customFormat="1" hidden="1" outlineLevel="2" x14ac:dyDescent="0.35">
      <c r="B34" s="11" t="str">
        <f>CONCATENATE("          ", "6115", " - ", "P.E.R.S.")</f>
        <v xml:space="preserve">          6115 - P.E.R.S.</v>
      </c>
      <c r="D34" s="2">
        <v>49400.45</v>
      </c>
      <c r="F34" s="2">
        <v>39157.230000000003</v>
      </c>
      <c r="G34" s="3"/>
      <c r="H34" s="2">
        <v>45156.92</v>
      </c>
      <c r="I34" s="3"/>
      <c r="J34" s="2">
        <v>46954.86</v>
      </c>
      <c r="K34" s="3"/>
      <c r="L34" s="2">
        <v>44903.37</v>
      </c>
      <c r="M34" s="3"/>
      <c r="N34" s="2">
        <v>51688.44</v>
      </c>
      <c r="O34" s="3"/>
      <c r="P34" s="2">
        <v>59840.864000000103</v>
      </c>
      <c r="Q34" s="3"/>
      <c r="R34" s="2">
        <v>49965.922599999998</v>
      </c>
    </row>
    <row r="35" spans="1:18" s="16" customFormat="1" hidden="1" outlineLevel="2" x14ac:dyDescent="0.35">
      <c r="B35" s="11" t="str">
        <f>CONCATENATE("          ", "6116", " - ", "EDUCATIONAL BENEFITS")</f>
        <v xml:space="preserve">          6116 - EDUCATIONAL BENEFITS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"6117", " - ", "RETIREMENT STAFF HOURLY")</f>
        <v xml:space="preserve">          6117 - RETIREMENT STAFF HOURLY</v>
      </c>
      <c r="D36" s="2">
        <v>15007.77</v>
      </c>
      <c r="F36" s="2">
        <v>15081.4</v>
      </c>
      <c r="G36" s="3"/>
      <c r="H36" s="2">
        <v>14573.45</v>
      </c>
      <c r="I36" s="3"/>
      <c r="J36" s="2">
        <v>16090.86</v>
      </c>
      <c r="K36" s="3"/>
      <c r="L36" s="2">
        <v>18321.439999999999</v>
      </c>
      <c r="M36" s="3"/>
      <c r="N36" s="2">
        <v>20877.599999999999</v>
      </c>
      <c r="O36" s="3"/>
      <c r="P36" s="2"/>
      <c r="Q36" s="3"/>
      <c r="R36" s="2"/>
    </row>
    <row r="37" spans="1:18" s="16" customFormat="1" hidden="1" outlineLevel="2" x14ac:dyDescent="0.35">
      <c r="B37" s="11" t="str">
        <f>CONCATENATE("          ", "6118", " - ", "VACATION")</f>
        <v xml:space="preserve">          6118 - VACATION</v>
      </c>
      <c r="D37" s="2">
        <v>74722.5</v>
      </c>
      <c r="F37" s="2">
        <v>91263.29</v>
      </c>
      <c r="G37" s="3"/>
      <c r="H37" s="2">
        <v>88757.84</v>
      </c>
      <c r="I37" s="3"/>
      <c r="J37" s="2">
        <v>104559.72</v>
      </c>
      <c r="K37" s="3"/>
      <c r="L37" s="2">
        <v>99265.83</v>
      </c>
      <c r="M37" s="3"/>
      <c r="N37" s="2">
        <v>98573.73</v>
      </c>
      <c r="O37" s="3"/>
      <c r="P37" s="2">
        <v>87829.142399999997</v>
      </c>
      <c r="Q37" s="3"/>
      <c r="R37" s="2">
        <v>73804.046600000001</v>
      </c>
    </row>
    <row r="38" spans="1:18" s="16" customFormat="1" hidden="1" outlineLevel="2" x14ac:dyDescent="0.35">
      <c r="B38" s="11" t="str">
        <f>CONCATENATE("          ", "6119", " - ", "SICK LEAVE")</f>
        <v xml:space="preserve">          6119 - SICK LEAVE</v>
      </c>
      <c r="D38" s="2">
        <v>50330.12</v>
      </c>
      <c r="F38" s="2">
        <v>59196.76</v>
      </c>
      <c r="G38" s="3"/>
      <c r="H38" s="2">
        <v>44161.27</v>
      </c>
      <c r="I38" s="3"/>
      <c r="J38" s="2">
        <v>69411.7</v>
      </c>
      <c r="K38" s="3"/>
      <c r="L38" s="2">
        <v>54146.400000000001</v>
      </c>
      <c r="M38" s="3"/>
      <c r="N38" s="2">
        <v>-9843.3700000000008</v>
      </c>
      <c r="O38" s="3"/>
      <c r="P38" s="2">
        <v>70216.275800000003</v>
      </c>
      <c r="Q38" s="3"/>
      <c r="R38" s="2">
        <v>99707.029500000004</v>
      </c>
    </row>
    <row r="39" spans="1:18" s="16" customFormat="1" hidden="1" outlineLevel="2" x14ac:dyDescent="0.35">
      <c r="B39" s="11" t="str">
        <f>CONCATENATE("          ", "6156", " - ", "EMPLOYEE MEALS")</f>
        <v xml:space="preserve">          6156 - EMPLOYEE MEALS</v>
      </c>
      <c r="D39" s="2">
        <v>35648.79</v>
      </c>
      <c r="F39" s="2">
        <v>33960.58</v>
      </c>
      <c r="G39" s="3"/>
      <c r="H39" s="2">
        <v>34727.910000000003</v>
      </c>
      <c r="I39" s="3"/>
      <c r="J39" s="2">
        <v>43891.37</v>
      </c>
      <c r="K39" s="3"/>
      <c r="L39" s="2">
        <v>40511.89</v>
      </c>
      <c r="M39" s="3"/>
      <c r="N39" s="2">
        <v>40856.54</v>
      </c>
      <c r="O39" s="3"/>
      <c r="P39" s="2">
        <v>44100</v>
      </c>
      <c r="Q39" s="3"/>
      <c r="R39" s="2">
        <v>50400</v>
      </c>
    </row>
    <row r="40" spans="1:18" s="15" customFormat="1" outlineLevel="1" collapsed="1" x14ac:dyDescent="0.35">
      <c r="A40" s="7"/>
      <c r="B40" s="20" t="str">
        <f>CONCATENATE("     ","*Payroll                                          ")</f>
        <v xml:space="preserve">     *Payroll                                          </v>
      </c>
      <c r="C40" s="7"/>
      <c r="D40" s="1">
        <f>SUM(OSRRefD21_1x_0)</f>
        <v>1916547.48</v>
      </c>
      <c r="E40" s="19"/>
      <c r="F40" s="1">
        <f>SUM(OSRRefF21_1x_0)</f>
        <v>2145406.7799999998</v>
      </c>
      <c r="G40" s="4"/>
      <c r="H40" s="1">
        <f>SUM(OSRRefH21_1x_0)</f>
        <v>2369793.2399999998</v>
      </c>
      <c r="I40" s="4"/>
      <c r="J40" s="1">
        <f>SUM(OSRRefJ21_1x_0)</f>
        <v>2487752.7799999998</v>
      </c>
      <c r="K40" s="4"/>
      <c r="L40" s="1">
        <f>SUM(OSRRefL21_1x_0)</f>
        <v>2671885.2400000002</v>
      </c>
      <c r="M40" s="4"/>
      <c r="N40" s="1">
        <f>SUM(OSRRefN21_1x_0)</f>
        <v>2595607.4</v>
      </c>
      <c r="O40" s="4"/>
      <c r="P40" s="1">
        <f>SUM(OSRRefP21_1x_0)</f>
        <v>1919861.2038000003</v>
      </c>
      <c r="Q40" s="4"/>
      <c r="R40" s="1">
        <f>SUM(OSRRefR21_1x_0)</f>
        <v>2996304.1958999992</v>
      </c>
    </row>
    <row r="41" spans="1:18" s="16" customFormat="1" hidden="1" outlineLevel="2" x14ac:dyDescent="0.35">
      <c r="B41" s="11" t="str">
        <f>CONCATENATE("          ", "6001", " - ", "ADMINISTRATIVE SALARIES")</f>
        <v xml:space="preserve">          6001 - ADMINISTRATIVE SALARIES</v>
      </c>
      <c r="D41" s="2">
        <v>48455.41</v>
      </c>
      <c r="F41" s="2">
        <v>94870</v>
      </c>
      <c r="G41" s="3"/>
      <c r="H41" s="2">
        <v>95215.8</v>
      </c>
      <c r="I41" s="3"/>
      <c r="J41" s="2">
        <v>84106.51</v>
      </c>
      <c r="K41" s="3"/>
      <c r="L41" s="2">
        <v>93312.04</v>
      </c>
      <c r="M41" s="3"/>
      <c r="N41" s="2">
        <v>100143.27</v>
      </c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"6002", " - ", "STAFF SALARIES")</f>
        <v xml:space="preserve">          6002 - STAFF SALARIES</v>
      </c>
      <c r="D42" s="2">
        <v>323996.86</v>
      </c>
      <c r="F42" s="2">
        <v>382700.53</v>
      </c>
      <c r="G42" s="3"/>
      <c r="H42" s="2">
        <v>409342.69</v>
      </c>
      <c r="I42" s="3"/>
      <c r="J42" s="2">
        <v>421512.71</v>
      </c>
      <c r="K42" s="3"/>
      <c r="L42" s="2">
        <v>444718.26</v>
      </c>
      <c r="M42" s="3"/>
      <c r="N42" s="2">
        <v>432106.04</v>
      </c>
      <c r="O42" s="3"/>
      <c r="P42" s="2">
        <v>627688.38</v>
      </c>
      <c r="Q42" s="3"/>
      <c r="R42" s="2">
        <v>547321.16209999903</v>
      </c>
    </row>
    <row r="43" spans="1:18" s="16" customFormat="1" hidden="1" outlineLevel="2" x14ac:dyDescent="0.35">
      <c r="B43" s="11" t="str">
        <f>CONCATENATE("          ", "6003", " - ", "STAFF HOURLY-9 MONTH")</f>
        <v xml:space="preserve">          6003 - STAFF HOURLY-9 MONTH</v>
      </c>
      <c r="D43" s="2"/>
      <c r="F43" s="2"/>
      <c r="G43" s="3"/>
      <c r="H43" s="2"/>
      <c r="I43" s="3"/>
      <c r="J43" s="2"/>
      <c r="K43" s="3"/>
      <c r="L43" s="2"/>
      <c r="M43" s="3"/>
      <c r="N43" s="2"/>
      <c r="O43" s="3"/>
      <c r="P43" s="2">
        <v>0</v>
      </c>
      <c r="Q43" s="3"/>
      <c r="R43" s="2">
        <v>0</v>
      </c>
    </row>
    <row r="44" spans="1:18" s="16" customFormat="1" hidden="1" outlineLevel="2" x14ac:dyDescent="0.35">
      <c r="B44" s="11" t="str">
        <f>CONCATENATE("          ", "6004", " - ", "STAFF HOURLY")</f>
        <v xml:space="preserve">          6004 - STAFF HOURLY</v>
      </c>
      <c r="D44" s="2">
        <v>541307.81000000006</v>
      </c>
      <c r="F44" s="2">
        <v>515380.13</v>
      </c>
      <c r="G44" s="3"/>
      <c r="H44" s="2">
        <v>526548.56999999995</v>
      </c>
      <c r="I44" s="3"/>
      <c r="J44" s="2">
        <v>696231.51</v>
      </c>
      <c r="K44" s="3"/>
      <c r="L44" s="2">
        <v>665344.63</v>
      </c>
      <c r="M44" s="3"/>
      <c r="N44" s="2">
        <v>696011.51</v>
      </c>
      <c r="O44" s="3"/>
      <c r="P44" s="2">
        <v>897471.84895999997</v>
      </c>
      <c r="Q44" s="3"/>
      <c r="R44" s="2">
        <v>1240243.6928000001</v>
      </c>
    </row>
    <row r="45" spans="1:18" s="16" customFormat="1" hidden="1" outlineLevel="2" x14ac:dyDescent="0.35">
      <c r="B45" s="11" t="str">
        <f>CONCATENATE("          ", "6005", " - ", "TEMPORARY WAGES-HOURLY")</f>
        <v xml:space="preserve">          6005 - TEMPORARY WAGES-HOURLY</v>
      </c>
      <c r="D45" s="2">
        <v>284045.15999999997</v>
      </c>
      <c r="F45" s="2">
        <v>291722.21000000002</v>
      </c>
      <c r="G45" s="3"/>
      <c r="H45" s="2">
        <v>328197.59999999998</v>
      </c>
      <c r="I45" s="3"/>
      <c r="J45" s="2">
        <v>370682.75</v>
      </c>
      <c r="K45" s="3"/>
      <c r="L45" s="2">
        <v>461038.33</v>
      </c>
      <c r="M45" s="3"/>
      <c r="N45" s="2">
        <v>393545.4</v>
      </c>
      <c r="O45" s="3"/>
      <c r="P45" s="2">
        <v>87613.845440000005</v>
      </c>
      <c r="Q45" s="3"/>
      <c r="R45" s="2">
        <v>227579.94500000001</v>
      </c>
    </row>
    <row r="46" spans="1:18" s="16" customFormat="1" hidden="1" outlineLevel="2" x14ac:dyDescent="0.35">
      <c r="B46" s="11" t="str">
        <f>CONCATENATE("          ", "6006", " - ", "TEMPORARY PART TIME")</f>
        <v xml:space="preserve">          6006 - TEMPORARY PART TIME</v>
      </c>
      <c r="D46" s="2">
        <v>1163.25</v>
      </c>
      <c r="F46" s="2">
        <v>13914.7</v>
      </c>
      <c r="G46" s="3"/>
      <c r="H46" s="2">
        <v>63728.93</v>
      </c>
      <c r="I46" s="3"/>
      <c r="J46" s="2">
        <v>43994.97</v>
      </c>
      <c r="K46" s="3"/>
      <c r="L46" s="2">
        <v>36970.400000000001</v>
      </c>
      <c r="M46" s="3"/>
      <c r="N46" s="2">
        <v>34130.699999999997</v>
      </c>
      <c r="O46" s="3"/>
      <c r="P46" s="2">
        <v>0</v>
      </c>
      <c r="Q46" s="3"/>
      <c r="R46" s="2">
        <v>0</v>
      </c>
    </row>
    <row r="47" spans="1:18" s="16" customFormat="1" hidden="1" outlineLevel="2" x14ac:dyDescent="0.35">
      <c r="B47" s="11" t="str">
        <f>CONCATENATE("          ", "6007", " - ", "STUDENT HOURLY")</f>
        <v xml:space="preserve">          6007 - STUDENT HOURLY</v>
      </c>
      <c r="D47" s="2">
        <v>566722.56999999995</v>
      </c>
      <c r="F47" s="2">
        <v>638806.68999999994</v>
      </c>
      <c r="G47" s="3"/>
      <c r="H47" s="2">
        <v>702873.13</v>
      </c>
      <c r="I47" s="3"/>
      <c r="J47" s="2">
        <v>678963.95</v>
      </c>
      <c r="K47" s="3"/>
      <c r="L47" s="2">
        <v>749874.64</v>
      </c>
      <c r="M47" s="3"/>
      <c r="N47" s="2">
        <v>767218.78</v>
      </c>
      <c r="O47" s="3"/>
      <c r="P47" s="2">
        <v>13860.33</v>
      </c>
      <c r="Q47" s="3"/>
      <c r="R47" s="2">
        <v>42825.5</v>
      </c>
    </row>
    <row r="48" spans="1:18" s="16" customFormat="1" hidden="1" outlineLevel="2" x14ac:dyDescent="0.35">
      <c r="B48" s="11" t="str">
        <f>CONCATENATE("          ", "6008", " - ", "STUDENT HOURLY-FICA EXEMPT")</f>
        <v xml:space="preserve">          6008 - STUDENT HOURLY-FICA EXEMPT</v>
      </c>
      <c r="D48" s="2">
        <v>150856.42000000001</v>
      </c>
      <c r="F48" s="2">
        <v>208012.52</v>
      </c>
      <c r="G48" s="3"/>
      <c r="H48" s="2">
        <v>243886.52</v>
      </c>
      <c r="I48" s="3"/>
      <c r="J48" s="2">
        <v>192260.38</v>
      </c>
      <c r="K48" s="3"/>
      <c r="L48" s="2">
        <v>220626.94</v>
      </c>
      <c r="M48" s="3"/>
      <c r="N48" s="2">
        <v>172451.7</v>
      </c>
      <c r="O48" s="3"/>
      <c r="P48" s="2">
        <v>293226.79940000002</v>
      </c>
      <c r="Q48" s="3"/>
      <c r="R48" s="2">
        <v>938333.89599999995</v>
      </c>
    </row>
    <row r="49" spans="1:18" s="16" customFormat="1" hidden="1" outlineLevel="2" x14ac:dyDescent="0.35">
      <c r="B49" s="11" t="str">
        <f>CONCATENATE("          ", "6009", " - ", "TEMPORARY-SEASONAL")</f>
        <v xml:space="preserve">          6009 - TEMPORARY-SEASONAL</v>
      </c>
      <c r="D49" s="2"/>
      <c r="F49" s="2"/>
      <c r="G49" s="3"/>
      <c r="H49" s="2"/>
      <c r="I49" s="3"/>
      <c r="J49" s="2"/>
      <c r="K49" s="3"/>
      <c r="L49" s="2"/>
      <c r="M49" s="3"/>
      <c r="N49" s="2"/>
      <c r="O49" s="3"/>
      <c r="P49" s="2">
        <v>0</v>
      </c>
      <c r="Q49" s="3"/>
      <c r="R49" s="2">
        <v>0</v>
      </c>
    </row>
    <row r="50" spans="1:18" s="16" customFormat="1" hidden="1" outlineLevel="2" x14ac:dyDescent="0.35">
      <c r="B50" s="11" t="str">
        <f>CONCATENATE("          ", "6010", " - ", "GRATUITY")</f>
        <v xml:space="preserve">          6010 - GRATUITY</v>
      </c>
      <c r="D50" s="2"/>
      <c r="F50" s="2"/>
      <c r="G50" s="3"/>
      <c r="H50" s="2"/>
      <c r="I50" s="3"/>
      <c r="J50" s="2"/>
      <c r="K50" s="3"/>
      <c r="L50" s="2"/>
      <c r="M50" s="3"/>
      <c r="N50" s="2"/>
      <c r="O50" s="3"/>
      <c r="P50" s="2">
        <v>0</v>
      </c>
      <c r="Q50" s="3"/>
      <c r="R50" s="2">
        <v>0</v>
      </c>
    </row>
    <row r="51" spans="1:18" s="15" customFormat="1" outlineLevel="1" collapsed="1" x14ac:dyDescent="0.35">
      <c r="A51" s="7"/>
      <c r="B51" s="20" t="str">
        <f>CONCATENATE("     ","Advertising/Promo                                 ")</f>
        <v xml:space="preserve">     Advertising/Promo                                 </v>
      </c>
      <c r="C51" s="7"/>
      <c r="D51" s="1">
        <f>SUM(OSRRefD21_2x_0)</f>
        <v>13361.19</v>
      </c>
      <c r="E51" s="19"/>
      <c r="F51" s="1">
        <f>SUM(OSRRefF21_2x_0)</f>
        <v>8434.5400000000009</v>
      </c>
      <c r="G51" s="4"/>
      <c r="H51" s="1">
        <f>SUM(OSRRefH21_2x_0)</f>
        <v>6768.42</v>
      </c>
      <c r="I51" s="4"/>
      <c r="J51" s="1">
        <f>SUM(OSRRefJ21_2x_0)</f>
        <v>10042.69</v>
      </c>
      <c r="K51" s="4"/>
      <c r="L51" s="1">
        <f>SUM(OSRRefL21_2x_0)</f>
        <v>13507.1</v>
      </c>
      <c r="M51" s="4"/>
      <c r="N51" s="1">
        <f>SUM(OSRRefN21_2x_0)</f>
        <v>8477.7099999999991</v>
      </c>
      <c r="O51" s="4"/>
      <c r="P51" s="1">
        <f>SUM(OSRRefP21_2x_0)</f>
        <v>13828</v>
      </c>
      <c r="Q51" s="4"/>
      <c r="R51" s="1">
        <f>SUM(OSRRefR21_2x_0)</f>
        <v>15478</v>
      </c>
    </row>
    <row r="52" spans="1:18" s="16" customFormat="1" hidden="1" outlineLevel="2" x14ac:dyDescent="0.35">
      <c r="B52" s="11" t="str">
        <f>CONCATENATE("          ", "6362", " - ", "ADVERTISING EXPENSE")</f>
        <v xml:space="preserve">          6362 - ADVERTISING EXPENSE</v>
      </c>
      <c r="D52" s="2">
        <v>13361.19</v>
      </c>
      <c r="F52" s="2">
        <v>8434.5400000000009</v>
      </c>
      <c r="G52" s="3"/>
      <c r="H52" s="2">
        <v>6768.42</v>
      </c>
      <c r="I52" s="3"/>
      <c r="J52" s="2">
        <v>10042.69</v>
      </c>
      <c r="K52" s="3"/>
      <c r="L52" s="2">
        <v>13507.1</v>
      </c>
      <c r="M52" s="3"/>
      <c r="N52" s="2">
        <v>8477.7099999999991</v>
      </c>
      <c r="O52" s="3"/>
      <c r="P52" s="2">
        <v>13828</v>
      </c>
      <c r="Q52" s="3"/>
      <c r="R52" s="2">
        <v>15478</v>
      </c>
    </row>
    <row r="53" spans="1:18" s="15" customFormat="1" outlineLevel="1" collapsed="1" x14ac:dyDescent="0.35">
      <c r="A53" s="7"/>
      <c r="B53" s="20" t="str">
        <f>CONCATENATE("     ","Bad Debts/Over/Short                              ")</f>
        <v xml:space="preserve">     Bad Debts/Over/Short                              </v>
      </c>
      <c r="C53" s="7"/>
      <c r="D53" s="1">
        <f>SUM(OSRRefD21_3x_0)</f>
        <v>8918.84</v>
      </c>
      <c r="E53" s="19"/>
      <c r="F53" s="1">
        <f>SUM(OSRRefF21_3x_0)</f>
        <v>117.09</v>
      </c>
      <c r="G53" s="4"/>
      <c r="H53" s="1">
        <f>SUM(OSRRefH21_3x_0)</f>
        <v>12286.36</v>
      </c>
      <c r="I53" s="4"/>
      <c r="J53" s="1">
        <f>SUM(OSRRefJ21_3x_0)</f>
        <v>53762.53</v>
      </c>
      <c r="K53" s="4"/>
      <c r="L53" s="1">
        <f>SUM(OSRRefL21_3x_0)</f>
        <v>172.99</v>
      </c>
      <c r="M53" s="4"/>
      <c r="N53" s="1">
        <f>SUM(OSRRefN21_3x_0)</f>
        <v>63.55</v>
      </c>
      <c r="O53" s="4"/>
      <c r="P53" s="1">
        <f>SUM(OSRRefP21_3x_0)</f>
        <v>340</v>
      </c>
      <c r="Q53" s="4"/>
      <c r="R53" s="1">
        <f>SUM(OSRRefR21_3x_0)</f>
        <v>360</v>
      </c>
    </row>
    <row r="54" spans="1:18" s="16" customFormat="1" hidden="1" outlineLevel="2" x14ac:dyDescent="0.35">
      <c r="B54" s="11" t="str">
        <f>CONCATENATE("          ", "6272", " - ", "CASH (OVER/SHORT)")</f>
        <v xml:space="preserve">          6272 - CASH (OVER/SHORT)</v>
      </c>
      <c r="D54" s="2">
        <v>8918.84</v>
      </c>
      <c r="F54" s="2">
        <v>117.09</v>
      </c>
      <c r="G54" s="3"/>
      <c r="H54" s="2">
        <v>12286.36</v>
      </c>
      <c r="I54" s="3"/>
      <c r="J54" s="2">
        <v>53762.53</v>
      </c>
      <c r="K54" s="3"/>
      <c r="L54" s="2">
        <v>172.99</v>
      </c>
      <c r="M54" s="3"/>
      <c r="N54" s="2">
        <v>63.55</v>
      </c>
      <c r="O54" s="3"/>
      <c r="P54" s="2">
        <v>340</v>
      </c>
      <c r="Q54" s="3"/>
      <c r="R54" s="2">
        <v>360</v>
      </c>
    </row>
    <row r="55" spans="1:18" s="15" customFormat="1" outlineLevel="1" collapsed="1" x14ac:dyDescent="0.35">
      <c r="A55" s="7"/>
      <c r="B55" s="20" t="str">
        <f>CONCATENATE("     ","Bank/card Fees                                    ")</f>
        <v xml:space="preserve">     Bank/card Fees                                    </v>
      </c>
      <c r="C55" s="7"/>
      <c r="D55" s="1">
        <f>SUM(OSRRefD21_4x_0)</f>
        <v>2651.49</v>
      </c>
      <c r="E55" s="19"/>
      <c r="F55" s="1">
        <f>SUM(OSRRefF21_4x_0)</f>
        <v>4176.6899999999996</v>
      </c>
      <c r="G55" s="4"/>
      <c r="H55" s="1">
        <f>SUM(OSRRefH21_4x_0)</f>
        <v>6437.28</v>
      </c>
      <c r="I55" s="4"/>
      <c r="J55" s="1">
        <f>SUM(OSRRefJ21_4x_0)</f>
        <v>5852.97</v>
      </c>
      <c r="K55" s="4"/>
      <c r="L55" s="1">
        <f>SUM(OSRRefL21_4x_0)</f>
        <v>4287.38</v>
      </c>
      <c r="M55" s="4"/>
      <c r="N55" s="1">
        <f>SUM(OSRRefN21_4x_0)</f>
        <v>3181.84</v>
      </c>
      <c r="O55" s="4"/>
      <c r="P55" s="1">
        <f>SUM(OSRRefP21_4x_0)</f>
        <v>4576</v>
      </c>
      <c r="Q55" s="4"/>
      <c r="R55" s="1">
        <f>SUM(OSRRefR21_4x_0)</f>
        <v>4870</v>
      </c>
    </row>
    <row r="56" spans="1:18" s="16" customFormat="1" hidden="1" outlineLevel="2" x14ac:dyDescent="0.35">
      <c r="B56" s="11" t="str">
        <f>CONCATENATE("          ", "6381", " - ", "BANK/CREDIT CARD FEES")</f>
        <v xml:space="preserve">          6381 - BANK/CREDIT CARD FEES</v>
      </c>
      <c r="D56" s="2">
        <v>2651.49</v>
      </c>
      <c r="F56" s="2">
        <v>4176.6899999999996</v>
      </c>
      <c r="G56" s="3"/>
      <c r="H56" s="2">
        <v>6437.28</v>
      </c>
      <c r="I56" s="3"/>
      <c r="J56" s="2">
        <v>5852.97</v>
      </c>
      <c r="K56" s="3"/>
      <c r="L56" s="2">
        <v>4287.38</v>
      </c>
      <c r="M56" s="3"/>
      <c r="N56" s="2">
        <v>3181.84</v>
      </c>
      <c r="O56" s="3"/>
      <c r="P56" s="2">
        <v>4576</v>
      </c>
      <c r="Q56" s="3"/>
      <c r="R56" s="2">
        <v>4870</v>
      </c>
    </row>
    <row r="57" spans="1:18" s="15" customFormat="1" outlineLevel="1" collapsed="1" x14ac:dyDescent="0.35">
      <c r="A57" s="7"/>
      <c r="B57" s="20" t="str">
        <f>CONCATENATE("     ","Depreciation                                      ")</f>
        <v xml:space="preserve">     Depreciation                                      </v>
      </c>
      <c r="C57" s="7"/>
      <c r="D57" s="1">
        <f>SUM(OSRRefD21_5x_0)</f>
        <v>17710.329999999998</v>
      </c>
      <c r="E57" s="19"/>
      <c r="F57" s="1">
        <f>SUM(OSRRefF21_5x_0)</f>
        <v>8081.66</v>
      </c>
      <c r="G57" s="4"/>
      <c r="H57" s="1">
        <f>SUM(OSRRefH21_5x_0)</f>
        <v>4143.62</v>
      </c>
      <c r="I57" s="4"/>
      <c r="J57" s="1">
        <f>SUM(OSRRefJ21_5x_0)</f>
        <v>685</v>
      </c>
      <c r="K57" s="4"/>
      <c r="L57" s="1">
        <f>SUM(OSRRefL21_5x_0)</f>
        <v>0</v>
      </c>
      <c r="M57" s="4"/>
      <c r="N57" s="1">
        <f>SUM(OSRRefN21_5x_0)</f>
        <v>852.07</v>
      </c>
      <c r="O57" s="4"/>
      <c r="P57" s="1">
        <f>SUM(OSRRefP21_5x_0)</f>
        <v>2556</v>
      </c>
      <c r="Q57" s="4"/>
      <c r="R57" s="1">
        <f>SUM(OSRRefR21_5x_0)</f>
        <v>5832</v>
      </c>
    </row>
    <row r="58" spans="1:18" s="16" customFormat="1" hidden="1" outlineLevel="2" x14ac:dyDescent="0.35">
      <c r="B58" s="11" t="str">
        <f>CONCATENATE("          ", "6322", " - ", "EQUIPMENT DEPRECIATION EXPENSE")</f>
        <v xml:space="preserve">          6322 - EQUIPMENT DEPRECIATION EXPENSE</v>
      </c>
      <c r="D58" s="2">
        <v>15630.31</v>
      </c>
      <c r="F58" s="2">
        <v>8081.66</v>
      </c>
      <c r="G58" s="3"/>
      <c r="H58" s="2">
        <v>4143.62</v>
      </c>
      <c r="I58" s="3"/>
      <c r="J58" s="2">
        <v>685</v>
      </c>
      <c r="K58" s="3"/>
      <c r="L58" s="2"/>
      <c r="M58" s="3"/>
      <c r="N58" s="2">
        <v>852.07</v>
      </c>
      <c r="O58" s="3"/>
      <c r="P58" s="2">
        <v>2556</v>
      </c>
      <c r="Q58" s="3"/>
      <c r="R58" s="2">
        <v>5832</v>
      </c>
    </row>
    <row r="59" spans="1:18" s="16" customFormat="1" hidden="1" outlineLevel="2" x14ac:dyDescent="0.35">
      <c r="B59" s="11" t="str">
        <f>CONCATENATE("          ", "6326", " - ", "VEHICLES DEPRECIATION EXPENSE")</f>
        <v xml:space="preserve">          6326 - VEHICLES DEPRECIATION EXPENSE</v>
      </c>
      <c r="D59" s="2">
        <v>2080.02</v>
      </c>
      <c r="F59" s="2"/>
      <c r="G59" s="3"/>
      <c r="H59" s="2"/>
      <c r="I59" s="3"/>
      <c r="J59" s="2"/>
      <c r="K59" s="3"/>
      <c r="L59" s="2"/>
      <c r="M59" s="3"/>
      <c r="N59" s="2"/>
      <c r="O59" s="3"/>
      <c r="P59" s="2"/>
      <c r="Q59" s="3"/>
      <c r="R59" s="2"/>
    </row>
    <row r="60" spans="1:18" s="15" customFormat="1" outlineLevel="1" collapsed="1" x14ac:dyDescent="0.35">
      <c r="A60" s="7"/>
      <c r="B60" s="20" t="str">
        <f>CONCATENATE("     ","Discounts and Markdowns                           ")</f>
        <v xml:space="preserve">     Discounts and Markdowns                           </v>
      </c>
      <c r="C60" s="7"/>
      <c r="D60" s="1">
        <f>SUM(OSRRefD21_6x_0)</f>
        <v>0</v>
      </c>
      <c r="E60" s="19"/>
      <c r="F60" s="1">
        <f>SUM(OSRRefF21_6x_0)</f>
        <v>-0.03</v>
      </c>
      <c r="G60" s="4"/>
      <c r="H60" s="1">
        <f>SUM(OSRRefH21_6x_0)</f>
        <v>0</v>
      </c>
      <c r="I60" s="4"/>
      <c r="J60" s="1">
        <f>SUM(OSRRefJ21_6x_0)</f>
        <v>0</v>
      </c>
      <c r="K60" s="4"/>
      <c r="L60" s="1">
        <f>SUM(OSRRefL21_6x_0)</f>
        <v>0</v>
      </c>
      <c r="M60" s="4"/>
      <c r="N60" s="1">
        <f>SUM(OSRRefN21_6x_0)</f>
        <v>0</v>
      </c>
      <c r="O60" s="4"/>
      <c r="P60" s="1">
        <f>SUM(OSRRefP21_6x_0)</f>
        <v>0</v>
      </c>
      <c r="Q60" s="4"/>
      <c r="R60" s="1">
        <f>SUM(OSRRefR21_6x_0)</f>
        <v>0</v>
      </c>
    </row>
    <row r="61" spans="1:18" s="16" customFormat="1" hidden="1" outlineLevel="2" x14ac:dyDescent="0.35">
      <c r="B61" s="11" t="str">
        <f>CONCATENATE("          ", "6382", " - ", "DISCOUNTS/MARK DOWNS")</f>
        <v xml:space="preserve">          6382 - DISCOUNTS/MARK DOWNS</v>
      </c>
      <c r="D61" s="2"/>
      <c r="F61" s="2">
        <v>-0.03</v>
      </c>
      <c r="G61" s="3"/>
      <c r="H61" s="2"/>
      <c r="I61" s="3"/>
      <c r="J61" s="2"/>
      <c r="K61" s="3"/>
      <c r="L61" s="2"/>
      <c r="M61" s="3"/>
      <c r="N61" s="2"/>
      <c r="O61" s="3"/>
      <c r="P61" s="2"/>
      <c r="Q61" s="3"/>
      <c r="R61" s="2"/>
    </row>
    <row r="62" spans="1:18" s="15" customFormat="1" outlineLevel="1" collapsed="1" x14ac:dyDescent="0.35">
      <c r="A62" s="7"/>
      <c r="B62" s="20" t="str">
        <f>CONCATENATE("     ","Donations                                         ")</f>
        <v xml:space="preserve">     Donations                                         </v>
      </c>
      <c r="C62" s="7"/>
      <c r="D62" s="1">
        <f>SUM(OSRRefD21_7x_0)</f>
        <v>120960.53</v>
      </c>
      <c r="E62" s="19"/>
      <c r="F62" s="1">
        <f>SUM(OSRRefF21_7x_0)</f>
        <v>111909.36</v>
      </c>
      <c r="G62" s="4"/>
      <c r="H62" s="1">
        <f>SUM(OSRRefH21_7x_0)</f>
        <v>78525.37</v>
      </c>
      <c r="I62" s="4"/>
      <c r="J62" s="1">
        <f>SUM(OSRRefJ21_7x_0)</f>
        <v>119954.4</v>
      </c>
      <c r="K62" s="4"/>
      <c r="L62" s="1">
        <f>SUM(OSRRefL21_7x_0)</f>
        <v>134048.70000000001</v>
      </c>
      <c r="M62" s="4"/>
      <c r="N62" s="1">
        <f>SUM(OSRRefN21_7x_0)</f>
        <v>140099.51999999999</v>
      </c>
      <c r="O62" s="4"/>
      <c r="P62" s="1">
        <f>SUM(OSRRefP21_7x_0)</f>
        <v>130730</v>
      </c>
      <c r="Q62" s="4"/>
      <c r="R62" s="1">
        <f>SUM(OSRRefR21_7x_0)</f>
        <v>155000</v>
      </c>
    </row>
    <row r="63" spans="1:18" s="16" customFormat="1" hidden="1" outlineLevel="2" x14ac:dyDescent="0.35">
      <c r="B63" s="11" t="str">
        <f>CONCATENATE("          ", "6399", " - ", "DONATION-ON CAMPUS")</f>
        <v xml:space="preserve">          6399 - DONATION-ON CAMPUS</v>
      </c>
      <c r="D63" s="2">
        <v>120960.53</v>
      </c>
      <c r="F63" s="2">
        <v>111909.36</v>
      </c>
      <c r="G63" s="3"/>
      <c r="H63" s="2">
        <v>78525.37</v>
      </c>
      <c r="I63" s="3"/>
      <c r="J63" s="2">
        <v>119954.4</v>
      </c>
      <c r="K63" s="3"/>
      <c r="L63" s="2">
        <v>134048.70000000001</v>
      </c>
      <c r="M63" s="3"/>
      <c r="N63" s="2">
        <v>140099.51999999999</v>
      </c>
      <c r="O63" s="3"/>
      <c r="P63" s="2">
        <v>130730</v>
      </c>
      <c r="Q63" s="3"/>
      <c r="R63" s="2">
        <v>155000</v>
      </c>
    </row>
    <row r="64" spans="1:18" s="15" customFormat="1" outlineLevel="1" collapsed="1" x14ac:dyDescent="0.35">
      <c r="A64" s="7"/>
      <c r="B64" s="20" t="str">
        <f>CONCATENATE("     ","Employees' Appreciation                           ")</f>
        <v xml:space="preserve">     Employees' Appreciation                           </v>
      </c>
      <c r="C64" s="7"/>
      <c r="D64" s="1">
        <f>SUM(OSRRefD21_8x_0)</f>
        <v>546.29</v>
      </c>
      <c r="E64" s="19"/>
      <c r="F64" s="1">
        <f>SUM(OSRRefF21_8x_0)</f>
        <v>524.46</v>
      </c>
      <c r="G64" s="4"/>
      <c r="H64" s="1">
        <f>SUM(OSRRefH21_8x_0)</f>
        <v>1625.07</v>
      </c>
      <c r="I64" s="4"/>
      <c r="J64" s="1">
        <f>SUM(OSRRefJ21_8x_0)</f>
        <v>3717.91</v>
      </c>
      <c r="K64" s="4"/>
      <c r="L64" s="1">
        <f>SUM(OSRRefL21_8x_0)</f>
        <v>3261.37</v>
      </c>
      <c r="M64" s="4"/>
      <c r="N64" s="1">
        <f>SUM(OSRRefN21_8x_0)</f>
        <v>1798.43</v>
      </c>
      <c r="O64" s="4"/>
      <c r="P64" s="1">
        <f>SUM(OSRRefP21_8x_0)</f>
        <v>3200</v>
      </c>
      <c r="Q64" s="4"/>
      <c r="R64" s="1">
        <f>SUM(OSRRefR21_8x_0)</f>
        <v>3100</v>
      </c>
    </row>
    <row r="65" spans="1:18" s="16" customFormat="1" hidden="1" outlineLevel="2" x14ac:dyDescent="0.35">
      <c r="B65" s="11" t="str">
        <f>CONCATENATE("          ", "6277", " - ", "EMPLOYEE APPRECIATION")</f>
        <v xml:space="preserve">          6277 - EMPLOYEE APPRECIATION</v>
      </c>
      <c r="D65" s="2">
        <v>546.29</v>
      </c>
      <c r="F65" s="2">
        <v>524.46</v>
      </c>
      <c r="G65" s="3"/>
      <c r="H65" s="2">
        <v>1625.07</v>
      </c>
      <c r="I65" s="3"/>
      <c r="J65" s="2">
        <v>3717.91</v>
      </c>
      <c r="K65" s="3"/>
      <c r="L65" s="2">
        <v>3261.37</v>
      </c>
      <c r="M65" s="3"/>
      <c r="N65" s="2">
        <v>1798.43</v>
      </c>
      <c r="O65" s="3"/>
      <c r="P65" s="2">
        <v>3200</v>
      </c>
      <c r="Q65" s="3"/>
      <c r="R65" s="2">
        <v>3100</v>
      </c>
    </row>
    <row r="66" spans="1:18" s="15" customFormat="1" outlineLevel="1" collapsed="1" x14ac:dyDescent="0.35">
      <c r="A66" s="7"/>
      <c r="B66" s="20" t="str">
        <f>CONCATENATE("     ","Equipment Rental                                  ")</f>
        <v xml:space="preserve">     Equipment Rental                                  </v>
      </c>
      <c r="C66" s="7"/>
      <c r="D66" s="1">
        <f>SUM(OSRRefD21_9x_0)</f>
        <v>6548.28</v>
      </c>
      <c r="E66" s="19"/>
      <c r="F66" s="1">
        <f>SUM(OSRRefF21_9x_0)</f>
        <v>5208.87</v>
      </c>
      <c r="G66" s="4"/>
      <c r="H66" s="1">
        <f>SUM(OSRRefH21_9x_0)</f>
        <v>4572.1499999999996</v>
      </c>
      <c r="I66" s="4"/>
      <c r="J66" s="1">
        <f>SUM(OSRRefJ21_9x_0)</f>
        <v>5461.41</v>
      </c>
      <c r="K66" s="4"/>
      <c r="L66" s="1">
        <f>SUM(OSRRefL21_9x_0)</f>
        <v>7231.13</v>
      </c>
      <c r="M66" s="4"/>
      <c r="N66" s="1">
        <f>SUM(OSRRefN21_9x_0)</f>
        <v>5912.28</v>
      </c>
      <c r="O66" s="4"/>
      <c r="P66" s="1">
        <f>SUM(OSRRefP21_9x_0)</f>
        <v>8280</v>
      </c>
      <c r="Q66" s="4"/>
      <c r="R66" s="1">
        <f>SUM(OSRRefR21_9x_0)</f>
        <v>9540</v>
      </c>
    </row>
    <row r="67" spans="1:18" s="16" customFormat="1" hidden="1" outlineLevel="2" x14ac:dyDescent="0.35">
      <c r="B67" s="11" t="str">
        <f>CONCATENATE("          ", "6351", " - ", "EQUIPMENT RENTAL")</f>
        <v xml:space="preserve">          6351 - EQUIPMENT RENTAL</v>
      </c>
      <c r="D67" s="2">
        <v>6548.28</v>
      </c>
      <c r="F67" s="2">
        <v>5208.87</v>
      </c>
      <c r="G67" s="3"/>
      <c r="H67" s="2">
        <v>4572.1499999999996</v>
      </c>
      <c r="I67" s="3"/>
      <c r="J67" s="2">
        <v>5461.41</v>
      </c>
      <c r="K67" s="3"/>
      <c r="L67" s="2">
        <v>7231.13</v>
      </c>
      <c r="M67" s="3"/>
      <c r="N67" s="2">
        <v>5912.28</v>
      </c>
      <c r="O67" s="3"/>
      <c r="P67" s="2">
        <v>8280</v>
      </c>
      <c r="Q67" s="3"/>
      <c r="R67" s="2">
        <v>9540</v>
      </c>
    </row>
    <row r="68" spans="1:18" s="15" customFormat="1" outlineLevel="1" collapsed="1" x14ac:dyDescent="0.35">
      <c r="A68" s="7"/>
      <c r="B68" s="20" t="str">
        <f>CONCATENATE("     ","Freight out/Postage                               ")</f>
        <v xml:space="preserve">     Freight out/Postage                               </v>
      </c>
      <c r="C68" s="7"/>
      <c r="D68" s="1">
        <f>SUM(OSRRefD21_10x_0)</f>
        <v>0</v>
      </c>
      <c r="E68" s="19"/>
      <c r="F68" s="1">
        <f>SUM(OSRRefF21_10x_0)</f>
        <v>0</v>
      </c>
      <c r="G68" s="4"/>
      <c r="H68" s="1">
        <f>SUM(OSRRefH21_10x_0)</f>
        <v>0</v>
      </c>
      <c r="I68" s="4"/>
      <c r="J68" s="1">
        <f>SUM(OSRRefJ21_10x_0)</f>
        <v>0</v>
      </c>
      <c r="K68" s="4"/>
      <c r="L68" s="1">
        <f>SUM(OSRRefL21_10x_0)</f>
        <v>7.4</v>
      </c>
      <c r="M68" s="4"/>
      <c r="N68" s="1">
        <f>SUM(OSRRefN21_10x_0)</f>
        <v>0</v>
      </c>
      <c r="O68" s="4"/>
      <c r="P68" s="1">
        <f>SUM(OSRRefP21_10x_0)</f>
        <v>0</v>
      </c>
      <c r="Q68" s="4"/>
      <c r="R68" s="1">
        <f>SUM(OSRRefR21_10x_0)</f>
        <v>0</v>
      </c>
    </row>
    <row r="69" spans="1:18" s="16" customFormat="1" hidden="1" outlineLevel="2" x14ac:dyDescent="0.35">
      <c r="B69" s="11" t="str">
        <f>CONCATENATE("          ", "6307", " - ", "POSTAGE")</f>
        <v xml:space="preserve">          6307 - POSTAGE</v>
      </c>
      <c r="D69" s="2"/>
      <c r="F69" s="2"/>
      <c r="G69" s="3"/>
      <c r="H69" s="2"/>
      <c r="I69" s="3"/>
      <c r="J69" s="2"/>
      <c r="K69" s="3"/>
      <c r="L69" s="2">
        <v>7.4</v>
      </c>
      <c r="M69" s="3"/>
      <c r="N69" s="2"/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","General                                           ")</f>
        <v xml:space="preserve">     General                                           </v>
      </c>
      <c r="C70" s="7"/>
      <c r="D70" s="1">
        <f>SUM(OSRRefD21_11x_0)</f>
        <v>7707.11</v>
      </c>
      <c r="E70" s="19"/>
      <c r="F70" s="1">
        <f>SUM(OSRRefF21_11x_0)</f>
        <v>11138.95</v>
      </c>
      <c r="G70" s="4"/>
      <c r="H70" s="1">
        <f>SUM(OSRRefH21_11x_0)</f>
        <v>8111.66</v>
      </c>
      <c r="I70" s="4"/>
      <c r="J70" s="1">
        <f>SUM(OSRRefJ21_11x_0)</f>
        <v>7871.65</v>
      </c>
      <c r="K70" s="4"/>
      <c r="L70" s="1">
        <f>SUM(OSRRefL21_11x_0)</f>
        <v>10034.44</v>
      </c>
      <c r="M70" s="4"/>
      <c r="N70" s="1">
        <f>SUM(OSRRefN21_11x_0)</f>
        <v>9014.11</v>
      </c>
      <c r="O70" s="4"/>
      <c r="P70" s="1">
        <f>SUM(OSRRefP21_11x_0)</f>
        <v>9580</v>
      </c>
      <c r="Q70" s="4"/>
      <c r="R70" s="1">
        <f>SUM(OSRRefR21_11x_0)</f>
        <v>11950</v>
      </c>
    </row>
    <row r="71" spans="1:18" s="16" customFormat="1" hidden="1" outlineLevel="2" x14ac:dyDescent="0.35">
      <c r="B71" s="11" t="str">
        <f>CONCATENATE("          ", "6279", " - ", "GENERAL EXPENSE")</f>
        <v xml:space="preserve">          6279 - GENERAL EXPENSE</v>
      </c>
      <c r="D71" s="2">
        <v>7707.11</v>
      </c>
      <c r="F71" s="2">
        <v>11138.95</v>
      </c>
      <c r="G71" s="3"/>
      <c r="H71" s="2">
        <v>8111.66</v>
      </c>
      <c r="I71" s="3"/>
      <c r="J71" s="2">
        <v>7871.65</v>
      </c>
      <c r="K71" s="3"/>
      <c r="L71" s="2">
        <v>10034.44</v>
      </c>
      <c r="M71" s="3"/>
      <c r="N71" s="2">
        <v>9014.11</v>
      </c>
      <c r="O71" s="3"/>
      <c r="P71" s="2">
        <v>9580</v>
      </c>
      <c r="Q71" s="3"/>
      <c r="R71" s="2">
        <v>11950</v>
      </c>
    </row>
    <row r="72" spans="1:18" s="15" customFormat="1" outlineLevel="1" collapsed="1" x14ac:dyDescent="0.35">
      <c r="A72" s="7"/>
      <c r="B72" s="20" t="str">
        <f>CONCATENATE("     ","Insurance                                         ")</f>
        <v xml:space="preserve">     Insurance                                         </v>
      </c>
      <c r="C72" s="7"/>
      <c r="D72" s="1">
        <f>SUM(OSRRefD21_12x_0)</f>
        <v>50.16</v>
      </c>
      <c r="E72" s="19"/>
      <c r="F72" s="1">
        <f>SUM(OSRRefF21_12x_0)</f>
        <v>55.44</v>
      </c>
      <c r="G72" s="4"/>
      <c r="H72" s="1">
        <f>SUM(OSRRefH21_12x_0)</f>
        <v>68.28</v>
      </c>
      <c r="I72" s="4"/>
      <c r="J72" s="1">
        <f>SUM(OSRRefJ21_12x_0)</f>
        <v>58.8</v>
      </c>
      <c r="K72" s="4"/>
      <c r="L72" s="1">
        <f>SUM(OSRRefL21_12x_0)</f>
        <v>59.16</v>
      </c>
      <c r="M72" s="4"/>
      <c r="N72" s="1">
        <f>SUM(OSRRefN21_12x_0)</f>
        <v>70.8</v>
      </c>
      <c r="O72" s="4"/>
      <c r="P72" s="1">
        <f>SUM(OSRRefP21_12x_0)</f>
        <v>84</v>
      </c>
      <c r="Q72" s="4"/>
      <c r="R72" s="1">
        <f>SUM(OSRRefR21_12x_0)</f>
        <v>120</v>
      </c>
    </row>
    <row r="73" spans="1:18" s="16" customFormat="1" hidden="1" outlineLevel="2" x14ac:dyDescent="0.35">
      <c r="B73" s="11" t="str">
        <f>CONCATENATE("          ", "6314", " - ", "LIABILITY INSURANCE")</f>
        <v xml:space="preserve">          6314 - LIABILITY INSURANCE</v>
      </c>
      <c r="D73" s="2">
        <v>50.16</v>
      </c>
      <c r="F73" s="2">
        <v>55.44</v>
      </c>
      <c r="G73" s="3"/>
      <c r="H73" s="2">
        <v>68.28</v>
      </c>
      <c r="I73" s="3"/>
      <c r="J73" s="2">
        <v>58.8</v>
      </c>
      <c r="K73" s="3"/>
      <c r="L73" s="2">
        <v>59.16</v>
      </c>
      <c r="M73" s="3"/>
      <c r="N73" s="2">
        <v>70.8</v>
      </c>
      <c r="O73" s="3"/>
      <c r="P73" s="2">
        <v>84</v>
      </c>
      <c r="Q73" s="3"/>
      <c r="R73" s="2">
        <v>120</v>
      </c>
    </row>
    <row r="74" spans="1:18" s="15" customFormat="1" outlineLevel="1" collapsed="1" x14ac:dyDescent="0.35">
      <c r="A74" s="7"/>
      <c r="B74" s="20" t="str">
        <f>CONCATENATE("     ","Professional Services                             ")</f>
        <v xml:space="preserve">     Professional Services                             </v>
      </c>
      <c r="C74" s="7"/>
      <c r="D74" s="1">
        <f>SUM(OSRRefD21_13x_0)</f>
        <v>0</v>
      </c>
      <c r="E74" s="19"/>
      <c r="F74" s="1">
        <f>SUM(OSRRefF21_13x_0)</f>
        <v>500</v>
      </c>
      <c r="G74" s="4"/>
      <c r="H74" s="1">
        <f>SUM(OSRRefH21_13x_0)</f>
        <v>1500</v>
      </c>
      <c r="I74" s="4"/>
      <c r="J74" s="1">
        <f>SUM(OSRRefJ21_13x_0)</f>
        <v>0</v>
      </c>
      <c r="K74" s="4"/>
      <c r="L74" s="1">
        <f>SUM(OSRRefL21_13x_0)</f>
        <v>0</v>
      </c>
      <c r="M74" s="4"/>
      <c r="N74" s="1">
        <f>SUM(OSRRefN21_13x_0)</f>
        <v>0</v>
      </c>
      <c r="O74" s="4"/>
      <c r="P74" s="1">
        <f>SUM(OSRRefP21_13x_0)</f>
        <v>0</v>
      </c>
      <c r="Q74" s="4"/>
      <c r="R74" s="1">
        <f>SUM(OSRRefR21_13x_0)</f>
        <v>0</v>
      </c>
    </row>
    <row r="75" spans="1:18" s="16" customFormat="1" hidden="1" outlineLevel="2" x14ac:dyDescent="0.35">
      <c r="B75" s="11" t="str">
        <f>CONCATENATE("          ", "6332", " - ", "CONSULTANT FEES")</f>
        <v xml:space="preserve">          6332 - CONSULTANT FEES</v>
      </c>
      <c r="D75" s="2"/>
      <c r="F75" s="2">
        <v>500</v>
      </c>
      <c r="G75" s="3"/>
      <c r="H75" s="2"/>
      <c r="I75" s="3"/>
      <c r="J75" s="2"/>
      <c r="K75" s="3"/>
      <c r="L75" s="2"/>
      <c r="M75" s="3"/>
      <c r="N75" s="2"/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"6336", " - ", "PROFESSIONAL SERVICES")</f>
        <v xml:space="preserve">          6336 - PROFESSIONAL SERVICES</v>
      </c>
      <c r="D76" s="2"/>
      <c r="F76" s="2"/>
      <c r="G76" s="3"/>
      <c r="H76" s="2">
        <v>1500</v>
      </c>
      <c r="I76" s="3"/>
      <c r="J76" s="2"/>
      <c r="K76" s="3"/>
      <c r="L76" s="2"/>
      <c r="M76" s="3"/>
      <c r="N76" s="2"/>
      <c r="O76" s="3"/>
      <c r="P76" s="2"/>
      <c r="Q76" s="3"/>
      <c r="R76" s="2"/>
    </row>
    <row r="77" spans="1:18" s="15" customFormat="1" outlineLevel="1" collapsed="1" x14ac:dyDescent="0.35">
      <c r="A77" s="7"/>
      <c r="B77" s="20" t="str">
        <f>CONCATENATE("     ","R/H Commissions                                   ")</f>
        <v xml:space="preserve">     R/H Commissions                                   </v>
      </c>
      <c r="C77" s="7"/>
      <c r="D77" s="1">
        <f>SUM(OSRRefD21_14x_0)</f>
        <v>751532.92</v>
      </c>
      <c r="E77" s="19"/>
      <c r="F77" s="1">
        <f>SUM(OSRRefF21_14x_0)</f>
        <v>847345.28</v>
      </c>
      <c r="G77" s="4"/>
      <c r="H77" s="1">
        <f>SUM(OSRRefH21_14x_0)</f>
        <v>785042.57</v>
      </c>
      <c r="I77" s="4"/>
      <c r="J77" s="1">
        <f>SUM(OSRRefJ21_14x_0)</f>
        <v>786835.59</v>
      </c>
      <c r="K77" s="4"/>
      <c r="L77" s="1">
        <f>SUM(OSRRefL21_14x_0)</f>
        <v>853864.66</v>
      </c>
      <c r="M77" s="4"/>
      <c r="N77" s="1">
        <f>SUM(OSRRefN21_14x_0)</f>
        <v>703130.05</v>
      </c>
      <c r="O77" s="4"/>
      <c r="P77" s="1">
        <f>SUM(OSRRefP21_14x_0)</f>
        <v>317179</v>
      </c>
      <c r="Q77" s="4"/>
      <c r="R77" s="1">
        <f>SUM(OSRRefR21_14x_0)</f>
        <v>703152</v>
      </c>
    </row>
    <row r="78" spans="1:18" s="16" customFormat="1" hidden="1" outlineLevel="2" x14ac:dyDescent="0.35">
      <c r="B78" s="11" t="str">
        <f>CONCATENATE("          ", "6387", " - ", "COMMISSION DUE HOUSING")</f>
        <v xml:space="preserve">          6387 - COMMISSION DUE HOUSING</v>
      </c>
      <c r="D78" s="2">
        <v>751532.92</v>
      </c>
      <c r="F78" s="2">
        <v>847345.28</v>
      </c>
      <c r="G78" s="3"/>
      <c r="H78" s="2">
        <v>785042.57</v>
      </c>
      <c r="I78" s="3"/>
      <c r="J78" s="2">
        <v>786835.59</v>
      </c>
      <c r="K78" s="3"/>
      <c r="L78" s="2">
        <v>853864.66</v>
      </c>
      <c r="M78" s="3"/>
      <c r="N78" s="2">
        <v>703130.05</v>
      </c>
      <c r="O78" s="3"/>
      <c r="P78" s="2">
        <v>317179</v>
      </c>
      <c r="Q78" s="3"/>
      <c r="R78" s="2">
        <v>703152</v>
      </c>
    </row>
    <row r="79" spans="1:18" s="15" customFormat="1" outlineLevel="1" collapsed="1" x14ac:dyDescent="0.35">
      <c r="A79" s="7"/>
      <c r="B79" s="20" t="str">
        <f>CONCATENATE("     ","Repair and Maintenance                            ")</f>
        <v xml:space="preserve">     Repair and Maintenance                            </v>
      </c>
      <c r="C79" s="7"/>
      <c r="D79" s="1">
        <f>SUM(OSRRefD21_15x_0)</f>
        <v>29035.18</v>
      </c>
      <c r="E79" s="19"/>
      <c r="F79" s="1">
        <f>SUM(OSRRefF21_15x_0)</f>
        <v>29340.93</v>
      </c>
      <c r="G79" s="4"/>
      <c r="H79" s="1">
        <f>SUM(OSRRefH21_15x_0)</f>
        <v>19850.68</v>
      </c>
      <c r="I79" s="4"/>
      <c r="J79" s="1">
        <f>SUM(OSRRefJ21_15x_0)</f>
        <v>29055.51</v>
      </c>
      <c r="K79" s="4"/>
      <c r="L79" s="1">
        <f>SUM(OSRRefL21_15x_0)</f>
        <v>44826.020000000004</v>
      </c>
      <c r="M79" s="4"/>
      <c r="N79" s="1">
        <f>SUM(OSRRefN21_15x_0)</f>
        <v>65064.030000000006</v>
      </c>
      <c r="O79" s="4"/>
      <c r="P79" s="1">
        <f>SUM(OSRRefP21_15x_0)</f>
        <v>73124</v>
      </c>
      <c r="Q79" s="4"/>
      <c r="R79" s="1">
        <f>SUM(OSRRefR21_15x_0)</f>
        <v>66300</v>
      </c>
    </row>
    <row r="80" spans="1:18" s="16" customFormat="1" hidden="1" outlineLevel="2" x14ac:dyDescent="0.35">
      <c r="B80" s="11" t="str">
        <f>CONCATENATE("          ", "6371", " - ", "COMPUTER SOFTWARE MAINTENANCE")</f>
        <v xml:space="preserve">          6371 - COMPUTER SOFTWARE MAINTENANCE</v>
      </c>
      <c r="D80" s="2">
        <v>18833</v>
      </c>
      <c r="F80" s="2">
        <v>21596.3</v>
      </c>
      <c r="G80" s="3"/>
      <c r="H80" s="2">
        <v>16410</v>
      </c>
      <c r="I80" s="3"/>
      <c r="J80" s="2">
        <v>25651.25</v>
      </c>
      <c r="K80" s="3"/>
      <c r="L80" s="2">
        <v>41387.870000000003</v>
      </c>
      <c r="M80" s="3"/>
      <c r="N80" s="2">
        <v>63062.93</v>
      </c>
      <c r="O80" s="3"/>
      <c r="P80" s="2">
        <v>56745</v>
      </c>
      <c r="Q80" s="3"/>
      <c r="R80" s="2">
        <v>42000</v>
      </c>
    </row>
    <row r="81" spans="1:18" s="16" customFormat="1" hidden="1" outlineLevel="2" x14ac:dyDescent="0.35">
      <c r="B81" s="11" t="str">
        <f>CONCATENATE("          ", "6372", " - ", "COMPUTER HARDWARE MAINTENANCE")</f>
        <v xml:space="preserve">          6372 - COMPUTER HARDWARE MAINTENANCE</v>
      </c>
      <c r="D81" s="2"/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3083</v>
      </c>
      <c r="Q81" s="3"/>
      <c r="R81" s="2"/>
    </row>
    <row r="82" spans="1:18" s="16" customFormat="1" hidden="1" outlineLevel="2" x14ac:dyDescent="0.35">
      <c r="B82" s="11" t="str">
        <f>CONCATENATE("          ", "6373", " - ", "MAINTENANCE CONTRACTS")</f>
        <v xml:space="preserve">          6373 - MAINTENANCE CONTRACTS</v>
      </c>
      <c r="D82" s="2">
        <v>6716.78</v>
      </c>
      <c r="F82" s="2">
        <v>6313.81</v>
      </c>
      <c r="G82" s="3"/>
      <c r="H82" s="2">
        <v>2008.44</v>
      </c>
      <c r="I82" s="3"/>
      <c r="J82" s="2">
        <v>555.54999999999995</v>
      </c>
      <c r="K82" s="3"/>
      <c r="L82" s="2">
        <v>920.67</v>
      </c>
      <c r="M82" s="3"/>
      <c r="N82" s="2">
        <v>941.91</v>
      </c>
      <c r="O82" s="3"/>
      <c r="P82" s="2">
        <v>7896</v>
      </c>
      <c r="Q82" s="3"/>
      <c r="R82" s="2">
        <v>17700</v>
      </c>
    </row>
    <row r="83" spans="1:18" s="16" customFormat="1" hidden="1" outlineLevel="2" x14ac:dyDescent="0.35">
      <c r="B83" s="11" t="str">
        <f>CONCATENATE("          ", "6375", " - ", "OUTSIDE REPAIRS &amp; MAINTENANCE")</f>
        <v xml:space="preserve">          6375 - OUTSIDE REPAIRS &amp; MAINTENANCE</v>
      </c>
      <c r="D83" s="2">
        <v>3485.4</v>
      </c>
      <c r="F83" s="2">
        <v>1430.82</v>
      </c>
      <c r="G83" s="3"/>
      <c r="H83" s="2">
        <v>1432.24</v>
      </c>
      <c r="I83" s="3"/>
      <c r="J83" s="2">
        <v>2848.71</v>
      </c>
      <c r="K83" s="3"/>
      <c r="L83" s="2">
        <v>2517.48</v>
      </c>
      <c r="M83" s="3"/>
      <c r="N83" s="2">
        <v>1059.19</v>
      </c>
      <c r="O83" s="3"/>
      <c r="P83" s="2">
        <v>5400</v>
      </c>
      <c r="Q83" s="3"/>
      <c r="R83" s="2">
        <v>6600</v>
      </c>
    </row>
    <row r="84" spans="1:18" s="15" customFormat="1" outlineLevel="1" collapsed="1" x14ac:dyDescent="0.35">
      <c r="A84" s="7"/>
      <c r="B84" s="20" t="str">
        <f>CONCATENATE("     ","Services                                          ")</f>
        <v xml:space="preserve">     Services                                          </v>
      </c>
      <c r="C84" s="7"/>
      <c r="D84" s="1">
        <f>SUM(OSRRefD21_16x_0)</f>
        <v>160658.43</v>
      </c>
      <c r="E84" s="19"/>
      <c r="F84" s="1">
        <f>SUM(OSRRefF21_16x_0)</f>
        <v>183392.94</v>
      </c>
      <c r="G84" s="4"/>
      <c r="H84" s="1">
        <f>SUM(OSRRefH21_16x_0)</f>
        <v>224747.94</v>
      </c>
      <c r="I84" s="4"/>
      <c r="J84" s="1">
        <f>SUM(OSRRefJ21_16x_0)</f>
        <v>213899.49</v>
      </c>
      <c r="K84" s="4"/>
      <c r="L84" s="1">
        <f>SUM(OSRRefL21_16x_0)</f>
        <v>194615.27</v>
      </c>
      <c r="M84" s="4"/>
      <c r="N84" s="1">
        <f>SUM(OSRRefN21_16x_0)</f>
        <v>189441.08</v>
      </c>
      <c r="O84" s="4"/>
      <c r="P84" s="1">
        <f>SUM(OSRRefP21_16x_0)</f>
        <v>233862</v>
      </c>
      <c r="Q84" s="4"/>
      <c r="R84" s="1">
        <f>SUM(OSRRefR21_16x_0)</f>
        <v>256804</v>
      </c>
    </row>
    <row r="85" spans="1:18" s="16" customFormat="1" hidden="1" outlineLevel="2" x14ac:dyDescent="0.35">
      <c r="B85" s="11" t="str">
        <f>CONCATENATE("          ", "6282", " - ", "JANITORIAL/EXTERMINATOR EXPENS")</f>
        <v xml:space="preserve">          6282 - JANITORIAL/EXTERMINATOR EXPENS</v>
      </c>
      <c r="D85" s="2">
        <v>14538.79</v>
      </c>
      <c r="F85" s="2">
        <v>16896.71</v>
      </c>
      <c r="G85" s="3"/>
      <c r="H85" s="2">
        <v>16878.75</v>
      </c>
      <c r="I85" s="3"/>
      <c r="J85" s="2">
        <v>17270.73</v>
      </c>
      <c r="K85" s="3"/>
      <c r="L85" s="2">
        <v>16755.419999999998</v>
      </c>
      <c r="M85" s="3"/>
      <c r="N85" s="2">
        <v>19877.900000000001</v>
      </c>
      <c r="O85" s="3"/>
      <c r="P85" s="2">
        <v>21000</v>
      </c>
      <c r="Q85" s="3"/>
      <c r="R85" s="2">
        <v>18840</v>
      </c>
    </row>
    <row r="86" spans="1:18" s="16" customFormat="1" hidden="1" outlineLevel="2" x14ac:dyDescent="0.35">
      <c r="B86" s="11" t="str">
        <f>CONCATENATE("          ", "6284", " - ", "TRASH REMOVAL EXPENSE")</f>
        <v xml:space="preserve">          6284 - TRASH REMOVAL EXPENSE</v>
      </c>
      <c r="D86" s="2"/>
      <c r="F86" s="2"/>
      <c r="G86" s="3"/>
      <c r="H86" s="2">
        <v>11300.79</v>
      </c>
      <c r="I86" s="3"/>
      <c r="J86" s="2">
        <v>6125.92</v>
      </c>
      <c r="K86" s="3"/>
      <c r="L86" s="2"/>
      <c r="M86" s="3"/>
      <c r="N86" s="2"/>
      <c r="O86" s="3"/>
      <c r="P86" s="2">
        <v>6000</v>
      </c>
      <c r="Q86" s="3"/>
      <c r="R86" s="2">
        <v>7200</v>
      </c>
    </row>
    <row r="87" spans="1:18" s="16" customFormat="1" hidden="1" outlineLevel="2" x14ac:dyDescent="0.35">
      <c r="B87" s="11" t="str">
        <f>CONCATENATE("          ", "6285", " - ", "JANITORIAL SERVICES")</f>
        <v xml:space="preserve">          6285 - JANITORIAL SERVICES</v>
      </c>
      <c r="D87" s="2">
        <v>88574.37</v>
      </c>
      <c r="F87" s="2">
        <v>106497.54</v>
      </c>
      <c r="G87" s="3"/>
      <c r="H87" s="2">
        <v>134595.09</v>
      </c>
      <c r="I87" s="3"/>
      <c r="J87" s="2">
        <v>136266.76</v>
      </c>
      <c r="K87" s="3"/>
      <c r="L87" s="2">
        <v>133104.39000000001</v>
      </c>
      <c r="M87" s="3"/>
      <c r="N87" s="2">
        <v>127353.62</v>
      </c>
      <c r="O87" s="3"/>
      <c r="P87" s="2">
        <v>152862</v>
      </c>
      <c r="Q87" s="3"/>
      <c r="R87" s="2">
        <v>175164</v>
      </c>
    </row>
    <row r="88" spans="1:18" s="16" customFormat="1" hidden="1" outlineLevel="2" x14ac:dyDescent="0.35">
      <c r="B88" s="11" t="str">
        <f>CONCATENATE("          ", "6286", " - ", "LAUNDRY EXPENSE")</f>
        <v xml:space="preserve">          6286 - LAUNDRY EXPENSE</v>
      </c>
      <c r="D88" s="2">
        <v>57545.27</v>
      </c>
      <c r="F88" s="2">
        <v>59998.69</v>
      </c>
      <c r="G88" s="3"/>
      <c r="H88" s="2">
        <v>61973.31</v>
      </c>
      <c r="I88" s="3"/>
      <c r="J88" s="2">
        <v>54236.08</v>
      </c>
      <c r="K88" s="3"/>
      <c r="L88" s="2">
        <v>44755.46</v>
      </c>
      <c r="M88" s="3"/>
      <c r="N88" s="2">
        <v>42209.56</v>
      </c>
      <c r="O88" s="3"/>
      <c r="P88" s="2">
        <v>54000</v>
      </c>
      <c r="Q88" s="3"/>
      <c r="R88" s="2">
        <v>55600</v>
      </c>
    </row>
    <row r="89" spans="1:18" s="15" customFormat="1" outlineLevel="1" collapsed="1" x14ac:dyDescent="0.35">
      <c r="A89" s="7"/>
      <c r="B89" s="20" t="str">
        <f>CONCATENATE("     ","Subscriptions &amp; Dues                              ")</f>
        <v xml:space="preserve">     Subscriptions &amp; Dues                              </v>
      </c>
      <c r="C89" s="7"/>
      <c r="D89" s="1">
        <f>SUM(OSRRefD21_17x_0)</f>
        <v>0</v>
      </c>
      <c r="E89" s="19"/>
      <c r="F89" s="1">
        <f>SUM(OSRRefF21_17x_0)</f>
        <v>5401.1</v>
      </c>
      <c r="G89" s="4"/>
      <c r="H89" s="1">
        <f>SUM(OSRRefH21_17x_0)</f>
        <v>0</v>
      </c>
      <c r="I89" s="4"/>
      <c r="J89" s="1">
        <f>SUM(OSRRefJ21_17x_0)</f>
        <v>0</v>
      </c>
      <c r="K89" s="4"/>
      <c r="L89" s="1">
        <f>SUM(OSRRefL21_17x_0)</f>
        <v>0</v>
      </c>
      <c r="M89" s="4"/>
      <c r="N89" s="1">
        <f>SUM(OSRRefN21_17x_0)</f>
        <v>0</v>
      </c>
      <c r="O89" s="4"/>
      <c r="P89" s="1">
        <f>SUM(OSRRefP21_17x_0)</f>
        <v>0</v>
      </c>
      <c r="Q89" s="4"/>
      <c r="R89" s="1">
        <f>SUM(OSRRefR21_17x_0)</f>
        <v>795</v>
      </c>
    </row>
    <row r="90" spans="1:18" s="16" customFormat="1" hidden="1" outlineLevel="2" x14ac:dyDescent="0.35">
      <c r="B90" s="11" t="str">
        <f>CONCATENATE("          ", "6258", " - ", "MEMBERSHIP DUES")</f>
        <v xml:space="preserve">          6258 - MEMBERSHIP DUES</v>
      </c>
      <c r="D90" s="2"/>
      <c r="F90" s="2"/>
      <c r="G90" s="3"/>
      <c r="H90" s="2"/>
      <c r="I90" s="3"/>
      <c r="J90" s="2"/>
      <c r="K90" s="3"/>
      <c r="L90" s="2"/>
      <c r="M90" s="3"/>
      <c r="N90" s="2"/>
      <c r="O90" s="3"/>
      <c r="P90" s="2"/>
      <c r="Q90" s="3"/>
      <c r="R90" s="2">
        <v>795</v>
      </c>
    </row>
    <row r="91" spans="1:18" s="16" customFormat="1" hidden="1" outlineLevel="2" x14ac:dyDescent="0.35">
      <c r="B91" s="11" t="str">
        <f>CONCATENATE("          ", "6275", " - ", "SUBSCRIPTIONS")</f>
        <v xml:space="preserve">          6275 - SUBSCRIPTIONS</v>
      </c>
      <c r="D91" s="2"/>
      <c r="F91" s="2">
        <v>5401.1</v>
      </c>
      <c r="G91" s="3"/>
      <c r="H91" s="2"/>
      <c r="I91" s="3"/>
      <c r="J91" s="2"/>
      <c r="K91" s="3"/>
      <c r="L91" s="2"/>
      <c r="M91" s="3"/>
      <c r="N91" s="2"/>
      <c r="O91" s="3"/>
      <c r="P91" s="2"/>
      <c r="Q91" s="3"/>
      <c r="R91" s="2"/>
    </row>
    <row r="92" spans="1:18" s="15" customFormat="1" outlineLevel="1" collapsed="1" x14ac:dyDescent="0.35">
      <c r="A92" s="7"/>
      <c r="B92" s="20" t="str">
        <f>CONCATENATE("     ","Supplies                                          ")</f>
        <v xml:space="preserve">     Supplies                                          </v>
      </c>
      <c r="C92" s="7"/>
      <c r="D92" s="1">
        <f>SUM(OSRRefD21_18x_0)</f>
        <v>382510.09</v>
      </c>
      <c r="E92" s="19"/>
      <c r="F92" s="1">
        <f>SUM(OSRRefF21_18x_0)</f>
        <v>254838.06</v>
      </c>
      <c r="G92" s="4"/>
      <c r="H92" s="1">
        <f>SUM(OSRRefH21_18x_0)</f>
        <v>225442.6</v>
      </c>
      <c r="I92" s="4"/>
      <c r="J92" s="1">
        <f>SUM(OSRRefJ21_18x_0)</f>
        <v>272545.56</v>
      </c>
      <c r="K92" s="4"/>
      <c r="L92" s="1">
        <f>SUM(OSRRefL21_18x_0)</f>
        <v>234351.65000000002</v>
      </c>
      <c r="M92" s="4"/>
      <c r="N92" s="1">
        <f>SUM(OSRRefN21_18x_0)</f>
        <v>196297.37000000002</v>
      </c>
      <c r="O92" s="4"/>
      <c r="P92" s="1">
        <f>SUM(OSRRefP21_18x_0)</f>
        <v>293860</v>
      </c>
      <c r="Q92" s="4"/>
      <c r="R92" s="1">
        <f>SUM(OSRRefR21_18x_0)</f>
        <v>357090</v>
      </c>
    </row>
    <row r="93" spans="1:18" s="16" customFormat="1" hidden="1" outlineLevel="2" x14ac:dyDescent="0.35">
      <c r="B93" s="11" t="str">
        <f>CONCATENATE("          ", "6234", " - ", "EXPENDABLE SUPPLIES &amp; EQUIPMEN")</f>
        <v xml:space="preserve">          6234 - EXPENDABLE SUPPLIES &amp; EQUIPMEN</v>
      </c>
      <c r="D93" s="2"/>
      <c r="F93" s="2">
        <v>366.67</v>
      </c>
      <c r="G93" s="3"/>
      <c r="H93" s="2">
        <v>427.01</v>
      </c>
      <c r="I93" s="3"/>
      <c r="J93" s="2">
        <v>823.64</v>
      </c>
      <c r="K93" s="3"/>
      <c r="L93" s="2">
        <v>30.98</v>
      </c>
      <c r="M93" s="3"/>
      <c r="N93" s="2">
        <v>118.34</v>
      </c>
      <c r="O93" s="3"/>
      <c r="P93" s="2">
        <v>1200</v>
      </c>
      <c r="Q93" s="3"/>
      <c r="R93" s="2">
        <v>4100</v>
      </c>
    </row>
    <row r="94" spans="1:18" s="16" customFormat="1" hidden="1" outlineLevel="2" x14ac:dyDescent="0.35">
      <c r="B94" s="11" t="str">
        <f>CONCATENATE("          ", "6235", " - ", "COVID-19 EXPENSES")</f>
        <v xml:space="preserve">          6235 - COVID-19 EXPENSES</v>
      </c>
      <c r="D94" s="2"/>
      <c r="F94" s="2"/>
      <c r="G94" s="3"/>
      <c r="H94" s="2"/>
      <c r="I94" s="3"/>
      <c r="J94" s="2"/>
      <c r="K94" s="3"/>
      <c r="L94" s="2"/>
      <c r="M94" s="3"/>
      <c r="N94" s="2">
        <v>885.8</v>
      </c>
      <c r="O94" s="3"/>
      <c r="P94" s="2">
        <v>134400</v>
      </c>
      <c r="Q94" s="3"/>
      <c r="R94" s="2"/>
    </row>
    <row r="95" spans="1:18" s="16" customFormat="1" hidden="1" outlineLevel="2" x14ac:dyDescent="0.35">
      <c r="B95" s="11" t="str">
        <f>CONCATENATE("          ", "6237", " - ", "JANITORIAL SUPPLIES")</f>
        <v xml:space="preserve">          6237 - JANITORIAL SUPPLIES</v>
      </c>
      <c r="D95" s="2">
        <v>61374.49</v>
      </c>
      <c r="F95" s="2">
        <v>87904.17</v>
      </c>
      <c r="G95" s="3"/>
      <c r="H95" s="2">
        <v>88493.33</v>
      </c>
      <c r="I95" s="3"/>
      <c r="J95" s="2">
        <v>120010.24000000001</v>
      </c>
      <c r="K95" s="3"/>
      <c r="L95" s="2">
        <v>103063.19</v>
      </c>
      <c r="M95" s="3"/>
      <c r="N95" s="2">
        <v>76546.850000000006</v>
      </c>
      <c r="O95" s="3"/>
      <c r="P95" s="2">
        <v>99000</v>
      </c>
      <c r="Q95" s="3"/>
      <c r="R95" s="2">
        <v>118000</v>
      </c>
    </row>
    <row r="96" spans="1:18" s="16" customFormat="1" hidden="1" outlineLevel="2" x14ac:dyDescent="0.35">
      <c r="B96" s="11" t="str">
        <f>CONCATENATE("          ", "6239", " - ", "KITCHEN SUPPLIES")</f>
        <v xml:space="preserve">          6239 - KITCHEN SUPPLIES</v>
      </c>
      <c r="D96" s="2">
        <v>100700.29</v>
      </c>
      <c r="F96" s="2">
        <v>24565.200000000001</v>
      </c>
      <c r="G96" s="3"/>
      <c r="H96" s="2">
        <v>17545.740000000002</v>
      </c>
      <c r="I96" s="3"/>
      <c r="J96" s="2">
        <v>38417.03</v>
      </c>
      <c r="K96" s="3"/>
      <c r="L96" s="2">
        <v>26481.47</v>
      </c>
      <c r="M96" s="3"/>
      <c r="N96" s="2">
        <v>27197.759999999998</v>
      </c>
      <c r="O96" s="3"/>
      <c r="P96" s="2">
        <v>26000</v>
      </c>
      <c r="Q96" s="3"/>
      <c r="R96" s="2">
        <v>48700</v>
      </c>
    </row>
    <row r="97" spans="1:18" s="16" customFormat="1" hidden="1" outlineLevel="2" x14ac:dyDescent="0.35">
      <c r="B97" s="11" t="str">
        <f>CONCATENATE("          ", "6241", " - ", "OFFICE EXPENSE")</f>
        <v xml:space="preserve">          6241 - OFFICE EXPENSE</v>
      </c>
      <c r="D97" s="2">
        <v>9665.4500000000007</v>
      </c>
      <c r="F97" s="2">
        <v>12334.52</v>
      </c>
      <c r="G97" s="3"/>
      <c r="H97" s="2">
        <v>12320.08</v>
      </c>
      <c r="I97" s="3"/>
      <c r="J97" s="2">
        <v>23177.84</v>
      </c>
      <c r="K97" s="3"/>
      <c r="L97" s="2">
        <v>15682.82</v>
      </c>
      <c r="M97" s="3"/>
      <c r="N97" s="2">
        <v>28840.79</v>
      </c>
      <c r="O97" s="3"/>
      <c r="P97" s="2">
        <v>11350</v>
      </c>
      <c r="Q97" s="3"/>
      <c r="R97" s="2">
        <v>17340</v>
      </c>
    </row>
    <row r="98" spans="1:18" s="16" customFormat="1" hidden="1" outlineLevel="2" x14ac:dyDescent="0.35">
      <c r="B98" s="11" t="str">
        <f>CONCATENATE("          ", "6243", " - ", "PAPER SUPPLIES")</f>
        <v xml:space="preserve">          6243 - PAPER SUPPLIES</v>
      </c>
      <c r="D98" s="2">
        <v>188252.21</v>
      </c>
      <c r="F98" s="2">
        <v>101689.72</v>
      </c>
      <c r="G98" s="3"/>
      <c r="H98" s="2">
        <v>95629.18</v>
      </c>
      <c r="I98" s="3"/>
      <c r="J98" s="2">
        <v>74498.66</v>
      </c>
      <c r="K98" s="3"/>
      <c r="L98" s="2">
        <v>76248.25</v>
      </c>
      <c r="M98" s="3"/>
      <c r="N98" s="2">
        <v>60815.41</v>
      </c>
      <c r="O98" s="3"/>
      <c r="P98" s="2">
        <v>6000</v>
      </c>
      <c r="Q98" s="3"/>
      <c r="R98" s="2">
        <v>155600</v>
      </c>
    </row>
    <row r="99" spans="1:18" s="16" customFormat="1" hidden="1" outlineLevel="2" x14ac:dyDescent="0.35">
      <c r="B99" s="11" t="str">
        <f>CONCATENATE("          ", "6244", " - ", "SAFETY SUPPLY EXPENSE")</f>
        <v xml:space="preserve">          6244 - SAFETY SUPPLY EXPENSE</v>
      </c>
      <c r="D99" s="2"/>
      <c r="F99" s="2"/>
      <c r="G99" s="3"/>
      <c r="H99" s="2"/>
      <c r="I99" s="3"/>
      <c r="J99" s="2"/>
      <c r="K99" s="3"/>
      <c r="L99" s="2"/>
      <c r="M99" s="3"/>
      <c r="N99" s="2"/>
      <c r="O99" s="3"/>
      <c r="P99" s="2">
        <v>1580</v>
      </c>
      <c r="Q99" s="3"/>
      <c r="R99" s="2">
        <v>6300</v>
      </c>
    </row>
    <row r="100" spans="1:18" s="16" customFormat="1" hidden="1" outlineLevel="2" x14ac:dyDescent="0.35">
      <c r="B100" s="11" t="str">
        <f>CONCATENATE("          ", "6245", " - ", "PRINTING")</f>
        <v xml:space="preserve">          6245 - PRINTING</v>
      </c>
      <c r="D100" s="2"/>
      <c r="F100" s="2">
        <v>768.95</v>
      </c>
      <c r="G100" s="3"/>
      <c r="H100" s="2"/>
      <c r="I100" s="3"/>
      <c r="J100" s="2">
        <v>661.32</v>
      </c>
      <c r="K100" s="3"/>
      <c r="L100" s="2">
        <v>2417.6999999999998</v>
      </c>
      <c r="M100" s="3"/>
      <c r="N100" s="2">
        <v>1351.44</v>
      </c>
      <c r="O100" s="3"/>
      <c r="P100" s="2">
        <v>2800</v>
      </c>
      <c r="Q100" s="3"/>
      <c r="R100" s="2"/>
    </row>
    <row r="101" spans="1:18" s="16" customFormat="1" hidden="1" outlineLevel="2" x14ac:dyDescent="0.35">
      <c r="B101" s="11" t="str">
        <f>CONCATENATE("          ", "6247", " - ", "STORE SUPPLIES")</f>
        <v xml:space="preserve">          6247 - STORE SUPPLIES</v>
      </c>
      <c r="D101" s="2">
        <v>8903.7800000000007</v>
      </c>
      <c r="F101" s="2">
        <v>15501.53</v>
      </c>
      <c r="G101" s="3"/>
      <c r="H101" s="2">
        <v>614.14</v>
      </c>
      <c r="I101" s="3"/>
      <c r="J101" s="2">
        <v>2166.9</v>
      </c>
      <c r="K101" s="3"/>
      <c r="L101" s="2">
        <v>-65.900000000000006</v>
      </c>
      <c r="M101" s="3"/>
      <c r="N101" s="2">
        <v>667.78</v>
      </c>
      <c r="O101" s="3"/>
      <c r="P101" s="2">
        <v>180</v>
      </c>
      <c r="Q101" s="3"/>
      <c r="R101" s="2"/>
    </row>
    <row r="102" spans="1:18" s="16" customFormat="1" hidden="1" outlineLevel="2" x14ac:dyDescent="0.35">
      <c r="B102" s="11" t="str">
        <f>CONCATENATE("          ", "6248", " - ", "UNIFORMS")</f>
        <v xml:space="preserve">          6248 - UNIFORMS</v>
      </c>
      <c r="D102" s="2">
        <v>13613.87</v>
      </c>
      <c r="F102" s="2">
        <v>11707.3</v>
      </c>
      <c r="G102" s="3"/>
      <c r="H102" s="2">
        <v>10413.120000000001</v>
      </c>
      <c r="I102" s="3"/>
      <c r="J102" s="2">
        <v>12789.93</v>
      </c>
      <c r="K102" s="3"/>
      <c r="L102" s="2">
        <v>10493.14</v>
      </c>
      <c r="M102" s="3"/>
      <c r="N102" s="2">
        <v>-126.8</v>
      </c>
      <c r="O102" s="3"/>
      <c r="P102" s="2">
        <v>11350</v>
      </c>
      <c r="Q102" s="3"/>
      <c r="R102" s="2">
        <v>7050</v>
      </c>
    </row>
    <row r="103" spans="1:18" s="15" customFormat="1" outlineLevel="1" collapsed="1" x14ac:dyDescent="0.35">
      <c r="A103" s="7"/>
      <c r="B103" s="20" t="str">
        <f>CONCATENATE("     ","Telephone/Data Lines                              ")</f>
        <v xml:space="preserve">     Telephone/Data Lines                              </v>
      </c>
      <c r="C103" s="7"/>
      <c r="D103" s="1">
        <f>SUM(OSRRefD21_19x_0)</f>
        <v>6348</v>
      </c>
      <c r="E103" s="19"/>
      <c r="F103" s="1">
        <f>SUM(OSRRefF21_19x_0)</f>
        <v>8604.51</v>
      </c>
      <c r="G103" s="4"/>
      <c r="H103" s="1">
        <f>SUM(OSRRefH21_19x_0)</f>
        <v>7403.47</v>
      </c>
      <c r="I103" s="4"/>
      <c r="J103" s="1">
        <f>SUM(OSRRefJ21_19x_0)</f>
        <v>8685.98</v>
      </c>
      <c r="K103" s="4"/>
      <c r="L103" s="1">
        <f>SUM(OSRRefL21_19x_0)</f>
        <v>9654.65</v>
      </c>
      <c r="M103" s="4"/>
      <c r="N103" s="1">
        <f>SUM(OSRRefN21_19x_0)</f>
        <v>7428.5</v>
      </c>
      <c r="O103" s="4"/>
      <c r="P103" s="1">
        <f>SUM(OSRRefP21_19x_0)</f>
        <v>8700</v>
      </c>
      <c r="Q103" s="4"/>
      <c r="R103" s="1">
        <f>SUM(OSRRefR21_19x_0)</f>
        <v>7216</v>
      </c>
    </row>
    <row r="104" spans="1:18" s="16" customFormat="1" hidden="1" outlineLevel="2" x14ac:dyDescent="0.35">
      <c r="B104" s="11" t="str">
        <f>CONCATENATE("          ", "6303", " - ", "DATA PHONE LINES")</f>
        <v xml:space="preserve">          6303 - DATA PHONE LINES</v>
      </c>
      <c r="D104" s="2"/>
      <c r="F104" s="2"/>
      <c r="G104" s="3"/>
      <c r="H104" s="2"/>
      <c r="I104" s="3"/>
      <c r="J104" s="2"/>
      <c r="K104" s="3"/>
      <c r="L104" s="2"/>
      <c r="M104" s="3"/>
      <c r="N104" s="2"/>
      <c r="O104" s="3"/>
      <c r="P104" s="2">
        <v>6000</v>
      </c>
      <c r="Q104" s="3"/>
      <c r="R104" s="2">
        <v>700</v>
      </c>
    </row>
    <row r="105" spans="1:18" s="16" customFormat="1" hidden="1" outlineLevel="2" x14ac:dyDescent="0.35">
      <c r="B105" s="11" t="str">
        <f>CONCATENATE("          ", "6309", " - ", "TELEPHONE")</f>
        <v xml:space="preserve">          6309 - TELEPHONE</v>
      </c>
      <c r="D105" s="2">
        <v>6348</v>
      </c>
      <c r="F105" s="2">
        <v>8604.51</v>
      </c>
      <c r="G105" s="3"/>
      <c r="H105" s="2">
        <v>7403.47</v>
      </c>
      <c r="I105" s="3"/>
      <c r="J105" s="2">
        <v>8685.98</v>
      </c>
      <c r="K105" s="3"/>
      <c r="L105" s="2">
        <v>9654.65</v>
      </c>
      <c r="M105" s="3"/>
      <c r="N105" s="2">
        <v>7428.5</v>
      </c>
      <c r="O105" s="3"/>
      <c r="P105" s="2">
        <v>2700</v>
      </c>
      <c r="Q105" s="3"/>
      <c r="R105" s="2">
        <v>6516</v>
      </c>
    </row>
    <row r="106" spans="1:18" s="15" customFormat="1" outlineLevel="1" collapsed="1" x14ac:dyDescent="0.35">
      <c r="A106" s="7"/>
      <c r="B106" s="20" t="str">
        <f>CONCATENATE("     ","Training                                          ")</f>
        <v xml:space="preserve">     Training                                          </v>
      </c>
      <c r="C106" s="7"/>
      <c r="D106" s="1">
        <f>SUM(OSRRefD21_20x_0)</f>
        <v>6484.3</v>
      </c>
      <c r="E106" s="19"/>
      <c r="F106" s="1">
        <f>SUM(OSRRefF21_20x_0)</f>
        <v>8488.59</v>
      </c>
      <c r="G106" s="4"/>
      <c r="H106" s="1">
        <f>SUM(OSRRefH21_20x_0)</f>
        <v>20231.28</v>
      </c>
      <c r="I106" s="4"/>
      <c r="J106" s="1">
        <f>SUM(OSRRefJ21_20x_0)</f>
        <v>10371.459999999999</v>
      </c>
      <c r="K106" s="4"/>
      <c r="L106" s="1">
        <f>SUM(OSRRefL21_20x_0)</f>
        <v>14896.4</v>
      </c>
      <c r="M106" s="4"/>
      <c r="N106" s="1">
        <f>SUM(OSRRefN21_20x_0)</f>
        <v>6892.23</v>
      </c>
      <c r="O106" s="4"/>
      <c r="P106" s="1">
        <f>SUM(OSRRefP21_20x_0)</f>
        <v>11650</v>
      </c>
      <c r="Q106" s="4"/>
      <c r="R106" s="1">
        <f>SUM(OSRRefR21_20x_0)</f>
        <v>9600</v>
      </c>
    </row>
    <row r="107" spans="1:18" s="16" customFormat="1" hidden="1" outlineLevel="2" x14ac:dyDescent="0.35">
      <c r="B107" s="11" t="str">
        <f>CONCATENATE("          ", "6376", " - ", "TRAINING")</f>
        <v xml:space="preserve">          6376 - TRAINING</v>
      </c>
      <c r="D107" s="2">
        <v>6484.3</v>
      </c>
      <c r="F107" s="2">
        <v>8488.59</v>
      </c>
      <c r="G107" s="3"/>
      <c r="H107" s="2">
        <v>20231.28</v>
      </c>
      <c r="I107" s="3"/>
      <c r="J107" s="2">
        <v>10371.459999999999</v>
      </c>
      <c r="K107" s="3"/>
      <c r="L107" s="2">
        <v>14896.4</v>
      </c>
      <c r="M107" s="3"/>
      <c r="N107" s="2">
        <v>6892.23</v>
      </c>
      <c r="O107" s="3"/>
      <c r="P107" s="2">
        <v>11650</v>
      </c>
      <c r="Q107" s="3"/>
      <c r="R107" s="2">
        <v>9600</v>
      </c>
    </row>
    <row r="108" spans="1:18" s="15" customFormat="1" outlineLevel="1" collapsed="1" x14ac:dyDescent="0.35">
      <c r="A108" s="7"/>
      <c r="B108" s="20" t="str">
        <f>CONCATENATE("     ","Travel                                            ")</f>
        <v xml:space="preserve">     Travel                                            </v>
      </c>
      <c r="C108" s="7"/>
      <c r="D108" s="1">
        <f>SUM(OSRRefD21_21x_0)</f>
        <v>800.01</v>
      </c>
      <c r="E108" s="19"/>
      <c r="F108" s="1">
        <f>SUM(OSRRefF21_21x_0)</f>
        <v>3172.3</v>
      </c>
      <c r="G108" s="4"/>
      <c r="H108" s="1">
        <f>SUM(OSRRefH21_21x_0)</f>
        <v>4746.46</v>
      </c>
      <c r="I108" s="4"/>
      <c r="J108" s="1">
        <f>SUM(OSRRefJ21_21x_0)</f>
        <v>4345.6499999999996</v>
      </c>
      <c r="K108" s="4"/>
      <c r="L108" s="1">
        <f>SUM(OSRRefL21_21x_0)</f>
        <v>2517.9899999999998</v>
      </c>
      <c r="M108" s="4"/>
      <c r="N108" s="1">
        <f>SUM(OSRRefN21_21x_0)</f>
        <v>1894.26</v>
      </c>
      <c r="O108" s="4"/>
      <c r="P108" s="1">
        <f>SUM(OSRRefP21_21x_0)</f>
        <v>3600</v>
      </c>
      <c r="Q108" s="4"/>
      <c r="R108" s="1">
        <f>SUM(OSRRefR21_21x_0)</f>
        <v>0</v>
      </c>
    </row>
    <row r="109" spans="1:18" s="16" customFormat="1" hidden="1" outlineLevel="2" x14ac:dyDescent="0.35">
      <c r="B109" s="11" t="str">
        <f>CONCATENATE("          ", "6292", " - ", "TRAVEL/CONFERENCE")</f>
        <v xml:space="preserve">          6292 - TRAVEL/CONFERENCE</v>
      </c>
      <c r="D109" s="2">
        <v>67.819999999999993</v>
      </c>
      <c r="F109" s="2">
        <v>2291.7800000000002</v>
      </c>
      <c r="G109" s="3"/>
      <c r="H109" s="2">
        <v>2917.94</v>
      </c>
      <c r="I109" s="3"/>
      <c r="J109" s="2">
        <v>3221.89</v>
      </c>
      <c r="K109" s="3"/>
      <c r="L109" s="2">
        <v>1889.61</v>
      </c>
      <c r="M109" s="3"/>
      <c r="N109" s="2">
        <v>1894.26</v>
      </c>
      <c r="O109" s="3"/>
      <c r="P109" s="2">
        <v>3600</v>
      </c>
      <c r="Q109" s="3"/>
      <c r="R109" s="2"/>
    </row>
    <row r="110" spans="1:18" s="16" customFormat="1" hidden="1" outlineLevel="2" x14ac:dyDescent="0.35">
      <c r="B110" s="11" t="str">
        <f>CONCATENATE("          ", "6294", " - ", "TRAVEL OPERATIONAL")</f>
        <v xml:space="preserve">          6294 - TRAVEL OPERATIONAL</v>
      </c>
      <c r="D110" s="2">
        <v>732.19</v>
      </c>
      <c r="F110" s="2">
        <v>880.52</v>
      </c>
      <c r="G110" s="3"/>
      <c r="H110" s="2">
        <v>1661.78</v>
      </c>
      <c r="I110" s="3"/>
      <c r="J110" s="2">
        <v>858.91</v>
      </c>
      <c r="K110" s="3"/>
      <c r="L110" s="2">
        <v>628.38</v>
      </c>
      <c r="M110" s="3"/>
      <c r="N110" s="2"/>
      <c r="O110" s="3"/>
      <c r="P110" s="2"/>
      <c r="Q110" s="3"/>
      <c r="R110" s="2"/>
    </row>
    <row r="111" spans="1:18" s="16" customFormat="1" hidden="1" outlineLevel="2" x14ac:dyDescent="0.35">
      <c r="B111" s="11" t="str">
        <f>CONCATENATE("          ", "6298", " - ", "VEHICLE MILEAGE")</f>
        <v xml:space="preserve">          6298 - VEHICLE MILEAGE</v>
      </c>
      <c r="D111" s="2"/>
      <c r="F111" s="2"/>
      <c r="G111" s="3"/>
      <c r="H111" s="2">
        <v>166.74</v>
      </c>
      <c r="I111" s="3"/>
      <c r="J111" s="2">
        <v>264.85000000000002</v>
      </c>
      <c r="K111" s="3"/>
      <c r="L111" s="2"/>
      <c r="M111" s="3"/>
      <c r="N111" s="2"/>
      <c r="O111" s="3"/>
      <c r="P111" s="2"/>
      <c r="Q111" s="3"/>
      <c r="R111" s="2"/>
    </row>
    <row r="112" spans="1:18" s="15" customFormat="1" outlineLevel="1" collapsed="1" x14ac:dyDescent="0.35">
      <c r="A112" s="7"/>
      <c r="B112" s="20" t="str">
        <f>CONCATENATE("     ","Utilities                                         ")</f>
        <v xml:space="preserve">     Utilities                                         </v>
      </c>
      <c r="C112" s="7"/>
      <c r="D112" s="1">
        <f>SUM(OSRRefD21_22x_0)</f>
        <v>0</v>
      </c>
      <c r="E112" s="19"/>
      <c r="F112" s="1">
        <f>SUM(OSRRefF21_22x_0)</f>
        <v>0</v>
      </c>
      <c r="G112" s="4"/>
      <c r="H112" s="1">
        <f>SUM(OSRRefH21_22x_0)</f>
        <v>0</v>
      </c>
      <c r="I112" s="4"/>
      <c r="J112" s="1">
        <f>SUM(OSRRefJ21_22x_0)</f>
        <v>0</v>
      </c>
      <c r="K112" s="4"/>
      <c r="L112" s="1">
        <f>SUM(OSRRefL21_22x_0)</f>
        <v>0</v>
      </c>
      <c r="M112" s="4"/>
      <c r="N112" s="1">
        <f>SUM(OSRRefN21_22x_0)</f>
        <v>0</v>
      </c>
      <c r="O112" s="4"/>
      <c r="P112" s="1">
        <f>SUM(OSRRefP21_22x_0)</f>
        <v>0</v>
      </c>
      <c r="Q112" s="4"/>
      <c r="R112" s="1">
        <f>SUM(OSRRefR21_22x_0)</f>
        <v>0</v>
      </c>
    </row>
    <row r="113" spans="1:18" s="16" customFormat="1" hidden="1" outlineLevel="2" x14ac:dyDescent="0.35">
      <c r="B113" s="11" t="str">
        <f>CONCATENATE("          ", "6274", " - ", "UTILITIES")</f>
        <v xml:space="preserve">          6274 - UTILITIES</v>
      </c>
      <c r="D113" s="2">
        <v>0</v>
      </c>
      <c r="F113" s="2"/>
      <c r="G113" s="3"/>
      <c r="H113" s="2"/>
      <c r="I113" s="3"/>
      <c r="J113" s="2"/>
      <c r="K113" s="3"/>
      <c r="L113" s="2"/>
      <c r="M113" s="3"/>
      <c r="N113" s="2"/>
      <c r="O113" s="3"/>
      <c r="P113" s="2"/>
      <c r="Q113" s="3"/>
      <c r="R113" s="2"/>
    </row>
    <row r="114" spans="1:18" x14ac:dyDescent="0.35">
      <c r="A114" s="12"/>
      <c r="B114" s="12"/>
      <c r="C114" s="12"/>
      <c r="D114" s="1"/>
      <c r="F114" s="1"/>
      <c r="H114" s="1"/>
      <c r="J114" s="1"/>
      <c r="L114" s="1"/>
      <c r="N114" s="1"/>
      <c r="P114" s="1"/>
      <c r="R114" s="1"/>
    </row>
    <row r="115" spans="1:18" s="7" customFormat="1" x14ac:dyDescent="0.35">
      <c r="A115" s="36"/>
      <c r="B115" s="34" t="s">
        <v>295</v>
      </c>
      <c r="D115" s="6">
        <f>SUM(0)</f>
        <v>0</v>
      </c>
      <c r="E115" s="12"/>
      <c r="F115" s="6">
        <f>SUM(0)</f>
        <v>0</v>
      </c>
      <c r="G115" s="5"/>
      <c r="H115" s="6">
        <f>SUM(0)</f>
        <v>0</v>
      </c>
      <c r="I115" s="5"/>
      <c r="J115" s="6">
        <f>SUM(0)</f>
        <v>0</v>
      </c>
      <c r="K115" s="5"/>
      <c r="L115" s="6">
        <f>SUM(0)</f>
        <v>0</v>
      </c>
      <c r="M115" s="5"/>
      <c r="N115" s="6">
        <f>SUM(0)</f>
        <v>0</v>
      </c>
      <c r="O115" s="5"/>
      <c r="P115" s="6">
        <f>SUM(0)</f>
        <v>0</v>
      </c>
      <c r="Q115" s="5"/>
      <c r="R115" s="6">
        <f>SUM(0)</f>
        <v>0</v>
      </c>
    </row>
    <row r="116" spans="1:18" x14ac:dyDescent="0.35">
      <c r="A116" s="12"/>
      <c r="B116" s="7"/>
      <c r="C116" s="7"/>
      <c r="D116" s="6"/>
      <c r="F116" s="6"/>
      <c r="H116" s="6"/>
      <c r="J116" s="6"/>
      <c r="L116" s="6"/>
      <c r="N116" s="6"/>
      <c r="P116" s="6"/>
      <c r="R116" s="6"/>
    </row>
    <row r="117" spans="1:18" s="15" customFormat="1" x14ac:dyDescent="0.35">
      <c r="A117" s="7"/>
      <c r="B117" s="22" t="s">
        <v>279</v>
      </c>
      <c r="C117" s="22"/>
      <c r="D117" s="10">
        <f>+D25-D28+D115</f>
        <v>2621384.6599999992</v>
      </c>
      <c r="E117" s="12"/>
      <c r="F117" s="10">
        <f>+F25-F28+F115</f>
        <v>3433537.1000000006</v>
      </c>
      <c r="G117" s="5"/>
      <c r="H117" s="10">
        <f>+H25-H28+H115</f>
        <v>2518067.0300000003</v>
      </c>
      <c r="I117" s="5"/>
      <c r="J117" s="10">
        <f>+J25-J28+J115</f>
        <v>2401570.1099999985</v>
      </c>
      <c r="K117" s="5"/>
      <c r="L117" s="10">
        <f>+L25-L28+L115</f>
        <v>2959203.99</v>
      </c>
      <c r="M117" s="5"/>
      <c r="N117" s="10">
        <f>+N25-N28+N115</f>
        <v>1883426.0899999999</v>
      </c>
      <c r="O117" s="5"/>
      <c r="P117" s="10">
        <f>+P25-P28+P115</f>
        <v>-1403503.6328406399</v>
      </c>
      <c r="Q117" s="5"/>
      <c r="R117" s="10">
        <f>+R25-R28+R115</f>
        <v>462029.52984484099</v>
      </c>
    </row>
    <row r="118" spans="1:18" s="27" customFormat="1" x14ac:dyDescent="0.35">
      <c r="A118" s="18"/>
      <c r="B118" s="31"/>
      <c r="C118" s="18"/>
      <c r="D118" s="9">
        <f>IFERROR(D117/D10, 0)</f>
        <v>0.27609320412170185</v>
      </c>
      <c r="E118" s="18"/>
      <c r="F118" s="9">
        <f>IFERROR(F117/F10, 0)</f>
        <v>0.32125712784416005</v>
      </c>
      <c r="G118" s="14"/>
      <c r="H118" s="9">
        <f>IFERROR(H117/H10, 0)</f>
        <v>0.2550157887890851</v>
      </c>
      <c r="I118" s="14"/>
      <c r="J118" s="9">
        <f>IFERROR(J117/J10, 0)</f>
        <v>0.23838883452847939</v>
      </c>
      <c r="K118" s="14"/>
      <c r="L118" s="9">
        <f>IFERROR(L117/L10, 0)</f>
        <v>0.27048995061491043</v>
      </c>
      <c r="M118" s="14"/>
      <c r="N118" s="9">
        <f>IFERROR(N117/N10, 0)</f>
        <v>0.2084047818088095</v>
      </c>
      <c r="O118" s="14"/>
      <c r="P118" s="9">
        <f>IFERROR(P117/P10, 0)</f>
        <v>-0.3565565674426564</v>
      </c>
      <c r="Q118" s="14"/>
      <c r="R118" s="9">
        <f>IFERROR(R117/R10, 0)</f>
        <v>5.2086662365264359E-2</v>
      </c>
    </row>
    <row r="119" spans="1:18" s="27" customFormat="1" x14ac:dyDescent="0.35">
      <c r="A119" s="18"/>
      <c r="B119" s="31"/>
      <c r="C119" s="18"/>
      <c r="D119" s="13"/>
      <c r="E119" s="18"/>
      <c r="F119" s="13"/>
      <c r="G119" s="14"/>
      <c r="H119" s="13"/>
      <c r="I119" s="14"/>
      <c r="J119" s="13"/>
      <c r="K119" s="14"/>
      <c r="L119" s="13"/>
      <c r="M119" s="14"/>
      <c r="N119" s="13"/>
      <c r="O119" s="14"/>
      <c r="P119" s="13"/>
      <c r="Q119" s="14"/>
      <c r="R119" s="13"/>
    </row>
    <row r="120" spans="1:18" s="15" customFormat="1" x14ac:dyDescent="0.35">
      <c r="A120" s="37"/>
      <c r="B120" s="7" t="s">
        <v>127</v>
      </c>
      <c r="C120" s="7"/>
      <c r="D120" s="6">
        <v>2063240.71</v>
      </c>
      <c r="E120" s="12"/>
      <c r="F120" s="6">
        <v>1521484.61</v>
      </c>
      <c r="G120" s="5"/>
      <c r="H120" s="6">
        <v>1320232.17</v>
      </c>
      <c r="I120" s="5"/>
      <c r="J120" s="6">
        <v>1352089.65</v>
      </c>
      <c r="K120" s="5"/>
      <c r="L120" s="6">
        <v>779782.96</v>
      </c>
      <c r="M120" s="5"/>
      <c r="N120" s="6">
        <v>1368458.63</v>
      </c>
      <c r="O120" s="5"/>
      <c r="P120" s="6">
        <v>665142</v>
      </c>
      <c r="Q120" s="5"/>
      <c r="R120" s="6">
        <v>1005852</v>
      </c>
    </row>
    <row r="121" spans="1:18" x14ac:dyDescent="0.35">
      <c r="A121" s="12"/>
      <c r="B121" s="7"/>
      <c r="C121" s="7"/>
      <c r="D121" s="6"/>
      <c r="F121" s="6"/>
      <c r="H121" s="6"/>
      <c r="J121" s="6"/>
      <c r="L121" s="6"/>
      <c r="N121" s="6"/>
      <c r="P121" s="6"/>
      <c r="R121" s="6"/>
    </row>
    <row r="122" spans="1:18" s="15" customFormat="1" x14ac:dyDescent="0.35">
      <c r="A122" s="7"/>
      <c r="B122" s="22" t="s">
        <v>126</v>
      </c>
      <c r="C122" s="22"/>
      <c r="D122" s="10">
        <f>+D117-D120</f>
        <v>558143.94999999925</v>
      </c>
      <c r="E122" s="12"/>
      <c r="F122" s="10">
        <f>+F117-F120</f>
        <v>1912052.4900000005</v>
      </c>
      <c r="G122" s="5"/>
      <c r="H122" s="10">
        <f>+H117-H120</f>
        <v>1197834.8600000003</v>
      </c>
      <c r="I122" s="5"/>
      <c r="J122" s="10">
        <f>+J117-J120</f>
        <v>1049480.4599999986</v>
      </c>
      <c r="K122" s="5"/>
      <c r="L122" s="10">
        <f>+L117-L120</f>
        <v>2179421.0300000003</v>
      </c>
      <c r="M122" s="5"/>
      <c r="N122" s="10">
        <f>+N117-N120</f>
        <v>514967.45999999996</v>
      </c>
      <c r="O122" s="5"/>
      <c r="P122" s="10">
        <f>+P117-P120</f>
        <v>-2068645.6328406399</v>
      </c>
      <c r="Q122" s="5"/>
      <c r="R122" s="10">
        <f>+R117-R120</f>
        <v>-543822.47015515901</v>
      </c>
    </row>
    <row r="123" spans="1:18" s="27" customFormat="1" x14ac:dyDescent="0.35">
      <c r="A123" s="18"/>
      <c r="B123" s="18"/>
      <c r="C123" s="18"/>
      <c r="D123" s="9">
        <f>IFERROR(D122/D10, 0)</f>
        <v>5.8785631070505613E-2</v>
      </c>
      <c r="E123" s="18"/>
      <c r="F123" s="9">
        <f>IFERROR(F122/F10, 0)</f>
        <v>0.17890020504647366</v>
      </c>
      <c r="G123" s="14"/>
      <c r="H123" s="9">
        <f>IFERROR(H122/H10, 0)</f>
        <v>0.12131003584204166</v>
      </c>
      <c r="I123" s="14"/>
      <c r="J123" s="9">
        <f>IFERROR(J122/J10, 0)</f>
        <v>0.10417535706247287</v>
      </c>
      <c r="K123" s="14"/>
      <c r="L123" s="9">
        <f>IFERROR(L122/L10, 0)</f>
        <v>0.19921285885188242</v>
      </c>
      <c r="M123" s="14"/>
      <c r="N123" s="9">
        <f>IFERROR(N122/N10, 0)</f>
        <v>5.6982156990262794E-2</v>
      </c>
      <c r="O123" s="14"/>
      <c r="P123" s="9">
        <f>IFERROR(P122/P10, 0)</f>
        <v>-0.52553421939353784</v>
      </c>
      <c r="Q123" s="14"/>
      <c r="R123" s="9">
        <f>IFERROR(R122/R10, 0)</f>
        <v>-6.1307547591445598E-2</v>
      </c>
    </row>
    <row r="124" spans="1:18" s="27" customFormat="1" x14ac:dyDescent="0.35">
      <c r="A124" s="18"/>
      <c r="B124" s="18"/>
      <c r="C124" s="18"/>
      <c r="D124" s="13"/>
      <c r="E124" s="18"/>
      <c r="F124" s="13"/>
      <c r="G124" s="14"/>
      <c r="H124" s="13"/>
      <c r="I124" s="14"/>
      <c r="J124" s="13"/>
      <c r="K124" s="14"/>
      <c r="L124" s="13"/>
      <c r="M124" s="14"/>
      <c r="N124" s="13"/>
      <c r="O124" s="14"/>
      <c r="P124" s="13"/>
      <c r="Q124" s="14"/>
      <c r="R124" s="13"/>
    </row>
    <row r="125" spans="1:18" x14ac:dyDescent="0.35">
      <c r="A125" s="12"/>
      <c r="B125" s="12"/>
      <c r="C125" s="12"/>
      <c r="D125" s="6"/>
      <c r="F125" s="6"/>
      <c r="H125" s="6"/>
      <c r="J125" s="6"/>
      <c r="L125" s="6"/>
      <c r="N125" s="6"/>
      <c r="P125" s="6"/>
      <c r="R125" s="6"/>
    </row>
    <row r="126" spans="1:18" s="15" customFormat="1" x14ac:dyDescent="0.35">
      <c r="A126" s="7"/>
      <c r="B126" s="22" t="s">
        <v>296</v>
      </c>
      <c r="C126" s="22"/>
      <c r="D126" s="10">
        <f>SUM(D122:D125)</f>
        <v>558144.00878563034</v>
      </c>
      <c r="E126" s="12"/>
      <c r="F126" s="10">
        <f>SUM(F122:F125)</f>
        <v>1912052.6689002055</v>
      </c>
      <c r="G126" s="5"/>
      <c r="H126" s="10">
        <f>SUM(H122:H125)</f>
        <v>1197834.9813100363</v>
      </c>
      <c r="I126" s="5"/>
      <c r="J126" s="10">
        <f>SUM(J122:J125)</f>
        <v>1049480.5641753557</v>
      </c>
      <c r="K126" s="5"/>
      <c r="L126" s="10">
        <f>SUM(L122:L125)</f>
        <v>2179421.2292128592</v>
      </c>
      <c r="M126" s="5"/>
      <c r="N126" s="10">
        <f>SUM(N122:N125)</f>
        <v>514967.51698215696</v>
      </c>
      <c r="O126" s="5"/>
      <c r="P126" s="10">
        <f>SUM(P122:P125)</f>
        <v>-2068646.1583748593</v>
      </c>
      <c r="Q126" s="5"/>
      <c r="R126" s="10">
        <f>SUM(R122:R125)</f>
        <v>-543822.53146270663</v>
      </c>
    </row>
    <row r="127" spans="1:18" s="27" customFormat="1" x14ac:dyDescent="0.35">
      <c r="A127" s="18"/>
      <c r="B127" s="41"/>
      <c r="C127" s="18"/>
      <c r="D127" s="9">
        <f>IFERROR(D126/D10, 0)</f>
        <v>5.8785637262009478E-2</v>
      </c>
      <c r="E127" s="18"/>
      <c r="F127" s="9">
        <f>IFERROR(F126/F10, 0)</f>
        <v>0.17890022178517909</v>
      </c>
      <c r="G127" s="14"/>
      <c r="H127" s="9">
        <f>IFERROR(H126/H10, 0)</f>
        <v>0.1213100481276457</v>
      </c>
      <c r="I127" s="14"/>
      <c r="J127" s="9">
        <f>IFERROR(J126/J10, 0)</f>
        <v>0.1041753674033086</v>
      </c>
      <c r="K127" s="14"/>
      <c r="L127" s="9">
        <f>IFERROR(L126/L10, 0)</f>
        <v>0.199212877061197</v>
      </c>
      <c r="M127" s="14"/>
      <c r="N127" s="9">
        <f>IFERROR(N126/N10, 0)</f>
        <v>5.6982163295449959E-2</v>
      </c>
      <c r="O127" s="14"/>
      <c r="P127" s="9">
        <f>IFERROR(P126/P10, 0)</f>
        <v>-0.52553435290418427</v>
      </c>
      <c r="Q127" s="14"/>
      <c r="R127" s="9">
        <f>IFERROR(R126/R10, 0)</f>
        <v>-6.1307554502920573E-2</v>
      </c>
    </row>
    <row r="128" spans="1:18" x14ac:dyDescent="0.35">
      <c r="A128" s="12"/>
      <c r="B128" s="40">
        <v>44319.883408993053</v>
      </c>
      <c r="D128" s="24"/>
      <c r="F128" s="24"/>
      <c r="H128" s="24"/>
      <c r="J128" s="24"/>
      <c r="L128" s="24"/>
      <c r="N128" s="24"/>
      <c r="P128" s="24"/>
      <c r="R128" s="24"/>
    </row>
    <row r="129" spans="1:18" x14ac:dyDescent="0.35">
      <c r="A129" s="12"/>
      <c r="B129" s="39" t="s">
        <v>23</v>
      </c>
      <c r="D129" s="24"/>
      <c r="F129" s="24"/>
      <c r="H129" s="24"/>
      <c r="J129" s="24"/>
      <c r="L129" s="24"/>
      <c r="N129" s="24"/>
      <c r="P129" s="24"/>
      <c r="R129" s="24"/>
    </row>
    <row r="130" spans="1:18" x14ac:dyDescent="0.35">
      <c r="A130" s="12"/>
      <c r="D130" s="24"/>
      <c r="F130" s="24"/>
      <c r="H130" s="24"/>
      <c r="J130" s="24"/>
      <c r="L130" s="24"/>
      <c r="N130" s="24"/>
      <c r="P130" s="24"/>
      <c r="R130" s="24"/>
    </row>
    <row r="131" spans="1:18" x14ac:dyDescent="0.35">
      <c r="D131" s="24"/>
      <c r="F131" s="24"/>
      <c r="H131" s="24"/>
      <c r="J131" s="24"/>
      <c r="L131" s="24"/>
      <c r="N131" s="24"/>
      <c r="P131" s="24"/>
      <c r="R131" s="24"/>
    </row>
  </sheetData>
  <pageMargins left="0.5" right="0.5" top="0.5" bottom="0.5" header="0.3" footer="0.3"/>
  <pageSetup scale="5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186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186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98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104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377671</v>
      </c>
      <c r="F10" s="8">
        <f>SUM(OSRRefF11x_0)</f>
        <v>441679</v>
      </c>
      <c r="G10" s="8"/>
      <c r="H10" s="8">
        <f>SUM(OSRRefH11x_0)</f>
        <v>468058</v>
      </c>
      <c r="I10" s="8"/>
      <c r="J10" s="8">
        <f>SUM(OSRRefJ11x_0)</f>
        <v>492539</v>
      </c>
      <c r="K10" s="8"/>
      <c r="L10" s="8">
        <f>SUM(OSRRefL11x_0)</f>
        <v>488294</v>
      </c>
      <c r="M10" s="8"/>
      <c r="N10" s="8">
        <f>SUM(OSRRefN11x_0)</f>
        <v>491678</v>
      </c>
      <c r="O10" s="8"/>
      <c r="P10" s="8">
        <f>SUM(OSRRefP11x_0)</f>
        <v>600566</v>
      </c>
      <c r="Q10" s="8"/>
      <c r="R10" s="8">
        <f>SUM(OSRRefR11x_0)</f>
        <v>599052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1243</v>
      </c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>-377671*-1</f>
        <v>377671</v>
      </c>
      <c r="F12" s="11">
        <f>-441679*-1</f>
        <v>441679</v>
      </c>
      <c r="G12" s="3"/>
      <c r="H12" s="11">
        <f>-468058*-1</f>
        <v>468058</v>
      </c>
      <c r="I12" s="3"/>
      <c r="J12" s="11">
        <f>--492539</f>
        <v>492539</v>
      </c>
      <c r="K12" s="3"/>
      <c r="L12" s="11">
        <f>--488294</f>
        <v>488294</v>
      </c>
      <c r="M12" s="3"/>
      <c r="N12" s="11">
        <f>--491678</f>
        <v>491678</v>
      </c>
      <c r="O12" s="3"/>
      <c r="P12" s="11">
        <v>599323</v>
      </c>
      <c r="Q12" s="3"/>
      <c r="R12" s="11">
        <v>599052</v>
      </c>
    </row>
    <row r="13" spans="1:18" s="12" customFormat="1" x14ac:dyDescent="0.35">
      <c r="B13" s="7"/>
      <c r="D13" s="6"/>
      <c r="F13" s="6"/>
      <c r="G13" s="5"/>
      <c r="H13" s="6"/>
      <c r="I13" s="5"/>
      <c r="J13" s="6"/>
      <c r="K13" s="5"/>
      <c r="L13" s="6"/>
      <c r="M13" s="5"/>
      <c r="N13" s="6"/>
      <c r="O13" s="5"/>
      <c r="P13" s="6"/>
      <c r="Q13" s="5"/>
      <c r="R13" s="6"/>
    </row>
    <row r="14" spans="1:18" s="12" customFormat="1" x14ac:dyDescent="0.35">
      <c r="B14" s="7" t="s">
        <v>278</v>
      </c>
      <c r="D14" s="8">
        <f>SUM(0)</f>
        <v>0</v>
      </c>
      <c r="E14" s="8"/>
      <c r="F14" s="8">
        <f>SUM(0)</f>
        <v>0</v>
      </c>
      <c r="G14" s="8"/>
      <c r="H14" s="8">
        <f>SUM(0)</f>
        <v>0</v>
      </c>
      <c r="I14" s="8"/>
      <c r="J14" s="8">
        <f>SUM(0)</f>
        <v>0</v>
      </c>
      <c r="K14" s="8"/>
      <c r="L14" s="8">
        <f>SUM(0)</f>
        <v>0</v>
      </c>
      <c r="M14" s="8"/>
      <c r="N14" s="8">
        <f>SUM(0)</f>
        <v>0</v>
      </c>
      <c r="O14" s="8"/>
      <c r="P14" s="8">
        <f>SUM(0)</f>
        <v>0</v>
      </c>
      <c r="Q14" s="8"/>
      <c r="R14" s="8">
        <f>SUM(0)</f>
        <v>0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+D10-D14</f>
        <v>377671</v>
      </c>
      <c r="E16" s="12"/>
      <c r="F16" s="10">
        <f>+F10-F14</f>
        <v>441679</v>
      </c>
      <c r="G16" s="5"/>
      <c r="H16" s="10">
        <f>+H10-H14</f>
        <v>468058</v>
      </c>
      <c r="I16" s="5"/>
      <c r="J16" s="10">
        <f>+J10-J14</f>
        <v>492539</v>
      </c>
      <c r="K16" s="5"/>
      <c r="L16" s="10">
        <f>+L10-L14</f>
        <v>488294</v>
      </c>
      <c r="M16" s="5"/>
      <c r="N16" s="10">
        <f>+N10-N14</f>
        <v>491678</v>
      </c>
      <c r="O16" s="5"/>
      <c r="P16" s="10">
        <f>+P10-P14</f>
        <v>600566</v>
      </c>
      <c r="Q16" s="5"/>
      <c r="R16" s="10">
        <f>+R10-R14</f>
        <v>599052</v>
      </c>
    </row>
    <row r="17" spans="1:18" s="27" customFormat="1" x14ac:dyDescent="0.35">
      <c r="A17" s="18"/>
      <c r="B17" s="31"/>
      <c r="C17" s="18"/>
      <c r="D17" s="9">
        <f>IFERROR(D16/D10, 0)</f>
        <v>1</v>
      </c>
      <c r="E17" s="13"/>
      <c r="F17" s="9">
        <f>IFERROR(F16/F10, 0)</f>
        <v>1</v>
      </c>
      <c r="G17" s="26"/>
      <c r="H17" s="9">
        <f>IFERROR(H16/H10, 0)</f>
        <v>1</v>
      </c>
      <c r="I17" s="26"/>
      <c r="J17" s="9">
        <f>IFERROR(J16/J10, 0)</f>
        <v>1</v>
      </c>
      <c r="K17" s="26"/>
      <c r="L17" s="9">
        <f>IFERROR(L16/L10, 0)</f>
        <v>1</v>
      </c>
      <c r="M17" s="26"/>
      <c r="N17" s="9">
        <f>IFERROR(N16/N10, 0)</f>
        <v>1</v>
      </c>
      <c r="O17" s="26"/>
      <c r="P17" s="9">
        <f>IFERROR(P16/P10, 0)</f>
        <v>1</v>
      </c>
      <c r="Q17" s="26"/>
      <c r="R17" s="9">
        <f>IFERROR(R16/R10, 0)</f>
        <v>1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SUM(OSRRefD21x_0)</f>
        <v>377535.71</v>
      </c>
      <c r="E19" s="19"/>
      <c r="F19" s="8">
        <f>SUM(OSRRefF21x_0)</f>
        <v>422980.31999999995</v>
      </c>
      <c r="G19" s="4"/>
      <c r="H19" s="8">
        <f>SUM(OSRRefH21x_0)</f>
        <v>451990.5400000001</v>
      </c>
      <c r="I19" s="4"/>
      <c r="J19" s="8">
        <f>SUM(OSRRefJ21x_0)</f>
        <v>462121.28000000009</v>
      </c>
      <c r="K19" s="4"/>
      <c r="L19" s="8">
        <f>SUM(OSRRefL21x_0)</f>
        <v>468678.22000000003</v>
      </c>
      <c r="M19" s="4"/>
      <c r="N19" s="8">
        <f>SUM(OSRRefN21x_0)</f>
        <v>461510.73000000004</v>
      </c>
      <c r="O19" s="4"/>
      <c r="P19" s="8">
        <f>SUM(OSRRefP21x_0)</f>
        <v>544454.31009659998</v>
      </c>
      <c r="Q19" s="4"/>
      <c r="R19" s="8">
        <f>SUM(OSRRefR21x_0)</f>
        <v>560341.84563431004</v>
      </c>
    </row>
    <row r="20" spans="1:18" s="15" customFormat="1" outlineLevel="1" collapsed="1" x14ac:dyDescent="0.35">
      <c r="A20" s="7"/>
      <c r="B20" s="20" t="str">
        <f>CONCATENATE("     ","*Benefits                                         ")</f>
        <v xml:space="preserve">     *Benefits                                         </v>
      </c>
      <c r="C20" s="7"/>
      <c r="D20" s="1">
        <f>SUM(OSRRefD21_0x_0)</f>
        <v>46095.009999999995</v>
      </c>
      <c r="E20" s="19"/>
      <c r="F20" s="1">
        <f>SUM(OSRRefF21_0x_0)</f>
        <v>40353.599999999999</v>
      </c>
      <c r="G20" s="4"/>
      <c r="H20" s="1">
        <f>SUM(OSRRefH21_0x_0)</f>
        <v>40328.990000000005</v>
      </c>
      <c r="I20" s="4"/>
      <c r="J20" s="1">
        <f>SUM(OSRRefJ21_0x_0)</f>
        <v>44198.31</v>
      </c>
      <c r="K20" s="4"/>
      <c r="L20" s="1">
        <f>SUM(OSRRefL21_0x_0)</f>
        <v>48309.96</v>
      </c>
      <c r="M20" s="4"/>
      <c r="N20" s="1">
        <f>SUM(OSRRefN21_0x_0)</f>
        <v>52039.48</v>
      </c>
      <c r="O20" s="4"/>
      <c r="P20" s="1">
        <f>SUM(OSRRefP21_0x_0)</f>
        <v>49993.9769466</v>
      </c>
      <c r="Q20" s="4"/>
      <c r="R20" s="1">
        <f>SUM(OSRRefR21_0x_0)</f>
        <v>44740.348484310009</v>
      </c>
    </row>
    <row r="21" spans="1:18" s="16" customFormat="1" hidden="1" outlineLevel="2" x14ac:dyDescent="0.35">
      <c r="B21" s="11" t="str">
        <f>CONCATENATE("          ", "6111", " - ", "F.I.C.A.")</f>
        <v xml:space="preserve">          6111 - F.I.C.A.</v>
      </c>
      <c r="D21" s="2">
        <v>6810.22</v>
      </c>
      <c r="F21" s="2">
        <v>7652.93</v>
      </c>
      <c r="G21" s="3"/>
      <c r="H21" s="2">
        <v>7843.16</v>
      </c>
      <c r="I21" s="3"/>
      <c r="J21" s="2">
        <v>9540.4599999999991</v>
      </c>
      <c r="K21" s="3"/>
      <c r="L21" s="2">
        <v>11382.14</v>
      </c>
      <c r="M21" s="3"/>
      <c r="N21" s="2">
        <v>13042.21</v>
      </c>
      <c r="O21" s="3"/>
      <c r="P21" s="2">
        <v>12209.8311471</v>
      </c>
      <c r="Q21" s="3"/>
      <c r="R21" s="2">
        <v>11300.99354541</v>
      </c>
    </row>
    <row r="22" spans="1:18" s="16" customFormat="1" hidden="1" outlineLevel="2" x14ac:dyDescent="0.35">
      <c r="B22" s="11" t="str">
        <f>CONCATENATE("          ", "6112", " - ", "COMPENSATION INSURANCE")</f>
        <v xml:space="preserve">          6112 - COMPENSATION INSURANCE</v>
      </c>
      <c r="D22" s="2">
        <v>497.49</v>
      </c>
      <c r="F22" s="2">
        <v>874.41</v>
      </c>
      <c r="G22" s="3"/>
      <c r="H22" s="2">
        <v>585.67999999999995</v>
      </c>
      <c r="I22" s="3"/>
      <c r="J22" s="2">
        <v>390.86</v>
      </c>
      <c r="K22" s="3"/>
      <c r="L22" s="2">
        <v>587.69000000000005</v>
      </c>
      <c r="M22" s="3"/>
      <c r="N22" s="2">
        <v>741.24</v>
      </c>
      <c r="O22" s="3"/>
      <c r="P22" s="2">
        <v>4226.4830824999999</v>
      </c>
      <c r="Q22" s="3"/>
      <c r="R22" s="2">
        <v>3900.0311532000001</v>
      </c>
    </row>
    <row r="23" spans="1:18" s="16" customFormat="1" hidden="1" outlineLevel="2" x14ac:dyDescent="0.35">
      <c r="B23" s="11" t="str">
        <f>CONCATENATE("          ", "6113", " - ", "GROUP INSURANCE")</f>
        <v xml:space="preserve">          6113 - GROUP INSURANCE</v>
      </c>
      <c r="D23" s="2">
        <v>18400.11</v>
      </c>
      <c r="F23" s="2">
        <v>13627.62</v>
      </c>
      <c r="G23" s="3"/>
      <c r="H23" s="2">
        <v>13305.6</v>
      </c>
      <c r="I23" s="3"/>
      <c r="J23" s="2">
        <v>14299.41</v>
      </c>
      <c r="K23" s="3"/>
      <c r="L23" s="2">
        <v>14785.84</v>
      </c>
      <c r="M23" s="3"/>
      <c r="N23" s="2">
        <v>15213.59</v>
      </c>
      <c r="O23" s="3"/>
      <c r="P23" s="2">
        <v>12632.5</v>
      </c>
      <c r="Q23" s="3"/>
      <c r="R23" s="2">
        <v>12270</v>
      </c>
    </row>
    <row r="24" spans="1:18" s="16" customFormat="1" hidden="1" outlineLevel="2" x14ac:dyDescent="0.35">
      <c r="B24" s="11" t="str">
        <f>CONCATENATE("          ", "6114", " - ", "STATE UNEMPLOYMENT INSURANCE")</f>
        <v xml:space="preserve">          6114 - STATE UNEMPLOYMENT INSURANCE</v>
      </c>
      <c r="D24" s="2">
        <v>753.23</v>
      </c>
      <c r="F24" s="2">
        <v>882.75</v>
      </c>
      <c r="G24" s="3"/>
      <c r="H24" s="2">
        <v>423.29</v>
      </c>
      <c r="I24" s="3"/>
      <c r="J24" s="2">
        <v>466.07</v>
      </c>
      <c r="K24" s="3"/>
      <c r="L24" s="2">
        <v>532.4</v>
      </c>
      <c r="M24" s="3"/>
      <c r="N24" s="2">
        <v>0</v>
      </c>
      <c r="O24" s="3"/>
      <c r="P24" s="2">
        <v>593.99221699999998</v>
      </c>
      <c r="Q24" s="3"/>
      <c r="R24" s="2">
        <v>525.00419369999997</v>
      </c>
    </row>
    <row r="25" spans="1:18" s="16" customFormat="1" hidden="1" outlineLevel="2" x14ac:dyDescent="0.35">
      <c r="B25" s="11" t="str">
        <f>CONCATENATE("          ", "6115", " - ", "P.E.R.S.")</f>
        <v xml:space="preserve">          6115 - P.E.R.S.</v>
      </c>
      <c r="D25" s="2">
        <v>8852.43</v>
      </c>
      <c r="F25" s="2">
        <v>6370.7</v>
      </c>
      <c r="G25" s="3"/>
      <c r="H25" s="2">
        <v>6557.5</v>
      </c>
      <c r="I25" s="3"/>
      <c r="J25" s="2">
        <v>7159.98</v>
      </c>
      <c r="K25" s="3"/>
      <c r="L25" s="2">
        <v>7125.23</v>
      </c>
      <c r="M25" s="3"/>
      <c r="N25" s="2">
        <v>8309.2900000000009</v>
      </c>
      <c r="O25" s="3"/>
      <c r="P25" s="2">
        <v>7526.9586499999996</v>
      </c>
      <c r="Q25" s="3"/>
      <c r="R25" s="2">
        <v>7500.0597420000104</v>
      </c>
    </row>
    <row r="26" spans="1:18" s="16" customFormat="1" hidden="1" outlineLevel="2" x14ac:dyDescent="0.35">
      <c r="B26" s="11" t="str">
        <f>CONCATENATE("          ", "6116", " - ", "EDUCATIONAL BENEFITS")</f>
        <v xml:space="preserve">          6116 - EDUCATIONAL BENEFITS</v>
      </c>
      <c r="D26" s="2"/>
      <c r="F26" s="2"/>
      <c r="G26" s="3"/>
      <c r="H26" s="2"/>
      <c r="I26" s="3"/>
      <c r="J26" s="2"/>
      <c r="K26" s="3"/>
      <c r="L26" s="2"/>
      <c r="M26" s="3"/>
      <c r="N26" s="2"/>
      <c r="O26" s="3"/>
      <c r="P26" s="2">
        <v>0</v>
      </c>
      <c r="Q26" s="3"/>
      <c r="R26" s="2">
        <v>0</v>
      </c>
    </row>
    <row r="27" spans="1:18" s="16" customFormat="1" hidden="1" outlineLevel="2" x14ac:dyDescent="0.35">
      <c r="B27" s="11" t="str">
        <f>CONCATENATE("          ", "6118", " - ", "VACATION")</f>
        <v xml:space="preserve">          6118 - VACATION</v>
      </c>
      <c r="D27" s="2">
        <v>4613.8500000000004</v>
      </c>
      <c r="F27" s="2">
        <v>6955.54</v>
      </c>
      <c r="G27" s="3"/>
      <c r="H27" s="2">
        <v>6612.33</v>
      </c>
      <c r="I27" s="3"/>
      <c r="J27" s="2">
        <v>7190.03</v>
      </c>
      <c r="K27" s="3"/>
      <c r="L27" s="2">
        <v>7543.74</v>
      </c>
      <c r="M27" s="3"/>
      <c r="N27" s="2">
        <v>8433.2199999999993</v>
      </c>
      <c r="O27" s="3"/>
      <c r="P27" s="2">
        <v>2625.68325</v>
      </c>
      <c r="Q27" s="3"/>
      <c r="R27" s="2">
        <v>2616.2999100000002</v>
      </c>
    </row>
    <row r="28" spans="1:18" s="16" customFormat="1" hidden="1" outlineLevel="2" x14ac:dyDescent="0.35">
      <c r="B28" s="11" t="str">
        <f>CONCATENATE("          ", "6119", " - ", "SICK LEAVE")</f>
        <v xml:space="preserve">          6119 - SICK LEAVE</v>
      </c>
      <c r="D28" s="2">
        <v>2950.64</v>
      </c>
      <c r="F28" s="2">
        <v>2075.83</v>
      </c>
      <c r="G28" s="3"/>
      <c r="H28" s="2">
        <v>3301.74</v>
      </c>
      <c r="I28" s="3"/>
      <c r="J28" s="2">
        <v>3474.19</v>
      </c>
      <c r="K28" s="3"/>
      <c r="L28" s="2">
        <v>4076.74</v>
      </c>
      <c r="M28" s="3"/>
      <c r="N28" s="2">
        <v>4824.46</v>
      </c>
      <c r="O28" s="3"/>
      <c r="P28" s="2">
        <v>5978.5285999999996</v>
      </c>
      <c r="Q28" s="3"/>
      <c r="R28" s="2">
        <v>6627.9599399999997</v>
      </c>
    </row>
    <row r="29" spans="1:18" s="16" customFormat="1" hidden="1" outlineLevel="2" x14ac:dyDescent="0.35">
      <c r="B29" s="11" t="str">
        <f>CONCATENATE("          ", "6156", " - ", "EMPLOYEE MEALS")</f>
        <v xml:space="preserve">          6156 - EMPLOYEE MEALS</v>
      </c>
      <c r="D29" s="2">
        <v>3217.04</v>
      </c>
      <c r="F29" s="2">
        <v>1913.82</v>
      </c>
      <c r="G29" s="3"/>
      <c r="H29" s="2">
        <v>1699.69</v>
      </c>
      <c r="I29" s="3"/>
      <c r="J29" s="2">
        <v>1677.31</v>
      </c>
      <c r="K29" s="3"/>
      <c r="L29" s="2">
        <v>2276.1799999999998</v>
      </c>
      <c r="M29" s="3"/>
      <c r="N29" s="2">
        <v>1475.47</v>
      </c>
      <c r="O29" s="3"/>
      <c r="P29" s="2">
        <v>4200</v>
      </c>
      <c r="Q29" s="3"/>
      <c r="R29" s="2"/>
    </row>
    <row r="30" spans="1:18" s="15" customFormat="1" outlineLevel="1" collapsed="1" x14ac:dyDescent="0.35">
      <c r="A30" s="7"/>
      <c r="B30" s="20" t="str">
        <f>CONCATENATE("     ","*Payroll                                          ")</f>
        <v xml:space="preserve">     *Payroll                                          </v>
      </c>
      <c r="C30" s="7"/>
      <c r="D30" s="1">
        <f>SUM(OSRRefD21_1x_0)</f>
        <v>118072.02000000002</v>
      </c>
      <c r="E30" s="19"/>
      <c r="F30" s="1">
        <f>SUM(OSRRefF21_1x_0)</f>
        <v>127845.76000000001</v>
      </c>
      <c r="G30" s="4"/>
      <c r="H30" s="1">
        <f>SUM(OSRRefH21_1x_0)</f>
        <v>141542.38999999998</v>
      </c>
      <c r="I30" s="4"/>
      <c r="J30" s="1">
        <f>SUM(OSRRefJ21_1x_0)</f>
        <v>151779.78</v>
      </c>
      <c r="K30" s="4"/>
      <c r="L30" s="1">
        <f>SUM(OSRRefL21_1x_0)</f>
        <v>190968.61000000002</v>
      </c>
      <c r="M30" s="4"/>
      <c r="N30" s="1">
        <f>SUM(OSRRefN21_1x_0)</f>
        <v>190012.33</v>
      </c>
      <c r="O30" s="4"/>
      <c r="P30" s="1">
        <f>SUM(OSRRefP21_1x_0)</f>
        <v>219854.33315000002</v>
      </c>
      <c r="Q30" s="4"/>
      <c r="R30" s="1">
        <f>SUM(OSRRefR21_1x_0)</f>
        <v>245641.49715000001</v>
      </c>
    </row>
    <row r="31" spans="1:18" s="16" customFormat="1" hidden="1" outlineLevel="2" x14ac:dyDescent="0.35">
      <c r="B31" s="11" t="str">
        <f>CONCATENATE("          ", "6001", " - ", "ADMINISTRATIVE SALARIES")</f>
        <v xml:space="preserve">          6001 - ADMINISTRATIVE SALARIES</v>
      </c>
      <c r="D31" s="2"/>
      <c r="F31" s="2">
        <v>-222.75</v>
      </c>
      <c r="G31" s="3"/>
      <c r="H31" s="2"/>
      <c r="I31" s="3"/>
      <c r="J31" s="2"/>
      <c r="K31" s="3"/>
      <c r="L31" s="2"/>
      <c r="M31" s="3"/>
      <c r="N31" s="2"/>
      <c r="O31" s="3"/>
      <c r="P31" s="2">
        <v>52250</v>
      </c>
      <c r="Q31" s="3"/>
      <c r="R31" s="2">
        <v>53817.5</v>
      </c>
    </row>
    <row r="32" spans="1:18" s="16" customFormat="1" hidden="1" outlineLevel="2" x14ac:dyDescent="0.35">
      <c r="B32" s="11" t="str">
        <f>CONCATENATE("          ", "6002", " - ", "STAFF SALARIES")</f>
        <v xml:space="preserve">          6002 - STAFF SALARIES</v>
      </c>
      <c r="D32" s="2">
        <v>61874.400000000001</v>
      </c>
      <c r="F32" s="2">
        <v>60797.96</v>
      </c>
      <c r="G32" s="3"/>
      <c r="H32" s="2">
        <v>69654</v>
      </c>
      <c r="I32" s="3"/>
      <c r="J32" s="2">
        <v>64870.02</v>
      </c>
      <c r="K32" s="3"/>
      <c r="L32" s="2">
        <v>67973.009999999995</v>
      </c>
      <c r="M32" s="3"/>
      <c r="N32" s="2">
        <v>70386.490000000005</v>
      </c>
      <c r="O32" s="3"/>
      <c r="P32" s="2">
        <v>30896.63625</v>
      </c>
      <c r="Q32" s="3"/>
      <c r="R32" s="2">
        <v>29031.997149999999</v>
      </c>
    </row>
    <row r="33" spans="1:18" s="16" customFormat="1" hidden="1" outlineLevel="2" x14ac:dyDescent="0.35">
      <c r="B33" s="11" t="str">
        <f>CONCATENATE("          ", "6003", " - ", "STAFF HOURLY-9 MONTH")</f>
        <v xml:space="preserve">          6003 - STAFF HOURLY-9 MONTH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"6004", " - ", "STAFF HOURLY")</f>
        <v xml:space="preserve">          6004 - STAFF HOURLY</v>
      </c>
      <c r="D34" s="2"/>
      <c r="F34" s="2"/>
      <c r="G34" s="3"/>
      <c r="H34" s="2"/>
      <c r="I34" s="3"/>
      <c r="J34" s="2"/>
      <c r="K34" s="3"/>
      <c r="L34" s="2">
        <v>11061</v>
      </c>
      <c r="M34" s="3"/>
      <c r="N34" s="2"/>
      <c r="O34" s="3"/>
      <c r="P34" s="2">
        <v>38742.6924</v>
      </c>
      <c r="Q34" s="3"/>
      <c r="R34" s="2">
        <v>26622</v>
      </c>
    </row>
    <row r="35" spans="1:18" s="16" customFormat="1" hidden="1" outlineLevel="2" x14ac:dyDescent="0.35">
      <c r="B35" s="11" t="str">
        <f>CONCATENATE("          ", "6005", " - ", "TEMPORARY WAGES-HOURLY")</f>
        <v xml:space="preserve">          6005 - TEMPORARY WAGES-HOURLY</v>
      </c>
      <c r="D35" s="2">
        <v>10343.81</v>
      </c>
      <c r="F35" s="2">
        <v>20333.14</v>
      </c>
      <c r="G35" s="3"/>
      <c r="H35" s="2">
        <v>20252.98</v>
      </c>
      <c r="I35" s="3"/>
      <c r="J35" s="2">
        <v>29286.34</v>
      </c>
      <c r="K35" s="3"/>
      <c r="L35" s="2">
        <v>42800.02</v>
      </c>
      <c r="M35" s="3"/>
      <c r="N35" s="2">
        <v>87917.69</v>
      </c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"6006", " - ", "TEMPORARY PART TIME")</f>
        <v xml:space="preserve">          6006 - TEMPORARY PART TIME</v>
      </c>
      <c r="D36" s="2">
        <v>5648.16</v>
      </c>
      <c r="F36" s="2">
        <v>2854.47</v>
      </c>
      <c r="G36" s="3"/>
      <c r="H36" s="2">
        <v>6595.7</v>
      </c>
      <c r="I36" s="3"/>
      <c r="J36" s="2">
        <v>10385.4</v>
      </c>
      <c r="K36" s="3"/>
      <c r="L36" s="2">
        <v>10984.32</v>
      </c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"6007", " - ", "STUDENT HOURLY")</f>
        <v xml:space="preserve">          6007 - STUDENT HOURLY</v>
      </c>
      <c r="D37" s="2">
        <v>39330.269999999997</v>
      </c>
      <c r="F37" s="2">
        <v>44082.94</v>
      </c>
      <c r="G37" s="3"/>
      <c r="H37" s="2">
        <v>45039.71</v>
      </c>
      <c r="I37" s="3"/>
      <c r="J37" s="2">
        <v>47238.02</v>
      </c>
      <c r="K37" s="3"/>
      <c r="L37" s="2">
        <v>54621.72</v>
      </c>
      <c r="M37" s="3"/>
      <c r="N37" s="2">
        <v>25787.41</v>
      </c>
      <c r="O37" s="3"/>
      <c r="P37" s="2">
        <v>31116.993750000001</v>
      </c>
      <c r="Q37" s="3"/>
      <c r="R37" s="2">
        <v>33835.5</v>
      </c>
    </row>
    <row r="38" spans="1:18" s="16" customFormat="1" hidden="1" outlineLevel="2" x14ac:dyDescent="0.35">
      <c r="B38" s="11" t="str">
        <f>CONCATENATE("          ", "6008", " - ", "STUDENT HOURLY-FICA EXEMPT")</f>
        <v xml:space="preserve">          6008 - STUDENT HOURLY-FICA EXEMPT</v>
      </c>
      <c r="D38" s="2">
        <v>875.38</v>
      </c>
      <c r="F38" s="2"/>
      <c r="G38" s="3"/>
      <c r="H38" s="2"/>
      <c r="I38" s="3"/>
      <c r="J38" s="2"/>
      <c r="K38" s="3"/>
      <c r="L38" s="2">
        <v>3528.54</v>
      </c>
      <c r="M38" s="3"/>
      <c r="N38" s="2">
        <v>5920.74</v>
      </c>
      <c r="O38" s="3"/>
      <c r="P38" s="2">
        <v>66848.010750000001</v>
      </c>
      <c r="Q38" s="3"/>
      <c r="R38" s="2">
        <v>102334.5</v>
      </c>
    </row>
    <row r="39" spans="1:18" s="16" customFormat="1" hidden="1" outlineLevel="2" x14ac:dyDescent="0.35">
      <c r="B39" s="11" t="str">
        <f>CONCATENATE("          ", "6009", " - ", "TEMPORARY-SEASONAL")</f>
        <v xml:space="preserve">          6009 - TEMPORARY-SEASONAL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"6010", " - ", "GRATUITY")</f>
        <v xml:space="preserve">          6010 - GRATUITY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>
        <v>0</v>
      </c>
    </row>
    <row r="41" spans="1:18" s="15" customFormat="1" outlineLevel="1" collapsed="1" x14ac:dyDescent="0.35">
      <c r="A41" s="7"/>
      <c r="B41" s="20" t="str">
        <f>CONCATENATE("     ","Advertising/Promo                                 ")</f>
        <v xml:space="preserve">     Advertising/Promo                                 </v>
      </c>
      <c r="C41" s="7"/>
      <c r="D41" s="1">
        <f>SUM(OSRRefD21_2x_0)</f>
        <v>2391.39</v>
      </c>
      <c r="E41" s="19"/>
      <c r="F41" s="1">
        <f>SUM(OSRRefF21_2x_0)</f>
        <v>2619.73</v>
      </c>
      <c r="G41" s="4"/>
      <c r="H41" s="1">
        <f>SUM(OSRRefH21_2x_0)</f>
        <v>670.67</v>
      </c>
      <c r="I41" s="4"/>
      <c r="J41" s="1">
        <f>SUM(OSRRefJ21_2x_0)</f>
        <v>1744.88</v>
      </c>
      <c r="K41" s="4"/>
      <c r="L41" s="1">
        <f>SUM(OSRRefL21_2x_0)</f>
        <v>3183.09</v>
      </c>
      <c r="M41" s="4"/>
      <c r="N41" s="1">
        <f>SUM(OSRRefN21_2x_0)</f>
        <v>2066.92</v>
      </c>
      <c r="O41" s="4"/>
      <c r="P41" s="1">
        <f>SUM(OSRRefP21_2x_0)</f>
        <v>1200</v>
      </c>
      <c r="Q41" s="4"/>
      <c r="R41" s="1">
        <f>SUM(OSRRefR21_2x_0)</f>
        <v>1200</v>
      </c>
    </row>
    <row r="42" spans="1:18" s="16" customFormat="1" hidden="1" outlineLevel="2" x14ac:dyDescent="0.35">
      <c r="B42" s="11" t="str">
        <f>CONCATENATE("          ", "6362", " - ", "ADVERTISING EXPENSE")</f>
        <v xml:space="preserve">          6362 - ADVERTISING EXPENSE</v>
      </c>
      <c r="D42" s="2">
        <v>2391.39</v>
      </c>
      <c r="F42" s="2">
        <v>2619.73</v>
      </c>
      <c r="G42" s="3"/>
      <c r="H42" s="2">
        <v>670.67</v>
      </c>
      <c r="I42" s="3"/>
      <c r="J42" s="2">
        <v>1744.88</v>
      </c>
      <c r="K42" s="3"/>
      <c r="L42" s="2">
        <v>3183.09</v>
      </c>
      <c r="M42" s="3"/>
      <c r="N42" s="2">
        <v>2066.92</v>
      </c>
      <c r="O42" s="3"/>
      <c r="P42" s="2">
        <v>1200</v>
      </c>
      <c r="Q42" s="3"/>
      <c r="R42" s="2">
        <v>1200</v>
      </c>
    </row>
    <row r="43" spans="1:18" s="15" customFormat="1" outlineLevel="1" collapsed="1" x14ac:dyDescent="0.35">
      <c r="A43" s="7"/>
      <c r="B43" s="20" t="str">
        <f>CONCATENATE("     ","Bank/card Fees                                    ")</f>
        <v xml:space="preserve">     Bank/card Fees                                    </v>
      </c>
      <c r="C43" s="7"/>
      <c r="D43" s="1">
        <f>SUM(OSRRefD21_3x_0)</f>
        <v>12021.73</v>
      </c>
      <c r="E43" s="19"/>
      <c r="F43" s="1">
        <f>SUM(OSRRefF21_3x_0)</f>
        <v>12322.55</v>
      </c>
      <c r="G43" s="4"/>
      <c r="H43" s="1">
        <f>SUM(OSRRefH21_3x_0)</f>
        <v>14382.19</v>
      </c>
      <c r="I43" s="4"/>
      <c r="J43" s="1">
        <f>SUM(OSRRefJ21_3x_0)</f>
        <v>16412.580000000002</v>
      </c>
      <c r="K43" s="4"/>
      <c r="L43" s="1">
        <f>SUM(OSRRefL21_3x_0)</f>
        <v>22577.18</v>
      </c>
      <c r="M43" s="4"/>
      <c r="N43" s="1">
        <f>SUM(OSRRefN21_3x_0)</f>
        <v>17997.099999999999</v>
      </c>
      <c r="O43" s="4"/>
      <c r="P43" s="1">
        <f>SUM(OSRRefP21_3x_0)</f>
        <v>21700</v>
      </c>
      <c r="Q43" s="4"/>
      <c r="R43" s="1">
        <f>SUM(OSRRefR21_3x_0)</f>
        <v>15000</v>
      </c>
    </row>
    <row r="44" spans="1:18" s="16" customFormat="1" hidden="1" outlineLevel="2" x14ac:dyDescent="0.35">
      <c r="B44" s="11" t="str">
        <f>CONCATENATE("          ", "6381", " - ", "BANK/CREDIT CARD FEES")</f>
        <v xml:space="preserve">          6381 - BANK/CREDIT CARD FEES</v>
      </c>
      <c r="D44" s="2">
        <v>12021.73</v>
      </c>
      <c r="F44" s="2">
        <v>12322.55</v>
      </c>
      <c r="G44" s="3"/>
      <c r="H44" s="2">
        <v>14382.19</v>
      </c>
      <c r="I44" s="3"/>
      <c r="J44" s="2">
        <v>16412.580000000002</v>
      </c>
      <c r="K44" s="3"/>
      <c r="L44" s="2">
        <v>22577.18</v>
      </c>
      <c r="M44" s="3"/>
      <c r="N44" s="2">
        <v>17997.099999999999</v>
      </c>
      <c r="O44" s="3"/>
      <c r="P44" s="2">
        <v>21700</v>
      </c>
      <c r="Q44" s="3"/>
      <c r="R44" s="2">
        <v>15000</v>
      </c>
    </row>
    <row r="45" spans="1:18" s="15" customFormat="1" outlineLevel="1" collapsed="1" x14ac:dyDescent="0.35">
      <c r="A45" s="7"/>
      <c r="B45" s="20" t="str">
        <f>CONCATENATE("     ","Depreciation                                      ")</f>
        <v xml:space="preserve">     Depreciation                                      </v>
      </c>
      <c r="C45" s="7"/>
      <c r="D45" s="1">
        <f>SUM(OSRRefD21_4x_0)</f>
        <v>1232.44</v>
      </c>
      <c r="E45" s="19"/>
      <c r="F45" s="1">
        <f>SUM(OSRRefF21_4x_0)</f>
        <v>1232.44</v>
      </c>
      <c r="G45" s="4"/>
      <c r="H45" s="1">
        <f>SUM(OSRRefH21_4x_0)</f>
        <v>1129.74</v>
      </c>
      <c r="I45" s="4"/>
      <c r="J45" s="1">
        <f>SUM(OSRRefJ21_4x_0)</f>
        <v>0</v>
      </c>
      <c r="K45" s="4"/>
      <c r="L45" s="1">
        <f>SUM(OSRRefL21_4x_0)</f>
        <v>0</v>
      </c>
      <c r="M45" s="4"/>
      <c r="N45" s="1">
        <f>SUM(OSRRefN21_4x_0)</f>
        <v>0</v>
      </c>
      <c r="O45" s="4"/>
      <c r="P45" s="1">
        <f>SUM(OSRRefP21_4x_0)</f>
        <v>0</v>
      </c>
      <c r="Q45" s="4"/>
      <c r="R45" s="1">
        <f>SUM(OSRRefR21_4x_0)</f>
        <v>0</v>
      </c>
    </row>
    <row r="46" spans="1:18" s="16" customFormat="1" hidden="1" outlineLevel="2" x14ac:dyDescent="0.35">
      <c r="B46" s="11" t="str">
        <f>CONCATENATE("          ", "6322", " - ", "EQUIPMENT DEPRECIATION EXPENSE")</f>
        <v xml:space="preserve">          6322 - EQUIPMENT DEPRECIATION EXPENSE</v>
      </c>
      <c r="D46" s="2">
        <v>1232.44</v>
      </c>
      <c r="F46" s="2">
        <v>1232.44</v>
      </c>
      <c r="G46" s="3"/>
      <c r="H46" s="2">
        <v>1129.74</v>
      </c>
      <c r="I46" s="3"/>
      <c r="J46" s="2"/>
      <c r="K46" s="3"/>
      <c r="L46" s="2"/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","Employees' Appreciation                           ")</f>
        <v xml:space="preserve">     Employees' Appreciation                           </v>
      </c>
      <c r="C47" s="7"/>
      <c r="D47" s="1">
        <f>SUM(OSRRefD21_5x_0)</f>
        <v>0</v>
      </c>
      <c r="E47" s="19"/>
      <c r="F47" s="1">
        <f>SUM(OSRRefF21_5x_0)</f>
        <v>231</v>
      </c>
      <c r="G47" s="4"/>
      <c r="H47" s="1">
        <f>SUM(OSRRefH21_5x_0)</f>
        <v>301.41000000000003</v>
      </c>
      <c r="I47" s="4"/>
      <c r="J47" s="1">
        <f>SUM(OSRRefJ21_5x_0)</f>
        <v>131.25</v>
      </c>
      <c r="K47" s="4"/>
      <c r="L47" s="1">
        <f>SUM(OSRRefL21_5x_0)</f>
        <v>92.16</v>
      </c>
      <c r="M47" s="4"/>
      <c r="N47" s="1">
        <f>SUM(OSRRefN21_5x_0)</f>
        <v>64.239999999999995</v>
      </c>
      <c r="O47" s="4"/>
      <c r="P47" s="1">
        <f>SUM(OSRRefP21_5x_0)</f>
        <v>240</v>
      </c>
      <c r="Q47" s="4"/>
      <c r="R47" s="1">
        <f>SUM(OSRRefR21_5x_0)</f>
        <v>240</v>
      </c>
    </row>
    <row r="48" spans="1:18" s="16" customFormat="1" hidden="1" outlineLevel="2" x14ac:dyDescent="0.35">
      <c r="B48" s="11" t="str">
        <f>CONCATENATE("          ", "6277", " - ", "EMPLOYEE APPRECIATION")</f>
        <v xml:space="preserve">          6277 - EMPLOYEE APPRECIATION</v>
      </c>
      <c r="D48" s="2"/>
      <c r="F48" s="2">
        <v>231</v>
      </c>
      <c r="G48" s="3"/>
      <c r="H48" s="2">
        <v>301.41000000000003</v>
      </c>
      <c r="I48" s="3"/>
      <c r="J48" s="2">
        <v>131.25</v>
      </c>
      <c r="K48" s="3"/>
      <c r="L48" s="2">
        <v>92.16</v>
      </c>
      <c r="M48" s="3"/>
      <c r="N48" s="2">
        <v>64.239999999999995</v>
      </c>
      <c r="O48" s="3"/>
      <c r="P48" s="2">
        <v>240</v>
      </c>
      <c r="Q48" s="3"/>
      <c r="R48" s="2">
        <v>240</v>
      </c>
    </row>
    <row r="49" spans="1:18" s="15" customFormat="1" outlineLevel="1" collapsed="1" x14ac:dyDescent="0.35">
      <c r="A49" s="7"/>
      <c r="B49" s="20" t="str">
        <f>CONCATENATE("     ","Freight out/Postage                               ")</f>
        <v xml:space="preserve">     Freight out/Postage                               </v>
      </c>
      <c r="C49" s="7"/>
      <c r="D49" s="1">
        <f>SUM(OSRRefD21_6x_0)</f>
        <v>104.81</v>
      </c>
      <c r="E49" s="19"/>
      <c r="F49" s="1">
        <f>SUM(OSRRefF21_6x_0)</f>
        <v>49.050000000000004</v>
      </c>
      <c r="G49" s="4"/>
      <c r="H49" s="1">
        <f>SUM(OSRRefH21_6x_0)</f>
        <v>14.63</v>
      </c>
      <c r="I49" s="4"/>
      <c r="J49" s="1">
        <f>SUM(OSRRefJ21_6x_0)</f>
        <v>151.11000000000001</v>
      </c>
      <c r="K49" s="4"/>
      <c r="L49" s="1">
        <f>SUM(OSRRefL21_6x_0)</f>
        <v>102.21000000000001</v>
      </c>
      <c r="M49" s="4"/>
      <c r="N49" s="1">
        <f>SUM(OSRRefN21_6x_0)</f>
        <v>0</v>
      </c>
      <c r="O49" s="4"/>
      <c r="P49" s="1">
        <f>SUM(OSRRefP21_6x_0)</f>
        <v>120</v>
      </c>
      <c r="Q49" s="4"/>
      <c r="R49" s="1">
        <f>SUM(OSRRefR21_6x_0)</f>
        <v>120</v>
      </c>
    </row>
    <row r="50" spans="1:18" s="16" customFormat="1" hidden="1" outlineLevel="2" x14ac:dyDescent="0.35">
      <c r="B50" s="11" t="str">
        <f>CONCATENATE("          ", "6305", " - ", "FREIGHT OUT")</f>
        <v xml:space="preserve">          6305 - FREIGHT OUT</v>
      </c>
      <c r="D50" s="2">
        <v>84.36</v>
      </c>
      <c r="F50" s="2">
        <v>40.42</v>
      </c>
      <c r="G50" s="3"/>
      <c r="H50" s="2">
        <v>14.16</v>
      </c>
      <c r="I50" s="3"/>
      <c r="J50" s="2">
        <v>148.80000000000001</v>
      </c>
      <c r="K50" s="3"/>
      <c r="L50" s="2">
        <v>54.57</v>
      </c>
      <c r="M50" s="3"/>
      <c r="N50" s="2"/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"6307", " - ", "POSTAGE")</f>
        <v xml:space="preserve">          6307 - POSTAGE</v>
      </c>
      <c r="D51" s="2">
        <v>20.45</v>
      </c>
      <c r="F51" s="2">
        <v>8.6300000000000008</v>
      </c>
      <c r="G51" s="3"/>
      <c r="H51" s="2">
        <v>0.47</v>
      </c>
      <c r="I51" s="3"/>
      <c r="J51" s="2">
        <v>2.31</v>
      </c>
      <c r="K51" s="3"/>
      <c r="L51" s="2">
        <v>47.64</v>
      </c>
      <c r="M51" s="3"/>
      <c r="N51" s="2"/>
      <c r="O51" s="3"/>
      <c r="P51" s="2">
        <v>120</v>
      </c>
      <c r="Q51" s="3"/>
      <c r="R51" s="2">
        <v>120</v>
      </c>
    </row>
    <row r="52" spans="1:18" s="15" customFormat="1" outlineLevel="1" collapsed="1" x14ac:dyDescent="0.35">
      <c r="A52" s="7"/>
      <c r="B52" s="20" t="str">
        <f>CONCATENATE("     ","General                                           ")</f>
        <v xml:space="preserve">     General                                           </v>
      </c>
      <c r="C52" s="7"/>
      <c r="D52" s="1">
        <f>SUM(OSRRefD21_7x_0)</f>
        <v>-998</v>
      </c>
      <c r="E52" s="19"/>
      <c r="F52" s="1">
        <f>SUM(OSRRefF21_7x_0)</f>
        <v>0</v>
      </c>
      <c r="G52" s="4"/>
      <c r="H52" s="1">
        <f>SUM(OSRRefH21_7x_0)</f>
        <v>214.91</v>
      </c>
      <c r="I52" s="4"/>
      <c r="J52" s="1">
        <f>SUM(OSRRefJ21_7x_0)</f>
        <v>11.92</v>
      </c>
      <c r="K52" s="4"/>
      <c r="L52" s="1">
        <f>SUM(OSRRefL21_7x_0)</f>
        <v>661</v>
      </c>
      <c r="M52" s="4"/>
      <c r="N52" s="1">
        <f>SUM(OSRRefN21_7x_0)</f>
        <v>47.34</v>
      </c>
      <c r="O52" s="4"/>
      <c r="P52" s="1">
        <f>SUM(OSRRefP21_7x_0)</f>
        <v>600</v>
      </c>
      <c r="Q52" s="4"/>
      <c r="R52" s="1">
        <f>SUM(OSRRefR21_7x_0)</f>
        <v>600</v>
      </c>
    </row>
    <row r="53" spans="1:18" s="16" customFormat="1" hidden="1" outlineLevel="2" x14ac:dyDescent="0.35">
      <c r="B53" s="11" t="str">
        <f>CONCATENATE("          ", "6279", " - ", "GENERAL EXPENSE")</f>
        <v xml:space="preserve">          6279 - GENERAL EXPENSE</v>
      </c>
      <c r="D53" s="2">
        <v>-998</v>
      </c>
      <c r="F53" s="2"/>
      <c r="G53" s="3"/>
      <c r="H53" s="2">
        <v>214.91</v>
      </c>
      <c r="I53" s="3"/>
      <c r="J53" s="2">
        <v>11.92</v>
      </c>
      <c r="K53" s="3"/>
      <c r="L53" s="2">
        <v>661</v>
      </c>
      <c r="M53" s="3"/>
      <c r="N53" s="2">
        <v>47.34</v>
      </c>
      <c r="O53" s="3"/>
      <c r="P53" s="2">
        <v>600</v>
      </c>
      <c r="Q53" s="3"/>
      <c r="R53" s="2">
        <v>600</v>
      </c>
    </row>
    <row r="54" spans="1:18" s="15" customFormat="1" outlineLevel="1" collapsed="1" x14ac:dyDescent="0.35">
      <c r="A54" s="7"/>
      <c r="B54" s="20" t="str">
        <f>CONCATENATE("     ","Insurance                                         ")</f>
        <v xml:space="preserve">     Insurance                                         </v>
      </c>
      <c r="C54" s="7"/>
      <c r="D54" s="1">
        <f>SUM(OSRRefD21_8x_0)</f>
        <v>325.04000000000002</v>
      </c>
      <c r="E54" s="19"/>
      <c r="F54" s="1">
        <f>SUM(OSRRefF21_8x_0)</f>
        <v>393.48</v>
      </c>
      <c r="G54" s="4"/>
      <c r="H54" s="1">
        <f>SUM(OSRRefH21_8x_0)</f>
        <v>257.26</v>
      </c>
      <c r="I54" s="4"/>
      <c r="J54" s="1">
        <f>SUM(OSRRefJ21_8x_0)</f>
        <v>287.49</v>
      </c>
      <c r="K54" s="4"/>
      <c r="L54" s="1">
        <f>SUM(OSRRefL21_8x_0)</f>
        <v>279.19</v>
      </c>
      <c r="M54" s="4"/>
      <c r="N54" s="1">
        <f>SUM(OSRRefN21_8x_0)</f>
        <v>348.12</v>
      </c>
      <c r="O54" s="4"/>
      <c r="P54" s="1">
        <f>SUM(OSRRefP21_8x_0)</f>
        <v>396</v>
      </c>
      <c r="Q54" s="4"/>
      <c r="R54" s="1">
        <f>SUM(OSRRefR21_8x_0)</f>
        <v>480</v>
      </c>
    </row>
    <row r="55" spans="1:18" s="16" customFormat="1" hidden="1" outlineLevel="2" x14ac:dyDescent="0.35">
      <c r="B55" s="11" t="str">
        <f>CONCATENATE("          ", "6314", " - ", "LIABILITY INSURANCE")</f>
        <v xml:space="preserve">          6314 - LIABILITY INSURANCE</v>
      </c>
      <c r="D55" s="2">
        <v>325.04000000000002</v>
      </c>
      <c r="F55" s="2">
        <v>393.48</v>
      </c>
      <c r="G55" s="3"/>
      <c r="H55" s="2">
        <v>257.26</v>
      </c>
      <c r="I55" s="3"/>
      <c r="J55" s="2">
        <v>287.49</v>
      </c>
      <c r="K55" s="3"/>
      <c r="L55" s="2">
        <v>279.19</v>
      </c>
      <c r="M55" s="3"/>
      <c r="N55" s="2">
        <v>348.12</v>
      </c>
      <c r="O55" s="3"/>
      <c r="P55" s="2">
        <v>396</v>
      </c>
      <c r="Q55" s="3"/>
      <c r="R55" s="2">
        <v>480</v>
      </c>
    </row>
    <row r="56" spans="1:18" s="15" customFormat="1" outlineLevel="1" collapsed="1" x14ac:dyDescent="0.35">
      <c r="A56" s="7"/>
      <c r="B56" s="20" t="str">
        <f>CONCATENATE("     ","Professional Services                             ")</f>
        <v xml:space="preserve">     Professional Services                             </v>
      </c>
      <c r="C56" s="7"/>
      <c r="D56" s="1">
        <f>SUM(OSRRefD21_9x_0)</f>
        <v>0</v>
      </c>
      <c r="E56" s="19"/>
      <c r="F56" s="1">
        <f>SUM(OSRRefF21_9x_0)</f>
        <v>0</v>
      </c>
      <c r="G56" s="4"/>
      <c r="H56" s="1">
        <f>SUM(OSRRefH21_9x_0)</f>
        <v>0</v>
      </c>
      <c r="I56" s="4"/>
      <c r="J56" s="1">
        <f>SUM(OSRRefJ21_9x_0)</f>
        <v>0</v>
      </c>
      <c r="K56" s="4"/>
      <c r="L56" s="1">
        <f>SUM(OSRRefL21_9x_0)</f>
        <v>1680</v>
      </c>
      <c r="M56" s="4"/>
      <c r="N56" s="1">
        <f>SUM(OSRRefN21_9x_0)</f>
        <v>0</v>
      </c>
      <c r="O56" s="4"/>
      <c r="P56" s="1">
        <f>SUM(OSRRefP21_9x_0)</f>
        <v>0</v>
      </c>
      <c r="Q56" s="4"/>
      <c r="R56" s="1">
        <f>SUM(OSRRefR21_9x_0)</f>
        <v>0</v>
      </c>
    </row>
    <row r="57" spans="1:18" s="16" customFormat="1" hidden="1" outlineLevel="2" x14ac:dyDescent="0.35">
      <c r="B57" s="11" t="str">
        <f>CONCATENATE("          ", "6336", " - ", "PROFESSIONAL SERVICES")</f>
        <v xml:space="preserve">          6336 - PROFESSIONAL SERVICES</v>
      </c>
      <c r="D57" s="2"/>
      <c r="F57" s="2"/>
      <c r="G57" s="3"/>
      <c r="H57" s="2"/>
      <c r="I57" s="3"/>
      <c r="J57" s="2"/>
      <c r="K57" s="3"/>
      <c r="L57" s="2">
        <v>1680</v>
      </c>
      <c r="M57" s="3"/>
      <c r="N57" s="2"/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","Rent                                              ")</f>
        <v xml:space="preserve">     Rent                                              </v>
      </c>
      <c r="C58" s="7"/>
      <c r="D58" s="1">
        <f>SUM(OSRRefD21_10x_0)</f>
        <v>9600</v>
      </c>
      <c r="E58" s="19"/>
      <c r="F58" s="1">
        <f>SUM(OSRRefF21_10x_0)</f>
        <v>9600</v>
      </c>
      <c r="G58" s="4"/>
      <c r="H58" s="1">
        <f>SUM(OSRRefH21_10x_0)</f>
        <v>9600</v>
      </c>
      <c r="I58" s="4"/>
      <c r="J58" s="1">
        <f>SUM(OSRRefJ21_10x_0)</f>
        <v>9600</v>
      </c>
      <c r="K58" s="4"/>
      <c r="L58" s="1">
        <f>SUM(OSRRefL21_10x_0)</f>
        <v>8800</v>
      </c>
      <c r="M58" s="4"/>
      <c r="N58" s="1">
        <f>SUM(OSRRefN21_10x_0)</f>
        <v>8000</v>
      </c>
      <c r="O58" s="4"/>
      <c r="P58" s="1">
        <f>SUM(OSRRefP21_10x_0)</f>
        <v>9600</v>
      </c>
      <c r="Q58" s="4"/>
      <c r="R58" s="1">
        <f>SUM(OSRRefR21_10x_0)</f>
        <v>9600</v>
      </c>
    </row>
    <row r="59" spans="1:18" s="16" customFormat="1" hidden="1" outlineLevel="2" x14ac:dyDescent="0.35">
      <c r="B59" s="11" t="str">
        <f>CONCATENATE("          ", "6273", " - ", "RENT")</f>
        <v xml:space="preserve">          6273 - RENT</v>
      </c>
      <c r="D59" s="2">
        <v>9600</v>
      </c>
      <c r="F59" s="2">
        <v>9600</v>
      </c>
      <c r="G59" s="3"/>
      <c r="H59" s="2">
        <v>9600</v>
      </c>
      <c r="I59" s="3"/>
      <c r="J59" s="2">
        <v>9600</v>
      </c>
      <c r="K59" s="3"/>
      <c r="L59" s="2">
        <v>8800</v>
      </c>
      <c r="M59" s="3"/>
      <c r="N59" s="2">
        <v>8000</v>
      </c>
      <c r="O59" s="3"/>
      <c r="P59" s="2">
        <v>9600</v>
      </c>
      <c r="Q59" s="3"/>
      <c r="R59" s="2">
        <v>9600</v>
      </c>
    </row>
    <row r="60" spans="1:18" s="15" customFormat="1" outlineLevel="1" collapsed="1" x14ac:dyDescent="0.35">
      <c r="A60" s="7"/>
      <c r="B60" s="20" t="str">
        <f>CONCATENATE("     ","Repair and Maintenance                            ")</f>
        <v xml:space="preserve">     Repair and Maintenance                            </v>
      </c>
      <c r="C60" s="7"/>
      <c r="D60" s="1">
        <f>SUM(OSRRefD21_11x_0)</f>
        <v>161110.20000000001</v>
      </c>
      <c r="E60" s="19"/>
      <c r="F60" s="1">
        <f>SUM(OSRRefF21_11x_0)</f>
        <v>173993.87</v>
      </c>
      <c r="G60" s="4"/>
      <c r="H60" s="1">
        <f>SUM(OSRRefH21_11x_0)</f>
        <v>168189.73</v>
      </c>
      <c r="I60" s="4"/>
      <c r="J60" s="1">
        <f>SUM(OSRRefJ21_11x_0)</f>
        <v>172757.54</v>
      </c>
      <c r="K60" s="4"/>
      <c r="L60" s="1">
        <f>SUM(OSRRefL21_11x_0)</f>
        <v>121575.56</v>
      </c>
      <c r="M60" s="4"/>
      <c r="N60" s="1">
        <f>SUM(OSRRefN21_11x_0)</f>
        <v>119203.11</v>
      </c>
      <c r="O60" s="4"/>
      <c r="P60" s="1">
        <f>SUM(OSRRefP21_11x_0)</f>
        <v>143000</v>
      </c>
      <c r="Q60" s="4"/>
      <c r="R60" s="1">
        <f>SUM(OSRRefR21_11x_0)</f>
        <v>163400</v>
      </c>
    </row>
    <row r="61" spans="1:18" s="16" customFormat="1" hidden="1" outlineLevel="2" x14ac:dyDescent="0.35">
      <c r="B61" s="11" t="str">
        <f>CONCATENATE("          ", "6371", " - ", "COMPUTER SOFTWARE MAINTENANCE")</f>
        <v xml:space="preserve">          6371 - COMPUTER SOFTWARE MAINTENANCE</v>
      </c>
      <c r="D61" s="2"/>
      <c r="F61" s="2"/>
      <c r="G61" s="3"/>
      <c r="H61" s="2"/>
      <c r="I61" s="3"/>
      <c r="J61" s="2">
        <v>420.75</v>
      </c>
      <c r="K61" s="3"/>
      <c r="L61" s="2"/>
      <c r="M61" s="3"/>
      <c r="N61" s="2">
        <v>437.31</v>
      </c>
      <c r="O61" s="3"/>
      <c r="P61" s="2">
        <v>125000</v>
      </c>
      <c r="Q61" s="3"/>
      <c r="R61" s="2">
        <v>125000</v>
      </c>
    </row>
    <row r="62" spans="1:18" s="16" customFormat="1" hidden="1" outlineLevel="2" x14ac:dyDescent="0.35">
      <c r="B62" s="11" t="str">
        <f>CONCATENATE("          ", "6372", " - ", "COMPUTER HARDWARE MAINTENANCE")</f>
        <v xml:space="preserve">          6372 - COMPUTER HARDWARE MAINTENANCE</v>
      </c>
      <c r="D62" s="2"/>
      <c r="F62" s="2"/>
      <c r="G62" s="3"/>
      <c r="H62" s="2"/>
      <c r="I62" s="3"/>
      <c r="J62" s="2"/>
      <c r="K62" s="3"/>
      <c r="L62" s="2"/>
      <c r="M62" s="3"/>
      <c r="N62" s="2"/>
      <c r="O62" s="3"/>
      <c r="P62" s="2">
        <v>18000</v>
      </c>
      <c r="Q62" s="3"/>
      <c r="R62" s="2">
        <v>38400</v>
      </c>
    </row>
    <row r="63" spans="1:18" s="16" customFormat="1" hidden="1" outlineLevel="2" x14ac:dyDescent="0.35">
      <c r="B63" s="11" t="str">
        <f>CONCATENATE("          ", "6373", " - ", "MAINTENANCE CONTRACTS")</f>
        <v xml:space="preserve">          6373 - MAINTENANCE CONTRACTS</v>
      </c>
      <c r="D63" s="2">
        <v>157217</v>
      </c>
      <c r="F63" s="2">
        <v>173032.26</v>
      </c>
      <c r="G63" s="3"/>
      <c r="H63" s="2">
        <v>167929</v>
      </c>
      <c r="I63" s="3"/>
      <c r="J63" s="2">
        <v>170759.45</v>
      </c>
      <c r="K63" s="3"/>
      <c r="L63" s="2">
        <v>115431.56</v>
      </c>
      <c r="M63" s="3"/>
      <c r="N63" s="2">
        <v>117094</v>
      </c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"6375", " - ", "OUTSIDE REPAIRS &amp; MAINTENANCE")</f>
        <v xml:space="preserve">          6375 - OUTSIDE REPAIRS &amp; MAINTENANCE</v>
      </c>
      <c r="D64" s="2">
        <v>3893.2</v>
      </c>
      <c r="F64" s="2">
        <v>961.61</v>
      </c>
      <c r="G64" s="3"/>
      <c r="H64" s="2">
        <v>260.73</v>
      </c>
      <c r="I64" s="3"/>
      <c r="J64" s="2">
        <v>1577.34</v>
      </c>
      <c r="K64" s="3"/>
      <c r="L64" s="2">
        <v>6144</v>
      </c>
      <c r="M64" s="3"/>
      <c r="N64" s="2">
        <v>1671.8</v>
      </c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","Subscriptions &amp; Dues                              ")</f>
        <v xml:space="preserve">     Subscriptions &amp; Dues                              </v>
      </c>
      <c r="C65" s="7"/>
      <c r="D65" s="1">
        <f>SUM(OSRRefD21_12x_0)</f>
        <v>1680</v>
      </c>
      <c r="E65" s="19"/>
      <c r="F65" s="1">
        <f>SUM(OSRRefF21_12x_0)</f>
        <v>0</v>
      </c>
      <c r="G65" s="4"/>
      <c r="H65" s="1">
        <f>SUM(OSRRefH21_12x_0)</f>
        <v>895</v>
      </c>
      <c r="I65" s="4"/>
      <c r="J65" s="1">
        <f>SUM(OSRRefJ21_12x_0)</f>
        <v>895</v>
      </c>
      <c r="K65" s="4"/>
      <c r="L65" s="1">
        <f>SUM(OSRRefL21_12x_0)</f>
        <v>915</v>
      </c>
      <c r="M65" s="4"/>
      <c r="N65" s="1">
        <f>SUM(OSRRefN21_12x_0)</f>
        <v>1740</v>
      </c>
      <c r="O65" s="4"/>
      <c r="P65" s="1">
        <f>SUM(OSRRefP21_12x_0)</f>
        <v>850</v>
      </c>
      <c r="Q65" s="4"/>
      <c r="R65" s="1">
        <f>SUM(OSRRefR21_12x_0)</f>
        <v>1020</v>
      </c>
    </row>
    <row r="66" spans="1:18" s="16" customFormat="1" hidden="1" outlineLevel="2" x14ac:dyDescent="0.35">
      <c r="B66" s="11" t="str">
        <f>CONCATENATE("          ", "6258", " - ", "MEMBERSHIP DUES")</f>
        <v xml:space="preserve">          6258 - MEMBERSHIP DUES</v>
      </c>
      <c r="D66" s="2">
        <v>1680</v>
      </c>
      <c r="F66" s="2"/>
      <c r="G66" s="3"/>
      <c r="H66" s="2">
        <v>895</v>
      </c>
      <c r="I66" s="3"/>
      <c r="J66" s="2">
        <v>895</v>
      </c>
      <c r="K66" s="3"/>
      <c r="L66" s="2">
        <v>915</v>
      </c>
      <c r="M66" s="3"/>
      <c r="N66" s="2">
        <v>1740</v>
      </c>
      <c r="O66" s="3"/>
      <c r="P66" s="2">
        <v>850</v>
      </c>
      <c r="Q66" s="3"/>
      <c r="R66" s="2">
        <v>1020</v>
      </c>
    </row>
    <row r="67" spans="1:18" s="15" customFormat="1" outlineLevel="1" collapsed="1" x14ac:dyDescent="0.35">
      <c r="A67" s="7"/>
      <c r="B67" s="20" t="str">
        <f>CONCATENATE("     ","Supplies                                          ")</f>
        <v xml:space="preserve">     Supplies                                          </v>
      </c>
      <c r="C67" s="7"/>
      <c r="D67" s="1">
        <f>SUM(OSRRefD21_13x_0)</f>
        <v>17728.13</v>
      </c>
      <c r="E67" s="19"/>
      <c r="F67" s="1">
        <f>SUM(OSRRefF21_13x_0)</f>
        <v>39331.65</v>
      </c>
      <c r="G67" s="4"/>
      <c r="H67" s="1">
        <f>SUM(OSRRefH21_13x_0)</f>
        <v>62506.679999999993</v>
      </c>
      <c r="I67" s="4"/>
      <c r="J67" s="1">
        <f>SUM(OSRRefJ21_13x_0)</f>
        <v>54435.73</v>
      </c>
      <c r="K67" s="4"/>
      <c r="L67" s="1">
        <f>SUM(OSRRefL21_13x_0)</f>
        <v>60839.12</v>
      </c>
      <c r="M67" s="4"/>
      <c r="N67" s="1">
        <f>SUM(OSRRefN21_13x_0)</f>
        <v>64725.189999999995</v>
      </c>
      <c r="O67" s="4"/>
      <c r="P67" s="1">
        <f>SUM(OSRRefP21_13x_0)</f>
        <v>84000</v>
      </c>
      <c r="Q67" s="4"/>
      <c r="R67" s="1">
        <f>SUM(OSRRefR21_13x_0)</f>
        <v>69600</v>
      </c>
    </row>
    <row r="68" spans="1:18" s="16" customFormat="1" hidden="1" outlineLevel="2" x14ac:dyDescent="0.35">
      <c r="B68" s="11" t="str">
        <f>CONCATENATE("          ", "6234", " - ", "EXPENDABLE SUPPLIES &amp; EQUIPMEN")</f>
        <v xml:space="preserve">          6234 - EXPENDABLE SUPPLIES &amp; EQUIPMEN</v>
      </c>
      <c r="D68" s="2"/>
      <c r="F68" s="2"/>
      <c r="G68" s="3"/>
      <c r="H68" s="2">
        <v>1242.5899999999999</v>
      </c>
      <c r="I68" s="3"/>
      <c r="J68" s="2">
        <v>292.14999999999998</v>
      </c>
      <c r="K68" s="3"/>
      <c r="L68" s="2"/>
      <c r="M68" s="3"/>
      <c r="N68" s="2">
        <v>413.27</v>
      </c>
      <c r="O68" s="3"/>
      <c r="P68" s="2">
        <v>84000</v>
      </c>
      <c r="Q68" s="3"/>
      <c r="R68" s="2">
        <v>69600</v>
      </c>
    </row>
    <row r="69" spans="1:18" s="16" customFormat="1" hidden="1" outlineLevel="2" x14ac:dyDescent="0.35">
      <c r="B69" s="11" t="str">
        <f>CONCATENATE("          ", "6241", " - ", "OFFICE EXPENSE")</f>
        <v xml:space="preserve">          6241 - OFFICE EXPENSE</v>
      </c>
      <c r="D69" s="2">
        <v>17460.560000000001</v>
      </c>
      <c r="F69" s="2">
        <v>38897.040000000001</v>
      </c>
      <c r="G69" s="3"/>
      <c r="H69" s="2">
        <v>43883.67</v>
      </c>
      <c r="I69" s="3"/>
      <c r="J69" s="2">
        <v>52937.9</v>
      </c>
      <c r="K69" s="3"/>
      <c r="L69" s="2">
        <v>59419.1</v>
      </c>
      <c r="M69" s="3"/>
      <c r="N69" s="2">
        <v>64108.4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"6245", " - ", "PRINTING")</f>
        <v xml:space="preserve">          6245 - PRINTING</v>
      </c>
      <c r="D70" s="2">
        <v>9.57</v>
      </c>
      <c r="F70" s="2">
        <v>434.61</v>
      </c>
      <c r="G70" s="3"/>
      <c r="H70" s="2">
        <v>1301.02</v>
      </c>
      <c r="I70" s="3"/>
      <c r="J70" s="2">
        <v>1205.68</v>
      </c>
      <c r="K70" s="3"/>
      <c r="L70" s="2">
        <v>1364.9</v>
      </c>
      <c r="M70" s="3"/>
      <c r="N70" s="2">
        <v>203.52</v>
      </c>
      <c r="O70" s="3"/>
      <c r="P70" s="2"/>
      <c r="Q70" s="3"/>
      <c r="R70" s="2"/>
    </row>
    <row r="71" spans="1:18" s="16" customFormat="1" hidden="1" outlineLevel="2" x14ac:dyDescent="0.35">
      <c r="B71" s="11" t="str">
        <f>CONCATENATE("          ", "6247", " - ", "STORE SUPPLIES")</f>
        <v xml:space="preserve">          6247 - STORE SUPPLIES</v>
      </c>
      <c r="D71" s="2">
        <v>258</v>
      </c>
      <c r="F71" s="2"/>
      <c r="G71" s="3"/>
      <c r="H71" s="2">
        <v>16079.4</v>
      </c>
      <c r="I71" s="3"/>
      <c r="J71" s="2"/>
      <c r="K71" s="3"/>
      <c r="L71" s="2">
        <v>55.12</v>
      </c>
      <c r="M71" s="3"/>
      <c r="N71" s="2"/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","Telephone/Data Lines                              ")</f>
        <v xml:space="preserve">     Telephone/Data Lines                              </v>
      </c>
      <c r="C72" s="7"/>
      <c r="D72" s="1">
        <f>SUM(OSRRefD21_14x_0)</f>
        <v>4570.72</v>
      </c>
      <c r="E72" s="19"/>
      <c r="F72" s="1">
        <f>SUM(OSRRefF21_14x_0)</f>
        <v>4709.38</v>
      </c>
      <c r="G72" s="4"/>
      <c r="H72" s="1">
        <f>SUM(OSRRefH21_14x_0)</f>
        <v>4052.62</v>
      </c>
      <c r="I72" s="4"/>
      <c r="J72" s="1">
        <f>SUM(OSRRefJ21_14x_0)</f>
        <v>4538.2299999999996</v>
      </c>
      <c r="K72" s="4"/>
      <c r="L72" s="1">
        <f>SUM(OSRRefL21_14x_0)</f>
        <v>4103.9399999999996</v>
      </c>
      <c r="M72" s="4"/>
      <c r="N72" s="1">
        <f>SUM(OSRRefN21_14x_0)</f>
        <v>2080.66</v>
      </c>
      <c r="O72" s="4"/>
      <c r="P72" s="1">
        <f>SUM(OSRRefP21_14x_0)</f>
        <v>8400</v>
      </c>
      <c r="Q72" s="4"/>
      <c r="R72" s="1">
        <f>SUM(OSRRefR21_14x_0)</f>
        <v>4200</v>
      </c>
    </row>
    <row r="73" spans="1:18" s="16" customFormat="1" hidden="1" outlineLevel="2" x14ac:dyDescent="0.35">
      <c r="B73" s="11" t="str">
        <f>CONCATENATE("          ", "6309", " - ", "TELEPHONE")</f>
        <v xml:space="preserve">          6309 - TELEPHONE</v>
      </c>
      <c r="D73" s="2">
        <v>4570.72</v>
      </c>
      <c r="F73" s="2">
        <v>4709.38</v>
      </c>
      <c r="G73" s="3"/>
      <c r="H73" s="2">
        <v>4052.62</v>
      </c>
      <c r="I73" s="3"/>
      <c r="J73" s="2">
        <v>4538.2299999999996</v>
      </c>
      <c r="K73" s="3"/>
      <c r="L73" s="2">
        <v>4103.9399999999996</v>
      </c>
      <c r="M73" s="3"/>
      <c r="N73" s="2">
        <v>2080.66</v>
      </c>
      <c r="O73" s="3"/>
      <c r="P73" s="2">
        <v>8400</v>
      </c>
      <c r="Q73" s="3"/>
      <c r="R73" s="2">
        <v>4200</v>
      </c>
    </row>
    <row r="74" spans="1:18" s="15" customFormat="1" outlineLevel="1" collapsed="1" x14ac:dyDescent="0.35">
      <c r="A74" s="7"/>
      <c r="B74" s="20" t="str">
        <f>CONCATENATE("     ","Training                                          ")</f>
        <v xml:space="preserve">     Training                                          </v>
      </c>
      <c r="C74" s="7"/>
      <c r="D74" s="1">
        <f>SUM(OSRRefD21_15x_0)</f>
        <v>3602.22</v>
      </c>
      <c r="E74" s="19"/>
      <c r="F74" s="1">
        <f>SUM(OSRRefF21_15x_0)</f>
        <v>10297.81</v>
      </c>
      <c r="G74" s="4"/>
      <c r="H74" s="1">
        <f>SUM(OSRRefH21_15x_0)</f>
        <v>6528.82</v>
      </c>
      <c r="I74" s="4"/>
      <c r="J74" s="1">
        <f>SUM(OSRRefJ21_15x_0)</f>
        <v>5177.46</v>
      </c>
      <c r="K74" s="4"/>
      <c r="L74" s="1">
        <f>SUM(OSRRefL21_15x_0)</f>
        <v>4591.2</v>
      </c>
      <c r="M74" s="4"/>
      <c r="N74" s="1">
        <f>SUM(OSRRefN21_15x_0)</f>
        <v>3186.24</v>
      </c>
      <c r="O74" s="4"/>
      <c r="P74" s="1">
        <f>SUM(OSRRefP21_15x_0)</f>
        <v>4500</v>
      </c>
      <c r="Q74" s="4"/>
      <c r="R74" s="1">
        <f>SUM(OSRRefR21_15x_0)</f>
        <v>4500</v>
      </c>
    </row>
    <row r="75" spans="1:18" s="16" customFormat="1" hidden="1" outlineLevel="2" x14ac:dyDescent="0.35">
      <c r="B75" s="11" t="str">
        <f>CONCATENATE("          ", "6376", " - ", "TRAINING")</f>
        <v xml:space="preserve">          6376 - TRAINING</v>
      </c>
      <c r="D75" s="2">
        <v>3602.22</v>
      </c>
      <c r="F75" s="2">
        <v>10297.81</v>
      </c>
      <c r="G75" s="3"/>
      <c r="H75" s="2">
        <v>6528.82</v>
      </c>
      <c r="I75" s="3"/>
      <c r="J75" s="2">
        <v>5177.46</v>
      </c>
      <c r="K75" s="3"/>
      <c r="L75" s="2">
        <v>4591.2</v>
      </c>
      <c r="M75" s="3"/>
      <c r="N75" s="2">
        <v>3186.24</v>
      </c>
      <c r="O75" s="3"/>
      <c r="P75" s="2">
        <v>4500</v>
      </c>
      <c r="Q75" s="3"/>
      <c r="R75" s="2">
        <v>4500</v>
      </c>
    </row>
    <row r="76" spans="1:18" s="15" customFormat="1" outlineLevel="1" collapsed="1" x14ac:dyDescent="0.35">
      <c r="A76" s="7"/>
      <c r="B76" s="20" t="str">
        <f>CONCATENATE("     ","Travel                                            ")</f>
        <v xml:space="preserve">     Travel                                            </v>
      </c>
      <c r="C76" s="7"/>
      <c r="D76" s="1">
        <f>SUM(OSRRefD21_16x_0)</f>
        <v>0</v>
      </c>
      <c r="E76" s="19"/>
      <c r="F76" s="1">
        <f>SUM(OSRRefF21_16x_0)</f>
        <v>0</v>
      </c>
      <c r="G76" s="4"/>
      <c r="H76" s="1">
        <f>SUM(OSRRefH21_16x_0)</f>
        <v>1375.5</v>
      </c>
      <c r="I76" s="4"/>
      <c r="J76" s="1">
        <f>SUM(OSRRefJ21_16x_0)</f>
        <v>0</v>
      </c>
      <c r="K76" s="4"/>
      <c r="L76" s="1">
        <f>SUM(OSRRefL21_16x_0)</f>
        <v>0</v>
      </c>
      <c r="M76" s="4"/>
      <c r="N76" s="1">
        <f>SUM(OSRRefN21_16x_0)</f>
        <v>0</v>
      </c>
      <c r="O76" s="4"/>
      <c r="P76" s="1">
        <f>SUM(OSRRefP21_16x_0)</f>
        <v>0</v>
      </c>
      <c r="Q76" s="4"/>
      <c r="R76" s="1">
        <f>SUM(OSRRefR21_16x_0)</f>
        <v>0</v>
      </c>
    </row>
    <row r="77" spans="1:18" s="16" customFormat="1" hidden="1" outlineLevel="2" x14ac:dyDescent="0.35">
      <c r="B77" s="11" t="str">
        <f>CONCATENATE("          ", "6292", " - ", "TRAVEL/CONFERENCE")</f>
        <v xml:space="preserve">          6292 - TRAVEL/CONFERENCE</v>
      </c>
      <c r="D77" s="2"/>
      <c r="F77" s="2"/>
      <c r="G77" s="3"/>
      <c r="H77" s="2">
        <v>1375.5</v>
      </c>
      <c r="I77" s="3"/>
      <c r="J77" s="2"/>
      <c r="K77" s="3"/>
      <c r="L77" s="2"/>
      <c r="M77" s="3"/>
      <c r="N77" s="2"/>
      <c r="O77" s="3"/>
      <c r="P77" s="2"/>
      <c r="Q77" s="3"/>
      <c r="R77" s="2"/>
    </row>
    <row r="78" spans="1:18" x14ac:dyDescent="0.35">
      <c r="A78" s="12"/>
      <c r="B78" s="12"/>
      <c r="C78" s="12"/>
      <c r="D78" s="1"/>
      <c r="F78" s="1"/>
      <c r="H78" s="1"/>
      <c r="J78" s="1"/>
      <c r="L78" s="1"/>
      <c r="N78" s="1"/>
      <c r="P78" s="1"/>
      <c r="R78" s="1"/>
    </row>
    <row r="79" spans="1:18" s="7" customFormat="1" collapsed="1" x14ac:dyDescent="0.35">
      <c r="A79" s="36"/>
      <c r="B79" s="34" t="s">
        <v>295</v>
      </c>
      <c r="D79" s="6">
        <f>SUM(OSRRefD24x_0)</f>
        <v>35663.440000000002</v>
      </c>
      <c r="E79" s="12"/>
      <c r="F79" s="6">
        <f>SUM(OSRRefF24x_0)</f>
        <v>26154.74</v>
      </c>
      <c r="G79" s="5"/>
      <c r="H79" s="6">
        <f>SUM(OSRRefH24x_0)</f>
        <v>27548.26</v>
      </c>
      <c r="I79" s="5"/>
      <c r="J79" s="6">
        <f>SUM(OSRRefJ24x_0)</f>
        <v>33130.629999999997</v>
      </c>
      <c r="K79" s="5"/>
      <c r="L79" s="6">
        <f>SUM(OSRRefL24x_0)</f>
        <v>28167.539999999997</v>
      </c>
      <c r="M79" s="5"/>
      <c r="N79" s="6">
        <f>SUM(OSRRefN24x_0)</f>
        <v>20670.75</v>
      </c>
      <c r="O79" s="5"/>
      <c r="P79" s="6">
        <f>SUM(OSRRefP24x_0)</f>
        <v>35650</v>
      </c>
      <c r="Q79" s="5"/>
      <c r="R79" s="6">
        <f>SUM(OSRRefR24x_0)</f>
        <v>28800</v>
      </c>
    </row>
    <row r="80" spans="1:18" s="7" customFormat="1" hidden="1" outlineLevel="1" x14ac:dyDescent="0.35">
      <c r="A80" s="36"/>
      <c r="B80" s="11" t="str">
        <f>CONCATENATE("          ", "9150", " - ", "MISC. INCOME")</f>
        <v xml:space="preserve">          9150 - MISC. INCOME</v>
      </c>
      <c r="D80" s="11">
        <f>--35163.44</f>
        <v>35163.440000000002</v>
      </c>
      <c r="E80" s="16"/>
      <c r="F80" s="11">
        <f>--26154.74</f>
        <v>26154.74</v>
      </c>
      <c r="G80" s="3"/>
      <c r="H80" s="11">
        <f>--27446.26</f>
        <v>27446.26</v>
      </c>
      <c r="I80" s="3"/>
      <c r="J80" s="11">
        <f>--33130.63</f>
        <v>33130.629999999997</v>
      </c>
      <c r="K80" s="3"/>
      <c r="L80" s="11">
        <f>--27997.19</f>
        <v>27997.19</v>
      </c>
      <c r="M80" s="3"/>
      <c r="N80" s="11">
        <f>--20670.75</f>
        <v>20670.75</v>
      </c>
      <c r="O80" s="3"/>
      <c r="P80" s="11">
        <v>35650</v>
      </c>
      <c r="Q80" s="3"/>
      <c r="R80" s="11">
        <v>28800</v>
      </c>
    </row>
    <row r="81" spans="1:18" s="7" customFormat="1" hidden="1" outlineLevel="1" x14ac:dyDescent="0.35">
      <c r="A81" s="36"/>
      <c r="B81" s="11" t="str">
        <f>CONCATENATE("          ", "9151", " - ", "MISC. INCOME")</f>
        <v xml:space="preserve">          9151 - MISC. INCOME</v>
      </c>
      <c r="D81" s="11">
        <f>--500</f>
        <v>500</v>
      </c>
      <c r="E81" s="16"/>
      <c r="F81" s="11">
        <f t="shared" ref="F81:F82" si="0">0</f>
        <v>0</v>
      </c>
      <c r="G81" s="3"/>
      <c r="H81" s="11">
        <f>--102</f>
        <v>102</v>
      </c>
      <c r="I81" s="3"/>
      <c r="J81" s="11">
        <f t="shared" ref="J81:J82" si="1">0</f>
        <v>0</v>
      </c>
      <c r="K81" s="3"/>
      <c r="L81" s="11">
        <f>0</f>
        <v>0</v>
      </c>
      <c r="M81" s="3"/>
      <c r="N81" s="11">
        <f t="shared" ref="N81:N82" si="2">0</f>
        <v>0</v>
      </c>
      <c r="O81" s="3"/>
      <c r="P81" s="11"/>
      <c r="Q81" s="3"/>
      <c r="R81" s="11"/>
    </row>
    <row r="82" spans="1:18" s="7" customFormat="1" hidden="1" outlineLevel="1" x14ac:dyDescent="0.35">
      <c r="A82" s="36"/>
      <c r="B82" s="11" t="str">
        <f>CONCATENATE("          ", "9160", " - ", "MISC. INCOME")</f>
        <v xml:space="preserve">          9160 - MISC. INCOME</v>
      </c>
      <c r="D82" s="11">
        <f>0</f>
        <v>0</v>
      </c>
      <c r="E82" s="16"/>
      <c r="F82" s="11">
        <f t="shared" si="0"/>
        <v>0</v>
      </c>
      <c r="G82" s="3"/>
      <c r="H82" s="11">
        <f>0</f>
        <v>0</v>
      </c>
      <c r="I82" s="3"/>
      <c r="J82" s="11">
        <f t="shared" si="1"/>
        <v>0</v>
      </c>
      <c r="K82" s="3"/>
      <c r="L82" s="11">
        <f>--170.35</f>
        <v>170.35</v>
      </c>
      <c r="M82" s="3"/>
      <c r="N82" s="11">
        <f t="shared" si="2"/>
        <v>0</v>
      </c>
      <c r="O82" s="3"/>
      <c r="P82" s="11"/>
      <c r="Q82" s="3"/>
      <c r="R82" s="11"/>
    </row>
    <row r="83" spans="1:18" x14ac:dyDescent="0.35">
      <c r="A83" s="12"/>
      <c r="B83" s="7"/>
      <c r="C83" s="7"/>
      <c r="D83" s="6"/>
      <c r="F83" s="6"/>
      <c r="H83" s="6"/>
      <c r="J83" s="6"/>
      <c r="L83" s="6"/>
      <c r="N83" s="6"/>
      <c r="P83" s="6"/>
      <c r="R83" s="6"/>
    </row>
    <row r="84" spans="1:18" s="15" customFormat="1" x14ac:dyDescent="0.35">
      <c r="A84" s="7"/>
      <c r="B84" s="22" t="s">
        <v>279</v>
      </c>
      <c r="C84" s="22"/>
      <c r="D84" s="10">
        <f>+D16-D19+D79</f>
        <v>35798.729999999981</v>
      </c>
      <c r="E84" s="12"/>
      <c r="F84" s="10">
        <f>+F16-F19+F79</f>
        <v>44853.420000000056</v>
      </c>
      <c r="G84" s="5"/>
      <c r="H84" s="10">
        <f>+H16-H19+H79</f>
        <v>43615.719999999899</v>
      </c>
      <c r="I84" s="5"/>
      <c r="J84" s="10">
        <f>+J16-J19+J79</f>
        <v>63548.349999999911</v>
      </c>
      <c r="K84" s="5"/>
      <c r="L84" s="10">
        <f>+L16-L19+L79</f>
        <v>47783.319999999963</v>
      </c>
      <c r="M84" s="5"/>
      <c r="N84" s="10">
        <f>+N16-N19+N79</f>
        <v>50838.01999999996</v>
      </c>
      <c r="O84" s="5"/>
      <c r="P84" s="10">
        <f>+P16-P19+P79</f>
        <v>91761.689903400023</v>
      </c>
      <c r="Q84" s="5"/>
      <c r="R84" s="10">
        <f>+R16-R19+R79</f>
        <v>67510.154365689959</v>
      </c>
    </row>
    <row r="85" spans="1:18" s="27" customFormat="1" x14ac:dyDescent="0.35">
      <c r="A85" s="18"/>
      <c r="B85" s="31"/>
      <c r="C85" s="18"/>
      <c r="D85" s="9">
        <f>IFERROR(D84/D10, 0)</f>
        <v>9.4788135705415513E-2</v>
      </c>
      <c r="E85" s="18"/>
      <c r="F85" s="9">
        <f>IFERROR(F84/F10, 0)</f>
        <v>0.10155207741368745</v>
      </c>
      <c r="G85" s="14"/>
      <c r="H85" s="9">
        <f>IFERROR(H84/H10, 0)</f>
        <v>9.3184434407701397E-2</v>
      </c>
      <c r="I85" s="14"/>
      <c r="J85" s="9">
        <f>IFERROR(J84/J10, 0)</f>
        <v>0.12902196577326855</v>
      </c>
      <c r="K85" s="14"/>
      <c r="L85" s="9">
        <f>IFERROR(L84/L10, 0)</f>
        <v>9.7857684100152706E-2</v>
      </c>
      <c r="M85" s="14"/>
      <c r="N85" s="9">
        <f>IFERROR(N84/N10, 0)</f>
        <v>0.10339697932386635</v>
      </c>
      <c r="O85" s="14"/>
      <c r="P85" s="9">
        <f>IFERROR(P84/P10, 0)</f>
        <v>0.15279201603720494</v>
      </c>
      <c r="Q85" s="14"/>
      <c r="R85" s="9">
        <f>IFERROR(R84/R10, 0)</f>
        <v>0.11269498201439936</v>
      </c>
    </row>
    <row r="86" spans="1:18" s="27" customFormat="1" x14ac:dyDescent="0.35">
      <c r="A86" s="18"/>
      <c r="B86" s="31"/>
      <c r="C86" s="18"/>
      <c r="D86" s="13"/>
      <c r="E86" s="18"/>
      <c r="F86" s="13"/>
      <c r="G86" s="14"/>
      <c r="H86" s="13"/>
      <c r="I86" s="14"/>
      <c r="J86" s="13"/>
      <c r="K86" s="14"/>
      <c r="L86" s="13"/>
      <c r="M86" s="14"/>
      <c r="N86" s="13"/>
      <c r="O86" s="14"/>
      <c r="P86" s="13"/>
      <c r="Q86" s="14"/>
      <c r="R86" s="13"/>
    </row>
    <row r="87" spans="1:18" s="15" customFormat="1" x14ac:dyDescent="0.35">
      <c r="A87" s="37"/>
      <c r="B87" s="7" t="s">
        <v>127</v>
      </c>
      <c r="C87" s="7"/>
      <c r="D87" s="6">
        <v>82069.289999999994</v>
      </c>
      <c r="E87" s="12"/>
      <c r="F87" s="6">
        <v>62876.06</v>
      </c>
      <c r="G87" s="5"/>
      <c r="H87" s="6">
        <v>62582.05</v>
      </c>
      <c r="I87" s="5"/>
      <c r="J87" s="6">
        <v>66105.37</v>
      </c>
      <c r="K87" s="5"/>
      <c r="L87" s="6">
        <v>34804.18</v>
      </c>
      <c r="M87" s="5"/>
      <c r="N87" s="6">
        <v>74451.17</v>
      </c>
      <c r="O87" s="5"/>
      <c r="P87" s="6">
        <v>101273</v>
      </c>
      <c r="Q87" s="5"/>
      <c r="R87" s="6">
        <v>67920</v>
      </c>
    </row>
    <row r="88" spans="1:18" x14ac:dyDescent="0.35">
      <c r="A88" s="12"/>
      <c r="B88" s="7"/>
      <c r="C88" s="7"/>
      <c r="D88" s="6"/>
      <c r="F88" s="6"/>
      <c r="H88" s="6"/>
      <c r="J88" s="6"/>
      <c r="L88" s="6"/>
      <c r="N88" s="6"/>
      <c r="P88" s="6"/>
      <c r="R88" s="6"/>
    </row>
    <row r="89" spans="1:18" s="15" customFormat="1" x14ac:dyDescent="0.35">
      <c r="A89" s="7"/>
      <c r="B89" s="22" t="s">
        <v>126</v>
      </c>
      <c r="C89" s="22"/>
      <c r="D89" s="10">
        <f>+D84-D87</f>
        <v>-46270.560000000012</v>
      </c>
      <c r="E89" s="12"/>
      <c r="F89" s="10">
        <f>+F84-F87</f>
        <v>-18022.639999999941</v>
      </c>
      <c r="G89" s="5"/>
      <c r="H89" s="10">
        <f>+H84-H87</f>
        <v>-18966.330000000104</v>
      </c>
      <c r="I89" s="5"/>
      <c r="J89" s="10">
        <f>+J84-J87</f>
        <v>-2557.0200000000841</v>
      </c>
      <c r="K89" s="5"/>
      <c r="L89" s="10">
        <f>+L84-L87</f>
        <v>12979.139999999963</v>
      </c>
      <c r="M89" s="5"/>
      <c r="N89" s="10">
        <f>+N84-N87</f>
        <v>-23613.150000000038</v>
      </c>
      <c r="O89" s="5"/>
      <c r="P89" s="10">
        <f>+P84-P87</f>
        <v>-9511.3100965999765</v>
      </c>
      <c r="Q89" s="5"/>
      <c r="R89" s="10">
        <f>+R84-R87</f>
        <v>-409.84563431004062</v>
      </c>
    </row>
    <row r="90" spans="1:18" s="27" customFormat="1" x14ac:dyDescent="0.35">
      <c r="A90" s="18"/>
      <c r="B90" s="18"/>
      <c r="C90" s="18"/>
      <c r="D90" s="9">
        <f>IFERROR(D89/D10, 0)</f>
        <v>-0.12251552276981821</v>
      </c>
      <c r="E90" s="18"/>
      <c r="F90" s="9">
        <f>IFERROR(F89/F10, 0)</f>
        <v>-4.0804837902639564E-2</v>
      </c>
      <c r="G90" s="14"/>
      <c r="H90" s="9">
        <f>IFERROR(H89/H10, 0)</f>
        <v>-4.0521324280324456E-2</v>
      </c>
      <c r="I90" s="14"/>
      <c r="J90" s="9">
        <f>IFERROR(J89/J10, 0)</f>
        <v>-5.1915076775647896E-3</v>
      </c>
      <c r="K90" s="14"/>
      <c r="L90" s="9">
        <f>IFERROR(L89/L10, 0)</f>
        <v>2.6580584647773603E-2</v>
      </c>
      <c r="M90" s="14"/>
      <c r="N90" s="9">
        <f>IFERROR(N89/N10, 0)</f>
        <v>-4.8025638731039495E-2</v>
      </c>
      <c r="O90" s="14"/>
      <c r="P90" s="9">
        <f>IFERROR(P89/P10, 0)</f>
        <v>-1.5837243694448198E-2</v>
      </c>
      <c r="Q90" s="14"/>
      <c r="R90" s="9">
        <f>IFERROR(R89/R10, 0)</f>
        <v>-6.8415702528334878E-4</v>
      </c>
    </row>
    <row r="91" spans="1:18" s="27" customFormat="1" x14ac:dyDescent="0.35">
      <c r="A91" s="18"/>
      <c r="B91" s="18"/>
      <c r="C91" s="18"/>
      <c r="D91" s="13"/>
      <c r="E91" s="18"/>
      <c r="F91" s="13"/>
      <c r="G91" s="14"/>
      <c r="H91" s="13"/>
      <c r="I91" s="14"/>
      <c r="J91" s="13"/>
      <c r="K91" s="14"/>
      <c r="L91" s="13"/>
      <c r="M91" s="14"/>
      <c r="N91" s="13"/>
      <c r="O91" s="14"/>
      <c r="P91" s="13"/>
      <c r="Q91" s="14"/>
      <c r="R91" s="13"/>
    </row>
    <row r="92" spans="1:18" x14ac:dyDescent="0.35">
      <c r="A92" s="12"/>
      <c r="B92" s="12"/>
      <c r="C92" s="12"/>
      <c r="D92" s="6"/>
      <c r="F92" s="6"/>
      <c r="H92" s="6"/>
      <c r="J92" s="6"/>
      <c r="L92" s="6"/>
      <c r="N92" s="6"/>
      <c r="P92" s="6"/>
      <c r="R92" s="6"/>
    </row>
    <row r="93" spans="1:18" s="15" customFormat="1" x14ac:dyDescent="0.35">
      <c r="A93" s="7"/>
      <c r="B93" s="22" t="s">
        <v>296</v>
      </c>
      <c r="C93" s="22"/>
      <c r="D93" s="10">
        <f>SUM(D89:D92)</f>
        <v>-46270.682515522785</v>
      </c>
      <c r="E93" s="12"/>
      <c r="F93" s="10">
        <f>SUM(F89:F92)</f>
        <v>-18022.680804837844</v>
      </c>
      <c r="G93" s="5"/>
      <c r="H93" s="10">
        <f>SUM(H89:H92)</f>
        <v>-18966.370521324385</v>
      </c>
      <c r="I93" s="5"/>
      <c r="J93" s="10">
        <f>SUM(J89:J92)</f>
        <v>-2557.0251915077615</v>
      </c>
      <c r="K93" s="5"/>
      <c r="L93" s="10">
        <f>SUM(L89:L92)</f>
        <v>12979.166580584611</v>
      </c>
      <c r="M93" s="5"/>
      <c r="N93" s="10">
        <f>SUM(N89:N92)</f>
        <v>-23613.198025638769</v>
      </c>
      <c r="O93" s="5"/>
      <c r="P93" s="10">
        <f>SUM(P89:P92)</f>
        <v>-9511.325933843671</v>
      </c>
      <c r="Q93" s="5"/>
      <c r="R93" s="10">
        <f>SUM(R89:R92)</f>
        <v>-409.84631846706588</v>
      </c>
    </row>
    <row r="94" spans="1:18" s="27" customFormat="1" x14ac:dyDescent="0.35">
      <c r="A94" s="18"/>
      <c r="B94" s="41"/>
      <c r="C94" s="18"/>
      <c r="D94" s="9">
        <f>IFERROR(D93/D10, 0)</f>
        <v>-0.12251584716730378</v>
      </c>
      <c r="E94" s="18"/>
      <c r="F94" s="9">
        <f>IFERROR(F93/F10, 0)</f>
        <v>-4.0804930288371975E-2</v>
      </c>
      <c r="G94" s="14"/>
      <c r="H94" s="9">
        <f>IFERROR(H93/H10, 0)</f>
        <v>-4.0521410853621528E-2</v>
      </c>
      <c r="I94" s="14"/>
      <c r="J94" s="9">
        <f>IFERROR(J93/J10, 0)</f>
        <v>-5.1915182178624668E-3</v>
      </c>
      <c r="K94" s="14"/>
      <c r="L94" s="9">
        <f>IFERROR(L93/L10, 0)</f>
        <v>2.6580639083389538E-2</v>
      </c>
      <c r="M94" s="14"/>
      <c r="N94" s="9">
        <f>IFERROR(N93/N10, 0)</f>
        <v>-4.8025736408053174E-2</v>
      </c>
      <c r="O94" s="14"/>
      <c r="P94" s="9">
        <f>IFERROR(P93/P10, 0)</f>
        <v>-1.5837270064978155E-2</v>
      </c>
      <c r="Q94" s="14"/>
      <c r="R94" s="9">
        <f>IFERROR(R93/R10, 0)</f>
        <v>-6.8415816734952208E-4</v>
      </c>
    </row>
    <row r="95" spans="1:18" x14ac:dyDescent="0.35">
      <c r="A95" s="12"/>
      <c r="B95" s="40">
        <v>44319.88346809028</v>
      </c>
      <c r="D95" s="24"/>
      <c r="F95" s="24"/>
      <c r="H95" s="24"/>
      <c r="J95" s="24"/>
      <c r="L95" s="24"/>
      <c r="N95" s="24"/>
      <c r="P95" s="24"/>
      <c r="R95" s="24"/>
    </row>
    <row r="96" spans="1:18" x14ac:dyDescent="0.35">
      <c r="A96" s="12"/>
      <c r="B96" s="39" t="s">
        <v>23</v>
      </c>
      <c r="D96" s="24"/>
      <c r="F96" s="24"/>
      <c r="H96" s="24"/>
      <c r="J96" s="24"/>
      <c r="L96" s="24"/>
      <c r="N96" s="24"/>
      <c r="P96" s="24"/>
      <c r="R96" s="24"/>
    </row>
    <row r="97" spans="1:18" x14ac:dyDescent="0.35">
      <c r="A97" s="12"/>
      <c r="D97" s="24"/>
      <c r="F97" s="24"/>
      <c r="H97" s="24"/>
      <c r="J97" s="24"/>
      <c r="L97" s="24"/>
      <c r="N97" s="24"/>
      <c r="P97" s="24"/>
      <c r="R97" s="24"/>
    </row>
    <row r="98" spans="1:18" x14ac:dyDescent="0.35">
      <c r="D98" s="24"/>
      <c r="F98" s="24"/>
      <c r="H98" s="24"/>
      <c r="J98" s="24"/>
      <c r="L98" s="24"/>
      <c r="N98" s="24"/>
      <c r="P98" s="24"/>
      <c r="R98" s="24"/>
    </row>
  </sheetData>
  <pageMargins left="0.5" right="0.5" top="0.5" bottom="0.5" header="0.3" footer="0.3"/>
  <pageSetup scale="59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104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CONCATENATE("Summary of Departments ",_xll.OneStop.ReportPlayer.OSRFunctions.OSRPar("Department"))</f>
        <v>Summary of Departments [@Department]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_xll.OneStop.ReportPlayer.OSRFunctions.OSRGet("GL_F_Trans","Value1")*-1</f>
        <v>#VALUE!</v>
      </c>
      <c r="K11" s="3"/>
      <c r="L11" s="11" t="e">
        <f>_xll.OneStop.ReportPlayer.OSRFunctions.OSRGet("GL_F_Trans","Value1")*-1</f>
        <v>#VALUE!</v>
      </c>
      <c r="M11" s="3"/>
      <c r="N11" s="11" t="e">
        <f>_xll.OneStop.ReportPlayer.OSRFunctions.OSRGet("GL_F_Trans","Value1")*-1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104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14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2421122.5099999998</v>
      </c>
      <c r="F10" s="8">
        <f>SUM(OSRRefF11x_0)</f>
        <v>2609722.1700000004</v>
      </c>
      <c r="G10" s="8"/>
      <c r="H10" s="8">
        <f>SUM(OSRRefH11x_0)</f>
        <v>2802399.9099999997</v>
      </c>
      <c r="I10" s="8"/>
      <c r="J10" s="8">
        <f>SUM(OSRRefJ11x_0)</f>
        <v>2182353.5699999989</v>
      </c>
      <c r="K10" s="8"/>
      <c r="L10" s="8">
        <f>SUM(OSRRefL11x_0)</f>
        <v>2941465.419999999</v>
      </c>
      <c r="M10" s="8"/>
      <c r="N10" s="8">
        <f>SUM(OSRRefN11x_0)</f>
        <v>2885090.36</v>
      </c>
      <c r="O10" s="8"/>
      <c r="P10" s="8">
        <f>SUM(OSRRefP11x_0)</f>
        <v>2514971</v>
      </c>
      <c r="Q10" s="8"/>
      <c r="R10" s="8">
        <f>SUM(OSRRefR11x_0)</f>
        <v>2286159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2303382</v>
      </c>
      <c r="Q11" s="3"/>
      <c r="R11" s="11">
        <v>2140442</v>
      </c>
    </row>
    <row r="12" spans="1:18" s="16" customFormat="1" hidden="1" outlineLevel="1" x14ac:dyDescent="0.35">
      <c r="B12" s="35" t="str">
        <f>CONCATENATE("          ", "4081", " - ", "TAXABLE SALES-ELECTRONICS")</f>
        <v xml:space="preserve">          4081 - TAXABLE SALES-ELECTRONICS</v>
      </c>
      <c r="D12" s="11">
        <f>-135382.67*-1</f>
        <v>135382.67000000001</v>
      </c>
      <c r="F12" s="11">
        <f>-194673.23*-1</f>
        <v>194673.23</v>
      </c>
      <c r="G12" s="3"/>
      <c r="H12" s="11">
        <f>-204223.02*-1</f>
        <v>204223.02</v>
      </c>
      <c r="I12" s="3"/>
      <c r="J12" s="11">
        <f>--295469.98</f>
        <v>295469.98</v>
      </c>
      <c r="K12" s="3"/>
      <c r="L12" s="11">
        <f>--235356.89</f>
        <v>235356.89</v>
      </c>
      <c r="M12" s="3"/>
      <c r="N12" s="11">
        <f>--314869.02</f>
        <v>314869.02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"4082", " - ", "TAXABLE SALES-COMPUTER HARDWAR")</f>
        <v xml:space="preserve">          4082 - TAXABLE SALES-COMPUTER HARDWAR</v>
      </c>
      <c r="D13" s="11">
        <f>-2123067.48*-1</f>
        <v>2123067.48</v>
      </c>
      <c r="F13" s="11">
        <f>-1692329.91*-1</f>
        <v>1692329.91</v>
      </c>
      <c r="G13" s="3"/>
      <c r="H13" s="11">
        <f>-1868922.45*-1</f>
        <v>1868922.45</v>
      </c>
      <c r="I13" s="3"/>
      <c r="J13" s="11">
        <f>--1417861.62</f>
        <v>1417861.62</v>
      </c>
      <c r="K13" s="3"/>
      <c r="L13" s="11">
        <f>--2285673.33</f>
        <v>2285673.33</v>
      </c>
      <c r="M13" s="3"/>
      <c r="N13" s="11">
        <f>--2373486.44</f>
        <v>2373486.44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"4083", " - ", "TAXABLE SALES-COMPUTER EQUIPME")</f>
        <v xml:space="preserve">          4083 - TAXABLE SALES-COMPUTER EQUIPME</v>
      </c>
      <c r="D14" s="11">
        <f>-79110.36*-1</f>
        <v>79110.36</v>
      </c>
      <c r="F14" s="11">
        <f>-110320.52*-1</f>
        <v>110320.52</v>
      </c>
      <c r="G14" s="3"/>
      <c r="H14" s="11">
        <f>-100688.9*-1</f>
        <v>100688.9</v>
      </c>
      <c r="I14" s="3"/>
      <c r="J14" s="11">
        <f>--121647.88</f>
        <v>121647.88</v>
      </c>
      <c r="K14" s="3"/>
      <c r="L14" s="11">
        <f>--137267.09</f>
        <v>137267.09</v>
      </c>
      <c r="M14" s="3"/>
      <c r="N14" s="11">
        <f>--138235.56</f>
        <v>138235.56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"4084", " - ", "TAXABLE SALES-SOFTWARE LICENSE")</f>
        <v xml:space="preserve">          4084 - TAXABLE SALES-SOFTWARE LICENSE</v>
      </c>
      <c r="D15" s="11">
        <f>-17358.23*-1</f>
        <v>17358.23</v>
      </c>
      <c r="F15" s="11">
        <f>-2124.06*-1</f>
        <v>2124.06</v>
      </c>
      <c r="G15" s="3"/>
      <c r="H15" s="11">
        <f>-557.16*-1</f>
        <v>557.16</v>
      </c>
      <c r="I15" s="3"/>
      <c r="J15" s="11">
        <f>0</f>
        <v>0</v>
      </c>
      <c r="K15" s="3"/>
      <c r="L15" s="11">
        <f>--1563.99</f>
        <v>1563.99</v>
      </c>
      <c r="M15" s="3"/>
      <c r="N15" s="11">
        <f>--129</f>
        <v>129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"4085", " - ", "TAXABLE SALES-SOFTWARE")</f>
        <v xml:space="preserve">          4085 - TAXABLE SALES-SOFTWARE</v>
      </c>
      <c r="D16" s="11">
        <f>-21384.95*-1</f>
        <v>21384.95</v>
      </c>
      <c r="F16" s="11">
        <f>-17185.6*-1</f>
        <v>17185.599999999999</v>
      </c>
      <c r="G16" s="3"/>
      <c r="H16" s="11">
        <f>-16434.96*-1</f>
        <v>16434.96</v>
      </c>
      <c r="I16" s="3"/>
      <c r="J16" s="11">
        <f>--4702.73</f>
        <v>4702.7299999999996</v>
      </c>
      <c r="K16" s="3"/>
      <c r="L16" s="11">
        <f>--13428.64</f>
        <v>13428.64</v>
      </c>
      <c r="M16" s="3"/>
      <c r="N16" s="11">
        <f>--4587.93</f>
        <v>4587.93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"4086", " - ", "TAXABLE SALES-COMPUTER SUPPLIE")</f>
        <v xml:space="preserve">          4086 - TAXABLE SALES-COMPUTER SUPPLIE</v>
      </c>
      <c r="D17" s="11">
        <f>-52927.84*-1</f>
        <v>52927.839999999997</v>
      </c>
      <c r="F17" s="11">
        <f>-78074.78*-1</f>
        <v>78074.78</v>
      </c>
      <c r="G17" s="3"/>
      <c r="H17" s="11">
        <f>-72917.57*-1</f>
        <v>72917.570000000007</v>
      </c>
      <c r="I17" s="3"/>
      <c r="J17" s="11">
        <f>--64300.64</f>
        <v>64300.639999999999</v>
      </c>
      <c r="K17" s="3"/>
      <c r="L17" s="11">
        <f>--91581.11</f>
        <v>91581.11</v>
      </c>
      <c r="M17" s="3"/>
      <c r="N17" s="11">
        <f>--48830.67</f>
        <v>48830.67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"4088", " - ", "TAXABLE SALES-MUSIC")</f>
        <v xml:space="preserve">          4088 - TAXABLE SALES-MUSIC</v>
      </c>
      <c r="D18" s="11">
        <f t="shared" ref="D18:D19" si="0">0*-1</f>
        <v>0</v>
      </c>
      <c r="F18" s="11">
        <f>-5612.46*-1</f>
        <v>5612.46</v>
      </c>
      <c r="G18" s="3"/>
      <c r="H18" s="11">
        <f>-5310.31*-1</f>
        <v>5310.31</v>
      </c>
      <c r="I18" s="3"/>
      <c r="J18" s="11">
        <f>--4712.38</f>
        <v>4712.38</v>
      </c>
      <c r="K18" s="3"/>
      <c r="L18" s="11">
        <f>--2170.76</f>
        <v>2170.7600000000002</v>
      </c>
      <c r="M18" s="3"/>
      <c r="N18" s="11">
        <f>--3151.75</f>
        <v>3151.75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"4100", " - ", "NON-TAXABLE SALES")</f>
        <v xml:space="preserve">          4100 - NON-TAXABLE SALES</v>
      </c>
      <c r="D19" s="11">
        <f t="shared" si="0"/>
        <v>0</v>
      </c>
      <c r="F19" s="11">
        <f>0*-1</f>
        <v>0</v>
      </c>
      <c r="G19" s="3"/>
      <c r="H19" s="11">
        <f>0*-1</f>
        <v>0</v>
      </c>
      <c r="I19" s="3"/>
      <c r="J19" s="11">
        <f>0</f>
        <v>0</v>
      </c>
      <c r="K19" s="3"/>
      <c r="L19" s="11">
        <f>0</f>
        <v>0</v>
      </c>
      <c r="M19" s="3"/>
      <c r="N19" s="11">
        <f>0</f>
        <v>0</v>
      </c>
      <c r="O19" s="3"/>
      <c r="P19" s="11">
        <v>211589</v>
      </c>
      <c r="Q19" s="3"/>
      <c r="R19" s="11">
        <v>145717</v>
      </c>
    </row>
    <row r="20" spans="2:18" s="16" customFormat="1" hidden="1" outlineLevel="1" x14ac:dyDescent="0.35">
      <c r="B20" s="35" t="str">
        <f>CONCATENATE("          ", "4181", " - ", "NON-TAXABLE SALES-ELECTRONICS")</f>
        <v xml:space="preserve">          4181 - NON-TAXABLE SALES-ELECTRONICS</v>
      </c>
      <c r="D20" s="11">
        <f>-5820.55*-1</f>
        <v>5820.55</v>
      </c>
      <c r="F20" s="11">
        <f>-24667.99*-1</f>
        <v>24667.99</v>
      </c>
      <c r="G20" s="3"/>
      <c r="H20" s="11">
        <f>-44991.32*-1</f>
        <v>44991.32</v>
      </c>
      <c r="I20" s="3"/>
      <c r="J20" s="11">
        <f>--30373.18</f>
        <v>30373.18</v>
      </c>
      <c r="K20" s="3"/>
      <c r="L20" s="11">
        <f>--16357.65</f>
        <v>16357.65</v>
      </c>
      <c r="M20" s="3"/>
      <c r="N20" s="11">
        <f>--3925.74</f>
        <v>3925.74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"4182", " - ", "NON-TAXABLE SALES-COMPUTER HAR")</f>
        <v xml:space="preserve">          4182 - NON-TAXABLE SALES-COMPUTER HAR</v>
      </c>
      <c r="D21" s="11">
        <f>-178118.84*-1</f>
        <v>178118.84</v>
      </c>
      <c r="F21" s="11">
        <f>-566284.24*-1</f>
        <v>566284.24</v>
      </c>
      <c r="G21" s="3"/>
      <c r="H21" s="11">
        <f>-558130.07*-1</f>
        <v>558130.06999999995</v>
      </c>
      <c r="I21" s="3"/>
      <c r="J21" s="11">
        <f>--301723.6</f>
        <v>301723.59999999998</v>
      </c>
      <c r="K21" s="3"/>
      <c r="L21" s="11">
        <f>--239193.82</f>
        <v>239193.82</v>
      </c>
      <c r="M21" s="3"/>
      <c r="N21" s="11">
        <f>--221223.79</f>
        <v>221223.79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"4183", " - ", "NON-TAXABLE SALES-COMPUTER EQU")</f>
        <v xml:space="preserve">          4183 - NON-TAXABLE SALES-COMPUTER EQU</v>
      </c>
      <c r="D22" s="11">
        <f>-19323.14*-1</f>
        <v>19323.14</v>
      </c>
      <c r="F22" s="11">
        <f>-71615.6*-1</f>
        <v>71615.600000000006</v>
      </c>
      <c r="G22" s="3"/>
      <c r="H22" s="11">
        <f>-58854.21*-1</f>
        <v>58854.21</v>
      </c>
      <c r="I22" s="3"/>
      <c r="J22" s="11">
        <f>--26096.3</f>
        <v>26096.3</v>
      </c>
      <c r="K22" s="3"/>
      <c r="L22" s="11">
        <f>--9758.94</f>
        <v>9758.94</v>
      </c>
      <c r="M22" s="3"/>
      <c r="N22" s="11">
        <f>--12822.38</f>
        <v>12822.38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"4184", " - ", "NON-TAXABLE SALES-SOFTWARE LIC")</f>
        <v xml:space="preserve">          4184 - NON-TAXABLE SALES-SOFTWARE LIC</v>
      </c>
      <c r="D23" s="11">
        <f>-19.99*-1</f>
        <v>19.989999999999998</v>
      </c>
      <c r="F23" s="11">
        <f>-179*-1</f>
        <v>179</v>
      </c>
      <c r="G23" s="3"/>
      <c r="H23" s="11">
        <f>-1158.96*-1</f>
        <v>1158.96</v>
      </c>
      <c r="I23" s="3"/>
      <c r="J23" s="11">
        <f>--529.99</f>
        <v>529.99</v>
      </c>
      <c r="K23" s="3"/>
      <c r="L23" s="11">
        <f>--3840</f>
        <v>3840</v>
      </c>
      <c r="M23" s="3"/>
      <c r="N23" s="11">
        <f>--2728</f>
        <v>2728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"4185", " - ", "NON-TAXABLE SALES-SOFTWARE")</f>
        <v xml:space="preserve">          4185 - NON-TAXABLE SALES-SOFTWARE</v>
      </c>
      <c r="D24" s="11">
        <f>-3804.87*-1</f>
        <v>3804.87</v>
      </c>
      <c r="F24" s="11">
        <f>-13244.29*-1</f>
        <v>13244.29</v>
      </c>
      <c r="G24" s="3"/>
      <c r="H24" s="11">
        <f>-23603.96*-1</f>
        <v>23603.96</v>
      </c>
      <c r="I24" s="3"/>
      <c r="J24" s="11">
        <f>--29148.69</f>
        <v>29148.69</v>
      </c>
      <c r="K24" s="3"/>
      <c r="L24" s="11">
        <f>--6664.76</f>
        <v>6664.76</v>
      </c>
      <c r="M24" s="3"/>
      <c r="N24" s="11">
        <f>--25792.1</f>
        <v>25792.1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"4186", " - ", "NON-TAXABLE SALES-COMPUTER SUP")</f>
        <v xml:space="preserve">          4186 - NON-TAXABLE SALES-COMPUTER SUP</v>
      </c>
      <c r="D25" s="11">
        <f>-6149.66*-1</f>
        <v>6149.66</v>
      </c>
      <c r="F25" s="11">
        <f>-21437.98*-1</f>
        <v>21437.98</v>
      </c>
      <c r="G25" s="3"/>
      <c r="H25" s="11">
        <f>-19871.29*-1</f>
        <v>19871.29</v>
      </c>
      <c r="I25" s="3"/>
      <c r="J25" s="11">
        <f>--9209.06</f>
        <v>9209.06</v>
      </c>
      <c r="K25" s="3"/>
      <c r="L25" s="11">
        <f>--6251.3</f>
        <v>6251.3</v>
      </c>
      <c r="M25" s="3"/>
      <c r="N25" s="11">
        <f>--3358.05</f>
        <v>3358.05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"4188", " - ", "NON-TAXABLE SALES-MUSIC")</f>
        <v xml:space="preserve">          4188 - NON-TAXABLE SALES-MUSIC</v>
      </c>
      <c r="D26" s="11">
        <f>0*-1</f>
        <v>0</v>
      </c>
      <c r="F26" s="11">
        <f>-3808.75*-1</f>
        <v>3808.75</v>
      </c>
      <c r="G26" s="3"/>
      <c r="H26" s="11">
        <f>-3329.94*-1</f>
        <v>3329.94</v>
      </c>
      <c r="I26" s="3"/>
      <c r="J26" s="11">
        <f>--1485.91</f>
        <v>1485.91</v>
      </c>
      <c r="K26" s="3"/>
      <c r="L26" s="11">
        <f>--199.98</f>
        <v>199.98</v>
      </c>
      <c r="M26" s="3"/>
      <c r="N26" s="11">
        <f>--343.94</f>
        <v>343.94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"4281", " - ", "SALES RETURN TAXABLE-ELECTRONI")</f>
        <v xml:space="preserve">          4281 - SALES RETURN TAXABLE-ELECTRONI</v>
      </c>
      <c r="D27" s="11">
        <f>7272.47*-1</f>
        <v>-7272.47</v>
      </c>
      <c r="F27" s="11">
        <f>9271.21*-1</f>
        <v>-9271.2099999999991</v>
      </c>
      <c r="G27" s="3"/>
      <c r="H27" s="11">
        <f>9296.24*-1</f>
        <v>-9296.24</v>
      </c>
      <c r="I27" s="3"/>
      <c r="J27" s="11">
        <f>-12765.58</f>
        <v>-12765.58</v>
      </c>
      <c r="K27" s="3"/>
      <c r="L27" s="11">
        <f>-7929.72</f>
        <v>-7929.72</v>
      </c>
      <c r="M27" s="3"/>
      <c r="N27" s="11">
        <f>-8099.7</f>
        <v>-8099.7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"4282", " - ", "SALES RETURN TAXABLE-COMPUTER")</f>
        <v xml:space="preserve">          4282 - SALES RETURN TAXABLE-COMPUTER</v>
      </c>
      <c r="D28" s="11">
        <f>196974.26*-1</f>
        <v>-196974.26</v>
      </c>
      <c r="F28" s="11">
        <f>160638.56*-1</f>
        <v>-160638.56</v>
      </c>
      <c r="G28" s="3"/>
      <c r="H28" s="11">
        <f>150756.11*-1</f>
        <v>-150756.10999999999</v>
      </c>
      <c r="I28" s="3"/>
      <c r="J28" s="11">
        <f>-95739.07</f>
        <v>-95739.07</v>
      </c>
      <c r="K28" s="3"/>
      <c r="L28" s="11">
        <f>-84999.98</f>
        <v>-84999.98</v>
      </c>
      <c r="M28" s="3"/>
      <c r="N28" s="11">
        <f>-247392.7</f>
        <v>-247392.7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"4283", " - ", "SALES RETURN TAXABLE-COMPUTER")</f>
        <v xml:space="preserve">          4283 - SALES RETURN TAXABLE-COMPUTER</v>
      </c>
      <c r="D29" s="11">
        <f>4072.15*-1</f>
        <v>-4072.15</v>
      </c>
      <c r="F29" s="11">
        <f>10197.28*-1</f>
        <v>-10197.280000000001</v>
      </c>
      <c r="G29" s="3"/>
      <c r="H29" s="11">
        <f>7626.03*-1</f>
        <v>-7626.03</v>
      </c>
      <c r="I29" s="3"/>
      <c r="J29" s="11">
        <f>-9156.47</f>
        <v>-9156.4699999999993</v>
      </c>
      <c r="K29" s="3"/>
      <c r="L29" s="11">
        <f>-7916.71</f>
        <v>-7916.71</v>
      </c>
      <c r="M29" s="3"/>
      <c r="N29" s="11">
        <f>-6718.01</f>
        <v>-6718.01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"4284", " - ", "SALES RETURN TAXABLE-SOFTWARE")</f>
        <v xml:space="preserve">          4284 - SALES RETURN TAXABLE-SOFTWARE</v>
      </c>
      <c r="D30" s="11">
        <f>9152.81*-1</f>
        <v>-9152.81</v>
      </c>
      <c r="F30" s="11">
        <f>495.94*-1</f>
        <v>-495.94</v>
      </c>
      <c r="G30" s="3"/>
      <c r="H30" s="11">
        <f>259.96*-1</f>
        <v>-259.95999999999998</v>
      </c>
      <c r="I30" s="3"/>
      <c r="J30" s="11">
        <f>-17.99</f>
        <v>-17.989999999999998</v>
      </c>
      <c r="K30" s="3"/>
      <c r="L30" s="11">
        <f>0</f>
        <v>0</v>
      </c>
      <c r="M30" s="3"/>
      <c r="N30" s="11">
        <f>-129</f>
        <v>-129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"4285", " - ", "SALES RETURN TAXABLE-SOFTWARE")</f>
        <v xml:space="preserve">          4285 - SALES RETURN TAXABLE-SOFTWARE</v>
      </c>
      <c r="D31" s="11">
        <f>504.94*-1</f>
        <v>-504.94</v>
      </c>
      <c r="F31" s="11">
        <f>1400.92*-1</f>
        <v>-1400.92</v>
      </c>
      <c r="G31" s="3"/>
      <c r="H31" s="11">
        <f>455.95*-1</f>
        <v>-455.95</v>
      </c>
      <c r="I31" s="3"/>
      <c r="J31" s="11">
        <f>-1634.9</f>
        <v>-1634.9</v>
      </c>
      <c r="K31" s="3"/>
      <c r="L31" s="11">
        <f>-725.94</f>
        <v>-725.94</v>
      </c>
      <c r="M31" s="3"/>
      <c r="N31" s="11">
        <f>-805.97</f>
        <v>-805.97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"4286", " - ", "SALES RETURN TAXABLE-COMPUTER")</f>
        <v xml:space="preserve">          4286 - SALES RETURN TAXABLE-COMPUTER</v>
      </c>
      <c r="D32" s="11">
        <f>2850.55*-1</f>
        <v>-2850.55</v>
      </c>
      <c r="F32" s="11">
        <f>5273.97*-1</f>
        <v>-5273.97</v>
      </c>
      <c r="G32" s="3"/>
      <c r="H32" s="11">
        <f>5958.38*-1</f>
        <v>-5958.38</v>
      </c>
      <c r="I32" s="3"/>
      <c r="J32" s="11">
        <f>-4358.88</f>
        <v>-4358.88</v>
      </c>
      <c r="K32" s="3"/>
      <c r="L32" s="11">
        <f>-5583.83</f>
        <v>-5583.83</v>
      </c>
      <c r="M32" s="3"/>
      <c r="N32" s="11">
        <f>-3660.86</f>
        <v>-3660.86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"4288", " - ", "TAXABLE SALES RETURN-MUSIC")</f>
        <v xml:space="preserve">          4288 - TAXABLE SALES RETURN-MUSIC</v>
      </c>
      <c r="D33" s="11">
        <f>0*-1</f>
        <v>0</v>
      </c>
      <c r="F33" s="11">
        <f>369.32*-1</f>
        <v>-369.32</v>
      </c>
      <c r="G33" s="3"/>
      <c r="H33" s="11">
        <f>454.34*-1</f>
        <v>-454.34</v>
      </c>
      <c r="I33" s="3"/>
      <c r="J33" s="11">
        <f>-98.99</f>
        <v>-98.99</v>
      </c>
      <c r="K33" s="3"/>
      <c r="L33" s="11">
        <f>-64.98</f>
        <v>-64.98</v>
      </c>
      <c r="M33" s="3"/>
      <c r="N33" s="11">
        <f>-152.99</f>
        <v>-152.99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"4381", " - ", "SALES RETURN NON TAXABLE-ELECT")</f>
        <v xml:space="preserve">          4381 - SALES RETURN NON TAXABLE-ELECT</v>
      </c>
      <c r="D34" s="11">
        <f>206.94*-1</f>
        <v>-206.94</v>
      </c>
      <c r="F34" s="11">
        <f>935.88*-1</f>
        <v>-935.88</v>
      </c>
      <c r="G34" s="3"/>
      <c r="H34" s="11">
        <f>840.75*-1</f>
        <v>-840.75</v>
      </c>
      <c r="I34" s="3"/>
      <c r="J34" s="11">
        <f>-148.99</f>
        <v>-148.99</v>
      </c>
      <c r="K34" s="3"/>
      <c r="L34" s="11">
        <f>-257.81</f>
        <v>-257.81</v>
      </c>
      <c r="M34" s="3"/>
      <c r="N34" s="11">
        <f>-1279.84</f>
        <v>-1279.8399999999999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"4383", " - ", "SALES RETURN NON TAXABLE-COMPU")</f>
        <v xml:space="preserve">          4383 - SALES RETURN NON TAXABLE-COMPU</v>
      </c>
      <c r="D35" s="11">
        <f>127.98*-1</f>
        <v>-127.98</v>
      </c>
      <c r="F35" s="11">
        <f>2269.85*-1</f>
        <v>-2269.85</v>
      </c>
      <c r="G35" s="3"/>
      <c r="H35" s="11">
        <f>425.51*-1</f>
        <v>-425.51</v>
      </c>
      <c r="I35" s="3"/>
      <c r="J35" s="11">
        <f>-230.56</f>
        <v>-230.56</v>
      </c>
      <c r="K35" s="3"/>
      <c r="L35" s="11">
        <f>-153.92</f>
        <v>-153.91999999999999</v>
      </c>
      <c r="M35" s="3"/>
      <c r="N35" s="11">
        <f>-49.98</f>
        <v>-49.98</v>
      </c>
      <c r="O35" s="3"/>
      <c r="P35" s="11"/>
      <c r="Q35" s="3"/>
      <c r="R35" s="11"/>
    </row>
    <row r="36" spans="1:18" s="16" customFormat="1" hidden="1" outlineLevel="1" x14ac:dyDescent="0.35">
      <c r="B36" s="35" t="str">
        <f>CONCATENATE("          ", "4384", " - ", "SALES RETURN NON TAXABLE-SOFTW")</f>
        <v xml:space="preserve">          4384 - SALES RETURN NON TAXABLE-SOFTW</v>
      </c>
      <c r="D36" s="11">
        <f t="shared" ref="D36:D37" si="1">0*-1</f>
        <v>0</v>
      </c>
      <c r="F36" s="11">
        <f>0*-1</f>
        <v>0</v>
      </c>
      <c r="G36" s="3"/>
      <c r="H36" s="11">
        <f>199.99*-1</f>
        <v>-199.99</v>
      </c>
      <c r="I36" s="3"/>
      <c r="J36" s="11">
        <f>0</f>
        <v>0</v>
      </c>
      <c r="K36" s="3"/>
      <c r="L36" s="11">
        <f t="shared" ref="L36:L37" si="2">0</f>
        <v>0</v>
      </c>
      <c r="M36" s="3"/>
      <c r="N36" s="11">
        <f t="shared" ref="N36:N37" si="3">0</f>
        <v>0</v>
      </c>
      <c r="O36" s="3"/>
      <c r="P36" s="11"/>
      <c r="Q36" s="3"/>
      <c r="R36" s="11"/>
    </row>
    <row r="37" spans="1:18" s="16" customFormat="1" hidden="1" outlineLevel="1" x14ac:dyDescent="0.35">
      <c r="B37" s="35" t="str">
        <f>CONCATENATE("          ", "4385", " - ", "SALES RETURN NON TAXABLE-SOFTW")</f>
        <v xml:space="preserve">          4385 - SALES RETURN NON TAXABLE-SOFTW</v>
      </c>
      <c r="D37" s="11">
        <f t="shared" si="1"/>
        <v>0</v>
      </c>
      <c r="F37" s="11">
        <f>783.98*-1</f>
        <v>-783.98</v>
      </c>
      <c r="G37" s="3"/>
      <c r="H37" s="11">
        <f>240.97*-1</f>
        <v>-240.97</v>
      </c>
      <c r="I37" s="3"/>
      <c r="J37" s="11">
        <f>-631.99</f>
        <v>-631.99</v>
      </c>
      <c r="K37" s="3"/>
      <c r="L37" s="11">
        <f t="shared" si="2"/>
        <v>0</v>
      </c>
      <c r="M37" s="3"/>
      <c r="N37" s="11">
        <f t="shared" si="3"/>
        <v>0</v>
      </c>
      <c r="O37" s="3"/>
      <c r="P37" s="11"/>
      <c r="Q37" s="3"/>
      <c r="R37" s="11"/>
    </row>
    <row r="38" spans="1:18" s="16" customFormat="1" hidden="1" outlineLevel="1" x14ac:dyDescent="0.35">
      <c r="B38" s="35" t="str">
        <f>CONCATENATE("          ", "4386", " - ", "SALES RETURN NON TAXABLE-COMPU")</f>
        <v xml:space="preserve">          4386 - SALES RETURN NON TAXABLE-COMPU</v>
      </c>
      <c r="D38" s="11">
        <f>183.97*-1</f>
        <v>-183.97</v>
      </c>
      <c r="F38" s="11">
        <f>199.33*-1</f>
        <v>-199.33</v>
      </c>
      <c r="G38" s="3"/>
      <c r="H38" s="11">
        <f>79.98*-1</f>
        <v>-79.98</v>
      </c>
      <c r="I38" s="3"/>
      <c r="J38" s="11">
        <f>-124.97</f>
        <v>-124.97</v>
      </c>
      <c r="K38" s="3"/>
      <c r="L38" s="11">
        <f>-209.95</f>
        <v>-209.95</v>
      </c>
      <c r="M38" s="3"/>
      <c r="N38" s="11">
        <f>-104.96</f>
        <v>-104.96</v>
      </c>
      <c r="O38" s="3"/>
      <c r="P38" s="11"/>
      <c r="Q38" s="3"/>
      <c r="R38" s="11"/>
    </row>
    <row r="39" spans="1:18" s="12" customFormat="1" x14ac:dyDescent="0.35">
      <c r="B39" s="7"/>
      <c r="D39" s="6"/>
      <c r="F39" s="6"/>
      <c r="G39" s="5"/>
      <c r="H39" s="6"/>
      <c r="I39" s="5"/>
      <c r="J39" s="6"/>
      <c r="K39" s="5"/>
      <c r="L39" s="6"/>
      <c r="M39" s="5"/>
      <c r="N39" s="6"/>
      <c r="O39" s="5"/>
      <c r="P39" s="6"/>
      <c r="Q39" s="5"/>
      <c r="R39" s="6"/>
    </row>
    <row r="40" spans="1:18" s="12" customFormat="1" collapsed="1" x14ac:dyDescent="0.35">
      <c r="B40" s="7" t="s">
        <v>278</v>
      </c>
      <c r="D40" s="8">
        <f>SUM(OSRRefD14x_0)</f>
        <v>2108762.9700000007</v>
      </c>
      <c r="E40" s="8"/>
      <c r="F40" s="8">
        <f>SUM(OSRRefF14x_0)</f>
        <v>2156732.2700000005</v>
      </c>
      <c r="G40" s="8"/>
      <c r="H40" s="8">
        <f>SUM(OSRRefH14x_0)</f>
        <v>2389136.0199999996</v>
      </c>
      <c r="I40" s="8"/>
      <c r="J40" s="8">
        <f>SUM(OSRRefJ14x_0)</f>
        <v>1796887.7500000002</v>
      </c>
      <c r="K40" s="8"/>
      <c r="L40" s="8">
        <f>SUM(OSRRefL14x_0)</f>
        <v>2470984.66</v>
      </c>
      <c r="M40" s="8"/>
      <c r="N40" s="8">
        <f>SUM(OSRRefN14x_0)</f>
        <v>2447645.5199999996</v>
      </c>
      <c r="O40" s="8"/>
      <c r="P40" s="8">
        <f>SUM(OSRRefP14x_0)</f>
        <v>2090377</v>
      </c>
      <c r="Q40" s="8"/>
      <c r="R40" s="8">
        <f>SUM(OSRRefR14x_0)</f>
        <v>2046109</v>
      </c>
    </row>
    <row r="41" spans="1:18" s="44" customFormat="1" hidden="1" outlineLevel="1" x14ac:dyDescent="0.35">
      <c r="A41" s="16"/>
      <c r="B41" s="35" t="str">
        <f>CONCATENATE("          ", "5000", " - ", "PURCHASES @ COST")</f>
        <v xml:space="preserve">          5000 - PURCHASES @ COST</v>
      </c>
      <c r="C41" s="16"/>
      <c r="D41" s="11"/>
      <c r="E41" s="16"/>
      <c r="F41" s="11"/>
      <c r="G41" s="3"/>
      <c r="H41" s="11"/>
      <c r="I41" s="3"/>
      <c r="J41" s="11"/>
      <c r="K41" s="3"/>
      <c r="L41" s="11"/>
      <c r="M41" s="3"/>
      <c r="N41" s="11">
        <v>0</v>
      </c>
      <c r="O41" s="3"/>
      <c r="P41" s="11">
        <v>2090377</v>
      </c>
      <c r="Q41" s="3"/>
      <c r="R41" s="11">
        <v>2046109</v>
      </c>
    </row>
    <row r="42" spans="1:18" s="44" customFormat="1" hidden="1" outlineLevel="1" x14ac:dyDescent="0.35">
      <c r="A42" s="16"/>
      <c r="B42" s="35" t="str">
        <f>CONCATENATE("          ", "5081", " - ", "PURCHASES @ COST-ELECTRONICS")</f>
        <v xml:space="preserve">          5081 - PURCHASES @ COST-ELECTRONICS</v>
      </c>
      <c r="C42" s="16"/>
      <c r="D42" s="11">
        <v>86954.08</v>
      </c>
      <c r="E42" s="16"/>
      <c r="F42" s="11">
        <v>131377.66</v>
      </c>
      <c r="G42" s="3"/>
      <c r="H42" s="11">
        <v>161237.85</v>
      </c>
      <c r="I42" s="3"/>
      <c r="J42" s="11">
        <v>265520.51</v>
      </c>
      <c r="K42" s="3"/>
      <c r="L42" s="11">
        <v>235938.23</v>
      </c>
      <c r="M42" s="3"/>
      <c r="N42" s="11">
        <v>258288.3</v>
      </c>
      <c r="O42" s="3"/>
      <c r="P42" s="11"/>
      <c r="Q42" s="3"/>
      <c r="R42" s="11"/>
    </row>
    <row r="43" spans="1:18" s="44" customFormat="1" hidden="1" outlineLevel="1" x14ac:dyDescent="0.35">
      <c r="A43" s="16"/>
      <c r="B43" s="35" t="str">
        <f>CONCATENATE("          ", "5082", " - ", "PURCHASES @ COST-COMPUTER HARD")</f>
        <v xml:space="preserve">          5082 - PURCHASES @ COST-COMPUTER HARD</v>
      </c>
      <c r="C43" s="16"/>
      <c r="D43" s="11">
        <v>1881910.11</v>
      </c>
      <c r="E43" s="16"/>
      <c r="F43" s="11">
        <v>2119626.5299999998</v>
      </c>
      <c r="G43" s="3"/>
      <c r="H43" s="11">
        <v>1941363.26</v>
      </c>
      <c r="I43" s="3"/>
      <c r="J43" s="11">
        <v>1413883.81</v>
      </c>
      <c r="K43" s="3"/>
      <c r="L43" s="11">
        <v>1964228.54</v>
      </c>
      <c r="M43" s="3"/>
      <c r="N43" s="11">
        <v>1831501.23</v>
      </c>
      <c r="O43" s="3"/>
      <c r="P43" s="11"/>
      <c r="Q43" s="3"/>
      <c r="R43" s="11"/>
    </row>
    <row r="44" spans="1:18" s="44" customFormat="1" hidden="1" outlineLevel="1" x14ac:dyDescent="0.35">
      <c r="A44" s="16"/>
      <c r="B44" s="35" t="str">
        <f>CONCATENATE("          ", "5083", " - ", "PURCHASES @ COST-COMPUTER EQUI")</f>
        <v xml:space="preserve">          5083 - PURCHASES @ COST-COMPUTER EQUI</v>
      </c>
      <c r="C44" s="16"/>
      <c r="D44" s="11">
        <v>72375.820000000007</v>
      </c>
      <c r="E44" s="16"/>
      <c r="F44" s="11">
        <v>115555.5</v>
      </c>
      <c r="G44" s="3"/>
      <c r="H44" s="11">
        <v>114635.46</v>
      </c>
      <c r="I44" s="3"/>
      <c r="J44" s="11">
        <v>111809.11</v>
      </c>
      <c r="K44" s="3"/>
      <c r="L44" s="11">
        <v>111062.89</v>
      </c>
      <c r="M44" s="3"/>
      <c r="N44" s="11">
        <v>107424.25</v>
      </c>
      <c r="O44" s="3"/>
      <c r="P44" s="11"/>
      <c r="Q44" s="3"/>
      <c r="R44" s="11"/>
    </row>
    <row r="45" spans="1:18" s="44" customFormat="1" hidden="1" outlineLevel="1" x14ac:dyDescent="0.35">
      <c r="A45" s="16"/>
      <c r="B45" s="35" t="str">
        <f>CONCATENATE("          ", "5084", " - ", "PURCHASES @ COST-SOFTWARE LICE")</f>
        <v xml:space="preserve">          5084 - PURCHASES @ COST-SOFTWARE LICE</v>
      </c>
      <c r="C45" s="16"/>
      <c r="D45" s="11">
        <v>1042.55</v>
      </c>
      <c r="E45" s="16"/>
      <c r="F45" s="11">
        <v>941.89</v>
      </c>
      <c r="G45" s="3"/>
      <c r="H45" s="11">
        <v>661.55</v>
      </c>
      <c r="I45" s="3"/>
      <c r="J45" s="11">
        <v>525.54999999999995</v>
      </c>
      <c r="K45" s="3"/>
      <c r="L45" s="11">
        <v>5183</v>
      </c>
      <c r="M45" s="3"/>
      <c r="N45" s="11">
        <v>2728</v>
      </c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"5085", " - ", "PURCHASES @ COST-SOFTWARE")</f>
        <v xml:space="preserve">          5085 - PURCHASES @ COST-SOFTWARE</v>
      </c>
      <c r="C46" s="16"/>
      <c r="D46" s="11">
        <v>19066.349999999999</v>
      </c>
      <c r="E46" s="16"/>
      <c r="F46" s="11">
        <v>17377.990000000002</v>
      </c>
      <c r="G46" s="3"/>
      <c r="H46" s="11">
        <v>15223.87</v>
      </c>
      <c r="I46" s="3"/>
      <c r="J46" s="11">
        <v>28339.68</v>
      </c>
      <c r="K46" s="3"/>
      <c r="L46" s="11">
        <v>12963.48</v>
      </c>
      <c r="M46" s="3"/>
      <c r="N46" s="11">
        <v>17324.650000000001</v>
      </c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"5086", " - ", "PURCHASES @ COST-COMPUTER SUPP")</f>
        <v xml:space="preserve">          5086 - PURCHASES @ COST-COMPUTER SUPP</v>
      </c>
      <c r="C47" s="16"/>
      <c r="D47" s="11">
        <v>29188.07</v>
      </c>
      <c r="E47" s="16"/>
      <c r="F47" s="11">
        <v>61898.239999999998</v>
      </c>
      <c r="G47" s="3"/>
      <c r="H47" s="11">
        <v>47769.06</v>
      </c>
      <c r="I47" s="3"/>
      <c r="J47" s="11">
        <v>44118.720000000001</v>
      </c>
      <c r="K47" s="3"/>
      <c r="L47" s="11">
        <v>61180.08</v>
      </c>
      <c r="M47" s="3"/>
      <c r="N47" s="11">
        <v>30010.32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"5088", " - ", "PURCHASES @ COST-MUSIC")</f>
        <v xml:space="preserve">          5088 - PURCHASES @ COST-MUSIC</v>
      </c>
      <c r="C48" s="16"/>
      <c r="D48" s="11"/>
      <c r="E48" s="16"/>
      <c r="F48" s="11">
        <v>8393.5499999999993</v>
      </c>
      <c r="G48" s="3"/>
      <c r="H48" s="11">
        <v>5291.05</v>
      </c>
      <c r="I48" s="3"/>
      <c r="J48" s="11">
        <v>3550.95</v>
      </c>
      <c r="K48" s="3"/>
      <c r="L48" s="11">
        <v>2245</v>
      </c>
      <c r="M48" s="3"/>
      <c r="N48" s="11">
        <v>95.65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"5200", " - ", "PURCHASES OFFSET")</f>
        <v xml:space="preserve">          5200 - PURCHASES OFFSET</v>
      </c>
      <c r="C49" s="16"/>
      <c r="D49" s="11">
        <v>-2091213</v>
      </c>
      <c r="E49" s="16"/>
      <c r="F49" s="11">
        <v>-2456508</v>
      </c>
      <c r="G49" s="3"/>
      <c r="H49" s="11">
        <v>-2287145</v>
      </c>
      <c r="I49" s="3"/>
      <c r="J49" s="11">
        <v>-1868269</v>
      </c>
      <c r="K49" s="3"/>
      <c r="L49" s="11">
        <v>-2393287</v>
      </c>
      <c r="M49" s="3"/>
      <c r="N49" s="11">
        <v>-2248069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"5300", " - ", "COG$ OFFSET")</f>
        <v xml:space="preserve">          5300 - COG$ OFFSET</v>
      </c>
      <c r="C50" s="16"/>
      <c r="D50" s="11">
        <v>2108761</v>
      </c>
      <c r="E50" s="16"/>
      <c r="F50" s="11">
        <v>2156729</v>
      </c>
      <c r="G50" s="3"/>
      <c r="H50" s="11">
        <v>2389133</v>
      </c>
      <c r="I50" s="3"/>
      <c r="J50" s="11">
        <v>1796889</v>
      </c>
      <c r="K50" s="3"/>
      <c r="L50" s="11">
        <v>2470971</v>
      </c>
      <c r="M50" s="3"/>
      <c r="N50" s="11">
        <v>2447643</v>
      </c>
      <c r="O50" s="3"/>
      <c r="P50" s="11"/>
      <c r="Q50" s="3"/>
      <c r="R50" s="11"/>
    </row>
    <row r="51" spans="1:18" s="44" customFormat="1" hidden="1" outlineLevel="1" x14ac:dyDescent="0.35">
      <c r="A51" s="16"/>
      <c r="B51" s="35" t="str">
        <f>CONCATENATE("          ", "5500", " - ", "FREIGHT-IN")</f>
        <v xml:space="preserve">          5500 - FREIGHT-IN</v>
      </c>
      <c r="C51" s="16"/>
      <c r="D51" s="11"/>
      <c r="E51" s="16"/>
      <c r="F51" s="11"/>
      <c r="G51" s="3"/>
      <c r="H51" s="11"/>
      <c r="I51" s="3"/>
      <c r="J51" s="11"/>
      <c r="K51" s="3"/>
      <c r="L51" s="11">
        <v>14.08</v>
      </c>
      <c r="M51" s="3"/>
      <c r="N51" s="11">
        <v>0</v>
      </c>
      <c r="O51" s="3"/>
      <c r="P51" s="11"/>
      <c r="Q51" s="3"/>
      <c r="R51" s="11"/>
    </row>
    <row r="52" spans="1:18" s="44" customFormat="1" hidden="1" outlineLevel="1" x14ac:dyDescent="0.35">
      <c r="A52" s="16"/>
      <c r="B52" s="35" t="str">
        <f>CONCATENATE("          ", "5581", " - ", "FREIGHT-IN-ELECTRONICS")</f>
        <v xml:space="preserve">          5581 - FREIGHT-IN-ELECTRONICS</v>
      </c>
      <c r="C52" s="16"/>
      <c r="D52" s="11">
        <v>69.02</v>
      </c>
      <c r="E52" s="16"/>
      <c r="F52" s="11">
        <v>144.29</v>
      </c>
      <c r="G52" s="3"/>
      <c r="H52" s="11">
        <v>125.31</v>
      </c>
      <c r="I52" s="3"/>
      <c r="J52" s="11">
        <v>33.08</v>
      </c>
      <c r="K52" s="3"/>
      <c r="L52" s="11"/>
      <c r="M52" s="3"/>
      <c r="N52" s="11">
        <v>137</v>
      </c>
      <c r="O52" s="3"/>
      <c r="P52" s="11"/>
      <c r="Q52" s="3"/>
      <c r="R52" s="11"/>
    </row>
    <row r="53" spans="1:18" s="44" customFormat="1" hidden="1" outlineLevel="1" x14ac:dyDescent="0.35">
      <c r="A53" s="16"/>
      <c r="B53" s="35" t="str">
        <f>CONCATENATE("          ", "5582", " - ", "FREIGHT-IN-COMPUTER HARDWARE")</f>
        <v xml:space="preserve">          5582 - FREIGHT-IN-COMPUTER HARDWARE</v>
      </c>
      <c r="C53" s="16"/>
      <c r="D53" s="11">
        <v>62.66</v>
      </c>
      <c r="E53" s="16"/>
      <c r="F53" s="11">
        <v>22.02</v>
      </c>
      <c r="G53" s="3"/>
      <c r="H53" s="11">
        <v>226.3</v>
      </c>
      <c r="I53" s="3"/>
      <c r="J53" s="11"/>
      <c r="K53" s="3"/>
      <c r="L53" s="11">
        <v>12</v>
      </c>
      <c r="M53" s="3"/>
      <c r="N53" s="11">
        <v>154.30000000000001</v>
      </c>
      <c r="O53" s="3"/>
      <c r="P53" s="11"/>
      <c r="Q53" s="3"/>
      <c r="R53" s="11"/>
    </row>
    <row r="54" spans="1:18" s="44" customFormat="1" hidden="1" outlineLevel="1" x14ac:dyDescent="0.35">
      <c r="A54" s="16"/>
      <c r="B54" s="35" t="str">
        <f>CONCATENATE("          ", "5583", " - ", "FREIGHT-IN-COMPUTER EQUIPMENT")</f>
        <v xml:space="preserve">          5583 - FREIGHT-IN-COMPUTER EQUIPMENT</v>
      </c>
      <c r="C54" s="16"/>
      <c r="D54" s="11">
        <v>314.95999999999998</v>
      </c>
      <c r="E54" s="16"/>
      <c r="F54" s="11">
        <v>117.62</v>
      </c>
      <c r="G54" s="3"/>
      <c r="H54" s="11">
        <v>120.86</v>
      </c>
      <c r="I54" s="3"/>
      <c r="J54" s="11">
        <v>94.05</v>
      </c>
      <c r="K54" s="3"/>
      <c r="L54" s="11">
        <v>93.42</v>
      </c>
      <c r="M54" s="3"/>
      <c r="N54" s="11">
        <v>96.55</v>
      </c>
      <c r="O54" s="3"/>
      <c r="P54" s="11"/>
      <c r="Q54" s="3"/>
      <c r="R54" s="11"/>
    </row>
    <row r="55" spans="1:18" s="44" customFormat="1" hidden="1" outlineLevel="1" x14ac:dyDescent="0.35">
      <c r="A55" s="16"/>
      <c r="B55" s="35" t="str">
        <f>CONCATENATE("          ", "5585", " - ", "FREIGHT-IN-SOFTWARE")</f>
        <v xml:space="preserve">          5585 - FREIGHT-IN-SOFTWARE</v>
      </c>
      <c r="C55" s="16"/>
      <c r="D55" s="11">
        <v>1.75</v>
      </c>
      <c r="E55" s="16"/>
      <c r="F55" s="11">
        <v>18.899999999999999</v>
      </c>
      <c r="G55" s="3"/>
      <c r="H55" s="11"/>
      <c r="I55" s="3"/>
      <c r="J55" s="11"/>
      <c r="K55" s="3"/>
      <c r="L55" s="11"/>
      <c r="M55" s="3"/>
      <c r="N55" s="11">
        <v>10</v>
      </c>
      <c r="O55" s="3"/>
      <c r="P55" s="11"/>
      <c r="Q55" s="3"/>
      <c r="R55" s="11"/>
    </row>
    <row r="56" spans="1:18" s="44" customFormat="1" hidden="1" outlineLevel="1" x14ac:dyDescent="0.35">
      <c r="A56" s="16"/>
      <c r="B56" s="35" t="str">
        <f>CONCATENATE("          ", "5586", " - ", "FREIGHT-IN-COMPUTER SUPPLIES")</f>
        <v xml:space="preserve">          5586 - FREIGHT-IN-COMPUTER SUPPLIES</v>
      </c>
      <c r="C56" s="16"/>
      <c r="D56" s="11">
        <v>229.6</v>
      </c>
      <c r="E56" s="16"/>
      <c r="F56" s="11">
        <v>1037.08</v>
      </c>
      <c r="G56" s="3"/>
      <c r="H56" s="11">
        <v>493.45</v>
      </c>
      <c r="I56" s="3"/>
      <c r="J56" s="11">
        <v>392.29</v>
      </c>
      <c r="K56" s="3"/>
      <c r="L56" s="11">
        <v>379.94</v>
      </c>
      <c r="M56" s="3"/>
      <c r="N56" s="11">
        <v>301.27</v>
      </c>
      <c r="O56" s="3"/>
      <c r="P56" s="11"/>
      <c r="Q56" s="3"/>
      <c r="R56" s="11"/>
    </row>
    <row r="57" spans="1:18" x14ac:dyDescent="0.35">
      <c r="A57" s="12"/>
      <c r="B57" s="7"/>
      <c r="C57" s="7"/>
      <c r="D57" s="6"/>
      <c r="F57" s="6"/>
      <c r="H57" s="6"/>
      <c r="J57" s="6"/>
      <c r="L57" s="6"/>
      <c r="N57" s="6"/>
      <c r="P57" s="6"/>
      <c r="R57" s="6"/>
    </row>
    <row r="58" spans="1:18" s="15" customFormat="1" x14ac:dyDescent="0.35">
      <c r="A58" s="7"/>
      <c r="B58" s="22" t="s">
        <v>107</v>
      </c>
      <c r="C58" s="22"/>
      <c r="D58" s="10">
        <f>+D10-D40</f>
        <v>312359.53999999911</v>
      </c>
      <c r="E58" s="12"/>
      <c r="F58" s="10">
        <f>+F10-F40</f>
        <v>452989.89999999991</v>
      </c>
      <c r="G58" s="5"/>
      <c r="H58" s="10">
        <f>+H10-H40</f>
        <v>413263.89000000013</v>
      </c>
      <c r="I58" s="5"/>
      <c r="J58" s="10">
        <f>+J10-J40</f>
        <v>385465.81999999867</v>
      </c>
      <c r="K58" s="5"/>
      <c r="L58" s="10">
        <f>+L10-L40</f>
        <v>470480.75999999885</v>
      </c>
      <c r="M58" s="5"/>
      <c r="N58" s="10">
        <f>+N10-N40</f>
        <v>437444.84000000032</v>
      </c>
      <c r="O58" s="5"/>
      <c r="P58" s="10">
        <f>+P10-P40</f>
        <v>424594</v>
      </c>
      <c r="Q58" s="5"/>
      <c r="R58" s="10">
        <f>+R10-R40</f>
        <v>240050</v>
      </c>
    </row>
    <row r="59" spans="1:18" s="27" customFormat="1" x14ac:dyDescent="0.35">
      <c r="A59" s="18"/>
      <c r="B59" s="31"/>
      <c r="C59" s="18"/>
      <c r="D59" s="9">
        <f>IFERROR(D58/D10, 0)</f>
        <v>0.12901434715090032</v>
      </c>
      <c r="E59" s="13"/>
      <c r="F59" s="9">
        <f>IFERROR(F58/F10, 0)</f>
        <v>0.17357782571927946</v>
      </c>
      <c r="G59" s="26"/>
      <c r="H59" s="9">
        <f>IFERROR(H58/H10, 0)</f>
        <v>0.14746785015419164</v>
      </c>
      <c r="I59" s="26"/>
      <c r="J59" s="9">
        <f>IFERROR(J58/J10, 0)</f>
        <v>0.1766284919633801</v>
      </c>
      <c r="K59" s="26"/>
      <c r="L59" s="9">
        <f>IFERROR(L58/L10, 0)</f>
        <v>0.15994774468570805</v>
      </c>
      <c r="M59" s="26"/>
      <c r="N59" s="9">
        <f>IFERROR(N58/N10, 0)</f>
        <v>0.15162257864256298</v>
      </c>
      <c r="O59" s="26"/>
      <c r="P59" s="9">
        <f>IFERROR(P58/P10, 0)</f>
        <v>0.16882659879577142</v>
      </c>
      <c r="Q59" s="26"/>
      <c r="R59" s="9">
        <f>IFERROR(R58/R10, 0)</f>
        <v>0.10500144565622951</v>
      </c>
    </row>
    <row r="60" spans="1:18" s="27" customFormat="1" x14ac:dyDescent="0.35">
      <c r="A60" s="18"/>
      <c r="B60" s="31"/>
      <c r="C60" s="18"/>
      <c r="D60" s="13"/>
      <c r="E60" s="13"/>
      <c r="F60" s="13"/>
      <c r="G60" s="26"/>
      <c r="H60" s="13"/>
      <c r="I60" s="26"/>
      <c r="J60" s="13"/>
      <c r="K60" s="26"/>
      <c r="L60" s="13"/>
      <c r="M60" s="26"/>
      <c r="N60" s="13"/>
      <c r="O60" s="26"/>
      <c r="P60" s="13"/>
      <c r="Q60" s="26"/>
      <c r="R60" s="13"/>
    </row>
    <row r="61" spans="1:18" s="15" customFormat="1" x14ac:dyDescent="0.35">
      <c r="A61" s="7"/>
      <c r="B61" s="34" t="s">
        <v>314</v>
      </c>
      <c r="C61" s="7"/>
      <c r="D61" s="8">
        <f>SUM(OSRRefD21x_0)</f>
        <v>230831.04</v>
      </c>
      <c r="E61" s="19"/>
      <c r="F61" s="8">
        <f>SUM(OSRRefF21x_0)</f>
        <v>272297.19</v>
      </c>
      <c r="G61" s="4"/>
      <c r="H61" s="8">
        <f>SUM(OSRRefH21x_0)</f>
        <v>250118.6</v>
      </c>
      <c r="I61" s="4"/>
      <c r="J61" s="8">
        <f>SUM(OSRRefJ21x_0)</f>
        <v>335308.15999999997</v>
      </c>
      <c r="K61" s="4"/>
      <c r="L61" s="8">
        <f>SUM(OSRRefL21x_0)</f>
        <v>228006.22000000003</v>
      </c>
      <c r="M61" s="4"/>
      <c r="N61" s="8">
        <f>SUM(OSRRefN21x_0)</f>
        <v>177712.97000000006</v>
      </c>
      <c r="O61" s="4"/>
      <c r="P61" s="8">
        <f>SUM(OSRRefP21x_0)</f>
        <v>233153.17600596001</v>
      </c>
      <c r="Q61" s="4"/>
      <c r="R61" s="8">
        <f>SUM(OSRRefR21x_0)</f>
        <v>188962.38579010998</v>
      </c>
    </row>
    <row r="62" spans="1:18" s="15" customFormat="1" outlineLevel="1" collapsed="1" x14ac:dyDescent="0.35">
      <c r="A62" s="7"/>
      <c r="B62" s="20" t="str">
        <f>CONCATENATE("     ","*Benefits                                         ")</f>
        <v xml:space="preserve">     *Benefits                                         </v>
      </c>
      <c r="C62" s="7"/>
      <c r="D62" s="1">
        <f>SUM(OSRRefD21_0x_0)</f>
        <v>34874.470000000008</v>
      </c>
      <c r="E62" s="19"/>
      <c r="F62" s="1">
        <f>SUM(OSRRefF21_0x_0)</f>
        <v>41504.549999999996</v>
      </c>
      <c r="G62" s="4"/>
      <c r="H62" s="1">
        <f>SUM(OSRRefH21_0x_0)</f>
        <v>42790.15</v>
      </c>
      <c r="I62" s="4"/>
      <c r="J62" s="1">
        <f>SUM(OSRRefJ21_0x_0)</f>
        <v>38664.200000000004</v>
      </c>
      <c r="K62" s="4"/>
      <c r="L62" s="1">
        <f>SUM(OSRRefL21_0x_0)</f>
        <v>27699.079999999998</v>
      </c>
      <c r="M62" s="4"/>
      <c r="N62" s="1">
        <f>SUM(OSRRefN21_0x_0)</f>
        <v>29115.980000000003</v>
      </c>
      <c r="O62" s="4"/>
      <c r="P62" s="1">
        <f>SUM(OSRRefP21_0x_0)</f>
        <v>31597.842485960002</v>
      </c>
      <c r="Q62" s="4"/>
      <c r="R62" s="1">
        <f>SUM(OSRRefR21_0x_0)</f>
        <v>33822.508640109998</v>
      </c>
    </row>
    <row r="63" spans="1:18" s="16" customFormat="1" hidden="1" outlineLevel="2" x14ac:dyDescent="0.35">
      <c r="B63" s="11" t="str">
        <f>CONCATENATE("          ", "6111", " - ", "F.I.C.A.")</f>
        <v xml:space="preserve">          6111 - F.I.C.A.</v>
      </c>
      <c r="D63" s="2">
        <v>7106.15</v>
      </c>
      <c r="F63" s="2">
        <v>7401.48</v>
      </c>
      <c r="G63" s="3"/>
      <c r="H63" s="2">
        <v>6939.14</v>
      </c>
      <c r="I63" s="3"/>
      <c r="J63" s="2">
        <v>7660.81</v>
      </c>
      <c r="K63" s="3"/>
      <c r="L63" s="2">
        <v>5953.58</v>
      </c>
      <c r="M63" s="3"/>
      <c r="N63" s="2">
        <v>8039.26</v>
      </c>
      <c r="O63" s="3"/>
      <c r="P63" s="2">
        <v>6208.0379883599999</v>
      </c>
      <c r="Q63" s="3"/>
      <c r="R63" s="2">
        <v>7008.5834972100001</v>
      </c>
    </row>
    <row r="64" spans="1:18" s="16" customFormat="1" hidden="1" outlineLevel="2" x14ac:dyDescent="0.35">
      <c r="B64" s="11" t="str">
        <f>CONCATENATE("          ", "6112", " - ", "COMPENSATION INSURANCE")</f>
        <v xml:space="preserve">          6112 - COMPENSATION INSURANCE</v>
      </c>
      <c r="D64" s="2">
        <v>2134.5700000000002</v>
      </c>
      <c r="F64" s="2">
        <v>3920.02</v>
      </c>
      <c r="G64" s="3"/>
      <c r="H64" s="2">
        <v>2209.56</v>
      </c>
      <c r="I64" s="3"/>
      <c r="J64" s="2">
        <v>1290.3900000000001</v>
      </c>
      <c r="K64" s="3"/>
      <c r="L64" s="2">
        <v>1090.5</v>
      </c>
      <c r="M64" s="3"/>
      <c r="N64" s="2">
        <v>2050.15</v>
      </c>
      <c r="O64" s="3"/>
      <c r="P64" s="2">
        <v>2519.604096</v>
      </c>
      <c r="Q64" s="3"/>
      <c r="R64" s="2">
        <v>2125.1024652000001</v>
      </c>
    </row>
    <row r="65" spans="1:18" s="16" customFormat="1" hidden="1" outlineLevel="2" x14ac:dyDescent="0.35">
      <c r="B65" s="11" t="str">
        <f>CONCATENATE("          ", "6113", " - ", "GROUP INSURANCE")</f>
        <v xml:space="preserve">          6113 - GROUP INSURANCE</v>
      </c>
      <c r="D65" s="2">
        <v>14946.54</v>
      </c>
      <c r="F65" s="2">
        <v>19173.72</v>
      </c>
      <c r="G65" s="3"/>
      <c r="H65" s="2">
        <v>21182.400000000001</v>
      </c>
      <c r="I65" s="3"/>
      <c r="J65" s="2">
        <v>17280.55</v>
      </c>
      <c r="K65" s="3"/>
      <c r="L65" s="2">
        <v>11327.94</v>
      </c>
      <c r="M65" s="3"/>
      <c r="N65" s="2">
        <v>13627.38</v>
      </c>
      <c r="O65" s="3"/>
      <c r="P65" s="2">
        <v>11970</v>
      </c>
      <c r="Q65" s="3"/>
      <c r="R65" s="2">
        <v>11934</v>
      </c>
    </row>
    <row r="66" spans="1:18" s="16" customFormat="1" hidden="1" outlineLevel="2" x14ac:dyDescent="0.35">
      <c r="B66" s="11" t="str">
        <f>CONCATENATE("          ", "6114", " - ", "STATE UNEMPLOYMENT INSURANCE")</f>
        <v xml:space="preserve">          6114 - STATE UNEMPLOYMENT INSURANCE</v>
      </c>
      <c r="D66" s="2">
        <v>886.48</v>
      </c>
      <c r="F66" s="2">
        <v>947.69</v>
      </c>
      <c r="G66" s="3"/>
      <c r="H66" s="2">
        <v>411.33</v>
      </c>
      <c r="I66" s="3"/>
      <c r="J66" s="2">
        <v>429.01</v>
      </c>
      <c r="K66" s="3"/>
      <c r="L66" s="2">
        <v>297.19</v>
      </c>
      <c r="M66" s="3"/>
      <c r="N66" s="2">
        <v>0</v>
      </c>
      <c r="O66" s="3"/>
      <c r="P66" s="2">
        <v>354.10652160000001</v>
      </c>
      <c r="Q66" s="3"/>
      <c r="R66" s="2">
        <v>286.07148569999998</v>
      </c>
    </row>
    <row r="67" spans="1:18" s="16" customFormat="1" hidden="1" outlineLevel="2" x14ac:dyDescent="0.35">
      <c r="B67" s="11" t="str">
        <f>CONCATENATE("          ", "6115", " - ", "P.E.R.S.")</f>
        <v xml:space="preserve">          6115 - P.E.R.S.</v>
      </c>
      <c r="D67" s="2">
        <v>3719.46</v>
      </c>
      <c r="F67" s="2">
        <v>3820.15</v>
      </c>
      <c r="G67" s="3"/>
      <c r="H67" s="2">
        <v>4135.32</v>
      </c>
      <c r="I67" s="3"/>
      <c r="J67" s="2">
        <v>3715.7</v>
      </c>
      <c r="K67" s="3"/>
      <c r="L67" s="2">
        <v>2090.5</v>
      </c>
      <c r="M67" s="3"/>
      <c r="N67" s="2">
        <v>2807.7</v>
      </c>
      <c r="O67" s="3"/>
      <c r="P67" s="2">
        <v>2551.6113999999998</v>
      </c>
      <c r="Q67" s="3"/>
      <c r="R67" s="2">
        <v>2628.1597419999998</v>
      </c>
    </row>
    <row r="68" spans="1:18" s="16" customFormat="1" hidden="1" outlineLevel="2" x14ac:dyDescent="0.35">
      <c r="B68" s="11" t="str">
        <f>CONCATENATE("          ", "6116", " - ", "EDUCATIONAL BENEFITS")</f>
        <v xml:space="preserve">          6116 - EDUCATIONAL BENEFITS</v>
      </c>
      <c r="D68" s="2"/>
      <c r="F68" s="2"/>
      <c r="G68" s="3"/>
      <c r="H68" s="2"/>
      <c r="I68" s="3"/>
      <c r="J68" s="2"/>
      <c r="K68" s="3"/>
      <c r="L68" s="2"/>
      <c r="M68" s="3"/>
      <c r="N68" s="2"/>
      <c r="O68" s="3"/>
      <c r="P68" s="2">
        <v>0</v>
      </c>
      <c r="Q68" s="3"/>
      <c r="R68" s="2">
        <v>0</v>
      </c>
    </row>
    <row r="69" spans="1:18" s="16" customFormat="1" hidden="1" outlineLevel="2" x14ac:dyDescent="0.35">
      <c r="B69" s="11" t="str">
        <f>CONCATENATE("          ", "6117", " - ", "RETIREMENT STAFF HOURLY")</f>
        <v xml:space="preserve">          6117 - RETIREMENT STAFF HOURLY</v>
      </c>
      <c r="D69" s="2"/>
      <c r="F69" s="2"/>
      <c r="G69" s="3"/>
      <c r="H69" s="2"/>
      <c r="I69" s="3"/>
      <c r="J69" s="2">
        <v>852.98</v>
      </c>
      <c r="K69" s="3"/>
      <c r="L69" s="2">
        <v>1537.94</v>
      </c>
      <c r="M69" s="3"/>
      <c r="N69" s="2">
        <v>2058.8200000000002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"6118", " - ", "VACATION")</f>
        <v xml:space="preserve">          6118 - VACATION</v>
      </c>
      <c r="D70" s="2">
        <v>2058.56</v>
      </c>
      <c r="F70" s="2">
        <v>2701.43</v>
      </c>
      <c r="G70" s="3"/>
      <c r="H70" s="2">
        <v>3217.72</v>
      </c>
      <c r="I70" s="3"/>
      <c r="J70" s="2">
        <v>3120.35</v>
      </c>
      <c r="K70" s="3"/>
      <c r="L70" s="2">
        <v>2059.62</v>
      </c>
      <c r="M70" s="3"/>
      <c r="N70" s="2">
        <v>3303.15</v>
      </c>
      <c r="O70" s="3"/>
      <c r="P70" s="2">
        <v>2531.7370000000001</v>
      </c>
      <c r="Q70" s="3"/>
      <c r="R70" s="2">
        <v>2330.7839100000001</v>
      </c>
    </row>
    <row r="71" spans="1:18" s="16" customFormat="1" hidden="1" outlineLevel="2" x14ac:dyDescent="0.35">
      <c r="B71" s="11" t="str">
        <f>CONCATENATE("          ", "6119", " - ", "SICK LEAVE")</f>
        <v xml:space="preserve">          6119 - SICK LEAVE</v>
      </c>
      <c r="D71" s="2">
        <v>2290.3000000000002</v>
      </c>
      <c r="F71" s="2">
        <v>1749.39</v>
      </c>
      <c r="G71" s="3"/>
      <c r="H71" s="2">
        <v>2909.92</v>
      </c>
      <c r="I71" s="3"/>
      <c r="J71" s="2">
        <v>2580.9</v>
      </c>
      <c r="K71" s="3"/>
      <c r="L71" s="2">
        <v>1696.61</v>
      </c>
      <c r="M71" s="3"/>
      <c r="N71" s="2">
        <v>-4833.5600000000004</v>
      </c>
      <c r="O71" s="3"/>
      <c r="P71" s="2">
        <v>3362.74548</v>
      </c>
      <c r="Q71" s="3"/>
      <c r="R71" s="2">
        <v>3309.8075399999998</v>
      </c>
    </row>
    <row r="72" spans="1:18" s="16" customFormat="1" hidden="1" outlineLevel="2" x14ac:dyDescent="0.35">
      <c r="B72" s="11" t="str">
        <f>CONCATENATE("          ", "6156", " - ", "EMPLOYEE MEALS")</f>
        <v xml:space="preserve">          6156 - EMPLOYEE MEALS</v>
      </c>
      <c r="D72" s="2">
        <v>1732.41</v>
      </c>
      <c r="F72" s="2">
        <v>1790.67</v>
      </c>
      <c r="G72" s="3"/>
      <c r="H72" s="2">
        <v>1784.76</v>
      </c>
      <c r="I72" s="3"/>
      <c r="J72" s="2">
        <v>1733.51</v>
      </c>
      <c r="K72" s="3"/>
      <c r="L72" s="2">
        <v>1645.2</v>
      </c>
      <c r="M72" s="3"/>
      <c r="N72" s="2">
        <v>2063.08</v>
      </c>
      <c r="O72" s="3"/>
      <c r="P72" s="2">
        <v>2100</v>
      </c>
      <c r="Q72" s="3"/>
      <c r="R72" s="2">
        <v>4200</v>
      </c>
    </row>
    <row r="73" spans="1:18" s="15" customFormat="1" outlineLevel="1" collapsed="1" x14ac:dyDescent="0.35">
      <c r="A73" s="7"/>
      <c r="B73" s="20" t="str">
        <f>CONCATENATE("     ","*Payroll                                          ")</f>
        <v xml:space="preserve">     *Payroll                                          </v>
      </c>
      <c r="C73" s="7"/>
      <c r="D73" s="1">
        <f>SUM(OSRRefD21_1x_0)</f>
        <v>134115.56</v>
      </c>
      <c r="E73" s="19"/>
      <c r="F73" s="1">
        <f>SUM(OSRRefF21_1x_0)</f>
        <v>145420.06</v>
      </c>
      <c r="G73" s="4"/>
      <c r="H73" s="1">
        <f>SUM(OSRRefH21_1x_0)</f>
        <v>136003.46</v>
      </c>
      <c r="I73" s="4"/>
      <c r="J73" s="1">
        <f>SUM(OSRRefJ21_1x_0)</f>
        <v>137170.42000000001</v>
      </c>
      <c r="K73" s="4"/>
      <c r="L73" s="1">
        <f>SUM(OSRRefL21_1x_0)</f>
        <v>107854.66</v>
      </c>
      <c r="M73" s="4"/>
      <c r="N73" s="1">
        <f>SUM(OSRRefN21_1x_0)</f>
        <v>106281.83000000002</v>
      </c>
      <c r="O73" s="4"/>
      <c r="P73" s="1">
        <f>SUM(OSRRefP21_1x_0)</f>
        <v>130300.33352</v>
      </c>
      <c r="Q73" s="4"/>
      <c r="R73" s="1">
        <f>SUM(OSRRefR21_1x_0)</f>
        <v>132339.87714999999</v>
      </c>
    </row>
    <row r="74" spans="1:18" s="16" customFormat="1" hidden="1" outlineLevel="2" x14ac:dyDescent="0.35">
      <c r="B74" s="11" t="str">
        <f>CONCATENATE("          ", "6001", " - ", "ADMINISTRATIVE SALARIES")</f>
        <v xml:space="preserve">          6001 - ADMINISTRATIVE SALARIES</v>
      </c>
      <c r="D74" s="2"/>
      <c r="F74" s="2"/>
      <c r="G74" s="3"/>
      <c r="H74" s="2"/>
      <c r="I74" s="3"/>
      <c r="J74" s="2"/>
      <c r="K74" s="3"/>
      <c r="L74" s="2"/>
      <c r="M74" s="3"/>
      <c r="N74" s="2"/>
      <c r="O74" s="3"/>
      <c r="P74" s="2">
        <v>0</v>
      </c>
      <c r="Q74" s="3"/>
      <c r="R74" s="2">
        <v>0</v>
      </c>
    </row>
    <row r="75" spans="1:18" s="16" customFormat="1" hidden="1" outlineLevel="2" x14ac:dyDescent="0.35">
      <c r="B75" s="11" t="str">
        <f>CONCATENATE("          ", "6002", " - ", "STAFF SALARIES")</f>
        <v xml:space="preserve">          6002 - STAFF SALARIES</v>
      </c>
      <c r="D75" s="2">
        <v>45958.46</v>
      </c>
      <c r="F75" s="2">
        <v>62049.599999999999</v>
      </c>
      <c r="G75" s="3"/>
      <c r="H75" s="2">
        <v>59690.2</v>
      </c>
      <c r="I75" s="3"/>
      <c r="J75" s="2">
        <v>47529.35</v>
      </c>
      <c r="K75" s="3"/>
      <c r="L75" s="2">
        <v>31100.240000000002</v>
      </c>
      <c r="M75" s="3"/>
      <c r="N75" s="2">
        <v>36505.870000000003</v>
      </c>
      <c r="O75" s="3"/>
      <c r="P75" s="2">
        <v>28186.404999999999</v>
      </c>
      <c r="Q75" s="3"/>
      <c r="R75" s="2">
        <v>29031.997149999999</v>
      </c>
    </row>
    <row r="76" spans="1:18" s="16" customFormat="1" hidden="1" outlineLevel="2" x14ac:dyDescent="0.35">
      <c r="B76" s="11" t="str">
        <f>CONCATENATE("          ", "6003", " - ", "STAFF HOURLY-9 MONTH")</f>
        <v xml:space="preserve">          6003 - STAFF HOURLY-9 MONTH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>
        <v>0</v>
      </c>
      <c r="Q76" s="3"/>
      <c r="R76" s="2">
        <v>0</v>
      </c>
    </row>
    <row r="77" spans="1:18" s="16" customFormat="1" hidden="1" outlineLevel="2" x14ac:dyDescent="0.35">
      <c r="B77" s="11" t="str">
        <f>CONCATENATE("          ", "6004", " - ", "STAFF HOURLY")</f>
        <v xml:space="preserve">          6004 - STAFF HOURLY</v>
      </c>
      <c r="D77" s="2"/>
      <c r="F77" s="2"/>
      <c r="G77" s="3"/>
      <c r="H77" s="2"/>
      <c r="I77" s="3"/>
      <c r="J77" s="2"/>
      <c r="K77" s="3"/>
      <c r="L77" s="2"/>
      <c r="M77" s="3"/>
      <c r="N77" s="2">
        <v>11783.41</v>
      </c>
      <c r="O77" s="3"/>
      <c r="P77" s="2">
        <v>40145.56</v>
      </c>
      <c r="Q77" s="3"/>
      <c r="R77" s="2">
        <v>44776.160000000003</v>
      </c>
    </row>
    <row r="78" spans="1:18" s="16" customFormat="1" hidden="1" outlineLevel="2" x14ac:dyDescent="0.35">
      <c r="B78" s="11" t="str">
        <f>CONCATENATE("          ", "6005", " - ", "TEMPORARY WAGES-HOURLY")</f>
        <v xml:space="preserve">          6005 - TEMPORARY WAGES-HOURLY</v>
      </c>
      <c r="D78" s="2">
        <v>20897.72</v>
      </c>
      <c r="F78" s="2">
        <v>15092.77</v>
      </c>
      <c r="G78" s="3"/>
      <c r="H78" s="2">
        <v>3386.52</v>
      </c>
      <c r="I78" s="3"/>
      <c r="J78" s="2">
        <v>25755.5</v>
      </c>
      <c r="K78" s="3"/>
      <c r="L78" s="2">
        <v>30814.06</v>
      </c>
      <c r="M78" s="3"/>
      <c r="N78" s="2">
        <v>29960.57</v>
      </c>
      <c r="O78" s="3"/>
      <c r="P78" s="2">
        <v>0</v>
      </c>
      <c r="Q78" s="3"/>
      <c r="R78" s="2">
        <v>0</v>
      </c>
    </row>
    <row r="79" spans="1:18" s="16" customFormat="1" hidden="1" outlineLevel="2" x14ac:dyDescent="0.35">
      <c r="B79" s="11" t="str">
        <f>CONCATENATE("          ", "6006", " - ", "TEMPORARY PART TIME")</f>
        <v xml:space="preserve">          6006 - TEMPORARY PART TIME</v>
      </c>
      <c r="D79" s="2">
        <v>6728.69</v>
      </c>
      <c r="F79" s="2">
        <v>441</v>
      </c>
      <c r="G79" s="3"/>
      <c r="H79" s="2">
        <v>6208.76</v>
      </c>
      <c r="I79" s="3"/>
      <c r="J79" s="2">
        <v>4537.2</v>
      </c>
      <c r="K79" s="3"/>
      <c r="L79" s="2">
        <v>1478.63</v>
      </c>
      <c r="M79" s="3"/>
      <c r="N79" s="2">
        <v>9008.99</v>
      </c>
      <c r="O79" s="3"/>
      <c r="P79" s="2">
        <v>0</v>
      </c>
      <c r="Q79" s="3"/>
      <c r="R79" s="2">
        <v>0</v>
      </c>
    </row>
    <row r="80" spans="1:18" s="16" customFormat="1" hidden="1" outlineLevel="2" x14ac:dyDescent="0.35">
      <c r="B80" s="11" t="str">
        <f>CONCATENATE("          ", "6007", " - ", "STUDENT HOURLY")</f>
        <v xml:space="preserve">          6007 - STUDENT HOURLY</v>
      </c>
      <c r="D80" s="2">
        <v>60276.44</v>
      </c>
      <c r="F80" s="2">
        <v>67836.69</v>
      </c>
      <c r="G80" s="3"/>
      <c r="H80" s="2">
        <v>66717.98</v>
      </c>
      <c r="I80" s="3"/>
      <c r="J80" s="2">
        <v>59348.37</v>
      </c>
      <c r="K80" s="3"/>
      <c r="L80" s="2">
        <v>44461.73</v>
      </c>
      <c r="M80" s="3"/>
      <c r="N80" s="2">
        <v>19022.990000000002</v>
      </c>
      <c r="O80" s="3"/>
      <c r="P80" s="2">
        <v>8544.8386399999999</v>
      </c>
      <c r="Q80" s="3"/>
      <c r="R80" s="2">
        <v>13886.76</v>
      </c>
    </row>
    <row r="81" spans="1:18" s="16" customFormat="1" hidden="1" outlineLevel="2" x14ac:dyDescent="0.35">
      <c r="B81" s="11" t="str">
        <f>CONCATENATE("          ", "6008", " - ", "STUDENT HOURLY-FICA EXEMPT")</f>
        <v xml:space="preserve">          6008 - STUDENT HOURLY-FICA EXEMPT</v>
      </c>
      <c r="D81" s="2">
        <v>254.25</v>
      </c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53423.529880000002</v>
      </c>
      <c r="Q81" s="3"/>
      <c r="R81" s="2">
        <v>44644.959999999999</v>
      </c>
    </row>
    <row r="82" spans="1:18" s="16" customFormat="1" hidden="1" outlineLevel="2" x14ac:dyDescent="0.35">
      <c r="B82" s="11" t="str">
        <f>CONCATENATE("          ", "6009", " - ", "TEMPORARY-SEASONAL")</f>
        <v xml:space="preserve">          6009 - TEMPORARY-SEASONAL</v>
      </c>
      <c r="D82" s="2"/>
      <c r="F82" s="2"/>
      <c r="G82" s="3"/>
      <c r="H82" s="2"/>
      <c r="I82" s="3"/>
      <c r="J82" s="2"/>
      <c r="K82" s="3"/>
      <c r="L82" s="2"/>
      <c r="M82" s="3"/>
      <c r="N82" s="2"/>
      <c r="O82" s="3"/>
      <c r="P82" s="2">
        <v>0</v>
      </c>
      <c r="Q82" s="3"/>
      <c r="R82" s="2">
        <v>0</v>
      </c>
    </row>
    <row r="83" spans="1:18" s="16" customFormat="1" hidden="1" outlineLevel="2" x14ac:dyDescent="0.35">
      <c r="B83" s="11" t="str">
        <f>CONCATENATE("          ", "6010", " - ", "GRATUITY")</f>
        <v xml:space="preserve">          6010 - GRATUITY</v>
      </c>
      <c r="D83" s="2"/>
      <c r="F83" s="2"/>
      <c r="G83" s="3"/>
      <c r="H83" s="2"/>
      <c r="I83" s="3"/>
      <c r="J83" s="2"/>
      <c r="K83" s="3"/>
      <c r="L83" s="2"/>
      <c r="M83" s="3"/>
      <c r="N83" s="2"/>
      <c r="O83" s="3"/>
      <c r="P83" s="2">
        <v>0</v>
      </c>
      <c r="Q83" s="3"/>
      <c r="R83" s="2">
        <v>0</v>
      </c>
    </row>
    <row r="84" spans="1:18" s="15" customFormat="1" outlineLevel="1" collapsed="1" x14ac:dyDescent="0.35">
      <c r="A84" s="7"/>
      <c r="B84" s="20" t="str">
        <f>CONCATENATE("     ","Advertising/Promo                                 ")</f>
        <v xml:space="preserve">     Advertising/Promo                                 </v>
      </c>
      <c r="C84" s="7"/>
      <c r="D84" s="1">
        <f>SUM(OSRRefD21_2x_0)</f>
        <v>2601.67</v>
      </c>
      <c r="E84" s="19"/>
      <c r="F84" s="1">
        <f>SUM(OSRRefF21_2x_0)</f>
        <v>2220</v>
      </c>
      <c r="G84" s="4"/>
      <c r="H84" s="1">
        <f>SUM(OSRRefH21_2x_0)</f>
        <v>-11401.59</v>
      </c>
      <c r="I84" s="4"/>
      <c r="J84" s="1">
        <f>SUM(OSRRefJ21_2x_0)</f>
        <v>5380.05</v>
      </c>
      <c r="K84" s="4"/>
      <c r="L84" s="1">
        <f>SUM(OSRRefL21_2x_0)</f>
        <v>4190.87</v>
      </c>
      <c r="M84" s="4"/>
      <c r="N84" s="1">
        <f>SUM(OSRRefN21_2x_0)</f>
        <v>1780.37</v>
      </c>
      <c r="O84" s="4"/>
      <c r="P84" s="1">
        <f>SUM(OSRRefP21_2x_0)</f>
        <v>2400</v>
      </c>
      <c r="Q84" s="4"/>
      <c r="R84" s="1">
        <f>SUM(OSRRefR21_2x_0)</f>
        <v>2400</v>
      </c>
    </row>
    <row r="85" spans="1:18" s="16" customFormat="1" hidden="1" outlineLevel="2" x14ac:dyDescent="0.35">
      <c r="B85" s="11" t="str">
        <f>CONCATENATE("          ", "6362", " - ", "ADVERTISING EXPENSE")</f>
        <v xml:space="preserve">          6362 - ADVERTISING EXPENSE</v>
      </c>
      <c r="D85" s="2">
        <v>2601.67</v>
      </c>
      <c r="F85" s="2">
        <v>2220</v>
      </c>
      <c r="G85" s="3"/>
      <c r="H85" s="2">
        <v>-11401.59</v>
      </c>
      <c r="I85" s="3"/>
      <c r="J85" s="2">
        <v>5380.05</v>
      </c>
      <c r="K85" s="3"/>
      <c r="L85" s="2">
        <v>4190.87</v>
      </c>
      <c r="M85" s="3"/>
      <c r="N85" s="2">
        <v>1780.37</v>
      </c>
      <c r="O85" s="3"/>
      <c r="P85" s="2">
        <v>2400</v>
      </c>
      <c r="Q85" s="3"/>
      <c r="R85" s="2">
        <v>2400</v>
      </c>
    </row>
    <row r="86" spans="1:18" s="15" customFormat="1" outlineLevel="1" collapsed="1" x14ac:dyDescent="0.35">
      <c r="A86" s="7"/>
      <c r="B86" s="20" t="str">
        <f>CONCATENATE("     ","Depreciation                                      ")</f>
        <v xml:space="preserve">     Depreciation                                      </v>
      </c>
      <c r="C86" s="7"/>
      <c r="D86" s="1">
        <f>SUM(OSRRefD21_3x_0)</f>
        <v>0</v>
      </c>
      <c r="E86" s="19"/>
      <c r="F86" s="1">
        <f>SUM(OSRRefF21_3x_0)</f>
        <v>0</v>
      </c>
      <c r="G86" s="4"/>
      <c r="H86" s="1">
        <f>SUM(OSRRefH21_3x_0)</f>
        <v>0</v>
      </c>
      <c r="I86" s="4"/>
      <c r="J86" s="1">
        <f>SUM(OSRRefJ21_3x_0)</f>
        <v>280.44</v>
      </c>
      <c r="K86" s="4"/>
      <c r="L86" s="1">
        <f>SUM(OSRRefL21_3x_0)</f>
        <v>3365.29</v>
      </c>
      <c r="M86" s="4"/>
      <c r="N86" s="1">
        <f>SUM(OSRRefN21_3x_0)</f>
        <v>3365.29</v>
      </c>
      <c r="O86" s="4"/>
      <c r="P86" s="1">
        <f>SUM(OSRRefP21_3x_0)</f>
        <v>3600</v>
      </c>
      <c r="Q86" s="4"/>
      <c r="R86" s="1">
        <f>SUM(OSRRefR21_3x_0)</f>
        <v>0</v>
      </c>
    </row>
    <row r="87" spans="1:18" s="16" customFormat="1" hidden="1" outlineLevel="2" x14ac:dyDescent="0.35">
      <c r="B87" s="11" t="str">
        <f>CONCATENATE("          ", "6322", " - ", "EQUIPMENT DEPRECIATION EXPENSE")</f>
        <v xml:space="preserve">          6322 - EQUIPMENT DEPRECIATION EXPENSE</v>
      </c>
      <c r="D87" s="2"/>
      <c r="F87" s="2"/>
      <c r="G87" s="3"/>
      <c r="H87" s="2"/>
      <c r="I87" s="3"/>
      <c r="J87" s="2">
        <v>280.44</v>
      </c>
      <c r="K87" s="3"/>
      <c r="L87" s="2">
        <v>3365.29</v>
      </c>
      <c r="M87" s="3"/>
      <c r="N87" s="2">
        <v>3365.29</v>
      </c>
      <c r="O87" s="3"/>
      <c r="P87" s="2">
        <v>3600</v>
      </c>
      <c r="Q87" s="3"/>
      <c r="R87" s="2"/>
    </row>
    <row r="88" spans="1:18" s="15" customFormat="1" outlineLevel="1" collapsed="1" x14ac:dyDescent="0.35">
      <c r="A88" s="7"/>
      <c r="B88" s="20" t="str">
        <f>CONCATENATE("     ","Discounts and Markdowns                           ")</f>
        <v xml:space="preserve">     Discounts and Markdowns                           </v>
      </c>
      <c r="C88" s="7"/>
      <c r="D88" s="1">
        <f>SUM(OSRRefD21_4x_0)</f>
        <v>32669.27</v>
      </c>
      <c r="E88" s="19"/>
      <c r="F88" s="1">
        <f>SUM(OSRRefF21_4x_0)</f>
        <v>60326.28</v>
      </c>
      <c r="G88" s="4"/>
      <c r="H88" s="1">
        <f>SUM(OSRRefH21_4x_0)</f>
        <v>34995.61</v>
      </c>
      <c r="I88" s="4"/>
      <c r="J88" s="1">
        <f>SUM(OSRRefJ21_4x_0)</f>
        <v>123980.67</v>
      </c>
      <c r="K88" s="4"/>
      <c r="L88" s="1">
        <f>SUM(OSRRefL21_4x_0)</f>
        <v>95041.64</v>
      </c>
      <c r="M88" s="4"/>
      <c r="N88" s="1">
        <f>SUM(OSRRefN21_4x_0)</f>
        <v>76736.39</v>
      </c>
      <c r="O88" s="4"/>
      <c r="P88" s="1">
        <f>SUM(OSRRefP21_4x_0)</f>
        <v>40000</v>
      </c>
      <c r="Q88" s="4"/>
      <c r="R88" s="1">
        <f>SUM(OSRRefR21_4x_0)</f>
        <v>0</v>
      </c>
    </row>
    <row r="89" spans="1:18" s="16" customFormat="1" hidden="1" outlineLevel="2" x14ac:dyDescent="0.35">
      <c r="B89" s="11" t="str">
        <f>CONCATENATE("          ", "6382", " - ", "DISCOUNTS/MARK DOWNS")</f>
        <v xml:space="preserve">          6382 - DISCOUNTS/MARK DOWNS</v>
      </c>
      <c r="D89" s="2">
        <v>32669.27</v>
      </c>
      <c r="F89" s="2">
        <v>60326.28</v>
      </c>
      <c r="G89" s="3"/>
      <c r="H89" s="2">
        <v>34995.61</v>
      </c>
      <c r="I89" s="3"/>
      <c r="J89" s="2">
        <v>123984.19</v>
      </c>
      <c r="K89" s="3"/>
      <c r="L89" s="2">
        <v>95041.64</v>
      </c>
      <c r="M89" s="3"/>
      <c r="N89" s="2">
        <v>76736.39</v>
      </c>
      <c r="O89" s="3"/>
      <c r="P89" s="2">
        <v>40000</v>
      </c>
      <c r="Q89" s="3"/>
      <c r="R89" s="2"/>
    </row>
    <row r="90" spans="1:18" s="16" customFormat="1" hidden="1" outlineLevel="2" x14ac:dyDescent="0.35">
      <c r="B90" s="11" t="str">
        <f>CONCATENATE("          ", "9175", " - ", "EARNED DISCOUNTS")</f>
        <v xml:space="preserve">          9175 - EARNED DISCOUNTS</v>
      </c>
      <c r="D90" s="2"/>
      <c r="F90" s="2"/>
      <c r="G90" s="3"/>
      <c r="H90" s="2"/>
      <c r="I90" s="3"/>
      <c r="J90" s="2">
        <v>-3.52</v>
      </c>
      <c r="K90" s="3"/>
      <c r="L90" s="2"/>
      <c r="M90" s="3"/>
      <c r="N90" s="2"/>
      <c r="O90" s="3"/>
      <c r="P90" s="2"/>
      <c r="Q90" s="3"/>
      <c r="R90" s="2"/>
    </row>
    <row r="91" spans="1:18" s="15" customFormat="1" outlineLevel="1" collapsed="1" x14ac:dyDescent="0.35">
      <c r="A91" s="7"/>
      <c r="B91" s="20" t="str">
        <f>CONCATENATE("     ","Donations                                         ")</f>
        <v xml:space="preserve">     Donations                                         </v>
      </c>
      <c r="C91" s="7"/>
      <c r="D91" s="1">
        <f>SUM(OSRRefD21_5x_0)</f>
        <v>49.05</v>
      </c>
      <c r="E91" s="19"/>
      <c r="F91" s="1">
        <f>SUM(OSRRefF21_5x_0)</f>
        <v>0</v>
      </c>
      <c r="G91" s="4"/>
      <c r="H91" s="1">
        <f>SUM(OSRRefH21_5x_0)</f>
        <v>0</v>
      </c>
      <c r="I91" s="4"/>
      <c r="J91" s="1">
        <f>SUM(OSRRefJ21_5x_0)</f>
        <v>0</v>
      </c>
      <c r="K91" s="4"/>
      <c r="L91" s="1">
        <f>SUM(OSRRefL21_5x_0)</f>
        <v>0</v>
      </c>
      <c r="M91" s="4"/>
      <c r="N91" s="1">
        <f>SUM(OSRRefN21_5x_0)</f>
        <v>0</v>
      </c>
      <c r="O91" s="4"/>
      <c r="P91" s="1">
        <f>SUM(OSRRefP21_5x_0)</f>
        <v>0</v>
      </c>
      <c r="Q91" s="4"/>
      <c r="R91" s="1">
        <f>SUM(OSRRefR21_5x_0)</f>
        <v>0</v>
      </c>
    </row>
    <row r="92" spans="1:18" s="16" customFormat="1" hidden="1" outlineLevel="2" x14ac:dyDescent="0.35">
      <c r="B92" s="11" t="str">
        <f>CONCATENATE("          ", "6399", " - ", "DONATION-ON CAMPUS")</f>
        <v xml:space="preserve">          6399 - DONATION-ON CAMPUS</v>
      </c>
      <c r="D92" s="2">
        <v>49.05</v>
      </c>
      <c r="F92" s="2"/>
      <c r="G92" s="3"/>
      <c r="H92" s="2"/>
      <c r="I92" s="3"/>
      <c r="J92" s="2"/>
      <c r="K92" s="3"/>
      <c r="L92" s="2">
        <v>0</v>
      </c>
      <c r="M92" s="3"/>
      <c r="N92" s="2"/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","Employees' Appreciation                           ")</f>
        <v xml:space="preserve">     Employees' Appreciation                           </v>
      </c>
      <c r="C93" s="7"/>
      <c r="D93" s="1">
        <f>SUM(OSRRefD21_6x_0)</f>
        <v>534.55999999999995</v>
      </c>
      <c r="E93" s="19"/>
      <c r="F93" s="1">
        <f>SUM(OSRRefF21_6x_0)</f>
        <v>418.33</v>
      </c>
      <c r="G93" s="4"/>
      <c r="H93" s="1">
        <f>SUM(OSRRefH21_6x_0)</f>
        <v>154.65</v>
      </c>
      <c r="I93" s="4"/>
      <c r="J93" s="1">
        <f>SUM(OSRRefJ21_6x_0)</f>
        <v>26.48</v>
      </c>
      <c r="K93" s="4"/>
      <c r="L93" s="1">
        <f>SUM(OSRRefL21_6x_0)</f>
        <v>266.14999999999998</v>
      </c>
      <c r="M93" s="4"/>
      <c r="N93" s="1">
        <f>SUM(OSRRefN21_6x_0)</f>
        <v>0</v>
      </c>
      <c r="O93" s="4"/>
      <c r="P93" s="1">
        <f>SUM(OSRRefP21_6x_0)</f>
        <v>240</v>
      </c>
      <c r="Q93" s="4"/>
      <c r="R93" s="1">
        <f>SUM(OSRRefR21_6x_0)</f>
        <v>240</v>
      </c>
    </row>
    <row r="94" spans="1:18" s="16" customFormat="1" hidden="1" outlineLevel="2" x14ac:dyDescent="0.35">
      <c r="B94" s="11" t="str">
        <f>CONCATENATE("          ", "6277", " - ", "EMPLOYEE APPRECIATION")</f>
        <v xml:space="preserve">          6277 - EMPLOYEE APPRECIATION</v>
      </c>
      <c r="D94" s="2">
        <v>534.55999999999995</v>
      </c>
      <c r="F94" s="2">
        <v>418.33</v>
      </c>
      <c r="G94" s="3"/>
      <c r="H94" s="2">
        <v>154.65</v>
      </c>
      <c r="I94" s="3"/>
      <c r="J94" s="2">
        <v>26.48</v>
      </c>
      <c r="K94" s="3"/>
      <c r="L94" s="2">
        <v>266.14999999999998</v>
      </c>
      <c r="M94" s="3"/>
      <c r="N94" s="2"/>
      <c r="O94" s="3"/>
      <c r="P94" s="2">
        <v>240</v>
      </c>
      <c r="Q94" s="3"/>
      <c r="R94" s="2">
        <v>240</v>
      </c>
    </row>
    <row r="95" spans="1:18" s="15" customFormat="1" outlineLevel="1" collapsed="1" x14ac:dyDescent="0.35">
      <c r="A95" s="7"/>
      <c r="B95" s="20" t="str">
        <f>CONCATENATE("     ","Freight out/Postage                               ")</f>
        <v xml:space="preserve">     Freight out/Postage                               </v>
      </c>
      <c r="C95" s="7"/>
      <c r="D95" s="1">
        <f>SUM(OSRRefD21_7x_0)</f>
        <v>276.33</v>
      </c>
      <c r="E95" s="19"/>
      <c r="F95" s="1">
        <f>SUM(OSRRefF21_7x_0)</f>
        <v>591.54</v>
      </c>
      <c r="G95" s="4"/>
      <c r="H95" s="1">
        <f>SUM(OSRRefH21_7x_0)</f>
        <v>766.16</v>
      </c>
      <c r="I95" s="4"/>
      <c r="J95" s="1">
        <f>SUM(OSRRefJ21_7x_0)</f>
        <v>603.93000000000006</v>
      </c>
      <c r="K95" s="4"/>
      <c r="L95" s="1">
        <f>SUM(OSRRefL21_7x_0)</f>
        <v>272.76</v>
      </c>
      <c r="M95" s="4"/>
      <c r="N95" s="1">
        <f>SUM(OSRRefN21_7x_0)</f>
        <v>263.27999999999997</v>
      </c>
      <c r="O95" s="4"/>
      <c r="P95" s="1">
        <f>SUM(OSRRefP21_7x_0)</f>
        <v>180</v>
      </c>
      <c r="Q95" s="4"/>
      <c r="R95" s="1">
        <f>SUM(OSRRefR21_7x_0)</f>
        <v>180</v>
      </c>
    </row>
    <row r="96" spans="1:18" s="16" customFormat="1" hidden="1" outlineLevel="2" x14ac:dyDescent="0.35">
      <c r="B96" s="11" t="str">
        <f>CONCATENATE("          ", "6305", " - ", "FREIGHT OUT")</f>
        <v xml:space="preserve">          6305 - FREIGHT OUT</v>
      </c>
      <c r="D96" s="2">
        <v>260.33999999999997</v>
      </c>
      <c r="F96" s="2">
        <v>578.30999999999995</v>
      </c>
      <c r="G96" s="3"/>
      <c r="H96" s="2">
        <v>763.55</v>
      </c>
      <c r="I96" s="3"/>
      <c r="J96" s="2">
        <v>602.32000000000005</v>
      </c>
      <c r="K96" s="3"/>
      <c r="L96" s="2">
        <v>251.93</v>
      </c>
      <c r="M96" s="3"/>
      <c r="N96" s="2">
        <v>263.27999999999997</v>
      </c>
      <c r="O96" s="3"/>
      <c r="P96" s="2">
        <v>180</v>
      </c>
      <c r="Q96" s="3"/>
      <c r="R96" s="2">
        <v>180</v>
      </c>
    </row>
    <row r="97" spans="1:18" s="16" customFormat="1" hidden="1" outlineLevel="2" x14ac:dyDescent="0.35">
      <c r="B97" s="11" t="str">
        <f>CONCATENATE("          ", "6307", " - ", "POSTAGE")</f>
        <v xml:space="preserve">          6307 - POSTAGE</v>
      </c>
      <c r="D97" s="2">
        <v>15.99</v>
      </c>
      <c r="F97" s="2">
        <v>13.23</v>
      </c>
      <c r="G97" s="3"/>
      <c r="H97" s="2">
        <v>2.61</v>
      </c>
      <c r="I97" s="3"/>
      <c r="J97" s="2">
        <v>1.61</v>
      </c>
      <c r="K97" s="3"/>
      <c r="L97" s="2">
        <v>20.83</v>
      </c>
      <c r="M97" s="3"/>
      <c r="N97" s="2"/>
      <c r="O97" s="3"/>
      <c r="P97" s="2"/>
      <c r="Q97" s="3"/>
      <c r="R97" s="2"/>
    </row>
    <row r="98" spans="1:18" s="15" customFormat="1" outlineLevel="1" collapsed="1" x14ac:dyDescent="0.35">
      <c r="A98" s="7"/>
      <c r="B98" s="20" t="str">
        <f>CONCATENATE("     ","General                                           ")</f>
        <v xml:space="preserve">     General                                           </v>
      </c>
      <c r="C98" s="7"/>
      <c r="D98" s="1">
        <f>SUM(OSRRefD21_8x_0)</f>
        <v>0</v>
      </c>
      <c r="E98" s="19"/>
      <c r="F98" s="1">
        <f>SUM(OSRRefF21_8x_0)</f>
        <v>0</v>
      </c>
      <c r="G98" s="4"/>
      <c r="H98" s="1">
        <f>SUM(OSRRefH21_8x_0)</f>
        <v>294.95</v>
      </c>
      <c r="I98" s="4"/>
      <c r="J98" s="1">
        <f>SUM(OSRRefJ21_8x_0)</f>
        <v>362.88</v>
      </c>
      <c r="K98" s="4"/>
      <c r="L98" s="1">
        <f>SUM(OSRRefL21_8x_0)</f>
        <v>597.39</v>
      </c>
      <c r="M98" s="4"/>
      <c r="N98" s="1">
        <f>SUM(OSRRefN21_8x_0)</f>
        <v>205</v>
      </c>
      <c r="O98" s="4"/>
      <c r="P98" s="1">
        <f>SUM(OSRRefP21_8x_0)</f>
        <v>360</v>
      </c>
      <c r="Q98" s="4"/>
      <c r="R98" s="1">
        <f>SUM(OSRRefR21_8x_0)</f>
        <v>360</v>
      </c>
    </row>
    <row r="99" spans="1:18" s="16" customFormat="1" hidden="1" outlineLevel="2" x14ac:dyDescent="0.35">
      <c r="B99" s="11" t="str">
        <f>CONCATENATE("          ", "6279", " - ", "GENERAL EXPENSE")</f>
        <v xml:space="preserve">          6279 - GENERAL EXPENSE</v>
      </c>
      <c r="D99" s="2"/>
      <c r="F99" s="2"/>
      <c r="G99" s="3"/>
      <c r="H99" s="2">
        <v>294.95</v>
      </c>
      <c r="I99" s="3"/>
      <c r="J99" s="2">
        <v>362.88</v>
      </c>
      <c r="K99" s="3"/>
      <c r="L99" s="2">
        <v>597.39</v>
      </c>
      <c r="M99" s="3"/>
      <c r="N99" s="2">
        <v>205</v>
      </c>
      <c r="O99" s="3"/>
      <c r="P99" s="2">
        <v>360</v>
      </c>
      <c r="Q99" s="3"/>
      <c r="R99" s="2">
        <v>360</v>
      </c>
    </row>
    <row r="100" spans="1:18" s="15" customFormat="1" outlineLevel="1" collapsed="1" x14ac:dyDescent="0.35">
      <c r="A100" s="7"/>
      <c r="B100" s="20" t="str">
        <f>CONCATENATE("     ","Inventory Adjustment                              ")</f>
        <v xml:space="preserve">     Inventory Adjustment                              </v>
      </c>
      <c r="C100" s="7"/>
      <c r="D100" s="1">
        <f>SUM(OSRRefD21_9x_0)</f>
        <v>12258</v>
      </c>
      <c r="E100" s="19"/>
      <c r="F100" s="1">
        <f>SUM(OSRRefF21_9x_0)</f>
        <v>2574</v>
      </c>
      <c r="G100" s="4"/>
      <c r="H100" s="1">
        <f>SUM(OSRRefH21_9x_0)</f>
        <v>22978</v>
      </c>
      <c r="I100" s="4"/>
      <c r="J100" s="1">
        <f>SUM(OSRRefJ21_9x_0)</f>
        <v>-780</v>
      </c>
      <c r="K100" s="4"/>
      <c r="L100" s="1">
        <f>SUM(OSRRefL21_9x_0)</f>
        <v>-16099</v>
      </c>
      <c r="M100" s="4"/>
      <c r="N100" s="1">
        <f>SUM(OSRRefN21_9x_0)</f>
        <v>-43236</v>
      </c>
      <c r="O100" s="4"/>
      <c r="P100" s="1">
        <f>SUM(OSRRefP21_9x_0)</f>
        <v>15000</v>
      </c>
      <c r="Q100" s="4"/>
      <c r="R100" s="1">
        <f>SUM(OSRRefR21_9x_0)</f>
        <v>12000</v>
      </c>
    </row>
    <row r="101" spans="1:18" s="16" customFormat="1" hidden="1" outlineLevel="2" x14ac:dyDescent="0.35">
      <c r="B101" s="11" t="str">
        <f>CONCATENATE("          ", "6408", " - ", "INVENTORY ADJUSTMENT")</f>
        <v xml:space="preserve">          6408 - INVENTORY ADJUSTMENT</v>
      </c>
      <c r="D101" s="2">
        <v>0</v>
      </c>
      <c r="F101" s="2">
        <v>0</v>
      </c>
      <c r="G101" s="3"/>
      <c r="H101" s="2">
        <v>0</v>
      </c>
      <c r="I101" s="3"/>
      <c r="J101" s="2"/>
      <c r="K101" s="3"/>
      <c r="L101" s="2">
        <v>0</v>
      </c>
      <c r="M101" s="3"/>
      <c r="N101" s="2"/>
      <c r="O101" s="3"/>
      <c r="P101" s="2">
        <v>15000</v>
      </c>
      <c r="Q101" s="3"/>
      <c r="R101" s="2">
        <v>12000</v>
      </c>
    </row>
    <row r="102" spans="1:18" s="16" customFormat="1" hidden="1" outlineLevel="2" x14ac:dyDescent="0.35">
      <c r="B102" s="11" t="str">
        <f>CONCATENATE("          ", "7781", " - ", "INV. SHRINKAGE-ELECTRONICS")</f>
        <v xml:space="preserve">          7781 - INV. SHRINKAGE-ELECTRONICS</v>
      </c>
      <c r="D102" s="2">
        <v>-435</v>
      </c>
      <c r="F102" s="2">
        <v>1676</v>
      </c>
      <c r="G102" s="3"/>
      <c r="H102" s="2">
        <v>-4583</v>
      </c>
      <c r="I102" s="3"/>
      <c r="J102" s="2">
        <v>4936</v>
      </c>
      <c r="K102" s="3"/>
      <c r="L102" s="2">
        <v>4355</v>
      </c>
      <c r="M102" s="3"/>
      <c r="N102" s="2">
        <v>-18505</v>
      </c>
      <c r="O102" s="3"/>
      <c r="P102" s="2"/>
      <c r="Q102" s="3"/>
      <c r="R102" s="2"/>
    </row>
    <row r="103" spans="1:18" s="16" customFormat="1" hidden="1" outlineLevel="2" x14ac:dyDescent="0.35">
      <c r="B103" s="11" t="str">
        <f>CONCATENATE("          ", "7782", " - ", "INV. SHRINKAGE-COMPUTER HARDWA")</f>
        <v xml:space="preserve">          7782 - INV. SHRINKAGE-COMPUTER HARDWA</v>
      </c>
      <c r="D103" s="2">
        <v>16374</v>
      </c>
      <c r="F103" s="2">
        <v>7058</v>
      </c>
      <c r="G103" s="3"/>
      <c r="H103" s="2">
        <v>48148</v>
      </c>
      <c r="I103" s="3"/>
      <c r="J103" s="2">
        <v>-16805</v>
      </c>
      <c r="K103" s="3"/>
      <c r="L103" s="2">
        <v>-29241</v>
      </c>
      <c r="M103" s="3"/>
      <c r="N103" s="2">
        <v>-30263</v>
      </c>
      <c r="O103" s="3"/>
      <c r="P103" s="2"/>
      <c r="Q103" s="3"/>
      <c r="R103" s="2"/>
    </row>
    <row r="104" spans="1:18" s="16" customFormat="1" hidden="1" outlineLevel="2" x14ac:dyDescent="0.35">
      <c r="B104" s="11" t="str">
        <f>CONCATENATE("          ", "7783", " - ", "INV. SHRINKAGE-COMPUTER EQUIPM")</f>
        <v xml:space="preserve">          7783 - INV. SHRINKAGE-COMPUTER EQUIPM</v>
      </c>
      <c r="D104" s="2">
        <v>-1942</v>
      </c>
      <c r="F104" s="2">
        <v>-7935</v>
      </c>
      <c r="G104" s="3"/>
      <c r="H104" s="2">
        <v>9929</v>
      </c>
      <c r="I104" s="3"/>
      <c r="J104" s="2">
        <v>5346</v>
      </c>
      <c r="K104" s="3"/>
      <c r="L104" s="2">
        <v>9199</v>
      </c>
      <c r="M104" s="3"/>
      <c r="N104" s="2">
        <v>2729</v>
      </c>
      <c r="O104" s="3"/>
      <c r="P104" s="2"/>
      <c r="Q104" s="3"/>
      <c r="R104" s="2"/>
    </row>
    <row r="105" spans="1:18" s="16" customFormat="1" hidden="1" outlineLevel="2" x14ac:dyDescent="0.35">
      <c r="B105" s="11" t="str">
        <f>CONCATENATE("          ", "7784", " - ", "INV. SHRINKAGE-SOFTWARE LICENS")</f>
        <v xml:space="preserve">          7784 - INV. SHRINKAGE-SOFTWARE LICENS</v>
      </c>
      <c r="D105" s="2">
        <v>154</v>
      </c>
      <c r="F105" s="2">
        <v>-1145</v>
      </c>
      <c r="G105" s="3"/>
      <c r="H105" s="2">
        <v>-3591</v>
      </c>
      <c r="I105" s="3"/>
      <c r="J105" s="2">
        <v>-591</v>
      </c>
      <c r="K105" s="3"/>
      <c r="L105" s="2">
        <v>-357</v>
      </c>
      <c r="M105" s="3"/>
      <c r="N105" s="2">
        <v>1394</v>
      </c>
      <c r="O105" s="3"/>
      <c r="P105" s="2"/>
      <c r="Q105" s="3"/>
      <c r="R105" s="2"/>
    </row>
    <row r="106" spans="1:18" s="16" customFormat="1" hidden="1" outlineLevel="2" x14ac:dyDescent="0.35">
      <c r="B106" s="11" t="str">
        <f>CONCATENATE("          ", "7785", " - ", "INV. SHRINKAGE-SOFTWARE")</f>
        <v xml:space="preserve">          7785 - INV. SHRINKAGE-SOFTWARE</v>
      </c>
      <c r="D106" s="2">
        <v>255</v>
      </c>
      <c r="F106" s="2">
        <v>-70</v>
      </c>
      <c r="G106" s="3"/>
      <c r="H106" s="2">
        <v>-15498</v>
      </c>
      <c r="I106" s="3"/>
      <c r="J106" s="2">
        <v>136</v>
      </c>
      <c r="K106" s="3"/>
      <c r="L106" s="2">
        <v>-72</v>
      </c>
      <c r="M106" s="3"/>
      <c r="N106" s="2">
        <v>-3743</v>
      </c>
      <c r="O106" s="3"/>
      <c r="P106" s="2"/>
      <c r="Q106" s="3"/>
      <c r="R106" s="2"/>
    </row>
    <row r="107" spans="1:18" s="16" customFormat="1" hidden="1" outlineLevel="2" x14ac:dyDescent="0.35">
      <c r="B107" s="11" t="str">
        <f>CONCATENATE("          ", "7786", " - ", "INV. SHRINKAGE-COMPUTER SUPPLI")</f>
        <v xml:space="preserve">          7786 - INV. SHRINKAGE-COMPUTER SUPPLI</v>
      </c>
      <c r="D107" s="2">
        <v>-2148</v>
      </c>
      <c r="F107" s="2">
        <v>2829</v>
      </c>
      <c r="G107" s="3"/>
      <c r="H107" s="2">
        <v>-10046</v>
      </c>
      <c r="I107" s="3"/>
      <c r="J107" s="2">
        <v>5700</v>
      </c>
      <c r="K107" s="3"/>
      <c r="L107" s="2">
        <v>484</v>
      </c>
      <c r="M107" s="3"/>
      <c r="N107" s="2">
        <v>5000</v>
      </c>
      <c r="O107" s="3"/>
      <c r="P107" s="2"/>
      <c r="Q107" s="3"/>
      <c r="R107" s="2"/>
    </row>
    <row r="108" spans="1:18" s="16" customFormat="1" hidden="1" outlineLevel="2" x14ac:dyDescent="0.35">
      <c r="B108" s="11" t="str">
        <f>CONCATENATE("          ", "7788", " - ", "INV. SHRINKAGE-MUSIC")</f>
        <v xml:space="preserve">          7788 - INV. SHRINKAGE-MUSIC</v>
      </c>
      <c r="D108" s="2"/>
      <c r="F108" s="2">
        <v>161</v>
      </c>
      <c r="G108" s="3"/>
      <c r="H108" s="2">
        <v>-1381</v>
      </c>
      <c r="I108" s="3"/>
      <c r="J108" s="2">
        <v>498</v>
      </c>
      <c r="K108" s="3"/>
      <c r="L108" s="2">
        <v>-467</v>
      </c>
      <c r="M108" s="3"/>
      <c r="N108" s="2">
        <v>152</v>
      </c>
      <c r="O108" s="3"/>
      <c r="P108" s="2"/>
      <c r="Q108" s="3"/>
      <c r="R108" s="2"/>
    </row>
    <row r="109" spans="1:18" s="15" customFormat="1" outlineLevel="1" collapsed="1" x14ac:dyDescent="0.35">
      <c r="A109" s="7"/>
      <c r="B109" s="20" t="str">
        <f>CONCATENATE("     ","Repair and Maintenance                            ")</f>
        <v xml:space="preserve">     Repair and Maintenance                            </v>
      </c>
      <c r="C109" s="7"/>
      <c r="D109" s="1">
        <f>SUM(OSRRefD21_10x_0)</f>
        <v>0</v>
      </c>
      <c r="E109" s="19"/>
      <c r="F109" s="1">
        <f>SUM(OSRRefF21_10x_0)</f>
        <v>445.03</v>
      </c>
      <c r="G109" s="4"/>
      <c r="H109" s="1">
        <f>SUM(OSRRefH21_10x_0)</f>
        <v>775</v>
      </c>
      <c r="I109" s="4"/>
      <c r="J109" s="1">
        <f>SUM(OSRRefJ21_10x_0)</f>
        <v>1162.55</v>
      </c>
      <c r="K109" s="4"/>
      <c r="L109" s="1">
        <f>SUM(OSRRefL21_10x_0)</f>
        <v>0</v>
      </c>
      <c r="M109" s="4"/>
      <c r="N109" s="1">
        <f>SUM(OSRRefN21_10x_0)</f>
        <v>197.18</v>
      </c>
      <c r="O109" s="4"/>
      <c r="P109" s="1">
        <f>SUM(OSRRefP21_10x_0)</f>
        <v>245</v>
      </c>
      <c r="Q109" s="4"/>
      <c r="R109" s="1">
        <f>SUM(OSRRefR21_10x_0)</f>
        <v>0</v>
      </c>
    </row>
    <row r="110" spans="1:18" s="16" customFormat="1" hidden="1" outlineLevel="2" x14ac:dyDescent="0.35">
      <c r="B110" s="11" t="str">
        <f>CONCATENATE("          ", "6371", " - ", "COMPUTER SOFTWARE MAINTENANCE")</f>
        <v xml:space="preserve">          6371 - COMPUTER SOFTWARE MAINTENANCE</v>
      </c>
      <c r="D110" s="2"/>
      <c r="F110" s="2"/>
      <c r="G110" s="3"/>
      <c r="H110" s="2"/>
      <c r="I110" s="3"/>
      <c r="J110" s="2">
        <v>989.5</v>
      </c>
      <c r="K110" s="3"/>
      <c r="L110" s="2"/>
      <c r="M110" s="3"/>
      <c r="N110" s="2"/>
      <c r="O110" s="3"/>
      <c r="P110" s="2"/>
      <c r="Q110" s="3"/>
      <c r="R110" s="2"/>
    </row>
    <row r="111" spans="1:18" s="16" customFormat="1" hidden="1" outlineLevel="2" x14ac:dyDescent="0.35">
      <c r="B111" s="11" t="str">
        <f>CONCATENATE("          ", "6375", " - ", "OUTSIDE REPAIRS &amp; MAINTENANCE")</f>
        <v xml:space="preserve">          6375 - OUTSIDE REPAIRS &amp; MAINTENANCE</v>
      </c>
      <c r="D111" s="2"/>
      <c r="F111" s="2">
        <v>445.03</v>
      </c>
      <c r="G111" s="3"/>
      <c r="H111" s="2">
        <v>775</v>
      </c>
      <c r="I111" s="3"/>
      <c r="J111" s="2">
        <v>173.05</v>
      </c>
      <c r="K111" s="3"/>
      <c r="L111" s="2"/>
      <c r="M111" s="3"/>
      <c r="N111" s="2">
        <v>197.18</v>
      </c>
      <c r="O111" s="3"/>
      <c r="P111" s="2">
        <v>245</v>
      </c>
      <c r="Q111" s="3"/>
      <c r="R111" s="2"/>
    </row>
    <row r="112" spans="1:18" s="15" customFormat="1" outlineLevel="1" collapsed="1" x14ac:dyDescent="0.35">
      <c r="A112" s="7"/>
      <c r="B112" s="20" t="str">
        <f>CONCATENATE("     ","Subscriptions &amp; Dues                              ")</f>
        <v xml:space="preserve">     Subscriptions &amp; Dues                              </v>
      </c>
      <c r="C112" s="7"/>
      <c r="D112" s="1">
        <f>SUM(OSRRefD21_11x_0)</f>
        <v>1710.85</v>
      </c>
      <c r="E112" s="19"/>
      <c r="F112" s="1">
        <f>SUM(OSRRefF21_11x_0)</f>
        <v>7825.37</v>
      </c>
      <c r="G112" s="4"/>
      <c r="H112" s="1">
        <f>SUM(OSRRefH21_11x_0)</f>
        <v>9058.6299999999992</v>
      </c>
      <c r="I112" s="4"/>
      <c r="J112" s="1">
        <f>SUM(OSRRefJ21_11x_0)</f>
        <v>15649.45</v>
      </c>
      <c r="K112" s="4"/>
      <c r="L112" s="1">
        <f>SUM(OSRRefL21_11x_0)</f>
        <v>-3232.94</v>
      </c>
      <c r="M112" s="4"/>
      <c r="N112" s="1">
        <f>SUM(OSRRefN21_11x_0)</f>
        <v>-4886.5</v>
      </c>
      <c r="O112" s="4"/>
      <c r="P112" s="1">
        <f>SUM(OSRRefP21_11x_0)</f>
        <v>0</v>
      </c>
      <c r="Q112" s="4"/>
      <c r="R112" s="1">
        <f>SUM(OSRRefR21_11x_0)</f>
        <v>0</v>
      </c>
    </row>
    <row r="113" spans="1:18" s="16" customFormat="1" hidden="1" outlineLevel="2" x14ac:dyDescent="0.35">
      <c r="B113" s="11" t="str">
        <f>CONCATENATE("          ", "6258", " - ", "MEMBERSHIP DUES")</f>
        <v xml:space="preserve">          6258 - MEMBERSHIP DUES</v>
      </c>
      <c r="D113" s="2">
        <v>1710.85</v>
      </c>
      <c r="F113" s="2">
        <v>7825.37</v>
      </c>
      <c r="G113" s="3"/>
      <c r="H113" s="2">
        <v>9058.6299999999992</v>
      </c>
      <c r="I113" s="3"/>
      <c r="J113" s="2">
        <v>15649.45</v>
      </c>
      <c r="K113" s="3"/>
      <c r="L113" s="2">
        <v>-3232.94</v>
      </c>
      <c r="M113" s="3"/>
      <c r="N113" s="2">
        <v>-4886.5</v>
      </c>
      <c r="O113" s="3"/>
      <c r="P113" s="2"/>
      <c r="Q113" s="3"/>
      <c r="R113" s="2"/>
    </row>
    <row r="114" spans="1:18" s="15" customFormat="1" outlineLevel="1" collapsed="1" x14ac:dyDescent="0.35">
      <c r="A114" s="7"/>
      <c r="B114" s="20" t="str">
        <f>CONCATENATE("     ","Supplies                                          ")</f>
        <v xml:space="preserve">     Supplies                                          </v>
      </c>
      <c r="C114" s="7"/>
      <c r="D114" s="1">
        <f>SUM(OSRRefD21_12x_0)</f>
        <v>2627.11</v>
      </c>
      <c r="E114" s="19"/>
      <c r="F114" s="1">
        <f>SUM(OSRRefF21_12x_0)</f>
        <v>3792.2</v>
      </c>
      <c r="G114" s="4"/>
      <c r="H114" s="1">
        <f>SUM(OSRRefH21_12x_0)</f>
        <v>9031.380000000001</v>
      </c>
      <c r="I114" s="4"/>
      <c r="J114" s="1">
        <f>SUM(OSRRefJ21_12x_0)</f>
        <v>7882.2699999999995</v>
      </c>
      <c r="K114" s="4"/>
      <c r="L114" s="1">
        <f>SUM(OSRRefL21_12x_0)</f>
        <v>2396.7600000000002</v>
      </c>
      <c r="M114" s="4"/>
      <c r="N114" s="1">
        <f>SUM(OSRRefN21_12x_0)</f>
        <v>3260.11</v>
      </c>
      <c r="O114" s="4"/>
      <c r="P114" s="1">
        <f>SUM(OSRRefP21_12x_0)</f>
        <v>3720</v>
      </c>
      <c r="Q114" s="4"/>
      <c r="R114" s="1">
        <f>SUM(OSRRefR21_12x_0)</f>
        <v>3720</v>
      </c>
    </row>
    <row r="115" spans="1:18" s="16" customFormat="1" hidden="1" outlineLevel="2" x14ac:dyDescent="0.35">
      <c r="B115" s="11" t="str">
        <f>CONCATENATE("          ", "6234", " - ", "EXPENDABLE SUPPLIES &amp; EQUIPMEN")</f>
        <v xml:space="preserve">          6234 - EXPENDABLE SUPPLIES &amp; EQUIPMEN</v>
      </c>
      <c r="D115" s="2"/>
      <c r="F115" s="2"/>
      <c r="G115" s="3"/>
      <c r="H115" s="2">
        <v>122.5</v>
      </c>
      <c r="I115" s="3"/>
      <c r="J115" s="2"/>
      <c r="K115" s="3"/>
      <c r="L115" s="2"/>
      <c r="M115" s="3"/>
      <c r="N115" s="2"/>
      <c r="O115" s="3"/>
      <c r="P115" s="2"/>
      <c r="Q115" s="3"/>
      <c r="R115" s="2"/>
    </row>
    <row r="116" spans="1:18" s="16" customFormat="1" hidden="1" outlineLevel="2" x14ac:dyDescent="0.35">
      <c r="B116" s="11" t="str">
        <f>CONCATENATE("          ", "6241", " - ", "OFFICE EXPENSE")</f>
        <v xml:space="preserve">          6241 - OFFICE EXPENSE</v>
      </c>
      <c r="D116" s="2">
        <v>2073.4</v>
      </c>
      <c r="F116" s="2">
        <v>2091.46</v>
      </c>
      <c r="G116" s="3"/>
      <c r="H116" s="2">
        <v>6541.17</v>
      </c>
      <c r="I116" s="3"/>
      <c r="J116" s="2">
        <v>2508.8000000000002</v>
      </c>
      <c r="K116" s="3"/>
      <c r="L116" s="2">
        <v>1704.8</v>
      </c>
      <c r="M116" s="3"/>
      <c r="N116" s="2">
        <v>1250.73</v>
      </c>
      <c r="O116" s="3"/>
      <c r="P116" s="2">
        <v>1320</v>
      </c>
      <c r="Q116" s="3"/>
      <c r="R116" s="2">
        <v>1320</v>
      </c>
    </row>
    <row r="117" spans="1:18" s="16" customFormat="1" hidden="1" outlineLevel="2" x14ac:dyDescent="0.35">
      <c r="B117" s="11" t="str">
        <f>CONCATENATE("          ", "6245", " - ", "PRINTING")</f>
        <v xml:space="preserve">          6245 - PRINTING</v>
      </c>
      <c r="D117" s="2">
        <v>16.309999999999999</v>
      </c>
      <c r="F117" s="2"/>
      <c r="G117" s="3"/>
      <c r="H117" s="2">
        <v>1400</v>
      </c>
      <c r="I117" s="3"/>
      <c r="J117" s="2">
        <v>61.74</v>
      </c>
      <c r="K117" s="3"/>
      <c r="L117" s="2"/>
      <c r="M117" s="3"/>
      <c r="N117" s="2">
        <v>0</v>
      </c>
      <c r="O117" s="3"/>
      <c r="P117" s="2"/>
      <c r="Q117" s="3"/>
      <c r="R117" s="2"/>
    </row>
    <row r="118" spans="1:18" s="16" customFormat="1" hidden="1" outlineLevel="2" x14ac:dyDescent="0.35">
      <c r="B118" s="11" t="str">
        <f>CONCATENATE("          ", "6247", " - ", "STORE SUPPLIES")</f>
        <v xml:space="preserve">          6247 - STORE SUPPLIES</v>
      </c>
      <c r="D118" s="2">
        <v>537.4</v>
      </c>
      <c r="F118" s="2">
        <v>1700.74</v>
      </c>
      <c r="G118" s="3"/>
      <c r="H118" s="2">
        <v>967.71</v>
      </c>
      <c r="I118" s="3"/>
      <c r="J118" s="2">
        <v>5311.73</v>
      </c>
      <c r="K118" s="3"/>
      <c r="L118" s="2">
        <v>691.96</v>
      </c>
      <c r="M118" s="3"/>
      <c r="N118" s="2">
        <v>2009.38</v>
      </c>
      <c r="O118" s="3"/>
      <c r="P118" s="2">
        <v>2400</v>
      </c>
      <c r="Q118" s="3"/>
      <c r="R118" s="2">
        <v>2400</v>
      </c>
    </row>
    <row r="119" spans="1:18" s="15" customFormat="1" outlineLevel="1" collapsed="1" x14ac:dyDescent="0.35">
      <c r="A119" s="7"/>
      <c r="B119" s="20" t="str">
        <f>CONCATENATE("     ","Telephone/Data Lines                              ")</f>
        <v xml:space="preserve">     Telephone/Data Lines                              </v>
      </c>
      <c r="C119" s="7"/>
      <c r="D119" s="1">
        <f>SUM(OSRRefD21_13x_0)</f>
        <v>3119.69</v>
      </c>
      <c r="E119" s="19"/>
      <c r="F119" s="1">
        <f>SUM(OSRRefF21_13x_0)</f>
        <v>2352.84</v>
      </c>
      <c r="G119" s="4"/>
      <c r="H119" s="1">
        <f>SUM(OSRRefH21_13x_0)</f>
        <v>2157.73</v>
      </c>
      <c r="I119" s="4"/>
      <c r="J119" s="1">
        <f>SUM(OSRRefJ21_13x_0)</f>
        <v>2439.9</v>
      </c>
      <c r="K119" s="4"/>
      <c r="L119" s="1">
        <f>SUM(OSRRefL21_13x_0)</f>
        <v>3446.42</v>
      </c>
      <c r="M119" s="4"/>
      <c r="N119" s="1">
        <f>SUM(OSRRefN21_13x_0)</f>
        <v>2932.35</v>
      </c>
      <c r="O119" s="4"/>
      <c r="P119" s="1">
        <f>SUM(OSRRefP21_13x_0)</f>
        <v>3010</v>
      </c>
      <c r="Q119" s="4"/>
      <c r="R119" s="1">
        <f>SUM(OSRRefR21_13x_0)</f>
        <v>3900</v>
      </c>
    </row>
    <row r="120" spans="1:18" s="16" customFormat="1" hidden="1" outlineLevel="2" x14ac:dyDescent="0.35">
      <c r="B120" s="11" t="str">
        <f>CONCATENATE("          ", "6309", " - ", "TELEPHONE")</f>
        <v xml:space="preserve">          6309 - TELEPHONE</v>
      </c>
      <c r="D120" s="2">
        <v>3119.69</v>
      </c>
      <c r="F120" s="2">
        <v>2352.84</v>
      </c>
      <c r="G120" s="3"/>
      <c r="H120" s="2">
        <v>2157.73</v>
      </c>
      <c r="I120" s="3"/>
      <c r="J120" s="2">
        <v>2439.9</v>
      </c>
      <c r="K120" s="3"/>
      <c r="L120" s="2">
        <v>3446.42</v>
      </c>
      <c r="M120" s="3"/>
      <c r="N120" s="2">
        <v>2932.35</v>
      </c>
      <c r="O120" s="3"/>
      <c r="P120" s="2">
        <v>3010</v>
      </c>
      <c r="Q120" s="3"/>
      <c r="R120" s="2">
        <v>3900</v>
      </c>
    </row>
    <row r="121" spans="1:18" s="15" customFormat="1" outlineLevel="1" collapsed="1" x14ac:dyDescent="0.35">
      <c r="A121" s="7"/>
      <c r="B121" s="20" t="str">
        <f>CONCATENATE("     ","Training                                          ")</f>
        <v xml:space="preserve">     Training                                          </v>
      </c>
      <c r="C121" s="7"/>
      <c r="D121" s="1">
        <f>SUM(OSRRefD21_14x_0)</f>
        <v>4538.32</v>
      </c>
      <c r="E121" s="19"/>
      <c r="F121" s="1">
        <f>SUM(OSRRefF21_14x_0)</f>
        <v>3977.07</v>
      </c>
      <c r="G121" s="4"/>
      <c r="H121" s="1">
        <f>SUM(OSRRefH21_14x_0)</f>
        <v>2230.58</v>
      </c>
      <c r="I121" s="4"/>
      <c r="J121" s="1">
        <f>SUM(OSRRefJ21_14x_0)</f>
        <v>1621.52</v>
      </c>
      <c r="K121" s="4"/>
      <c r="L121" s="1">
        <f>SUM(OSRRefL21_14x_0)</f>
        <v>568.94000000000005</v>
      </c>
      <c r="M121" s="4"/>
      <c r="N121" s="1">
        <f>SUM(OSRRefN21_14x_0)</f>
        <v>1875.75</v>
      </c>
      <c r="O121" s="4"/>
      <c r="P121" s="1">
        <f>SUM(OSRRefP21_14x_0)</f>
        <v>2500</v>
      </c>
      <c r="Q121" s="4"/>
      <c r="R121" s="1">
        <f>SUM(OSRRefR21_14x_0)</f>
        <v>0</v>
      </c>
    </row>
    <row r="122" spans="1:18" s="16" customFormat="1" hidden="1" outlineLevel="2" x14ac:dyDescent="0.35">
      <c r="B122" s="11" t="str">
        <f>CONCATENATE("          ", "6376", " - ", "TRAINING")</f>
        <v xml:space="preserve">          6376 - TRAINING</v>
      </c>
      <c r="D122" s="2">
        <v>4538.32</v>
      </c>
      <c r="F122" s="2">
        <v>3977.07</v>
      </c>
      <c r="G122" s="3"/>
      <c r="H122" s="2">
        <v>2230.58</v>
      </c>
      <c r="I122" s="3"/>
      <c r="J122" s="2">
        <v>1621.52</v>
      </c>
      <c r="K122" s="3"/>
      <c r="L122" s="2">
        <v>568.94000000000005</v>
      </c>
      <c r="M122" s="3"/>
      <c r="N122" s="2">
        <v>1875.75</v>
      </c>
      <c r="O122" s="3"/>
      <c r="P122" s="2">
        <v>2500</v>
      </c>
      <c r="Q122" s="3"/>
      <c r="R122" s="2"/>
    </row>
    <row r="123" spans="1:18" s="15" customFormat="1" outlineLevel="1" collapsed="1" x14ac:dyDescent="0.35">
      <c r="A123" s="7"/>
      <c r="B123" s="20" t="str">
        <f>CONCATENATE("     ","Travel                                            ")</f>
        <v xml:space="preserve">     Travel                                            </v>
      </c>
      <c r="C123" s="7"/>
      <c r="D123" s="1">
        <f>SUM(OSRRefD21_15x_0)</f>
        <v>1456.16</v>
      </c>
      <c r="E123" s="19"/>
      <c r="F123" s="1">
        <f>SUM(OSRRefF21_15x_0)</f>
        <v>849.92</v>
      </c>
      <c r="G123" s="4"/>
      <c r="H123" s="1">
        <f>SUM(OSRRefH21_15x_0)</f>
        <v>283.89</v>
      </c>
      <c r="I123" s="4"/>
      <c r="J123" s="1">
        <f>SUM(OSRRefJ21_15x_0)</f>
        <v>863.4</v>
      </c>
      <c r="K123" s="4"/>
      <c r="L123" s="1">
        <f>SUM(OSRRefL21_15x_0)</f>
        <v>1638.2</v>
      </c>
      <c r="M123" s="4"/>
      <c r="N123" s="1">
        <f>SUM(OSRRefN21_15x_0)</f>
        <v>-178.06</v>
      </c>
      <c r="O123" s="4"/>
      <c r="P123" s="1">
        <f>SUM(OSRRefP21_15x_0)</f>
        <v>0</v>
      </c>
      <c r="Q123" s="4"/>
      <c r="R123" s="1">
        <f>SUM(OSRRefR21_15x_0)</f>
        <v>0</v>
      </c>
    </row>
    <row r="124" spans="1:18" s="16" customFormat="1" hidden="1" outlineLevel="2" x14ac:dyDescent="0.35">
      <c r="B124" s="11" t="str">
        <f>CONCATENATE("          ", "6292", " - ", "TRAVEL/CONFERENCE")</f>
        <v xml:space="preserve">          6292 - TRAVEL/CONFERENCE</v>
      </c>
      <c r="D124" s="2">
        <v>1456.16</v>
      </c>
      <c r="F124" s="2">
        <v>849.92</v>
      </c>
      <c r="G124" s="3"/>
      <c r="H124" s="2">
        <v>283.89</v>
      </c>
      <c r="I124" s="3"/>
      <c r="J124" s="2">
        <v>863.4</v>
      </c>
      <c r="K124" s="3"/>
      <c r="L124" s="2">
        <v>1333.64</v>
      </c>
      <c r="M124" s="3"/>
      <c r="N124" s="2">
        <v>-178.06</v>
      </c>
      <c r="O124" s="3"/>
      <c r="P124" s="2"/>
      <c r="Q124" s="3"/>
      <c r="R124" s="2"/>
    </row>
    <row r="125" spans="1:18" s="16" customFormat="1" hidden="1" outlineLevel="2" x14ac:dyDescent="0.35">
      <c r="B125" s="11" t="str">
        <f>CONCATENATE("          ", "6294", " - ", "TRAVEL OPERATIONAL")</f>
        <v xml:space="preserve">          6294 - TRAVEL OPERATIONAL</v>
      </c>
      <c r="D125" s="2"/>
      <c r="F125" s="2"/>
      <c r="G125" s="3"/>
      <c r="H125" s="2"/>
      <c r="I125" s="3"/>
      <c r="J125" s="2"/>
      <c r="K125" s="3"/>
      <c r="L125" s="2">
        <v>304.56</v>
      </c>
      <c r="M125" s="3"/>
      <c r="N125" s="2"/>
      <c r="O125" s="3"/>
      <c r="P125" s="2"/>
      <c r="Q125" s="3"/>
      <c r="R125" s="2"/>
    </row>
    <row r="126" spans="1:18" x14ac:dyDescent="0.35">
      <c r="A126" s="12"/>
      <c r="B126" s="12"/>
      <c r="C126" s="12"/>
      <c r="D126" s="1"/>
      <c r="F126" s="1"/>
      <c r="H126" s="1"/>
      <c r="J126" s="1"/>
      <c r="L126" s="1"/>
      <c r="N126" s="1"/>
      <c r="P126" s="1"/>
      <c r="R126" s="1"/>
    </row>
    <row r="127" spans="1:18" s="7" customFormat="1" collapsed="1" x14ac:dyDescent="0.35">
      <c r="A127" s="36"/>
      <c r="B127" s="34" t="s">
        <v>295</v>
      </c>
      <c r="D127" s="6">
        <f>SUM(OSRRefD24x_0)</f>
        <v>14100.82</v>
      </c>
      <c r="E127" s="12"/>
      <c r="F127" s="6">
        <f>SUM(OSRRefF24x_0)</f>
        <v>23620.75</v>
      </c>
      <c r="G127" s="5"/>
      <c r="H127" s="6">
        <f>SUM(OSRRefH24x_0)</f>
        <v>8359.64</v>
      </c>
      <c r="I127" s="5"/>
      <c r="J127" s="6">
        <f>SUM(OSRRefJ24x_0)</f>
        <v>14193.12</v>
      </c>
      <c r="K127" s="5"/>
      <c r="L127" s="6">
        <f>SUM(OSRRefL24x_0)</f>
        <v>10176.24</v>
      </c>
      <c r="M127" s="5"/>
      <c r="N127" s="6">
        <f>SUM(OSRRefN24x_0)</f>
        <v>13920.349999999999</v>
      </c>
      <c r="O127" s="5"/>
      <c r="P127" s="6">
        <f>SUM(OSRRefP24x_0)</f>
        <v>20000</v>
      </c>
      <c r="Q127" s="5"/>
      <c r="R127" s="6">
        <f>SUM(OSRRefR24x_0)</f>
        <v>20000</v>
      </c>
    </row>
    <row r="128" spans="1:18" s="7" customFormat="1" hidden="1" outlineLevel="1" x14ac:dyDescent="0.35">
      <c r="A128" s="36"/>
      <c r="B128" s="11" t="str">
        <f>CONCATENATE("          ", "4187", " - ", "NON-TAXABLE SALES-COMPUTER REP")</f>
        <v xml:space="preserve">          4187 - NON-TAXABLE SALES-COMPUTER REP</v>
      </c>
      <c r="D128" s="11">
        <f>--10541.05</f>
        <v>10541.05</v>
      </c>
      <c r="E128" s="16"/>
      <c r="F128" s="11">
        <f>--6439.41</f>
        <v>6439.41</v>
      </c>
      <c r="G128" s="3"/>
      <c r="H128" s="11">
        <f>-482.68</f>
        <v>-482.68</v>
      </c>
      <c r="I128" s="3"/>
      <c r="J128" s="11">
        <f>--12235.17</f>
        <v>12235.17</v>
      </c>
      <c r="K128" s="3"/>
      <c r="L128" s="11">
        <f>--7817.04</f>
        <v>7817.04</v>
      </c>
      <c r="M128" s="3"/>
      <c r="N128" s="11">
        <f>--16449.71</f>
        <v>16449.71</v>
      </c>
      <c r="O128" s="3"/>
      <c r="P128" s="11"/>
      <c r="Q128" s="3"/>
      <c r="R128" s="11"/>
    </row>
    <row r="129" spans="1:18" s="7" customFormat="1" hidden="1" outlineLevel="1" x14ac:dyDescent="0.35">
      <c r="A129" s="36"/>
      <c r="B129" s="11" t="str">
        <f>CONCATENATE("          ", "4287", " - ", "SALES RETURN TAXABLE-COMPUTER")</f>
        <v xml:space="preserve">          4287 - SALES RETURN TAXABLE-COMPUTER</v>
      </c>
      <c r="D129" s="11">
        <f>0</f>
        <v>0</v>
      </c>
      <c r="E129" s="16"/>
      <c r="F129" s="11">
        <f t="shared" ref="F129:F131" si="4">0</f>
        <v>0</v>
      </c>
      <c r="G129" s="3"/>
      <c r="H129" s="11">
        <f>-30</f>
        <v>-30</v>
      </c>
      <c r="I129" s="3"/>
      <c r="J129" s="11">
        <f>0</f>
        <v>0</v>
      </c>
      <c r="K129" s="3"/>
      <c r="L129" s="11">
        <f>0</f>
        <v>0</v>
      </c>
      <c r="M129" s="3"/>
      <c r="N129" s="11">
        <f>0</f>
        <v>0</v>
      </c>
      <c r="O129" s="3"/>
      <c r="P129" s="11"/>
      <c r="Q129" s="3"/>
      <c r="R129" s="11"/>
    </row>
    <row r="130" spans="1:18" s="7" customFormat="1" hidden="1" outlineLevel="1" x14ac:dyDescent="0.35">
      <c r="A130" s="36"/>
      <c r="B130" s="11" t="str">
        <f>CONCATENATE("          ", "4387", " - ", "SALES RETURN NON TAXABLE-COMPU")</f>
        <v xml:space="preserve">          4387 - SALES RETURN NON TAXABLE-COMPU</v>
      </c>
      <c r="D130" s="11">
        <f>-839</f>
        <v>-839</v>
      </c>
      <c r="E130" s="16"/>
      <c r="F130" s="11">
        <f t="shared" si="4"/>
        <v>0</v>
      </c>
      <c r="G130" s="3"/>
      <c r="H130" s="11">
        <f t="shared" ref="H130:H131" si="5">0</f>
        <v>0</v>
      </c>
      <c r="I130" s="3"/>
      <c r="J130" s="11">
        <f>-184.33</f>
        <v>-184.33</v>
      </c>
      <c r="K130" s="3"/>
      <c r="L130" s="11">
        <f>--95.44</f>
        <v>95.44</v>
      </c>
      <c r="M130" s="3"/>
      <c r="N130" s="11">
        <f>-7889</f>
        <v>-7889</v>
      </c>
      <c r="O130" s="3"/>
      <c r="P130" s="11"/>
      <c r="Q130" s="3"/>
      <c r="R130" s="11"/>
    </row>
    <row r="131" spans="1:18" s="7" customFormat="1" hidden="1" outlineLevel="1" x14ac:dyDescent="0.35">
      <c r="A131" s="36"/>
      <c r="B131" s="11" t="str">
        <f>CONCATENATE("          ", "5087", " - ", "PURCHASES @ COST-COMPUTER REPA")</f>
        <v xml:space="preserve">          5087 - PURCHASES @ COST-COMPUTER REPA</v>
      </c>
      <c r="D131" s="11">
        <f>0</f>
        <v>0</v>
      </c>
      <c r="E131" s="16"/>
      <c r="F131" s="11">
        <f t="shared" si="4"/>
        <v>0</v>
      </c>
      <c r="G131" s="3"/>
      <c r="H131" s="11">
        <f t="shared" si="5"/>
        <v>0</v>
      </c>
      <c r="I131" s="3"/>
      <c r="J131" s="11">
        <f>-138.63</f>
        <v>-138.63</v>
      </c>
      <c r="K131" s="3"/>
      <c r="L131" s="11">
        <f>-312.26</f>
        <v>-312.26</v>
      </c>
      <c r="M131" s="3"/>
      <c r="N131" s="11">
        <f>-72.06</f>
        <v>-72.06</v>
      </c>
      <c r="O131" s="3"/>
      <c r="P131" s="11"/>
      <c r="Q131" s="3"/>
      <c r="R131" s="11"/>
    </row>
    <row r="132" spans="1:18" s="7" customFormat="1" hidden="1" outlineLevel="1" x14ac:dyDescent="0.35">
      <c r="A132" s="36"/>
      <c r="B132" s="11" t="str">
        <f>CONCATENATE("          ", "9150", " - ", "MISC. INCOME")</f>
        <v xml:space="preserve">          9150 - MISC. INCOME</v>
      </c>
      <c r="D132" s="11">
        <f>--4398.77</f>
        <v>4398.7700000000004</v>
      </c>
      <c r="E132" s="16"/>
      <c r="F132" s="11">
        <f>--17181.34</f>
        <v>17181.34</v>
      </c>
      <c r="G132" s="3"/>
      <c r="H132" s="11">
        <f>--8870.32</f>
        <v>8870.32</v>
      </c>
      <c r="I132" s="3"/>
      <c r="J132" s="11">
        <f>--2280.91</f>
        <v>2280.91</v>
      </c>
      <c r="K132" s="3"/>
      <c r="L132" s="11">
        <f>--2576.02</f>
        <v>2576.02</v>
      </c>
      <c r="M132" s="3"/>
      <c r="N132" s="11">
        <f>--5431.7</f>
        <v>5431.7</v>
      </c>
      <c r="O132" s="3"/>
      <c r="P132" s="11">
        <v>20000</v>
      </c>
      <c r="Q132" s="3"/>
      <c r="R132" s="11">
        <v>20000</v>
      </c>
    </row>
    <row r="133" spans="1:18" s="7" customFormat="1" hidden="1" outlineLevel="1" x14ac:dyDescent="0.35">
      <c r="A133" s="36"/>
      <c r="B133" s="11" t="str">
        <f>CONCATENATE("          ", "9152", " - ", "MISC. INCOME")</f>
        <v xml:space="preserve">          9152 - MISC. INCOME</v>
      </c>
      <c r="D133" s="11">
        <f>0</f>
        <v>0</v>
      </c>
      <c r="E133" s="16"/>
      <c r="F133" s="11">
        <f>0</f>
        <v>0</v>
      </c>
      <c r="G133" s="3"/>
      <c r="H133" s="11">
        <f>--2</f>
        <v>2</v>
      </c>
      <c r="I133" s="3"/>
      <c r="J133" s="11">
        <f>0</f>
        <v>0</v>
      </c>
      <c r="K133" s="3"/>
      <c r="L133" s="11">
        <f>0</f>
        <v>0</v>
      </c>
      <c r="M133" s="3"/>
      <c r="N133" s="11">
        <f>0</f>
        <v>0</v>
      </c>
      <c r="O133" s="3"/>
      <c r="P133" s="11"/>
      <c r="Q133" s="3"/>
      <c r="R133" s="11"/>
    </row>
    <row r="134" spans="1:18" x14ac:dyDescent="0.35">
      <c r="A134" s="12"/>
      <c r="B134" s="7"/>
      <c r="C134" s="7"/>
      <c r="D134" s="6"/>
      <c r="F134" s="6"/>
      <c r="H134" s="6"/>
      <c r="J134" s="6"/>
      <c r="L134" s="6"/>
      <c r="N134" s="6"/>
      <c r="P134" s="6"/>
      <c r="R134" s="6"/>
    </row>
    <row r="135" spans="1:18" s="15" customFormat="1" x14ac:dyDescent="0.35">
      <c r="A135" s="7"/>
      <c r="B135" s="22" t="s">
        <v>279</v>
      </c>
      <c r="C135" s="22"/>
      <c r="D135" s="10">
        <f>+D58-D61+D127</f>
        <v>95629.319999999105</v>
      </c>
      <c r="E135" s="12"/>
      <c r="F135" s="10">
        <f>+F58-F61+F127</f>
        <v>204313.4599999999</v>
      </c>
      <c r="G135" s="5"/>
      <c r="H135" s="10">
        <f>+H58-H61+H127</f>
        <v>171504.93000000011</v>
      </c>
      <c r="I135" s="5"/>
      <c r="J135" s="10">
        <f>+J58-J61+J127</f>
        <v>64350.779999998696</v>
      </c>
      <c r="K135" s="5"/>
      <c r="L135" s="10">
        <f>+L58-L61+L127</f>
        <v>252650.77999999881</v>
      </c>
      <c r="M135" s="5"/>
      <c r="N135" s="10">
        <f>+N58-N61+N127</f>
        <v>273652.22000000026</v>
      </c>
      <c r="O135" s="5"/>
      <c r="P135" s="10">
        <f>+P58-P61+P127</f>
        <v>211440.82399403999</v>
      </c>
      <c r="Q135" s="5"/>
      <c r="R135" s="10">
        <f>+R58-R61+R127</f>
        <v>71087.614209890016</v>
      </c>
    </row>
    <row r="136" spans="1:18" s="27" customFormat="1" x14ac:dyDescent="0.35">
      <c r="A136" s="18"/>
      <c r="B136" s="31"/>
      <c r="C136" s="18"/>
      <c r="D136" s="9">
        <f>IFERROR(D135/D10, 0)</f>
        <v>3.9497926934725459E-2</v>
      </c>
      <c r="E136" s="18"/>
      <c r="F136" s="9">
        <f>IFERROR(F135/F10, 0)</f>
        <v>7.8289352923725158E-2</v>
      </c>
      <c r="G136" s="14"/>
      <c r="H136" s="9">
        <f>IFERROR(H135/H10, 0)</f>
        <v>6.1199306133292067E-2</v>
      </c>
      <c r="I136" s="14"/>
      <c r="J136" s="9">
        <f>IFERROR(J135/J10, 0)</f>
        <v>2.9486871827097534E-2</v>
      </c>
      <c r="K136" s="14"/>
      <c r="L136" s="9">
        <f>IFERROR(L135/L10, 0)</f>
        <v>8.5892826848190149E-2</v>
      </c>
      <c r="M136" s="14"/>
      <c r="N136" s="9">
        <f>IFERROR(N135/N10, 0)</f>
        <v>9.4850485029522702E-2</v>
      </c>
      <c r="O136" s="14"/>
      <c r="P136" s="9">
        <f>IFERROR(P135/P10, 0)</f>
        <v>8.4072867637058235E-2</v>
      </c>
      <c r="Q136" s="14"/>
      <c r="R136" s="9">
        <f>IFERROR(R135/R10, 0)</f>
        <v>3.1094781338432725E-2</v>
      </c>
    </row>
    <row r="137" spans="1:18" s="27" customFormat="1" x14ac:dyDescent="0.35">
      <c r="A137" s="18"/>
      <c r="B137" s="31"/>
      <c r="C137" s="18"/>
      <c r="D137" s="13"/>
      <c r="E137" s="18"/>
      <c r="F137" s="13"/>
      <c r="G137" s="14"/>
      <c r="H137" s="13"/>
      <c r="I137" s="14"/>
      <c r="J137" s="13"/>
      <c r="K137" s="14"/>
      <c r="L137" s="13"/>
      <c r="M137" s="14"/>
      <c r="N137" s="13"/>
      <c r="O137" s="14"/>
      <c r="P137" s="13"/>
      <c r="Q137" s="14"/>
      <c r="R137" s="13"/>
    </row>
    <row r="138" spans="1:18" s="15" customFormat="1" x14ac:dyDescent="0.35">
      <c r="A138" s="37"/>
      <c r="B138" s="7" t="s">
        <v>127</v>
      </c>
      <c r="C138" s="7"/>
      <c r="D138" s="6">
        <v>526128.23</v>
      </c>
      <c r="E138" s="12"/>
      <c r="F138" s="6">
        <v>371512.03</v>
      </c>
      <c r="G138" s="5"/>
      <c r="H138" s="6">
        <v>374696.99</v>
      </c>
      <c r="I138" s="5"/>
      <c r="J138" s="6">
        <v>292901.25</v>
      </c>
      <c r="K138" s="5"/>
      <c r="L138" s="6">
        <v>209659.1</v>
      </c>
      <c r="M138" s="5"/>
      <c r="N138" s="6">
        <v>436867.95</v>
      </c>
      <c r="O138" s="5"/>
      <c r="P138" s="6">
        <v>424975</v>
      </c>
      <c r="Q138" s="5"/>
      <c r="R138" s="6">
        <v>259237</v>
      </c>
    </row>
    <row r="139" spans="1:18" x14ac:dyDescent="0.35">
      <c r="A139" s="12"/>
      <c r="B139" s="7"/>
      <c r="C139" s="7"/>
      <c r="D139" s="6"/>
      <c r="F139" s="6"/>
      <c r="H139" s="6"/>
      <c r="J139" s="6"/>
      <c r="L139" s="6"/>
      <c r="N139" s="6"/>
      <c r="P139" s="6"/>
      <c r="R139" s="6"/>
    </row>
    <row r="140" spans="1:18" s="15" customFormat="1" x14ac:dyDescent="0.35">
      <c r="A140" s="7"/>
      <c r="B140" s="22" t="s">
        <v>126</v>
      </c>
      <c r="C140" s="22"/>
      <c r="D140" s="10">
        <f>+D135-D138</f>
        <v>-430498.91000000085</v>
      </c>
      <c r="E140" s="12"/>
      <c r="F140" s="10">
        <f>+F135-F138</f>
        <v>-167198.57000000012</v>
      </c>
      <c r="G140" s="5"/>
      <c r="H140" s="10">
        <f>+H135-H138</f>
        <v>-203192.05999999988</v>
      </c>
      <c r="I140" s="5"/>
      <c r="J140" s="10">
        <f>+J135-J138</f>
        <v>-228550.47000000131</v>
      </c>
      <c r="K140" s="5"/>
      <c r="L140" s="10">
        <f>+L135-L138</f>
        <v>42991.6799999988</v>
      </c>
      <c r="M140" s="5"/>
      <c r="N140" s="10">
        <f>+N135-N138</f>
        <v>-163215.72999999975</v>
      </c>
      <c r="O140" s="5"/>
      <c r="P140" s="10">
        <f>+P135-P138</f>
        <v>-213534.17600596001</v>
      </c>
      <c r="Q140" s="5"/>
      <c r="R140" s="10">
        <f>+R135-R138</f>
        <v>-188149.38579010998</v>
      </c>
    </row>
    <row r="141" spans="1:18" s="27" customFormat="1" x14ac:dyDescent="0.35">
      <c r="A141" s="18"/>
      <c r="B141" s="18"/>
      <c r="C141" s="18"/>
      <c r="D141" s="9">
        <f>IFERROR(D140/D10, 0)</f>
        <v>-0.17780963508533937</v>
      </c>
      <c r="E141" s="18"/>
      <c r="F141" s="9">
        <f>IFERROR(F140/F10, 0)</f>
        <v>-6.4067574672134586E-2</v>
      </c>
      <c r="G141" s="14"/>
      <c r="H141" s="9">
        <f>IFERROR(H140/H10, 0)</f>
        <v>-7.25064468047317E-2</v>
      </c>
      <c r="I141" s="14"/>
      <c r="J141" s="9">
        <f>IFERROR(J140/J10, 0)</f>
        <v>-0.10472660028228213</v>
      </c>
      <c r="K141" s="14"/>
      <c r="L141" s="9">
        <f>IFERROR(L140/L10, 0)</f>
        <v>1.4615735309238759E-2</v>
      </c>
      <c r="M141" s="14"/>
      <c r="N141" s="9">
        <f>IFERROR(N140/N10, 0)</f>
        <v>-5.6572138004024164E-2</v>
      </c>
      <c r="O141" s="14"/>
      <c r="P141" s="9">
        <f>IFERROR(P140/P10, 0)</f>
        <v>-8.4905223959226575E-2</v>
      </c>
      <c r="Q141" s="14"/>
      <c r="R141" s="9">
        <f>IFERROR(R140/R10, 0)</f>
        <v>-8.2299343917072248E-2</v>
      </c>
    </row>
    <row r="142" spans="1:18" s="27" customFormat="1" x14ac:dyDescent="0.35">
      <c r="A142" s="18"/>
      <c r="B142" s="18"/>
      <c r="C142" s="18"/>
      <c r="D142" s="13"/>
      <c r="E142" s="18"/>
      <c r="F142" s="13"/>
      <c r="G142" s="14"/>
      <c r="H142" s="13"/>
      <c r="I142" s="14"/>
      <c r="J142" s="13"/>
      <c r="K142" s="14"/>
      <c r="L142" s="13"/>
      <c r="M142" s="14"/>
      <c r="N142" s="13"/>
      <c r="O142" s="14"/>
      <c r="P142" s="13"/>
      <c r="Q142" s="14"/>
      <c r="R142" s="13"/>
    </row>
    <row r="143" spans="1:18" x14ac:dyDescent="0.35">
      <c r="A143" s="12"/>
      <c r="B143" s="12"/>
      <c r="C143" s="12"/>
      <c r="D143" s="6"/>
      <c r="F143" s="6"/>
      <c r="H143" s="6"/>
      <c r="J143" s="6"/>
      <c r="L143" s="6"/>
      <c r="N143" s="6"/>
      <c r="P143" s="6"/>
      <c r="R143" s="6"/>
    </row>
    <row r="144" spans="1:18" s="15" customFormat="1" x14ac:dyDescent="0.35">
      <c r="A144" s="7"/>
      <c r="B144" s="22" t="s">
        <v>296</v>
      </c>
      <c r="C144" s="22"/>
      <c r="D144" s="10">
        <f>SUM(D140:D143)</f>
        <v>-430499.08780963591</v>
      </c>
      <c r="E144" s="12"/>
      <c r="F144" s="10">
        <f>SUM(F140:F143)</f>
        <v>-167198.63406757481</v>
      </c>
      <c r="G144" s="5"/>
      <c r="H144" s="10">
        <f>SUM(H140:H143)</f>
        <v>-203192.13250644668</v>
      </c>
      <c r="I144" s="5"/>
      <c r="J144" s="10">
        <f>SUM(J140:J143)</f>
        <v>-228550.5747266016</v>
      </c>
      <c r="K144" s="5"/>
      <c r="L144" s="10">
        <f>SUM(L140:L143)</f>
        <v>42991.694615734108</v>
      </c>
      <c r="M144" s="5"/>
      <c r="N144" s="10">
        <f>SUM(N140:N143)</f>
        <v>-163215.78657213776</v>
      </c>
      <c r="O144" s="5"/>
      <c r="P144" s="10">
        <f>SUM(P140:P143)</f>
        <v>-213534.26091118396</v>
      </c>
      <c r="Q144" s="5"/>
      <c r="R144" s="10">
        <f>SUM(R140:R143)</f>
        <v>-188149.46808945391</v>
      </c>
    </row>
    <row r="145" spans="1:18" s="27" customFormat="1" x14ac:dyDescent="0.35">
      <c r="A145" s="18"/>
      <c r="B145" s="41"/>
      <c r="C145" s="18"/>
      <c r="D145" s="9">
        <f>IFERROR(D144/D10, 0)</f>
        <v>-0.17780970852632977</v>
      </c>
      <c r="E145" s="18"/>
      <c r="F145" s="9">
        <f>IFERROR(F144/F10, 0)</f>
        <v>-6.4067599221711319E-2</v>
      </c>
      <c r="G145" s="14"/>
      <c r="H145" s="9">
        <f>IFERROR(H144/H10, 0)</f>
        <v>-7.2506472677715261E-2</v>
      </c>
      <c r="I145" s="14"/>
      <c r="J145" s="9">
        <f>IFERROR(J144/J10, 0)</f>
        <v>-0.10472664827019836</v>
      </c>
      <c r="K145" s="14"/>
      <c r="L145" s="9">
        <f>IFERROR(L144/L10, 0)</f>
        <v>1.4615740278100609E-2</v>
      </c>
      <c r="M145" s="14"/>
      <c r="N145" s="9">
        <f>IFERROR(N144/N10, 0)</f>
        <v>-5.6572157612469982E-2</v>
      </c>
      <c r="O145" s="14"/>
      <c r="P145" s="9">
        <f>IFERROR(P144/P10, 0)</f>
        <v>-8.4905257719148239E-2</v>
      </c>
      <c r="Q145" s="14"/>
      <c r="R145" s="9">
        <f>IFERROR(R144/R10, 0)</f>
        <v>-8.2299379916031173E-2</v>
      </c>
    </row>
    <row r="146" spans="1:18" x14ac:dyDescent="0.35">
      <c r="A146" s="12"/>
      <c r="B146" s="40">
        <v>44319.883515081019</v>
      </c>
      <c r="D146" s="24"/>
      <c r="F146" s="24"/>
      <c r="H146" s="24"/>
      <c r="J146" s="24"/>
      <c r="L146" s="24"/>
      <c r="N146" s="24"/>
      <c r="P146" s="24"/>
      <c r="R146" s="24"/>
    </row>
    <row r="147" spans="1:18" x14ac:dyDescent="0.35">
      <c r="A147" s="12"/>
      <c r="B147" s="39" t="s">
        <v>23</v>
      </c>
      <c r="D147" s="24"/>
      <c r="F147" s="24"/>
      <c r="H147" s="24"/>
      <c r="J147" s="24"/>
      <c r="L147" s="24"/>
      <c r="N147" s="24"/>
      <c r="P147" s="24"/>
      <c r="R147" s="24"/>
    </row>
    <row r="148" spans="1:18" x14ac:dyDescent="0.35">
      <c r="A148" s="12"/>
      <c r="D148" s="24"/>
      <c r="F148" s="24"/>
      <c r="H148" s="24"/>
      <c r="J148" s="24"/>
      <c r="L148" s="24"/>
      <c r="N148" s="24"/>
      <c r="P148" s="24"/>
      <c r="R148" s="24"/>
    </row>
    <row r="149" spans="1:18" x14ac:dyDescent="0.35">
      <c r="D149" s="24"/>
      <c r="F149" s="24"/>
      <c r="H149" s="24"/>
      <c r="J149" s="24"/>
      <c r="L149" s="24"/>
      <c r="N149" s="24"/>
      <c r="P149" s="24"/>
      <c r="R149" s="24"/>
    </row>
  </sheetData>
  <pageMargins left="0.5" right="0.5" top="0.5" bottom="0.5" header="0.3" footer="0.3"/>
  <pageSetup scale="59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222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3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","100", " - ", "Corporate")</f>
        <v>Department 100 - Corporate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SUM(0)</f>
        <v>0</v>
      </c>
      <c r="E17" s="19"/>
      <c r="F17" s="8">
        <f>SUM(0)</f>
        <v>0</v>
      </c>
      <c r="G17" s="4"/>
      <c r="H17" s="8">
        <f>SUM(0)</f>
        <v>0</v>
      </c>
      <c r="I17" s="4"/>
      <c r="J17" s="8">
        <f>SUM(0)</f>
        <v>0</v>
      </c>
      <c r="K17" s="4"/>
      <c r="L17" s="8">
        <f>SUM(0)</f>
        <v>0</v>
      </c>
      <c r="M17" s="4"/>
      <c r="N17" s="8">
        <f>SUM(0)</f>
        <v>0</v>
      </c>
      <c r="O17" s="4"/>
      <c r="P17" s="8">
        <f>SUM(0)</f>
        <v>0</v>
      </c>
      <c r="Q17" s="4"/>
      <c r="R17" s="8">
        <f>SUM(0)</f>
        <v>0</v>
      </c>
    </row>
    <row r="18" spans="1:18" x14ac:dyDescent="0.35">
      <c r="A18" s="12"/>
      <c r="B18" s="12"/>
      <c r="C18" s="12"/>
      <c r="D18" s="1"/>
      <c r="F18" s="1"/>
      <c r="H18" s="1"/>
      <c r="J18" s="1"/>
      <c r="L18" s="1"/>
      <c r="N18" s="1"/>
      <c r="P18" s="1"/>
      <c r="R18" s="1"/>
    </row>
    <row r="19" spans="1:18" s="7" customFormat="1" x14ac:dyDescent="0.35">
      <c r="A19" s="36"/>
      <c r="B19" s="34" t="s">
        <v>295</v>
      </c>
      <c r="D19" s="6">
        <f>SUM(0)</f>
        <v>0</v>
      </c>
      <c r="E19" s="12"/>
      <c r="F19" s="6">
        <f>SUM(0)</f>
        <v>0</v>
      </c>
      <c r="G19" s="5"/>
      <c r="H19" s="6">
        <f>SUM(0)</f>
        <v>0</v>
      </c>
      <c r="I19" s="5"/>
      <c r="J19" s="6">
        <f>SUM(0)</f>
        <v>0</v>
      </c>
      <c r="K19" s="5"/>
      <c r="L19" s="6">
        <f>SUM(0)</f>
        <v>0</v>
      </c>
      <c r="M19" s="5"/>
      <c r="N19" s="6">
        <f>SUM(0)</f>
        <v>0</v>
      </c>
      <c r="O19" s="5"/>
      <c r="P19" s="6">
        <f>SUM(0)</f>
        <v>0</v>
      </c>
      <c r="Q19" s="5"/>
      <c r="R19" s="6">
        <f>SUM(0)</f>
        <v>0</v>
      </c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279</v>
      </c>
      <c r="C21" s="22"/>
      <c r="D21" s="10">
        <f>+D14-D17+D19</f>
        <v>0</v>
      </c>
      <c r="E21" s="12"/>
      <c r="F21" s="10">
        <f>+F14-F17+F19</f>
        <v>0</v>
      </c>
      <c r="G21" s="5"/>
      <c r="H21" s="10">
        <f>+H14-H17+H19</f>
        <v>0</v>
      </c>
      <c r="I21" s="5"/>
      <c r="J21" s="10">
        <f>+J14-J17+J19</f>
        <v>0</v>
      </c>
      <c r="K21" s="5"/>
      <c r="L21" s="10">
        <f>+L14-L17+L19</f>
        <v>0</v>
      </c>
      <c r="M21" s="5"/>
      <c r="N21" s="10">
        <f>+N14-N17+N19</f>
        <v>0</v>
      </c>
      <c r="O21" s="5"/>
      <c r="P21" s="10">
        <f>+P14-P17+P19</f>
        <v>0</v>
      </c>
      <c r="Q21" s="5"/>
      <c r="R21" s="10">
        <f>+R14-R17+R19</f>
        <v>0</v>
      </c>
    </row>
    <row r="22" spans="1:18" s="27" customFormat="1" x14ac:dyDescent="0.35">
      <c r="A22" s="18"/>
      <c r="B22" s="31"/>
      <c r="C22" s="18"/>
      <c r="D22" s="9">
        <f>IFERROR(D21/D10, 0)</f>
        <v>0</v>
      </c>
      <c r="E22" s="18"/>
      <c r="F22" s="9">
        <f>IFERROR(F21/F10, 0)</f>
        <v>0</v>
      </c>
      <c r="G22" s="14"/>
      <c r="H22" s="9">
        <f>IFERROR(H21/H10, 0)</f>
        <v>0</v>
      </c>
      <c r="I22" s="14"/>
      <c r="J22" s="9">
        <f>IFERROR(J21/J10, 0)</f>
        <v>0</v>
      </c>
      <c r="K22" s="14"/>
      <c r="L22" s="9">
        <f>IFERROR(L21/L10, 0)</f>
        <v>0</v>
      </c>
      <c r="M22" s="14"/>
      <c r="N22" s="9">
        <f>IFERROR(N21/N10, 0)</f>
        <v>0</v>
      </c>
      <c r="O22" s="14"/>
      <c r="P22" s="9">
        <f>IFERROR(P21/P10, 0)</f>
        <v>0</v>
      </c>
      <c r="Q22" s="14"/>
      <c r="R22" s="9">
        <f>IFERROR(R21/R10, 0)</f>
        <v>0</v>
      </c>
    </row>
    <row r="23" spans="1:18" s="27" customFormat="1" x14ac:dyDescent="0.35">
      <c r="A23" s="18"/>
      <c r="B23" s="31"/>
      <c r="C23" s="18"/>
      <c r="D23" s="13"/>
      <c r="E23" s="18"/>
      <c r="F23" s="13"/>
      <c r="G23" s="14"/>
      <c r="H23" s="13"/>
      <c r="I23" s="14"/>
      <c r="J23" s="13"/>
      <c r="K23" s="14"/>
      <c r="L23" s="13"/>
      <c r="M23" s="14"/>
      <c r="N23" s="13"/>
      <c r="O23" s="14"/>
      <c r="P23" s="13"/>
      <c r="Q23" s="14"/>
      <c r="R23" s="13"/>
    </row>
    <row r="24" spans="1:18" s="15" customFormat="1" x14ac:dyDescent="0.35">
      <c r="A24" s="37"/>
      <c r="B24" s="7" t="s">
        <v>127</v>
      </c>
      <c r="C24" s="7"/>
      <c r="D24" s="6"/>
      <c r="E24" s="12"/>
      <c r="F24" s="6"/>
      <c r="G24" s="5"/>
      <c r="H24" s="6"/>
      <c r="I24" s="5"/>
      <c r="J24" s="6"/>
      <c r="K24" s="5"/>
      <c r="L24" s="6"/>
      <c r="M24" s="5"/>
      <c r="N24" s="6"/>
      <c r="O24" s="5"/>
      <c r="P24" s="6">
        <v>0</v>
      </c>
      <c r="Q24" s="5"/>
      <c r="R24" s="6"/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126</v>
      </c>
      <c r="C26" s="22"/>
      <c r="D26" s="10">
        <f>+D21-D24</f>
        <v>0</v>
      </c>
      <c r="E26" s="12"/>
      <c r="F26" s="10">
        <f>+F21-F24</f>
        <v>0</v>
      </c>
      <c r="G26" s="5"/>
      <c r="H26" s="10">
        <f>+H21-H24</f>
        <v>0</v>
      </c>
      <c r="I26" s="5"/>
      <c r="J26" s="10">
        <f>+J21-J24</f>
        <v>0</v>
      </c>
      <c r="K26" s="5"/>
      <c r="L26" s="10">
        <f>+L21-L24</f>
        <v>0</v>
      </c>
      <c r="M26" s="5"/>
      <c r="N26" s="10">
        <f>+N21-N24</f>
        <v>0</v>
      </c>
      <c r="O26" s="5"/>
      <c r="P26" s="10">
        <f>+P21-P24</f>
        <v>0</v>
      </c>
      <c r="Q26" s="5"/>
      <c r="R26" s="10">
        <f>+R21-R24</f>
        <v>0</v>
      </c>
    </row>
    <row r="27" spans="1:18" s="27" customFormat="1" x14ac:dyDescent="0.35">
      <c r="A27" s="18"/>
      <c r="B27" s="18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18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6"/>
      <c r="B29" s="45" t="s">
        <v>187</v>
      </c>
      <c r="C29" s="7"/>
      <c r="D29" s="30">
        <f>IFERROR(-155365.56, 0)</f>
        <v>-155365.56</v>
      </c>
      <c r="E29" s="12"/>
      <c r="F29" s="30">
        <f>IFERROR(-311726.97, 0)</f>
        <v>-311726.96999999997</v>
      </c>
      <c r="G29" s="5"/>
      <c r="H29" s="30">
        <f>IFERROR(--524364.72, 0)</f>
        <v>524364.72</v>
      </c>
      <c r="I29" s="5"/>
      <c r="J29" s="30">
        <f>IFERROR(--306614.11, 0)</f>
        <v>306614.11</v>
      </c>
      <c r="K29" s="5"/>
      <c r="L29" s="30">
        <f>IFERROR(-494428.15, 0)</f>
        <v>-494428.15</v>
      </c>
      <c r="M29" s="5"/>
      <c r="N29" s="30">
        <f>IFERROR(-36911.48, 0)</f>
        <v>-36911.480000000003</v>
      </c>
      <c r="O29" s="5"/>
      <c r="P29" s="30">
        <f t="shared" ref="P29:P30" si="0">IFERROR(--180000, 0)</f>
        <v>180000</v>
      </c>
      <c r="Q29" s="5"/>
      <c r="R29" s="30">
        <f>IFERROR(--180000, 0)</f>
        <v>180000</v>
      </c>
    </row>
    <row r="30" spans="1:18" s="15" customFormat="1" x14ac:dyDescent="0.35">
      <c r="A30" s="36"/>
      <c r="B30" s="7" t="s">
        <v>80</v>
      </c>
      <c r="C30" s="7"/>
      <c r="D30" s="30">
        <f>IFERROR(--321343.72, 0)</f>
        <v>321343.71999999997</v>
      </c>
      <c r="E30" s="12"/>
      <c r="F30" s="30">
        <f>IFERROR(--171244.92, 0)</f>
        <v>171244.92</v>
      </c>
      <c r="G30" s="5"/>
      <c r="H30" s="30">
        <f>IFERROR(--634542.42, 0)</f>
        <v>634542.42000000004</v>
      </c>
      <c r="I30" s="5"/>
      <c r="J30" s="30">
        <f>IFERROR(--644093.46, 0)</f>
        <v>644093.46</v>
      </c>
      <c r="K30" s="5"/>
      <c r="L30" s="30">
        <f>IFERROR(--839538.06, 0)</f>
        <v>839538.06</v>
      </c>
      <c r="M30" s="5"/>
      <c r="N30" s="30">
        <f>IFERROR(--324468.28, 0)</f>
        <v>324468.28000000003</v>
      </c>
      <c r="O30" s="5"/>
      <c r="P30" s="30">
        <f t="shared" si="0"/>
        <v>180000</v>
      </c>
      <c r="Q30" s="5"/>
      <c r="R30" s="30">
        <f>IFERROR(--200000, 0)</f>
        <v>200000</v>
      </c>
    </row>
    <row r="31" spans="1:18" x14ac:dyDescent="0.35">
      <c r="A31" s="12"/>
      <c r="B31" s="12"/>
      <c r="C31" s="12"/>
      <c r="D31" s="6"/>
      <c r="F31" s="6"/>
      <c r="H31" s="6"/>
      <c r="J31" s="6"/>
      <c r="L31" s="6"/>
      <c r="N31" s="6"/>
      <c r="P31" s="6"/>
      <c r="R31" s="6"/>
    </row>
    <row r="32" spans="1:18" s="15" customFormat="1" x14ac:dyDescent="0.35">
      <c r="A32" s="7"/>
      <c r="B32" s="22" t="s">
        <v>296</v>
      </c>
      <c r="C32" s="22"/>
      <c r="D32" s="10">
        <f>SUM(D26:D31)</f>
        <v>165978.15999999997</v>
      </c>
      <c r="E32" s="12"/>
      <c r="F32" s="10">
        <f>SUM(F26:F31)</f>
        <v>-140482.04999999996</v>
      </c>
      <c r="G32" s="5"/>
      <c r="H32" s="10">
        <f>SUM(H26:H31)</f>
        <v>1158907.1400000001</v>
      </c>
      <c r="I32" s="5"/>
      <c r="J32" s="10">
        <f>SUM(J26:J31)</f>
        <v>950707.57</v>
      </c>
      <c r="K32" s="5"/>
      <c r="L32" s="10">
        <f>SUM(L26:L31)</f>
        <v>345109.91000000003</v>
      </c>
      <c r="M32" s="5"/>
      <c r="N32" s="10">
        <f>SUM(N26:N31)</f>
        <v>287556.80000000005</v>
      </c>
      <c r="O32" s="5"/>
      <c r="P32" s="10">
        <f>SUM(P26:P31)</f>
        <v>360000</v>
      </c>
      <c r="Q32" s="5"/>
      <c r="R32" s="10">
        <f>SUM(R26:R31)</f>
        <v>380000</v>
      </c>
    </row>
    <row r="33" spans="1:18" s="27" customFormat="1" x14ac:dyDescent="0.35">
      <c r="A33" s="18"/>
      <c r="B33" s="41"/>
      <c r="C33" s="18"/>
      <c r="D33" s="9">
        <f>IFERROR(D32/D10, 0)</f>
        <v>0</v>
      </c>
      <c r="E33" s="18"/>
      <c r="F33" s="9">
        <f>IFERROR(F32/F10, 0)</f>
        <v>0</v>
      </c>
      <c r="G33" s="14"/>
      <c r="H33" s="9">
        <f>IFERROR(H32/H10, 0)</f>
        <v>0</v>
      </c>
      <c r="I33" s="14"/>
      <c r="J33" s="9">
        <f>IFERROR(J32/J10, 0)</f>
        <v>0</v>
      </c>
      <c r="K33" s="14"/>
      <c r="L33" s="9">
        <f>IFERROR(L32/L10, 0)</f>
        <v>0</v>
      </c>
      <c r="M33" s="14"/>
      <c r="N33" s="9">
        <f>IFERROR(N32/N10, 0)</f>
        <v>0</v>
      </c>
      <c r="O33" s="14"/>
      <c r="P33" s="9">
        <f>IFERROR(P32/P10, 0)</f>
        <v>0</v>
      </c>
      <c r="Q33" s="14"/>
      <c r="R33" s="9">
        <f>IFERROR(R32/R10, 0)</f>
        <v>0</v>
      </c>
    </row>
    <row r="34" spans="1:18" x14ac:dyDescent="0.35">
      <c r="A34" s="12"/>
      <c r="B34" s="40">
        <v>44319.883572604165</v>
      </c>
      <c r="D34" s="24"/>
      <c r="F34" s="24"/>
      <c r="H34" s="24"/>
      <c r="J34" s="24"/>
      <c r="L34" s="24"/>
      <c r="N34" s="24"/>
      <c r="P34" s="24"/>
      <c r="R34" s="24"/>
    </row>
    <row r="35" spans="1:18" x14ac:dyDescent="0.35">
      <c r="A35" s="12"/>
      <c r="B35" s="39" t="s">
        <v>23</v>
      </c>
      <c r="D35" s="24"/>
      <c r="F35" s="24"/>
      <c r="H35" s="24"/>
      <c r="J35" s="24"/>
      <c r="L35" s="24"/>
      <c r="N35" s="24"/>
      <c r="P35" s="24"/>
      <c r="R35" s="24"/>
    </row>
    <row r="36" spans="1:18" x14ac:dyDescent="0.35">
      <c r="A36" s="12"/>
      <c r="D36" s="24"/>
      <c r="F36" s="24"/>
      <c r="H36" s="24"/>
      <c r="J36" s="24"/>
      <c r="L36" s="24"/>
      <c r="N36" s="24"/>
      <c r="P36" s="24"/>
      <c r="R36" s="24"/>
    </row>
    <row r="37" spans="1:18" x14ac:dyDescent="0.35">
      <c r="D37" s="24"/>
      <c r="F37" s="24"/>
      <c r="H37" s="24"/>
      <c r="J37" s="24"/>
      <c r="L37" s="24"/>
      <c r="N37" s="24"/>
      <c r="P37" s="24"/>
      <c r="R37" s="24"/>
    </row>
  </sheetData>
  <pageMargins left="0.5" right="0.5" top="0.5" bottom="0.5" header="0.3" footer="0.3"/>
  <pageSetup scale="59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4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","200", " - ", "Corporate Expense")</f>
        <v>Department 200 - Corporate Expense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4490636.4800000004</v>
      </c>
      <c r="E17" s="19"/>
      <c r="F17" s="8">
        <f>SUM(OSRRefF21x_0)</f>
        <v>1912182.57</v>
      </c>
      <c r="G17" s="4"/>
      <c r="H17" s="8">
        <f>SUM(OSRRefH21x_0)</f>
        <v>1432597.8599999999</v>
      </c>
      <c r="I17" s="4"/>
      <c r="J17" s="8">
        <f>SUM(OSRRefJ21x_0)</f>
        <v>1407617.69</v>
      </c>
      <c r="K17" s="4"/>
      <c r="L17" s="8">
        <f>SUM(OSRRefL21x_0)</f>
        <v>-1007949.8199999998</v>
      </c>
      <c r="M17" s="4"/>
      <c r="N17" s="8">
        <f>SUM(OSRRefN21x_0)</f>
        <v>1233508.1099999999</v>
      </c>
      <c r="O17" s="4"/>
      <c r="P17" s="8">
        <f>SUM(OSRRefP21x_0)</f>
        <v>204744</v>
      </c>
      <c r="Q17" s="4"/>
      <c r="R17" s="8">
        <f>SUM(OSRRefR21x_0)</f>
        <v>121096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4249833.78</v>
      </c>
      <c r="E18" s="19"/>
      <c r="F18" s="1">
        <f>SUM(OSRRefF21_0x_0)</f>
        <v>1692598.6300000001</v>
      </c>
      <c r="G18" s="4"/>
      <c r="H18" s="1">
        <f>SUM(OSRRefH21_0x_0)</f>
        <v>1182521.26</v>
      </c>
      <c r="I18" s="4"/>
      <c r="J18" s="1">
        <f>SUM(OSRRefJ21_0x_0)</f>
        <v>1109605.57</v>
      </c>
      <c r="K18" s="4"/>
      <c r="L18" s="1">
        <f>SUM(OSRRefL21_0x_0)</f>
        <v>-1342769.3</v>
      </c>
      <c r="M18" s="4"/>
      <c r="N18" s="1">
        <f>SUM(OSRRefN21_0x_0)</f>
        <v>972746.03</v>
      </c>
      <c r="O18" s="4"/>
      <c r="P18" s="1">
        <f>SUM(OSRRefP21_0x_0)</f>
        <v>0</v>
      </c>
      <c r="Q18" s="4"/>
      <c r="R18" s="1">
        <f>SUM(OSRRefR21_0x_0)</f>
        <v>-15000</v>
      </c>
    </row>
    <row r="19" spans="1:18" s="16" customFormat="1" hidden="1" outlineLevel="2" x14ac:dyDescent="0.35">
      <c r="B19" s="11" t="str">
        <f>CONCATENATE("          ", "6115", " - ", "P.E.R.S.")</f>
        <v xml:space="preserve">          6115 - P.E.R.S.</v>
      </c>
      <c r="D19" s="2">
        <v>4035377</v>
      </c>
      <c r="F19" s="2">
        <v>294720.33</v>
      </c>
      <c r="G19" s="3"/>
      <c r="H19" s="2">
        <v>1268961.47</v>
      </c>
      <c r="I19" s="3"/>
      <c r="J19" s="2">
        <v>1161300</v>
      </c>
      <c r="K19" s="3"/>
      <c r="L19" s="2">
        <v>160987</v>
      </c>
      <c r="M19" s="3"/>
      <c r="N19" s="2">
        <v>823761</v>
      </c>
      <c r="O19" s="3"/>
      <c r="P19" s="2"/>
      <c r="Q19" s="3"/>
      <c r="R19" s="2"/>
    </row>
    <row r="20" spans="1:18" s="16" customFormat="1" hidden="1" outlineLevel="2" x14ac:dyDescent="0.35">
      <c r="B20" s="11" t="str">
        <f>CONCATENATE("          ", "6120", " - ", "RETIREES HEALTH INSURANCE")</f>
        <v xml:space="preserve">          6120 - RETIREES HEALTH INSURANCE</v>
      </c>
      <c r="D20" s="2">
        <v>214456.78</v>
      </c>
      <c r="F20" s="2">
        <v>1397878.3</v>
      </c>
      <c r="G20" s="3"/>
      <c r="H20" s="2">
        <v>-86440.21</v>
      </c>
      <c r="I20" s="3"/>
      <c r="J20" s="2">
        <v>-51694.43</v>
      </c>
      <c r="K20" s="3"/>
      <c r="L20" s="2">
        <v>-1503756.3</v>
      </c>
      <c r="M20" s="3"/>
      <c r="N20" s="2">
        <v>148985.03</v>
      </c>
      <c r="O20" s="3"/>
      <c r="P20" s="2">
        <v>0</v>
      </c>
      <c r="Q20" s="3"/>
      <c r="R20" s="2">
        <v>-15000</v>
      </c>
    </row>
    <row r="21" spans="1:18" s="15" customFormat="1" outlineLevel="1" collapsed="1" x14ac:dyDescent="0.35">
      <c r="A21" s="7"/>
      <c r="B21" s="20" t="str">
        <f>CONCATENATE("     ","Bank/card Fees                                    ")</f>
        <v xml:space="preserve">     Bank/card Fees                                    </v>
      </c>
      <c r="C21" s="7"/>
      <c r="D21" s="1">
        <f>SUM(OSRRefD21_1x_0)</f>
        <v>51587.8</v>
      </c>
      <c r="E21" s="19"/>
      <c r="F21" s="1">
        <f>SUM(OSRRefF21_1x_0)</f>
        <v>32185.9</v>
      </c>
      <c r="G21" s="4"/>
      <c r="H21" s="1">
        <f>SUM(OSRRefH21_1x_0)</f>
        <v>79861.91</v>
      </c>
      <c r="I21" s="4"/>
      <c r="J21" s="1">
        <f>SUM(OSRRefJ21_1x_0)</f>
        <v>73786.12</v>
      </c>
      <c r="K21" s="4"/>
      <c r="L21" s="1">
        <f>SUM(OSRRefL21_1x_0)</f>
        <v>74769.13</v>
      </c>
      <c r="M21" s="4"/>
      <c r="N21" s="1">
        <f>SUM(OSRRefN21_1x_0)</f>
        <v>53963.34</v>
      </c>
      <c r="O21" s="4"/>
      <c r="P21" s="1">
        <f>SUM(OSRRefP21_1x_0)</f>
        <v>72000</v>
      </c>
      <c r="Q21" s="4"/>
      <c r="R21" s="1">
        <f>SUM(OSRRefR21_1x_0)</f>
        <v>44000</v>
      </c>
    </row>
    <row r="22" spans="1:18" s="16" customFormat="1" hidden="1" outlineLevel="2" x14ac:dyDescent="0.35">
      <c r="B22" s="11" t="str">
        <f>CONCATENATE("          ", "6381", " - ", "BANK/CREDIT CARD FEES")</f>
        <v xml:space="preserve">          6381 - BANK/CREDIT CARD FEES</v>
      </c>
      <c r="D22" s="2">
        <v>51587.8</v>
      </c>
      <c r="F22" s="2">
        <v>32185.9</v>
      </c>
      <c r="G22" s="3"/>
      <c r="H22" s="2">
        <v>79861.91</v>
      </c>
      <c r="I22" s="3"/>
      <c r="J22" s="2">
        <v>73786.12</v>
      </c>
      <c r="K22" s="3"/>
      <c r="L22" s="2">
        <v>74769.13</v>
      </c>
      <c r="M22" s="3"/>
      <c r="N22" s="2">
        <v>53963.34</v>
      </c>
      <c r="O22" s="3"/>
      <c r="P22" s="2">
        <v>72000</v>
      </c>
      <c r="Q22" s="3"/>
      <c r="R22" s="2">
        <v>44000</v>
      </c>
    </row>
    <row r="23" spans="1:18" s="15" customFormat="1" outlineLevel="1" collapsed="1" x14ac:dyDescent="0.35">
      <c r="A23" s="7"/>
      <c r="B23" s="20" t="str">
        <f>CONCATENATE("     ","Board                                             ")</f>
        <v xml:space="preserve">     Board                                             </v>
      </c>
      <c r="C23" s="7"/>
      <c r="D23" s="1">
        <f>SUM(OSRRefD21_2x_0)</f>
        <v>64372.15</v>
      </c>
      <c r="E23" s="19"/>
      <c r="F23" s="1">
        <f>SUM(OSRRefF21_2x_0)</f>
        <v>55321.7</v>
      </c>
      <c r="G23" s="4"/>
      <c r="H23" s="1">
        <f>SUM(OSRRefH21_2x_0)</f>
        <v>32511.69</v>
      </c>
      <c r="I23" s="4"/>
      <c r="J23" s="1">
        <f>SUM(OSRRefJ21_2x_0)</f>
        <v>53641.72</v>
      </c>
      <c r="K23" s="4"/>
      <c r="L23" s="1">
        <f>SUM(OSRRefL21_2x_0)</f>
        <v>76024.350000000006</v>
      </c>
      <c r="M23" s="4"/>
      <c r="N23" s="1">
        <f>SUM(OSRRefN21_2x_0)</f>
        <v>42435.31</v>
      </c>
      <c r="O23" s="4"/>
      <c r="P23" s="1">
        <f>SUM(OSRRefP21_2x_0)</f>
        <v>45744</v>
      </c>
      <c r="Q23" s="4"/>
      <c r="R23" s="1">
        <f>SUM(OSRRefR21_2x_0)</f>
        <v>21096</v>
      </c>
    </row>
    <row r="24" spans="1:18" s="16" customFormat="1" hidden="1" outlineLevel="2" x14ac:dyDescent="0.35">
      <c r="B24" s="11" t="str">
        <f>CONCATENATE("          ", "6397", " - ", "BOARD EXPENSES")</f>
        <v xml:space="preserve">          6397 - BOARD EXPENSES</v>
      </c>
      <c r="D24" s="2">
        <v>64372.15</v>
      </c>
      <c r="F24" s="2">
        <v>55321.7</v>
      </c>
      <c r="G24" s="3"/>
      <c r="H24" s="2">
        <v>32511.69</v>
      </c>
      <c r="I24" s="3"/>
      <c r="J24" s="2">
        <v>53641.72</v>
      </c>
      <c r="K24" s="3"/>
      <c r="L24" s="2">
        <v>76024.350000000006</v>
      </c>
      <c r="M24" s="3"/>
      <c r="N24" s="2">
        <v>42435.31</v>
      </c>
      <c r="O24" s="3"/>
      <c r="P24" s="2">
        <v>45744</v>
      </c>
      <c r="Q24" s="3"/>
      <c r="R24" s="2">
        <v>21096</v>
      </c>
    </row>
    <row r="25" spans="1:18" s="15" customFormat="1" outlineLevel="1" collapsed="1" x14ac:dyDescent="0.35">
      <c r="A25" s="7"/>
      <c r="B25" s="20" t="str">
        <f>CONCATENATE("     ","Donations                                         ")</f>
        <v xml:space="preserve">     Donations                                         </v>
      </c>
      <c r="C25" s="7"/>
      <c r="D25" s="1">
        <f>SUM(OSRRefD21_3x_0)</f>
        <v>97500</v>
      </c>
      <c r="E25" s="19"/>
      <c r="F25" s="1">
        <f>SUM(OSRRefF21_3x_0)</f>
        <v>97500</v>
      </c>
      <c r="G25" s="4"/>
      <c r="H25" s="1">
        <f>SUM(OSRRefH21_3x_0)</f>
        <v>97500</v>
      </c>
      <c r="I25" s="4"/>
      <c r="J25" s="1">
        <f>SUM(OSRRefJ21_3x_0)</f>
        <v>97914.28</v>
      </c>
      <c r="K25" s="4"/>
      <c r="L25" s="1">
        <f>SUM(OSRRefL21_3x_0)</f>
        <v>97500</v>
      </c>
      <c r="M25" s="4"/>
      <c r="N25" s="1">
        <f>SUM(OSRRefN21_3x_0)</f>
        <v>103128.19</v>
      </c>
      <c r="O25" s="4"/>
      <c r="P25" s="1">
        <f>SUM(OSRRefP21_3x_0)</f>
        <v>5000</v>
      </c>
      <c r="Q25" s="4"/>
      <c r="R25" s="1">
        <f>SUM(OSRRefR21_3x_0)</f>
        <v>0</v>
      </c>
    </row>
    <row r="26" spans="1:18" s="16" customFormat="1" hidden="1" outlineLevel="2" x14ac:dyDescent="0.35">
      <c r="B26" s="11" t="str">
        <f>CONCATENATE("          ", "6399", " - ", "DONATION-ON CAMPUS")</f>
        <v xml:space="preserve">          6399 - DONATION-ON CAMPUS</v>
      </c>
      <c r="D26" s="2">
        <v>97500</v>
      </c>
      <c r="F26" s="2">
        <v>97500</v>
      </c>
      <c r="G26" s="3"/>
      <c r="H26" s="2">
        <v>97500</v>
      </c>
      <c r="I26" s="3"/>
      <c r="J26" s="2">
        <v>97914.28</v>
      </c>
      <c r="K26" s="3"/>
      <c r="L26" s="2">
        <v>97500</v>
      </c>
      <c r="M26" s="3"/>
      <c r="N26" s="2">
        <v>103128.19</v>
      </c>
      <c r="O26" s="3"/>
      <c r="P26" s="2">
        <v>5000</v>
      </c>
      <c r="Q26" s="3"/>
      <c r="R26" s="2"/>
    </row>
    <row r="27" spans="1:18" s="15" customFormat="1" outlineLevel="1" collapsed="1" x14ac:dyDescent="0.35">
      <c r="A27" s="7"/>
      <c r="B27" s="20" t="str">
        <f>CONCATENATE("     ","General                                           ")</f>
        <v xml:space="preserve">     General                                           </v>
      </c>
      <c r="C27" s="7"/>
      <c r="D27" s="1">
        <f>SUM(OSRRefD21_4x_0)</f>
        <v>0</v>
      </c>
      <c r="E27" s="19"/>
      <c r="F27" s="1">
        <f>SUM(OSRRefF21_4x_0)</f>
        <v>26.34</v>
      </c>
      <c r="G27" s="4"/>
      <c r="H27" s="1">
        <f>SUM(OSRRefH21_4x_0)</f>
        <v>0</v>
      </c>
      <c r="I27" s="4"/>
      <c r="J27" s="1">
        <f>SUM(OSRRefJ21_4x_0)</f>
        <v>0</v>
      </c>
      <c r="K27" s="4"/>
      <c r="L27" s="1">
        <f>SUM(OSRRefL21_4x_0)</f>
        <v>0</v>
      </c>
      <c r="M27" s="4"/>
      <c r="N27" s="1">
        <f>SUM(OSRRefN21_4x_0)</f>
        <v>0</v>
      </c>
      <c r="O27" s="4"/>
      <c r="P27" s="1">
        <f>SUM(OSRRefP21_4x_0)</f>
        <v>0</v>
      </c>
      <c r="Q27" s="4"/>
      <c r="R27" s="1">
        <f>SUM(OSRRefR21_4x_0)</f>
        <v>0</v>
      </c>
    </row>
    <row r="28" spans="1:18" s="16" customFormat="1" hidden="1" outlineLevel="2" x14ac:dyDescent="0.35">
      <c r="B28" s="11" t="str">
        <f>CONCATENATE("          ", "9023", " - ", "LOSS ON SALE/DISPOSAL OF FIXED")</f>
        <v xml:space="preserve">          9023 - LOSS ON SALE/DISPOSAL OF FIXED</v>
      </c>
      <c r="D28" s="2"/>
      <c r="F28" s="2">
        <v>26.34</v>
      </c>
      <c r="G28" s="3"/>
      <c r="H28" s="2"/>
      <c r="I28" s="3"/>
      <c r="J28" s="2"/>
      <c r="K28" s="3"/>
      <c r="L28" s="2"/>
      <c r="M28" s="3"/>
      <c r="N28" s="2"/>
      <c r="O28" s="3"/>
      <c r="P28" s="2"/>
      <c r="Q28" s="3"/>
      <c r="R28" s="2"/>
    </row>
    <row r="29" spans="1:18" s="15" customFormat="1" outlineLevel="1" collapsed="1" x14ac:dyDescent="0.35">
      <c r="A29" s="7"/>
      <c r="B29" s="20" t="str">
        <f>CONCATENATE("     ","Professional Services                             ")</f>
        <v xml:space="preserve">     Professional Services                             </v>
      </c>
      <c r="C29" s="7"/>
      <c r="D29" s="1">
        <f>SUM(OSRRefD21_5x_0)</f>
        <v>27342.75</v>
      </c>
      <c r="E29" s="19"/>
      <c r="F29" s="1">
        <f>SUM(OSRRefF21_5x_0)</f>
        <v>34550</v>
      </c>
      <c r="G29" s="4"/>
      <c r="H29" s="1">
        <f>SUM(OSRRefH21_5x_0)</f>
        <v>40203</v>
      </c>
      <c r="I29" s="4"/>
      <c r="J29" s="1">
        <f>SUM(OSRRefJ21_5x_0)</f>
        <v>72670</v>
      </c>
      <c r="K29" s="4"/>
      <c r="L29" s="1">
        <f>SUM(OSRRefL21_5x_0)</f>
        <v>86526</v>
      </c>
      <c r="M29" s="4"/>
      <c r="N29" s="1">
        <f>SUM(OSRRefN21_5x_0)</f>
        <v>61235.24</v>
      </c>
      <c r="O29" s="4"/>
      <c r="P29" s="1">
        <f>SUM(OSRRefP21_5x_0)</f>
        <v>82000</v>
      </c>
      <c r="Q29" s="4"/>
      <c r="R29" s="1">
        <f>SUM(OSRRefR21_5x_0)</f>
        <v>71000</v>
      </c>
    </row>
    <row r="30" spans="1:18" s="16" customFormat="1" hidden="1" outlineLevel="2" x14ac:dyDescent="0.35">
      <c r="B30" s="11" t="str">
        <f>CONCATENATE("          ", "6331", " - ", "INDIRECT COSTS-AUXILIARY ORGAN")</f>
        <v xml:space="preserve">          6331 - INDIRECT COSTS-AUXILIARY ORGAN</v>
      </c>
      <c r="D30" s="2">
        <v>27342.75</v>
      </c>
      <c r="F30" s="2">
        <v>34550</v>
      </c>
      <c r="G30" s="3"/>
      <c r="H30" s="2">
        <v>40203</v>
      </c>
      <c r="I30" s="3"/>
      <c r="J30" s="2">
        <v>44310</v>
      </c>
      <c r="K30" s="3"/>
      <c r="L30" s="2">
        <v>45926</v>
      </c>
      <c r="M30" s="3"/>
      <c r="N30" s="2">
        <v>46173</v>
      </c>
      <c r="O30" s="3"/>
      <c r="P30" s="2">
        <v>54000</v>
      </c>
      <c r="Q30" s="3"/>
      <c r="R30" s="2">
        <v>52000</v>
      </c>
    </row>
    <row r="31" spans="1:18" s="16" customFormat="1" hidden="1" outlineLevel="2" x14ac:dyDescent="0.35">
      <c r="B31" s="11" t="str">
        <f>CONCATENATE("          ", "6332", " - ", "CONSULTANT FEES")</f>
        <v xml:space="preserve">          6332 - CONSULTANT FEES</v>
      </c>
      <c r="D31" s="2"/>
      <c r="F31" s="2"/>
      <c r="G31" s="3"/>
      <c r="H31" s="2"/>
      <c r="I31" s="3"/>
      <c r="J31" s="2">
        <v>28360</v>
      </c>
      <c r="K31" s="3"/>
      <c r="L31" s="2">
        <v>40600</v>
      </c>
      <c r="M31" s="3"/>
      <c r="N31" s="2">
        <v>15062.24</v>
      </c>
      <c r="O31" s="3"/>
      <c r="P31" s="2">
        <v>28000</v>
      </c>
      <c r="Q31" s="3"/>
      <c r="R31" s="2">
        <v>19000</v>
      </c>
    </row>
    <row r="32" spans="1:18" x14ac:dyDescent="0.35">
      <c r="A32" s="12"/>
      <c r="B32" s="12"/>
      <c r="C32" s="12"/>
      <c r="D32" s="1"/>
      <c r="F32" s="1"/>
      <c r="H32" s="1"/>
      <c r="J32" s="1"/>
      <c r="L32" s="1"/>
      <c r="N32" s="1"/>
      <c r="P32" s="1"/>
      <c r="R32" s="1"/>
    </row>
    <row r="33" spans="1:18" s="7" customFormat="1" x14ac:dyDescent="0.35">
      <c r="A33" s="36"/>
      <c r="B33" s="34" t="s">
        <v>295</v>
      </c>
      <c r="D33" s="6">
        <f>SUM(0)</f>
        <v>0</v>
      </c>
      <c r="E33" s="12"/>
      <c r="F33" s="6">
        <f>SUM(0)</f>
        <v>0</v>
      </c>
      <c r="G33" s="5"/>
      <c r="H33" s="6">
        <f>SUM(0)</f>
        <v>0</v>
      </c>
      <c r="I33" s="5"/>
      <c r="J33" s="6">
        <f>SUM(0)</f>
        <v>0</v>
      </c>
      <c r="K33" s="5"/>
      <c r="L33" s="6">
        <f>SUM(0)</f>
        <v>0</v>
      </c>
      <c r="M33" s="5"/>
      <c r="N33" s="6">
        <f>SUM(0)</f>
        <v>0</v>
      </c>
      <c r="O33" s="5"/>
      <c r="P33" s="6">
        <f>SUM(0)</f>
        <v>0</v>
      </c>
      <c r="Q33" s="5"/>
      <c r="R33" s="6">
        <f>SUM(0)</f>
        <v>0</v>
      </c>
    </row>
    <row r="34" spans="1:18" x14ac:dyDescent="0.35">
      <c r="A34" s="12"/>
      <c r="B34" s="7"/>
      <c r="C34" s="7"/>
      <c r="D34" s="6"/>
      <c r="F34" s="6"/>
      <c r="H34" s="6"/>
      <c r="J34" s="6"/>
      <c r="L34" s="6"/>
      <c r="N34" s="6"/>
      <c r="P34" s="6"/>
      <c r="R34" s="6"/>
    </row>
    <row r="35" spans="1:18" s="15" customFormat="1" x14ac:dyDescent="0.35">
      <c r="A35" s="7"/>
      <c r="B35" s="22" t="s">
        <v>279</v>
      </c>
      <c r="C35" s="22"/>
      <c r="D35" s="10">
        <f>+D14-D17+D33</f>
        <v>-4490636.4800000004</v>
      </c>
      <c r="E35" s="12"/>
      <c r="F35" s="10">
        <f>+F14-F17+F33</f>
        <v>-1912182.57</v>
      </c>
      <c r="G35" s="5"/>
      <c r="H35" s="10">
        <f>+H14-H17+H33</f>
        <v>-1432597.8599999999</v>
      </c>
      <c r="I35" s="5"/>
      <c r="J35" s="10">
        <f>+J14-J17+J33</f>
        <v>-1407617.69</v>
      </c>
      <c r="K35" s="5"/>
      <c r="L35" s="10">
        <f>+L14-L17+L33</f>
        <v>1007949.8199999998</v>
      </c>
      <c r="M35" s="5"/>
      <c r="N35" s="10">
        <f>+N14-N17+N33</f>
        <v>-1233508.1099999999</v>
      </c>
      <c r="O35" s="5"/>
      <c r="P35" s="10">
        <f>+P14-P17+P33</f>
        <v>-204744</v>
      </c>
      <c r="Q35" s="5"/>
      <c r="R35" s="10">
        <f>+R14-R17+R33</f>
        <v>-121096</v>
      </c>
    </row>
    <row r="36" spans="1:18" s="27" customFormat="1" x14ac:dyDescent="0.35">
      <c r="A36" s="18"/>
      <c r="B36" s="31"/>
      <c r="C36" s="18"/>
      <c r="D36" s="9">
        <f>IFERROR(D35/D10, 0)</f>
        <v>0</v>
      </c>
      <c r="E36" s="18"/>
      <c r="F36" s="9">
        <f>IFERROR(F35/F10, 0)</f>
        <v>0</v>
      </c>
      <c r="G36" s="14"/>
      <c r="H36" s="9">
        <f>IFERROR(H35/H10, 0)</f>
        <v>0</v>
      </c>
      <c r="I36" s="14"/>
      <c r="J36" s="9">
        <f>IFERROR(J35/J10, 0)</f>
        <v>0</v>
      </c>
      <c r="K36" s="14"/>
      <c r="L36" s="9">
        <f>IFERROR(L35/L10, 0)</f>
        <v>0</v>
      </c>
      <c r="M36" s="14"/>
      <c r="N36" s="9">
        <f>IFERROR(N35/N10, 0)</f>
        <v>0</v>
      </c>
      <c r="O36" s="14"/>
      <c r="P36" s="9">
        <f>IFERROR(P35/P10, 0)</f>
        <v>0</v>
      </c>
      <c r="Q36" s="14"/>
      <c r="R36" s="9">
        <f>IFERROR(R35/R10, 0)</f>
        <v>0</v>
      </c>
    </row>
    <row r="37" spans="1:18" s="27" customFormat="1" x14ac:dyDescent="0.35">
      <c r="A37" s="18"/>
      <c r="B37" s="31"/>
      <c r="C37" s="18"/>
      <c r="D37" s="13"/>
      <c r="E37" s="18"/>
      <c r="F37" s="13"/>
      <c r="G37" s="14"/>
      <c r="H37" s="13"/>
      <c r="I37" s="14"/>
      <c r="J37" s="13"/>
      <c r="K37" s="14"/>
      <c r="L37" s="13"/>
      <c r="M37" s="14"/>
      <c r="N37" s="13"/>
      <c r="O37" s="14"/>
      <c r="P37" s="13"/>
      <c r="Q37" s="14"/>
      <c r="R37" s="13"/>
    </row>
    <row r="38" spans="1:18" s="15" customFormat="1" x14ac:dyDescent="0.35">
      <c r="A38" s="37"/>
      <c r="B38" s="7" t="s">
        <v>127</v>
      </c>
      <c r="C38" s="7"/>
      <c r="D38" s="6"/>
      <c r="E38" s="12"/>
      <c r="F38" s="6"/>
      <c r="G38" s="5"/>
      <c r="H38" s="6"/>
      <c r="I38" s="5"/>
      <c r="J38" s="6"/>
      <c r="K38" s="5"/>
      <c r="L38" s="6"/>
      <c r="M38" s="5"/>
      <c r="N38" s="6"/>
      <c r="O38" s="5"/>
      <c r="P38" s="6"/>
      <c r="Q38" s="5"/>
      <c r="R38" s="6"/>
    </row>
    <row r="39" spans="1:18" x14ac:dyDescent="0.35">
      <c r="A39" s="12"/>
      <c r="B39" s="7"/>
      <c r="C39" s="7"/>
      <c r="D39" s="6"/>
      <c r="F39" s="6"/>
      <c r="H39" s="6"/>
      <c r="J39" s="6"/>
      <c r="L39" s="6"/>
      <c r="N39" s="6"/>
      <c r="P39" s="6"/>
      <c r="R39" s="6"/>
    </row>
    <row r="40" spans="1:18" s="15" customFormat="1" x14ac:dyDescent="0.35">
      <c r="A40" s="7"/>
      <c r="B40" s="22" t="s">
        <v>126</v>
      </c>
      <c r="C40" s="22"/>
      <c r="D40" s="10">
        <f>+D35-D38</f>
        <v>-4490636.4800000004</v>
      </c>
      <c r="E40" s="12"/>
      <c r="F40" s="10">
        <f>+F35-F38</f>
        <v>-1912182.57</v>
      </c>
      <c r="G40" s="5"/>
      <c r="H40" s="10">
        <f>+H35-H38</f>
        <v>-1432597.8599999999</v>
      </c>
      <c r="I40" s="5"/>
      <c r="J40" s="10">
        <f>+J35-J38</f>
        <v>-1407617.69</v>
      </c>
      <c r="K40" s="5"/>
      <c r="L40" s="10">
        <f>+L35-L38</f>
        <v>1007949.8199999998</v>
      </c>
      <c r="M40" s="5"/>
      <c r="N40" s="10">
        <f>+N35-N38</f>
        <v>-1233508.1099999999</v>
      </c>
      <c r="O40" s="5"/>
      <c r="P40" s="10">
        <f>+P35-P38</f>
        <v>-204744</v>
      </c>
      <c r="Q40" s="5"/>
      <c r="R40" s="10">
        <f>+R35-R38</f>
        <v>-121096</v>
      </c>
    </row>
    <row r="41" spans="1:18" s="27" customFormat="1" x14ac:dyDescent="0.35">
      <c r="A41" s="18"/>
      <c r="B41" s="18"/>
      <c r="C41" s="18"/>
      <c r="D41" s="9">
        <f>IFERROR(D40/D10, 0)</f>
        <v>0</v>
      </c>
      <c r="E41" s="18"/>
      <c r="F41" s="9">
        <f>IFERROR(F40/F10, 0)</f>
        <v>0</v>
      </c>
      <c r="G41" s="14"/>
      <c r="H41" s="9">
        <f>IFERROR(H40/H10, 0)</f>
        <v>0</v>
      </c>
      <c r="I41" s="14"/>
      <c r="J41" s="9">
        <f>IFERROR(J40/J10, 0)</f>
        <v>0</v>
      </c>
      <c r="K41" s="14"/>
      <c r="L41" s="9">
        <f>IFERROR(L40/L10, 0)</f>
        <v>0</v>
      </c>
      <c r="M41" s="14"/>
      <c r="N41" s="9">
        <f>IFERROR(N40/N10, 0)</f>
        <v>0</v>
      </c>
      <c r="O41" s="14"/>
      <c r="P41" s="9">
        <f>IFERROR(P40/P10, 0)</f>
        <v>0</v>
      </c>
      <c r="Q41" s="14"/>
      <c r="R41" s="9">
        <f>IFERROR(R40/R10, 0)</f>
        <v>0</v>
      </c>
    </row>
    <row r="42" spans="1:18" s="27" customFormat="1" x14ac:dyDescent="0.35">
      <c r="A42" s="18"/>
      <c r="B42" s="18"/>
      <c r="C42" s="18"/>
      <c r="D42" s="13"/>
      <c r="E42" s="18"/>
      <c r="F42" s="13"/>
      <c r="G42" s="14"/>
      <c r="H42" s="13"/>
      <c r="I42" s="14"/>
      <c r="J42" s="13"/>
      <c r="K42" s="14"/>
      <c r="L42" s="13"/>
      <c r="M42" s="14"/>
      <c r="N42" s="13"/>
      <c r="O42" s="14"/>
      <c r="P42" s="13"/>
      <c r="Q42" s="14"/>
      <c r="R42" s="13"/>
    </row>
    <row r="43" spans="1:18" x14ac:dyDescent="0.35">
      <c r="A43" s="12"/>
      <c r="B43" s="12"/>
      <c r="C43" s="12"/>
      <c r="D43" s="6"/>
      <c r="F43" s="6"/>
      <c r="H43" s="6"/>
      <c r="J43" s="6"/>
      <c r="L43" s="6"/>
      <c r="N43" s="6"/>
      <c r="P43" s="6"/>
      <c r="R43" s="6"/>
    </row>
    <row r="44" spans="1:18" s="15" customFormat="1" x14ac:dyDescent="0.35">
      <c r="A44" s="7"/>
      <c r="B44" s="22" t="s">
        <v>296</v>
      </c>
      <c r="C44" s="22"/>
      <c r="D44" s="10">
        <f>SUM(D40:D43)</f>
        <v>-4490636.4800000004</v>
      </c>
      <c r="E44" s="12"/>
      <c r="F44" s="10">
        <f>SUM(F40:F43)</f>
        <v>-1912182.57</v>
      </c>
      <c r="G44" s="5"/>
      <c r="H44" s="10">
        <f>SUM(H40:H43)</f>
        <v>-1432597.8599999999</v>
      </c>
      <c r="I44" s="5"/>
      <c r="J44" s="10">
        <f>SUM(J40:J43)</f>
        <v>-1407617.69</v>
      </c>
      <c r="K44" s="5"/>
      <c r="L44" s="10">
        <f>SUM(L40:L43)</f>
        <v>1007949.8199999998</v>
      </c>
      <c r="M44" s="5"/>
      <c r="N44" s="10">
        <f>SUM(N40:N43)</f>
        <v>-1233508.1099999999</v>
      </c>
      <c r="O44" s="5"/>
      <c r="P44" s="10">
        <f>SUM(P40:P43)</f>
        <v>-204744</v>
      </c>
      <c r="Q44" s="5"/>
      <c r="R44" s="10">
        <f>SUM(R40:R43)</f>
        <v>-121096</v>
      </c>
    </row>
    <row r="45" spans="1:18" s="27" customFormat="1" x14ac:dyDescent="0.35">
      <c r="A45" s="18"/>
      <c r="B45" s="41"/>
      <c r="C45" s="18"/>
      <c r="D45" s="9">
        <f>IFERROR(D44/D10, 0)</f>
        <v>0</v>
      </c>
      <c r="E45" s="18"/>
      <c r="F45" s="9">
        <f>IFERROR(F44/F10, 0)</f>
        <v>0</v>
      </c>
      <c r="G45" s="14"/>
      <c r="H45" s="9">
        <f>IFERROR(H44/H10, 0)</f>
        <v>0</v>
      </c>
      <c r="I45" s="14"/>
      <c r="J45" s="9">
        <f>IFERROR(J44/J10, 0)</f>
        <v>0</v>
      </c>
      <c r="K45" s="14"/>
      <c r="L45" s="9">
        <f>IFERROR(L44/L10, 0)</f>
        <v>0</v>
      </c>
      <c r="M45" s="14"/>
      <c r="N45" s="9">
        <f>IFERROR(N44/N10, 0)</f>
        <v>0</v>
      </c>
      <c r="O45" s="14"/>
      <c r="P45" s="9">
        <f>IFERROR(P44/P10, 0)</f>
        <v>0</v>
      </c>
      <c r="Q45" s="14"/>
      <c r="R45" s="9">
        <f>IFERROR(R44/R10, 0)</f>
        <v>0</v>
      </c>
    </row>
    <row r="46" spans="1:18" x14ac:dyDescent="0.35">
      <c r="A46" s="12"/>
      <c r="B46" s="40">
        <v>44319.883572604165</v>
      </c>
      <c r="D46" s="24"/>
      <c r="F46" s="24"/>
      <c r="H46" s="24"/>
      <c r="J46" s="24"/>
      <c r="L46" s="24"/>
      <c r="N46" s="24"/>
      <c r="P46" s="24"/>
      <c r="R46" s="24"/>
    </row>
    <row r="47" spans="1:18" x14ac:dyDescent="0.35">
      <c r="A47" s="12"/>
      <c r="B47" s="39" t="s">
        <v>23</v>
      </c>
      <c r="D47" s="24"/>
      <c r="F47" s="24"/>
      <c r="H47" s="24"/>
      <c r="J47" s="24"/>
      <c r="L47" s="24"/>
      <c r="N47" s="24"/>
      <c r="P47" s="24"/>
      <c r="R47" s="24"/>
    </row>
    <row r="48" spans="1:18" x14ac:dyDescent="0.35">
      <c r="A48" s="12"/>
      <c r="D48" s="24"/>
      <c r="F48" s="24"/>
      <c r="H48" s="24"/>
      <c r="J48" s="24"/>
      <c r="L48" s="24"/>
      <c r="N48" s="24"/>
      <c r="P48" s="24"/>
      <c r="R48" s="24"/>
    </row>
    <row r="49" spans="4:18" x14ac:dyDescent="0.35">
      <c r="D49" s="24"/>
      <c r="F49" s="24"/>
      <c r="H49" s="24"/>
      <c r="J49" s="24"/>
      <c r="L49" s="24"/>
      <c r="N49" s="24"/>
      <c r="P49" s="24"/>
      <c r="R49" s="24"/>
    </row>
  </sheetData>
  <pageMargins left="0.5" right="0.5" top="0.5" bottom="0.5" header="0.3" footer="0.3"/>
  <pageSetup scale="59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","201", " - ", "General Manager")</f>
        <v>Department 201 - General Manager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0</v>
      </c>
      <c r="F10" s="8">
        <f>SUM(OSRRefF11x_0)</f>
        <v>0</v>
      </c>
      <c r="G10" s="8"/>
      <c r="H10" s="8">
        <f>SUM(OSRRefH11x_0)</f>
        <v>0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"4100", " - ", "NON-TAXABLE SALES")</f>
        <v xml:space="preserve">          4100 - NON-TAXABLE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/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x14ac:dyDescent="0.35">
      <c r="B13" s="7" t="s">
        <v>278</v>
      </c>
      <c r="D13" s="8">
        <f>SUM(0)</f>
        <v>0</v>
      </c>
      <c r="E13" s="8"/>
      <c r="F13" s="8">
        <f>SUM(0)</f>
        <v>0</v>
      </c>
      <c r="G13" s="8"/>
      <c r="H13" s="8">
        <f>SUM(0)</f>
        <v>0</v>
      </c>
      <c r="I13" s="8"/>
      <c r="J13" s="8">
        <f>SUM(0)</f>
        <v>0</v>
      </c>
      <c r="K13" s="8"/>
      <c r="L13" s="8">
        <f>SUM(0)</f>
        <v>0</v>
      </c>
      <c r="M13" s="8"/>
      <c r="N13" s="8">
        <f>SUM(0)</f>
        <v>0</v>
      </c>
      <c r="O13" s="8"/>
      <c r="P13" s="8">
        <f>SUM(0)</f>
        <v>0</v>
      </c>
      <c r="Q13" s="8"/>
      <c r="R13" s="8">
        <f>SUM(0)</f>
        <v>0</v>
      </c>
    </row>
    <row r="14" spans="1:18" x14ac:dyDescent="0.35">
      <c r="A14" s="12"/>
      <c r="B14" s="7"/>
      <c r="C14" s="7"/>
      <c r="D14" s="6"/>
      <c r="F14" s="6"/>
      <c r="H14" s="6"/>
      <c r="J14" s="6"/>
      <c r="L14" s="6"/>
      <c r="N14" s="6"/>
      <c r="P14" s="6"/>
      <c r="R14" s="6"/>
    </row>
    <row r="15" spans="1:18" s="15" customFormat="1" x14ac:dyDescent="0.35">
      <c r="A15" s="7"/>
      <c r="B15" s="22" t="s">
        <v>107</v>
      </c>
      <c r="C15" s="22"/>
      <c r="D15" s="10">
        <f>+D10-D13</f>
        <v>0</v>
      </c>
      <c r="E15" s="12"/>
      <c r="F15" s="10">
        <f>+F10-F13</f>
        <v>0</v>
      </c>
      <c r="G15" s="5"/>
      <c r="H15" s="10">
        <f>+H10-H13</f>
        <v>0</v>
      </c>
      <c r="I15" s="5"/>
      <c r="J15" s="10">
        <f>+J10-J13</f>
        <v>0</v>
      </c>
      <c r="K15" s="5"/>
      <c r="L15" s="10">
        <f>+L10-L13</f>
        <v>0</v>
      </c>
      <c r="M15" s="5"/>
      <c r="N15" s="10">
        <f>+N10-N13</f>
        <v>0</v>
      </c>
      <c r="O15" s="5"/>
      <c r="P15" s="10">
        <f>+P10-P13</f>
        <v>0</v>
      </c>
      <c r="Q15" s="5"/>
      <c r="R15" s="10">
        <f>+R10-R13</f>
        <v>0</v>
      </c>
    </row>
    <row r="16" spans="1:18" s="27" customFormat="1" x14ac:dyDescent="0.35">
      <c r="A16" s="18"/>
      <c r="B16" s="31"/>
      <c r="C16" s="18"/>
      <c r="D16" s="9">
        <f>IFERROR(D15/D10, 0)</f>
        <v>0</v>
      </c>
      <c r="E16" s="13"/>
      <c r="F16" s="9">
        <f>IFERROR(F15/F10, 0)</f>
        <v>0</v>
      </c>
      <c r="G16" s="26"/>
      <c r="H16" s="9">
        <f>IFERROR(H15/H10, 0)</f>
        <v>0</v>
      </c>
      <c r="I16" s="26"/>
      <c r="J16" s="9">
        <f>IFERROR(J15/J10, 0)</f>
        <v>0</v>
      </c>
      <c r="K16" s="26"/>
      <c r="L16" s="9">
        <f>IFERROR(L15/L10, 0)</f>
        <v>0</v>
      </c>
      <c r="M16" s="26"/>
      <c r="N16" s="9">
        <f>IFERROR(N15/N10, 0)</f>
        <v>0</v>
      </c>
      <c r="O16" s="26"/>
      <c r="P16" s="9">
        <f>IFERROR(P15/P10, 0)</f>
        <v>0</v>
      </c>
      <c r="Q16" s="26"/>
      <c r="R16" s="9">
        <f>IFERROR(R15/R10, 0)</f>
        <v>0</v>
      </c>
    </row>
    <row r="17" spans="1:18" s="27" customFormat="1" x14ac:dyDescent="0.35">
      <c r="A17" s="18"/>
      <c r="B17" s="31"/>
      <c r="C17" s="18"/>
      <c r="D17" s="13"/>
      <c r="E17" s="13"/>
      <c r="F17" s="13"/>
      <c r="G17" s="26"/>
      <c r="H17" s="13"/>
      <c r="I17" s="26"/>
      <c r="J17" s="13"/>
      <c r="K17" s="26"/>
      <c r="L17" s="13"/>
      <c r="M17" s="26"/>
      <c r="N17" s="13"/>
      <c r="O17" s="26"/>
      <c r="P17" s="13"/>
      <c r="Q17" s="26"/>
      <c r="R17" s="13"/>
    </row>
    <row r="18" spans="1:18" s="15" customFormat="1" x14ac:dyDescent="0.35">
      <c r="A18" s="7"/>
      <c r="B18" s="34" t="s">
        <v>314</v>
      </c>
      <c r="C18" s="7"/>
      <c r="D18" s="8">
        <f>SUM(OSRRefD21x_0)</f>
        <v>927973.19999999984</v>
      </c>
      <c r="E18" s="19"/>
      <c r="F18" s="8">
        <f>SUM(OSRRefF21x_0)</f>
        <v>1227350.7899999993</v>
      </c>
      <c r="G18" s="4"/>
      <c r="H18" s="8">
        <f>SUM(OSRRefH21x_0)</f>
        <v>1336610.5300000003</v>
      </c>
      <c r="I18" s="4"/>
      <c r="J18" s="8">
        <f>SUM(OSRRefJ21x_0)</f>
        <v>1162726.6899999997</v>
      </c>
      <c r="K18" s="4"/>
      <c r="L18" s="8">
        <f>SUM(OSRRefL21x_0)</f>
        <v>1258220.8799999999</v>
      </c>
      <c r="M18" s="4"/>
      <c r="N18" s="8">
        <f>SUM(OSRRefN21x_0)</f>
        <v>854503.02</v>
      </c>
      <c r="O18" s="4"/>
      <c r="P18" s="8">
        <f>SUM(OSRRefP21x_0)</f>
        <v>564074.94107692305</v>
      </c>
      <c r="Q18" s="4"/>
      <c r="R18" s="8">
        <f>SUM(OSRRefR21x_0)</f>
        <v>543826.54438846163</v>
      </c>
    </row>
    <row r="19" spans="1:18" s="15" customFormat="1" outlineLevel="1" collapsed="1" x14ac:dyDescent="0.35">
      <c r="A19" s="7"/>
      <c r="B19" s="20" t="str">
        <f>CONCATENATE("     ","*Benefits                                         ")</f>
        <v xml:space="preserve">     *Benefits                                         </v>
      </c>
      <c r="C19" s="7"/>
      <c r="D19" s="1">
        <f>SUM(OSRRefD21_0x_0)</f>
        <v>146903.04000000001</v>
      </c>
      <c r="E19" s="19"/>
      <c r="F19" s="1">
        <f>SUM(OSRRefF21_0x_0)</f>
        <v>205629.11000000002</v>
      </c>
      <c r="G19" s="4"/>
      <c r="H19" s="1">
        <f>SUM(OSRRefH21_0x_0)</f>
        <v>177059.86000000002</v>
      </c>
      <c r="I19" s="4"/>
      <c r="J19" s="1">
        <f>SUM(OSRRefJ21_0x_0)</f>
        <v>177719.64000000004</v>
      </c>
      <c r="K19" s="4"/>
      <c r="L19" s="1">
        <f>SUM(OSRRefL21_0x_0)</f>
        <v>190516.08000000002</v>
      </c>
      <c r="M19" s="4"/>
      <c r="N19" s="1">
        <f>SUM(OSRRefN21_0x_0)</f>
        <v>160261.31</v>
      </c>
      <c r="O19" s="4"/>
      <c r="P19" s="1">
        <f>SUM(OSRRefP21_0x_0)</f>
        <v>116514.01800000004</v>
      </c>
      <c r="Q19" s="4"/>
      <c r="R19" s="1">
        <f>SUM(OSRRefR21_0x_0)</f>
        <v>114618.06746538456</v>
      </c>
    </row>
    <row r="20" spans="1:18" s="16" customFormat="1" hidden="1" outlineLevel="2" x14ac:dyDescent="0.35">
      <c r="B20" s="11" t="str">
        <f>CONCATENATE("          ", "6111", " - ", "F.I.C.A.")</f>
        <v xml:space="preserve">          6111 - F.I.C.A.</v>
      </c>
      <c r="D20" s="2">
        <v>14353.3</v>
      </c>
      <c r="F20" s="2">
        <v>23606.080000000002</v>
      </c>
      <c r="G20" s="3"/>
      <c r="H20" s="2">
        <v>25558.78</v>
      </c>
      <c r="I20" s="3"/>
      <c r="J20" s="2">
        <v>26273.11</v>
      </c>
      <c r="K20" s="3"/>
      <c r="L20" s="2">
        <v>27265.06</v>
      </c>
      <c r="M20" s="3"/>
      <c r="N20" s="2">
        <v>22345.24</v>
      </c>
      <c r="O20" s="3"/>
      <c r="P20" s="2">
        <v>21542.606307692298</v>
      </c>
      <c r="Q20" s="3"/>
      <c r="R20" s="2">
        <v>20804.8865423077</v>
      </c>
    </row>
    <row r="21" spans="1:18" s="16" customFormat="1" hidden="1" outlineLevel="2" x14ac:dyDescent="0.35">
      <c r="B21" s="11" t="str">
        <f>CONCATENATE("          ", "6112", " - ", "COMPENSATION INSURANCE")</f>
        <v xml:space="preserve">          6112 - COMPENSATION INSURANCE</v>
      </c>
      <c r="D21" s="2">
        <v>61108.77</v>
      </c>
      <c r="F21" s="2">
        <v>31925.17</v>
      </c>
      <c r="G21" s="3"/>
      <c r="H21" s="2">
        <v>1750.15</v>
      </c>
      <c r="I21" s="3"/>
      <c r="J21" s="2">
        <v>1063.06</v>
      </c>
      <c r="K21" s="3"/>
      <c r="L21" s="2">
        <v>1305.8699999999999</v>
      </c>
      <c r="M21" s="3"/>
      <c r="N21" s="2">
        <v>1283.3499999999999</v>
      </c>
      <c r="O21" s="3"/>
      <c r="P21" s="2">
        <v>896.58461538461495</v>
      </c>
      <c r="Q21" s="3"/>
      <c r="R21" s="2">
        <v>842.74334615384601</v>
      </c>
    </row>
    <row r="22" spans="1:18" s="16" customFormat="1" hidden="1" outlineLevel="2" x14ac:dyDescent="0.35">
      <c r="B22" s="11" t="str">
        <f>CONCATENATE("          ", "6113", " - ", "GROUP INSURANCE")</f>
        <v xml:space="preserve">          6113 - GROUP INSURANCE</v>
      </c>
      <c r="D22" s="2">
        <v>24161.47</v>
      </c>
      <c r="F22" s="2">
        <v>59179.27</v>
      </c>
      <c r="G22" s="3"/>
      <c r="H22" s="2">
        <v>61568.04</v>
      </c>
      <c r="I22" s="3"/>
      <c r="J22" s="2">
        <v>52075.519999999997</v>
      </c>
      <c r="K22" s="3"/>
      <c r="L22" s="2">
        <v>55984.65</v>
      </c>
      <c r="M22" s="3"/>
      <c r="N22" s="2">
        <v>48932.5</v>
      </c>
      <c r="O22" s="3"/>
      <c r="P22" s="2">
        <v>43150</v>
      </c>
      <c r="Q22" s="3"/>
      <c r="R22" s="2">
        <v>43072</v>
      </c>
    </row>
    <row r="23" spans="1:18" s="16" customFormat="1" hidden="1" outlineLevel="2" x14ac:dyDescent="0.35">
      <c r="B23" s="11" t="str">
        <f>CONCATENATE("          ", "6114", " - ", "STATE UNEMPLOYMENT INSURANCE")</f>
        <v xml:space="preserve">          6114 - STATE UNEMPLOYMENT INSURANCE</v>
      </c>
      <c r="D23" s="2">
        <v>-14358.81</v>
      </c>
      <c r="F23" s="2">
        <v>2501.64</v>
      </c>
      <c r="G23" s="3"/>
      <c r="H23" s="2">
        <v>1256.3499999999999</v>
      </c>
      <c r="I23" s="3"/>
      <c r="J23" s="2">
        <v>1268.94</v>
      </c>
      <c r="K23" s="3"/>
      <c r="L23" s="2">
        <v>1212</v>
      </c>
      <c r="M23" s="3"/>
      <c r="N23" s="2">
        <v>0</v>
      </c>
      <c r="O23" s="3"/>
      <c r="P23" s="2">
        <v>737.70399999999995</v>
      </c>
      <c r="Q23" s="3"/>
      <c r="R23" s="2">
        <v>570.89065384615401</v>
      </c>
    </row>
    <row r="24" spans="1:18" s="16" customFormat="1" hidden="1" outlineLevel="2" x14ac:dyDescent="0.35">
      <c r="B24" s="11" t="str">
        <f>CONCATENATE("          ", "6115", " - ", "P.E.R.S.")</f>
        <v xml:space="preserve">          6115 - P.E.R.S.</v>
      </c>
      <c r="D24" s="2">
        <v>29208.48</v>
      </c>
      <c r="F24" s="2">
        <v>31368.31</v>
      </c>
      <c r="G24" s="3"/>
      <c r="H24" s="2">
        <v>36392.97</v>
      </c>
      <c r="I24" s="3"/>
      <c r="J24" s="2">
        <v>37326.29</v>
      </c>
      <c r="K24" s="3"/>
      <c r="L24" s="2">
        <v>38967.33</v>
      </c>
      <c r="M24" s="3"/>
      <c r="N24" s="2">
        <v>32049.279999999999</v>
      </c>
      <c r="O24" s="3"/>
      <c r="P24" s="2">
        <v>23365.538461538501</v>
      </c>
      <c r="Q24" s="3"/>
      <c r="R24" s="2">
        <v>23379.331538461502</v>
      </c>
    </row>
    <row r="25" spans="1:18" s="16" customFormat="1" hidden="1" outlineLevel="2" x14ac:dyDescent="0.35">
      <c r="B25" s="11" t="str">
        <f>CONCATENATE("          ", "6116", " - ", "EDUCATIONAL BENEFITS")</f>
        <v xml:space="preserve">          6116 - EDUCATIONAL BENEFITS</v>
      </c>
      <c r="D25" s="2"/>
      <c r="F25" s="2"/>
      <c r="G25" s="3"/>
      <c r="H25" s="2"/>
      <c r="I25" s="3"/>
      <c r="J25" s="2">
        <v>3674</v>
      </c>
      <c r="K25" s="3"/>
      <c r="L25" s="2">
        <v>2451.4</v>
      </c>
      <c r="M25" s="3"/>
      <c r="N25" s="2"/>
      <c r="O25" s="3"/>
      <c r="P25" s="2">
        <v>0</v>
      </c>
      <c r="Q25" s="3"/>
      <c r="R25" s="2">
        <v>0</v>
      </c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18325.62</v>
      </c>
      <c r="F26" s="2">
        <v>31172.54</v>
      </c>
      <c r="G26" s="3"/>
      <c r="H26" s="2">
        <v>27726.09</v>
      </c>
      <c r="I26" s="3"/>
      <c r="J26" s="2">
        <v>34800.61</v>
      </c>
      <c r="K26" s="3"/>
      <c r="L26" s="2">
        <v>36798.879999999997</v>
      </c>
      <c r="M26" s="3"/>
      <c r="N26" s="2">
        <v>27068.51</v>
      </c>
      <c r="O26" s="3"/>
      <c r="P26" s="2">
        <v>13584.615384615399</v>
      </c>
      <c r="Q26" s="3"/>
      <c r="R26" s="2">
        <v>13592.634615384601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11422.29</v>
      </c>
      <c r="F27" s="2">
        <v>21643.63</v>
      </c>
      <c r="G27" s="3"/>
      <c r="H27" s="2">
        <v>18436.66</v>
      </c>
      <c r="I27" s="3"/>
      <c r="J27" s="2">
        <v>17291.91</v>
      </c>
      <c r="K27" s="3"/>
      <c r="L27" s="2">
        <v>21976.44</v>
      </c>
      <c r="M27" s="3"/>
      <c r="N27" s="2">
        <v>25968.799999999999</v>
      </c>
      <c r="O27" s="3"/>
      <c r="P27" s="2">
        <v>8511.9692307692294</v>
      </c>
      <c r="Q27" s="3"/>
      <c r="R27" s="2">
        <v>8155.5807692307699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2681.92</v>
      </c>
      <c r="F28" s="2">
        <v>4232.47</v>
      </c>
      <c r="G28" s="3"/>
      <c r="H28" s="2">
        <v>4370.82</v>
      </c>
      <c r="I28" s="3"/>
      <c r="J28" s="2">
        <v>3946.2</v>
      </c>
      <c r="K28" s="3"/>
      <c r="L28" s="2">
        <v>4554.45</v>
      </c>
      <c r="M28" s="3"/>
      <c r="N28" s="2">
        <v>2613.63</v>
      </c>
      <c r="O28" s="3"/>
      <c r="P28" s="2">
        <v>4725</v>
      </c>
      <c r="Q28" s="3"/>
      <c r="R28" s="2">
        <v>4200</v>
      </c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391565.07</v>
      </c>
      <c r="E29" s="19"/>
      <c r="F29" s="1">
        <f>SUM(OSRRefF21_1x_0)</f>
        <v>646190.63</v>
      </c>
      <c r="G29" s="4"/>
      <c r="H29" s="1">
        <f>SUM(OSRRefH21_1x_0)</f>
        <v>755390.42</v>
      </c>
      <c r="I29" s="4"/>
      <c r="J29" s="1">
        <f>SUM(OSRRefJ21_1x_0)</f>
        <v>656076.49</v>
      </c>
      <c r="K29" s="4"/>
      <c r="L29" s="1">
        <f>SUM(OSRRefL21_1x_0)</f>
        <v>676122.71</v>
      </c>
      <c r="M29" s="4"/>
      <c r="N29" s="1">
        <f>SUM(OSRRefN21_1x_0)</f>
        <v>398955.14</v>
      </c>
      <c r="O29" s="4"/>
      <c r="P29" s="1">
        <f>SUM(OSRRefP21_1x_0)</f>
        <v>261996.92307692301</v>
      </c>
      <c r="Q29" s="4"/>
      <c r="R29" s="1">
        <f>SUM(OSRRefR21_1x_0)</f>
        <v>250104.47692307699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156733.46</v>
      </c>
      <c r="F30" s="2">
        <v>268592.34999999998</v>
      </c>
      <c r="G30" s="3"/>
      <c r="H30" s="2">
        <v>282406.2</v>
      </c>
      <c r="I30" s="3"/>
      <c r="J30" s="2">
        <v>273693.25</v>
      </c>
      <c r="K30" s="3"/>
      <c r="L30" s="2">
        <v>297988.44</v>
      </c>
      <c r="M30" s="3"/>
      <c r="N30" s="2">
        <v>186501.08</v>
      </c>
      <c r="O30" s="3"/>
      <c r="P30" s="2">
        <v>191076.92307692301</v>
      </c>
      <c r="Q30" s="3"/>
      <c r="R30" s="2">
        <v>189458.07692307699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>
        <v>47616.73</v>
      </c>
      <c r="F31" s="2">
        <v>58453.96</v>
      </c>
      <c r="G31" s="3"/>
      <c r="H31" s="2">
        <v>56808.63</v>
      </c>
      <c r="I31" s="3"/>
      <c r="J31" s="2">
        <v>42964.32</v>
      </c>
      <c r="K31" s="3"/>
      <c r="L31" s="2">
        <v>58234.8</v>
      </c>
      <c r="M31" s="3"/>
      <c r="N31" s="2">
        <v>50433.78</v>
      </c>
      <c r="O31" s="3"/>
      <c r="P31" s="2">
        <v>58880</v>
      </c>
      <c r="Q31" s="3"/>
      <c r="R31" s="2">
        <v>60646.400000000001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>
        <v>187214.88</v>
      </c>
      <c r="F33" s="2">
        <v>19144.32</v>
      </c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/>
      <c r="F34" s="2"/>
      <c r="G34" s="3"/>
      <c r="H34" s="2"/>
      <c r="I34" s="3"/>
      <c r="J34" s="2"/>
      <c r="K34" s="3"/>
      <c r="L34" s="2"/>
      <c r="M34" s="3"/>
      <c r="N34" s="2"/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/>
      <c r="F36" s="2">
        <v>300000</v>
      </c>
      <c r="G36" s="3"/>
      <c r="H36" s="2">
        <v>416175.59</v>
      </c>
      <c r="I36" s="3"/>
      <c r="J36" s="2">
        <v>339418.92</v>
      </c>
      <c r="K36" s="3"/>
      <c r="L36" s="2">
        <v>319899.46999999997</v>
      </c>
      <c r="M36" s="3"/>
      <c r="N36" s="2">
        <v>162020.28</v>
      </c>
      <c r="O36" s="3"/>
      <c r="P36" s="2">
        <v>9800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2240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55365.02</v>
      </c>
      <c r="E40" s="19"/>
      <c r="F40" s="1">
        <f>SUM(OSRRefF21_2x_0)</f>
        <v>83695.429999999993</v>
      </c>
      <c r="G40" s="4"/>
      <c r="H40" s="1">
        <f>SUM(OSRRefH21_2x_0)</f>
        <v>82741.679999999993</v>
      </c>
      <c r="I40" s="4"/>
      <c r="J40" s="1">
        <f>SUM(OSRRefJ21_2x_0)</f>
        <v>130497.77</v>
      </c>
      <c r="K40" s="4"/>
      <c r="L40" s="1">
        <f>SUM(OSRRefL21_2x_0)</f>
        <v>147770.75</v>
      </c>
      <c r="M40" s="4"/>
      <c r="N40" s="1">
        <f>SUM(OSRRefN21_2x_0)</f>
        <v>12880.83</v>
      </c>
      <c r="O40" s="4"/>
      <c r="P40" s="1">
        <f>SUM(OSRRefP21_2x_0)</f>
        <v>6000</v>
      </c>
      <c r="Q40" s="4"/>
      <c r="R40" s="1">
        <f>SUM(OSRRefR21_2x_0)</f>
        <v>2600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55365.02</v>
      </c>
      <c r="F41" s="2">
        <v>83695.429999999993</v>
      </c>
      <c r="G41" s="3"/>
      <c r="H41" s="2">
        <v>82741.679999999993</v>
      </c>
      <c r="I41" s="3"/>
      <c r="J41" s="2">
        <v>130497.77</v>
      </c>
      <c r="K41" s="3"/>
      <c r="L41" s="2">
        <v>147770.75</v>
      </c>
      <c r="M41" s="3"/>
      <c r="N41" s="2">
        <v>12880.83</v>
      </c>
      <c r="O41" s="3"/>
      <c r="P41" s="2">
        <v>6000</v>
      </c>
      <c r="Q41" s="3"/>
      <c r="R41" s="2">
        <v>2600</v>
      </c>
    </row>
    <row r="42" spans="1:18" s="15" customFormat="1" outlineLevel="1" collapsed="1" x14ac:dyDescent="0.35">
      <c r="A42" s="7"/>
      <c r="B42" s="20" t="str">
        <f>CONCATENATE("     ","Bad Debts/Over/Short                              ")</f>
        <v xml:space="preserve">     Bad Debts/Over/Short                              </v>
      </c>
      <c r="C42" s="7"/>
      <c r="D42" s="1">
        <f>SUM(OSRRefD21_3x_0)</f>
        <v>0</v>
      </c>
      <c r="E42" s="19"/>
      <c r="F42" s="1">
        <f>SUM(OSRRefF21_3x_0)</f>
        <v>0</v>
      </c>
      <c r="G42" s="4"/>
      <c r="H42" s="1">
        <f>SUM(OSRRefH21_3x_0)</f>
        <v>0</v>
      </c>
      <c r="I42" s="4"/>
      <c r="J42" s="1">
        <f>SUM(OSRRefJ21_3x_0)</f>
        <v>3745.51</v>
      </c>
      <c r="K42" s="4"/>
      <c r="L42" s="1">
        <f>SUM(OSRRefL21_3x_0)</f>
        <v>0</v>
      </c>
      <c r="M42" s="4"/>
      <c r="N42" s="1">
        <f>SUM(OSRRefN21_3x_0)</f>
        <v>0</v>
      </c>
      <c r="O42" s="4"/>
      <c r="P42" s="1">
        <f>SUM(OSRRefP21_3x_0)</f>
        <v>0</v>
      </c>
      <c r="Q42" s="4"/>
      <c r="R42" s="1">
        <f>SUM(OSRRefR21_3x_0)</f>
        <v>0</v>
      </c>
    </row>
    <row r="43" spans="1:18" s="16" customFormat="1" hidden="1" outlineLevel="2" x14ac:dyDescent="0.35">
      <c r="B43" s="11" t="str">
        <f>CONCATENATE("          ", "6342", " - ", "BAD DEBT")</f>
        <v xml:space="preserve">          6342 - BAD DEBT</v>
      </c>
      <c r="D43" s="2"/>
      <c r="F43" s="2"/>
      <c r="G43" s="3"/>
      <c r="H43" s="2"/>
      <c r="I43" s="3"/>
      <c r="J43" s="2">
        <v>3745.51</v>
      </c>
      <c r="K43" s="3"/>
      <c r="L43" s="2"/>
      <c r="M43" s="3"/>
      <c r="N43" s="2"/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","Bank/card Fees                                    ")</f>
        <v xml:space="preserve">     Bank/card Fees                                    </v>
      </c>
      <c r="C44" s="7"/>
      <c r="D44" s="1">
        <f>SUM(OSRRefD21_4x_0)</f>
        <v>0</v>
      </c>
      <c r="E44" s="19"/>
      <c r="F44" s="1">
        <f>SUM(OSRRefF21_4x_0)</f>
        <v>7</v>
      </c>
      <c r="G44" s="4"/>
      <c r="H44" s="1">
        <f>SUM(OSRRefH21_4x_0)</f>
        <v>0</v>
      </c>
      <c r="I44" s="4"/>
      <c r="J44" s="1">
        <f>SUM(OSRRefJ21_4x_0)</f>
        <v>0</v>
      </c>
      <c r="K44" s="4"/>
      <c r="L44" s="1">
        <f>SUM(OSRRefL21_4x_0)</f>
        <v>0</v>
      </c>
      <c r="M44" s="4"/>
      <c r="N44" s="1">
        <f>SUM(OSRRefN21_4x_0)</f>
        <v>0</v>
      </c>
      <c r="O44" s="4"/>
      <c r="P44" s="1">
        <f>SUM(OSRRefP21_4x_0)</f>
        <v>0</v>
      </c>
      <c r="Q44" s="4"/>
      <c r="R44" s="1">
        <f>SUM(OSRRefR21_4x_0)</f>
        <v>0</v>
      </c>
    </row>
    <row r="45" spans="1:18" s="16" customFormat="1" hidden="1" outlineLevel="2" x14ac:dyDescent="0.35">
      <c r="B45" s="11" t="str">
        <f>CONCATENATE("          ", "6381", " - ", "BANK/CREDIT CARD FEES")</f>
        <v xml:space="preserve">          6381 - BANK/CREDIT CARD FEES</v>
      </c>
      <c r="D45" s="2"/>
      <c r="F45" s="2">
        <v>7</v>
      </c>
      <c r="G45" s="3"/>
      <c r="H45" s="2"/>
      <c r="I45" s="3"/>
      <c r="J45" s="2"/>
      <c r="K45" s="3"/>
      <c r="L45" s="2"/>
      <c r="M45" s="3"/>
      <c r="N45" s="2"/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","Depreciation                                      ")</f>
        <v xml:space="preserve">     Depreciation                                      </v>
      </c>
      <c r="C46" s="7"/>
      <c r="D46" s="1">
        <f>SUM(OSRRefD21_5x_0)</f>
        <v>2407.36</v>
      </c>
      <c r="E46" s="19"/>
      <c r="F46" s="1">
        <f>SUM(OSRRefF21_5x_0)</f>
        <v>2680.63</v>
      </c>
      <c r="G46" s="4"/>
      <c r="H46" s="1">
        <f>SUM(OSRRefH21_5x_0)</f>
        <v>2680.63</v>
      </c>
      <c r="I46" s="4"/>
      <c r="J46" s="1">
        <f>SUM(OSRRefJ21_5x_0)</f>
        <v>632.11</v>
      </c>
      <c r="K46" s="4"/>
      <c r="L46" s="1">
        <f>SUM(OSRRefL21_5x_0)</f>
        <v>4142.74</v>
      </c>
      <c r="M46" s="4"/>
      <c r="N46" s="1">
        <f>SUM(OSRRefN21_5x_0)</f>
        <v>4051.65</v>
      </c>
      <c r="O46" s="4"/>
      <c r="P46" s="1">
        <f>SUM(OSRRefP21_5x_0)</f>
        <v>3778</v>
      </c>
      <c r="Q46" s="4"/>
      <c r="R46" s="1">
        <f>SUM(OSRRefR21_5x_0)</f>
        <v>3780</v>
      </c>
    </row>
    <row r="47" spans="1:18" s="16" customFormat="1" hidden="1" outlineLevel="2" x14ac:dyDescent="0.35">
      <c r="B47" s="11" t="str">
        <f>CONCATENATE("          ", "6322", " - ", "EQUIPMENT DEPRECIATION EXPENSE")</f>
        <v xml:space="preserve">          6322 - EQUIPMENT DEPRECIATION EXPENSE</v>
      </c>
      <c r="D47" s="2">
        <v>2407.36</v>
      </c>
      <c r="F47" s="2">
        <v>2680.63</v>
      </c>
      <c r="G47" s="3"/>
      <c r="H47" s="2">
        <v>2680.63</v>
      </c>
      <c r="I47" s="3"/>
      <c r="J47" s="2">
        <v>632.11</v>
      </c>
      <c r="K47" s="3"/>
      <c r="L47" s="2">
        <v>4142.74</v>
      </c>
      <c r="M47" s="3"/>
      <c r="N47" s="2">
        <v>4051.65</v>
      </c>
      <c r="O47" s="3"/>
      <c r="P47" s="2">
        <v>3778</v>
      </c>
      <c r="Q47" s="3"/>
      <c r="R47" s="2">
        <v>3780</v>
      </c>
    </row>
    <row r="48" spans="1:18" s="15" customFormat="1" outlineLevel="1" collapsed="1" x14ac:dyDescent="0.35">
      <c r="A48" s="7"/>
      <c r="B48" s="20" t="str">
        <f>CONCATENATE("     ","Donations                                         ")</f>
        <v xml:space="preserve">     Donations                                         </v>
      </c>
      <c r="C48" s="7"/>
      <c r="D48" s="1">
        <f>SUM(OSRRefD21_6x_0)</f>
        <v>96270.23</v>
      </c>
      <c r="E48" s="19"/>
      <c r="F48" s="1">
        <f>SUM(OSRRefF21_6x_0)</f>
        <v>96592.31</v>
      </c>
      <c r="G48" s="4"/>
      <c r="H48" s="1">
        <f>SUM(OSRRefH21_6x_0)</f>
        <v>81770.34</v>
      </c>
      <c r="I48" s="4"/>
      <c r="J48" s="1">
        <f>SUM(OSRRefJ21_6x_0)</f>
        <v>55546.67</v>
      </c>
      <c r="K48" s="4"/>
      <c r="L48" s="1">
        <f>SUM(OSRRefL21_6x_0)</f>
        <v>65822.399999999994</v>
      </c>
      <c r="M48" s="4"/>
      <c r="N48" s="1">
        <f>SUM(OSRRefN21_6x_0)</f>
        <v>144858</v>
      </c>
      <c r="O48" s="4"/>
      <c r="P48" s="1">
        <f>SUM(OSRRefP21_6x_0)</f>
        <v>41750</v>
      </c>
      <c r="Q48" s="4"/>
      <c r="R48" s="1">
        <f>SUM(OSRRefR21_6x_0)</f>
        <v>64250</v>
      </c>
    </row>
    <row r="49" spans="1:18" s="16" customFormat="1" hidden="1" outlineLevel="2" x14ac:dyDescent="0.35">
      <c r="B49" s="11" t="str">
        <f>CONCATENATE("          ", "6395", " - ", "DONATION-OFF CAMPUS")</f>
        <v xml:space="preserve">          6395 - DONATION-OFF CAMPUS</v>
      </c>
      <c r="D49" s="2">
        <v>1000</v>
      </c>
      <c r="F49" s="2">
        <v>1000</v>
      </c>
      <c r="G49" s="3"/>
      <c r="H49" s="2">
        <v>1000</v>
      </c>
      <c r="I49" s="3"/>
      <c r="J49" s="2">
        <v>354.6</v>
      </c>
      <c r="K49" s="3"/>
      <c r="L49" s="2"/>
      <c r="M49" s="3"/>
      <c r="N49" s="2"/>
      <c r="O49" s="3"/>
      <c r="P49" s="2">
        <v>1500</v>
      </c>
      <c r="Q49" s="3"/>
      <c r="R49" s="2"/>
    </row>
    <row r="50" spans="1:18" s="16" customFormat="1" hidden="1" outlineLevel="2" x14ac:dyDescent="0.35">
      <c r="B50" s="11" t="str">
        <f>CONCATENATE("          ", "6399", " - ", "DONATION-ON CAMPUS")</f>
        <v xml:space="preserve">          6399 - DONATION-ON CAMPUS</v>
      </c>
      <c r="D50" s="2">
        <v>95270.23</v>
      </c>
      <c r="F50" s="2">
        <v>95592.31</v>
      </c>
      <c r="G50" s="3"/>
      <c r="H50" s="2">
        <v>80770.34</v>
      </c>
      <c r="I50" s="3"/>
      <c r="J50" s="2">
        <v>55192.07</v>
      </c>
      <c r="K50" s="3"/>
      <c r="L50" s="2">
        <v>65822.399999999994</v>
      </c>
      <c r="M50" s="3"/>
      <c r="N50" s="2">
        <v>144858</v>
      </c>
      <c r="O50" s="3"/>
      <c r="P50" s="2">
        <v>40250</v>
      </c>
      <c r="Q50" s="3"/>
      <c r="R50" s="2">
        <v>64250</v>
      </c>
    </row>
    <row r="51" spans="1:18" s="15" customFormat="1" outlineLevel="1" collapsed="1" x14ac:dyDescent="0.35">
      <c r="A51" s="7"/>
      <c r="B51" s="20" t="str">
        <f>CONCATENATE("     ","Employees' Appreciation                           ")</f>
        <v xml:space="preserve">     Employees' Appreciation                           </v>
      </c>
      <c r="C51" s="7"/>
      <c r="D51" s="1">
        <f>SUM(OSRRefD21_7x_0)</f>
        <v>1965.62</v>
      </c>
      <c r="E51" s="19"/>
      <c r="F51" s="1">
        <f>SUM(OSRRefF21_7x_0)</f>
        <v>0</v>
      </c>
      <c r="G51" s="4"/>
      <c r="H51" s="1">
        <f>SUM(OSRRefH21_7x_0)</f>
        <v>91.72</v>
      </c>
      <c r="I51" s="4"/>
      <c r="J51" s="1">
        <f>SUM(OSRRefJ21_7x_0)</f>
        <v>106.94</v>
      </c>
      <c r="K51" s="4"/>
      <c r="L51" s="1">
        <f>SUM(OSRRefL21_7x_0)</f>
        <v>4860.53</v>
      </c>
      <c r="M51" s="4"/>
      <c r="N51" s="1">
        <f>SUM(OSRRefN21_7x_0)</f>
        <v>0</v>
      </c>
      <c r="O51" s="4"/>
      <c r="P51" s="1">
        <f>SUM(OSRRefP21_7x_0)</f>
        <v>4000</v>
      </c>
      <c r="Q51" s="4"/>
      <c r="R51" s="1">
        <f>SUM(OSRRefR21_7x_0)</f>
        <v>5000</v>
      </c>
    </row>
    <row r="52" spans="1:18" s="16" customFormat="1" hidden="1" outlineLevel="2" x14ac:dyDescent="0.35">
      <c r="B52" s="11" t="str">
        <f>CONCATENATE("          ", "6277", " - ", "EMPLOYEE APPRECIATION")</f>
        <v xml:space="preserve">          6277 - EMPLOYEE APPRECIATION</v>
      </c>
      <c r="D52" s="2">
        <v>1965.62</v>
      </c>
      <c r="F52" s="2"/>
      <c r="G52" s="3"/>
      <c r="H52" s="2">
        <v>91.72</v>
      </c>
      <c r="I52" s="3"/>
      <c r="J52" s="2">
        <v>106.94</v>
      </c>
      <c r="K52" s="3"/>
      <c r="L52" s="2">
        <v>4860.53</v>
      </c>
      <c r="M52" s="3"/>
      <c r="N52" s="2"/>
      <c r="O52" s="3"/>
      <c r="P52" s="2">
        <v>4000</v>
      </c>
      <c r="Q52" s="3"/>
      <c r="R52" s="2">
        <v>5000</v>
      </c>
    </row>
    <row r="53" spans="1:18" s="15" customFormat="1" outlineLevel="1" collapsed="1" x14ac:dyDescent="0.35">
      <c r="A53" s="7"/>
      <c r="B53" s="20" t="str">
        <f>CONCATENATE("     ","Equipment Rental                                  ")</f>
        <v xml:space="preserve">     Equipment Rental                                  </v>
      </c>
      <c r="C53" s="7"/>
      <c r="D53" s="1">
        <f>SUM(OSRRefD21_8x_0)</f>
        <v>1245.54</v>
      </c>
      <c r="E53" s="19"/>
      <c r="F53" s="1">
        <f>SUM(OSRRefF21_8x_0)</f>
        <v>1245.82</v>
      </c>
      <c r="G53" s="4"/>
      <c r="H53" s="1">
        <f>SUM(OSRRefH21_8x_0)</f>
        <v>1182.51</v>
      </c>
      <c r="I53" s="4"/>
      <c r="J53" s="1">
        <f>SUM(OSRRefJ21_8x_0)</f>
        <v>1411.46</v>
      </c>
      <c r="K53" s="4"/>
      <c r="L53" s="1">
        <f>SUM(OSRRefL21_8x_0)</f>
        <v>1412.64</v>
      </c>
      <c r="M53" s="4"/>
      <c r="N53" s="1">
        <f>SUM(OSRRefN21_8x_0)</f>
        <v>1412.64</v>
      </c>
      <c r="O53" s="4"/>
      <c r="P53" s="1">
        <f>SUM(OSRRefP21_8x_0)</f>
        <v>1416</v>
      </c>
      <c r="Q53" s="4"/>
      <c r="R53" s="1">
        <f>SUM(OSRRefR21_8x_0)</f>
        <v>1416</v>
      </c>
    </row>
    <row r="54" spans="1:18" s="16" customFormat="1" hidden="1" outlineLevel="2" x14ac:dyDescent="0.35">
      <c r="B54" s="11" t="str">
        <f>CONCATENATE("          ", "6351", " - ", "EQUIPMENT RENTAL")</f>
        <v xml:space="preserve">          6351 - EQUIPMENT RENTAL</v>
      </c>
      <c r="D54" s="2">
        <v>1245.54</v>
      </c>
      <c r="F54" s="2">
        <v>1245.82</v>
      </c>
      <c r="G54" s="3"/>
      <c r="H54" s="2">
        <v>1182.51</v>
      </c>
      <c r="I54" s="3"/>
      <c r="J54" s="2">
        <v>1411.46</v>
      </c>
      <c r="K54" s="3"/>
      <c r="L54" s="2">
        <v>1412.64</v>
      </c>
      <c r="M54" s="3"/>
      <c r="N54" s="2">
        <v>1412.64</v>
      </c>
      <c r="O54" s="3"/>
      <c r="P54" s="2">
        <v>1416</v>
      </c>
      <c r="Q54" s="3"/>
      <c r="R54" s="2">
        <v>1416</v>
      </c>
    </row>
    <row r="55" spans="1:18" s="15" customFormat="1" outlineLevel="1" collapsed="1" x14ac:dyDescent="0.35">
      <c r="A55" s="7"/>
      <c r="B55" s="20" t="str">
        <f>CONCATENATE("     ","Freight out/Postage                               ")</f>
        <v xml:space="preserve">     Freight out/Postage                               </v>
      </c>
      <c r="C55" s="7"/>
      <c r="D55" s="1">
        <f>SUM(OSRRefD21_9x_0)</f>
        <v>214.44</v>
      </c>
      <c r="E55" s="19"/>
      <c r="F55" s="1">
        <f>SUM(OSRRefF21_9x_0)</f>
        <v>377.89</v>
      </c>
      <c r="G55" s="4"/>
      <c r="H55" s="1">
        <f>SUM(OSRRefH21_9x_0)</f>
        <v>76.790000000000006</v>
      </c>
      <c r="I55" s="4"/>
      <c r="J55" s="1">
        <f>SUM(OSRRefJ21_9x_0)</f>
        <v>107.96</v>
      </c>
      <c r="K55" s="4"/>
      <c r="L55" s="1">
        <f>SUM(OSRRefL21_9x_0)</f>
        <v>7.91</v>
      </c>
      <c r="M55" s="4"/>
      <c r="N55" s="1">
        <f>SUM(OSRRefN21_9x_0)</f>
        <v>171.76</v>
      </c>
      <c r="O55" s="4"/>
      <c r="P55" s="1">
        <f>SUM(OSRRefP21_9x_0)</f>
        <v>180</v>
      </c>
      <c r="Q55" s="4"/>
      <c r="R55" s="1">
        <f>SUM(OSRRefR21_9x_0)</f>
        <v>825</v>
      </c>
    </row>
    <row r="56" spans="1:18" s="16" customFormat="1" hidden="1" outlineLevel="2" x14ac:dyDescent="0.35">
      <c r="B56" s="11" t="str">
        <f>CONCATENATE("          ", "6307", " - ", "POSTAGE")</f>
        <v xml:space="preserve">          6307 - POSTAGE</v>
      </c>
      <c r="D56" s="2">
        <v>214.44</v>
      </c>
      <c r="F56" s="2">
        <v>377.89</v>
      </c>
      <c r="G56" s="3"/>
      <c r="H56" s="2">
        <v>76.790000000000006</v>
      </c>
      <c r="I56" s="3"/>
      <c r="J56" s="2">
        <v>107.96</v>
      </c>
      <c r="K56" s="3"/>
      <c r="L56" s="2">
        <v>7.91</v>
      </c>
      <c r="M56" s="3"/>
      <c r="N56" s="2">
        <v>171.76</v>
      </c>
      <c r="O56" s="3"/>
      <c r="P56" s="2">
        <v>180</v>
      </c>
      <c r="Q56" s="3"/>
      <c r="R56" s="2">
        <v>825</v>
      </c>
    </row>
    <row r="57" spans="1:18" s="15" customFormat="1" outlineLevel="1" collapsed="1" x14ac:dyDescent="0.35">
      <c r="A57" s="7"/>
      <c r="B57" s="20" t="str">
        <f>CONCATENATE("     ","General                                           ")</f>
        <v xml:space="preserve">     General                                           </v>
      </c>
      <c r="C57" s="7"/>
      <c r="D57" s="1">
        <f>SUM(OSRRefD21_10x_0)</f>
        <v>3078.09</v>
      </c>
      <c r="E57" s="19"/>
      <c r="F57" s="1">
        <f>SUM(OSRRefF21_10x_0)</f>
        <v>609.09</v>
      </c>
      <c r="G57" s="4"/>
      <c r="H57" s="1">
        <f>SUM(OSRRefH21_10x_0)</f>
        <v>2039.07</v>
      </c>
      <c r="I57" s="4"/>
      <c r="J57" s="1">
        <f>SUM(OSRRefJ21_10x_0)</f>
        <v>5498.91</v>
      </c>
      <c r="K57" s="4"/>
      <c r="L57" s="1">
        <f>SUM(OSRRefL21_10x_0)</f>
        <v>29928.71</v>
      </c>
      <c r="M57" s="4"/>
      <c r="N57" s="1">
        <f>SUM(OSRRefN21_10x_0)</f>
        <v>13430.41</v>
      </c>
      <c r="O57" s="4"/>
      <c r="P57" s="1">
        <f>SUM(OSRRefP21_10x_0)</f>
        <v>3000</v>
      </c>
      <c r="Q57" s="4"/>
      <c r="R57" s="1">
        <f>SUM(OSRRefR21_10x_0)</f>
        <v>0</v>
      </c>
    </row>
    <row r="58" spans="1:18" s="16" customFormat="1" hidden="1" outlineLevel="2" x14ac:dyDescent="0.35">
      <c r="B58" s="11" t="str">
        <f>CONCATENATE("          ", "6279", " - ", "GENERAL EXPENSE")</f>
        <v xml:space="preserve">          6279 - GENERAL EXPENSE</v>
      </c>
      <c r="D58" s="2">
        <v>3078.09</v>
      </c>
      <c r="F58" s="2">
        <v>609.09</v>
      </c>
      <c r="G58" s="3"/>
      <c r="H58" s="2">
        <v>2039.07</v>
      </c>
      <c r="I58" s="3"/>
      <c r="J58" s="2">
        <v>5498.91</v>
      </c>
      <c r="K58" s="3"/>
      <c r="L58" s="2">
        <v>29928.71</v>
      </c>
      <c r="M58" s="3"/>
      <c r="N58" s="2">
        <v>13430.41</v>
      </c>
      <c r="O58" s="3"/>
      <c r="P58" s="2">
        <v>3000</v>
      </c>
      <c r="Q58" s="3"/>
      <c r="R58" s="2"/>
    </row>
    <row r="59" spans="1:18" s="15" customFormat="1" outlineLevel="1" collapsed="1" x14ac:dyDescent="0.35">
      <c r="A59" s="7"/>
      <c r="B59" s="20" t="str">
        <f>CONCATENATE("     ","Insurance                                         ")</f>
        <v xml:space="preserve">     Insurance                                         </v>
      </c>
      <c r="C59" s="7"/>
      <c r="D59" s="1">
        <f>SUM(OSRRefD21_11x_0)</f>
        <v>956.04</v>
      </c>
      <c r="E59" s="19"/>
      <c r="F59" s="1">
        <f>SUM(OSRRefF21_11x_0)</f>
        <v>1060.8399999999999</v>
      </c>
      <c r="G59" s="4"/>
      <c r="H59" s="1">
        <f>SUM(OSRRefH21_11x_0)</f>
        <v>1374.78</v>
      </c>
      <c r="I59" s="4"/>
      <c r="J59" s="1">
        <f>SUM(OSRRefJ21_11x_0)</f>
        <v>1494.81</v>
      </c>
      <c r="K59" s="4"/>
      <c r="L59" s="1">
        <f>SUM(OSRRefL21_11x_0)</f>
        <v>1462.11</v>
      </c>
      <c r="M59" s="4"/>
      <c r="N59" s="1">
        <f>SUM(OSRRefN21_11x_0)</f>
        <v>1735.56</v>
      </c>
      <c r="O59" s="4"/>
      <c r="P59" s="1">
        <f>SUM(OSRRefP21_11x_0)</f>
        <v>1512</v>
      </c>
      <c r="Q59" s="4"/>
      <c r="R59" s="1">
        <f>SUM(OSRRefR21_11x_0)</f>
        <v>1800</v>
      </c>
    </row>
    <row r="60" spans="1:18" s="16" customFormat="1" hidden="1" outlineLevel="2" x14ac:dyDescent="0.35">
      <c r="B60" s="11" t="str">
        <f>CONCATENATE("          ", "6314", " - ", "LIABILITY INSURANCE")</f>
        <v xml:space="preserve">          6314 - LIABILITY INSURANCE</v>
      </c>
      <c r="D60" s="2">
        <v>956.04</v>
      </c>
      <c r="F60" s="2">
        <v>1060.8399999999999</v>
      </c>
      <c r="G60" s="3"/>
      <c r="H60" s="2">
        <v>1374.78</v>
      </c>
      <c r="I60" s="3"/>
      <c r="J60" s="2">
        <v>1494.81</v>
      </c>
      <c r="K60" s="3"/>
      <c r="L60" s="2">
        <v>1462.11</v>
      </c>
      <c r="M60" s="3"/>
      <c r="N60" s="2">
        <v>1735.56</v>
      </c>
      <c r="O60" s="3"/>
      <c r="P60" s="2">
        <v>1512</v>
      </c>
      <c r="Q60" s="3"/>
      <c r="R60" s="2">
        <v>1800</v>
      </c>
    </row>
    <row r="61" spans="1:18" s="15" customFormat="1" outlineLevel="1" collapsed="1" x14ac:dyDescent="0.35">
      <c r="A61" s="7"/>
      <c r="B61" s="20" t="str">
        <f>CONCATENATE("     ","Interest                                          ")</f>
        <v xml:space="preserve">     Interest                                          </v>
      </c>
      <c r="C61" s="7"/>
      <c r="D61" s="1">
        <f>SUM(OSRRefD21_12x_0)</f>
        <v>0</v>
      </c>
      <c r="E61" s="19"/>
      <c r="F61" s="1">
        <f>SUM(OSRRefF21_12x_0)</f>
        <v>0</v>
      </c>
      <c r="G61" s="4"/>
      <c r="H61" s="1">
        <f>SUM(OSRRefH21_12x_0)</f>
        <v>11.07</v>
      </c>
      <c r="I61" s="4"/>
      <c r="J61" s="1">
        <f>SUM(OSRRefJ21_12x_0)</f>
        <v>0</v>
      </c>
      <c r="K61" s="4"/>
      <c r="L61" s="1">
        <f>SUM(OSRRefL21_12x_0)</f>
        <v>0</v>
      </c>
      <c r="M61" s="4"/>
      <c r="N61" s="1">
        <f>SUM(OSRRefN21_12x_0)</f>
        <v>0</v>
      </c>
      <c r="O61" s="4"/>
      <c r="P61" s="1">
        <f>SUM(OSRRefP21_12x_0)</f>
        <v>0</v>
      </c>
      <c r="Q61" s="4"/>
      <c r="R61" s="1">
        <f>SUM(OSRRefR21_12x_0)</f>
        <v>0</v>
      </c>
    </row>
    <row r="62" spans="1:18" s="16" customFormat="1" hidden="1" outlineLevel="2" x14ac:dyDescent="0.35">
      <c r="B62" s="11" t="str">
        <f>CONCATENATE("          ", "6401", " - ", "INTEREST EXPENSE")</f>
        <v xml:space="preserve">          6401 - INTEREST EXPENSE</v>
      </c>
      <c r="D62" s="2"/>
      <c r="F62" s="2"/>
      <c r="G62" s="3"/>
      <c r="H62" s="2">
        <v>11.07</v>
      </c>
      <c r="I62" s="3"/>
      <c r="J62" s="2"/>
      <c r="K62" s="3"/>
      <c r="L62" s="2"/>
      <c r="M62" s="3"/>
      <c r="N62" s="2"/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","Professional Services                             ")</f>
        <v xml:space="preserve">     Professional Services                             </v>
      </c>
      <c r="C63" s="7"/>
      <c r="D63" s="1">
        <f>SUM(OSRRefD21_13x_0)</f>
        <v>99459</v>
      </c>
      <c r="E63" s="19"/>
      <c r="F63" s="1">
        <f>SUM(OSRRefF21_13x_0)</f>
        <v>61825</v>
      </c>
      <c r="G63" s="4"/>
      <c r="H63" s="1">
        <f>SUM(OSRRefH21_13x_0)</f>
        <v>84898</v>
      </c>
      <c r="I63" s="4"/>
      <c r="J63" s="1">
        <f>SUM(OSRRefJ21_13x_0)</f>
        <v>51295</v>
      </c>
      <c r="K63" s="4"/>
      <c r="L63" s="1">
        <f>SUM(OSRRefL21_13x_0)</f>
        <v>51185</v>
      </c>
      <c r="M63" s="4"/>
      <c r="N63" s="1">
        <f>SUM(OSRRefN21_13x_0)</f>
        <v>51735</v>
      </c>
      <c r="O63" s="4"/>
      <c r="P63" s="1">
        <f>SUM(OSRRefP21_13x_0)</f>
        <v>59500</v>
      </c>
      <c r="Q63" s="4"/>
      <c r="R63" s="1">
        <f>SUM(OSRRefR21_13x_0)</f>
        <v>60500</v>
      </c>
    </row>
    <row r="64" spans="1:18" s="16" customFormat="1" hidden="1" outlineLevel="2" x14ac:dyDescent="0.35">
      <c r="B64" s="11" t="str">
        <f>CONCATENATE("          ", "6331", " - ", "INDIRECT COSTS-AUXILIARY ORGAN")</f>
        <v xml:space="preserve">          6331 - INDIRECT COSTS-AUXILIARY ORGAN</v>
      </c>
      <c r="D64" s="2">
        <v>56189.25</v>
      </c>
      <c r="F64" s="2">
        <v>46225</v>
      </c>
      <c r="G64" s="3"/>
      <c r="H64" s="2">
        <v>43450</v>
      </c>
      <c r="I64" s="3"/>
      <c r="J64" s="2">
        <v>44350</v>
      </c>
      <c r="K64" s="3"/>
      <c r="L64" s="2">
        <v>44400</v>
      </c>
      <c r="M64" s="3"/>
      <c r="N64" s="2">
        <v>45550</v>
      </c>
      <c r="O64" s="3"/>
      <c r="P64" s="2">
        <v>49000</v>
      </c>
      <c r="Q64" s="3"/>
      <c r="R64" s="2">
        <v>51000</v>
      </c>
    </row>
    <row r="65" spans="1:18" s="16" customFormat="1" hidden="1" outlineLevel="2" x14ac:dyDescent="0.35">
      <c r="B65" s="11" t="str">
        <f>CONCATENATE("          ", "6332", " - ", "CONSULTANT FEES")</f>
        <v xml:space="preserve">          6332 - CONSULTANT FEES</v>
      </c>
      <c r="D65" s="2"/>
      <c r="F65" s="2">
        <v>5250</v>
      </c>
      <c r="G65" s="3"/>
      <c r="H65" s="2">
        <v>34313</v>
      </c>
      <c r="I65" s="3"/>
      <c r="J65" s="2">
        <v>425</v>
      </c>
      <c r="K65" s="3"/>
      <c r="L65" s="2"/>
      <c r="M65" s="3"/>
      <c r="N65" s="2"/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"6334", " - ", "LEGAL COUNCIL EXPENSE")</f>
        <v xml:space="preserve">          6334 - LEGAL COUNCIL EXPENSE</v>
      </c>
      <c r="D66" s="2">
        <v>38269.75</v>
      </c>
      <c r="F66" s="2">
        <v>5350</v>
      </c>
      <c r="G66" s="3"/>
      <c r="H66" s="2">
        <v>2135</v>
      </c>
      <c r="I66" s="3"/>
      <c r="J66" s="2">
        <v>1500</v>
      </c>
      <c r="K66" s="3"/>
      <c r="L66" s="2">
        <v>1785</v>
      </c>
      <c r="M66" s="3"/>
      <c r="N66" s="2">
        <v>1165</v>
      </c>
      <c r="O66" s="3"/>
      <c r="P66" s="2">
        <v>5500</v>
      </c>
      <c r="Q66" s="3"/>
      <c r="R66" s="2">
        <v>4500</v>
      </c>
    </row>
    <row r="67" spans="1:18" s="16" customFormat="1" hidden="1" outlineLevel="2" x14ac:dyDescent="0.35">
      <c r="B67" s="11" t="str">
        <f>CONCATENATE("          ", "6336", " - ", "PROFESSIONAL SERVICES")</f>
        <v xml:space="preserve">          6336 - PROFESSIONAL SERVICES</v>
      </c>
      <c r="D67" s="2">
        <v>5000</v>
      </c>
      <c r="F67" s="2">
        <v>5000</v>
      </c>
      <c r="G67" s="3"/>
      <c r="H67" s="2">
        <v>5000</v>
      </c>
      <c r="I67" s="3"/>
      <c r="J67" s="2">
        <v>5020</v>
      </c>
      <c r="K67" s="3"/>
      <c r="L67" s="2">
        <v>5000</v>
      </c>
      <c r="M67" s="3"/>
      <c r="N67" s="2">
        <v>5020</v>
      </c>
      <c r="O67" s="3"/>
      <c r="P67" s="2">
        <v>5000</v>
      </c>
      <c r="Q67" s="3"/>
      <c r="R67" s="2">
        <v>5000</v>
      </c>
    </row>
    <row r="68" spans="1:18" s="15" customFormat="1" outlineLevel="1" collapsed="1" x14ac:dyDescent="0.35">
      <c r="A68" s="7"/>
      <c r="B68" s="20" t="str">
        <f>CONCATENATE("     ","Repair and Maintenance                            ")</f>
        <v xml:space="preserve">     Repair and Maintenance                            </v>
      </c>
      <c r="C68" s="7"/>
      <c r="D68" s="1">
        <f>SUM(OSRRefD21_14x_0)</f>
        <v>88221.18</v>
      </c>
      <c r="E68" s="19"/>
      <c r="F68" s="1">
        <f>SUM(OSRRefF21_14x_0)</f>
        <v>84933.440000000002</v>
      </c>
      <c r="G68" s="4"/>
      <c r="H68" s="1">
        <f>SUM(OSRRefH21_14x_0)</f>
        <v>105974.87</v>
      </c>
      <c r="I68" s="4"/>
      <c r="J68" s="1">
        <f>SUM(OSRRefJ21_14x_0)</f>
        <v>32205.47</v>
      </c>
      <c r="K68" s="4"/>
      <c r="L68" s="1">
        <f>SUM(OSRRefL21_14x_0)</f>
        <v>46829.279999999999</v>
      </c>
      <c r="M68" s="4"/>
      <c r="N68" s="1">
        <f>SUM(OSRRefN21_14x_0)</f>
        <v>33455.47</v>
      </c>
      <c r="O68" s="4"/>
      <c r="P68" s="1">
        <f>SUM(OSRRefP21_14x_0)</f>
        <v>26178</v>
      </c>
      <c r="Q68" s="4"/>
      <c r="R68" s="1">
        <f>SUM(OSRRefR21_14x_0)</f>
        <v>18360</v>
      </c>
    </row>
    <row r="69" spans="1:18" s="16" customFormat="1" hidden="1" outlineLevel="2" x14ac:dyDescent="0.35">
      <c r="B69" s="11" t="str">
        <f>CONCATENATE("          ", "6371", " - ", "COMPUTER SOFTWARE MAINTENANCE")</f>
        <v xml:space="preserve">          6371 - COMPUTER SOFTWARE MAINTENANCE</v>
      </c>
      <c r="D69" s="2"/>
      <c r="F69" s="2">
        <v>99</v>
      </c>
      <c r="G69" s="3"/>
      <c r="H69" s="2"/>
      <c r="I69" s="3"/>
      <c r="J69" s="2">
        <v>1039</v>
      </c>
      <c r="K69" s="3"/>
      <c r="L69" s="2"/>
      <c r="M69" s="3"/>
      <c r="N69" s="2">
        <v>31.58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"6373", " - ", "MAINTENANCE CONTRACTS")</f>
        <v xml:space="preserve">          6373 - MAINTENANCE CONTRACTS</v>
      </c>
      <c r="D70" s="2">
        <v>88221.18</v>
      </c>
      <c r="F70" s="2">
        <v>84834.44</v>
      </c>
      <c r="G70" s="3"/>
      <c r="H70" s="2">
        <v>105974.87</v>
      </c>
      <c r="I70" s="3"/>
      <c r="J70" s="2">
        <v>31166.47</v>
      </c>
      <c r="K70" s="3"/>
      <c r="L70" s="2">
        <v>40480.85</v>
      </c>
      <c r="M70" s="3"/>
      <c r="N70" s="2">
        <v>32898.9</v>
      </c>
      <c r="O70" s="3"/>
      <c r="P70" s="2">
        <v>26178</v>
      </c>
      <c r="Q70" s="3"/>
      <c r="R70" s="2">
        <v>18360</v>
      </c>
    </row>
    <row r="71" spans="1:18" s="16" customFormat="1" hidden="1" outlineLevel="2" x14ac:dyDescent="0.35">
      <c r="B71" s="11" t="str">
        <f>CONCATENATE("          ", "6375", " - ", "OUTSIDE REPAIRS &amp; MAINTENANCE")</f>
        <v xml:space="preserve">          6375 - OUTSIDE REPAIRS &amp; MAINTENANCE</v>
      </c>
      <c r="D71" s="2"/>
      <c r="F71" s="2"/>
      <c r="G71" s="3"/>
      <c r="H71" s="2"/>
      <c r="I71" s="3"/>
      <c r="J71" s="2"/>
      <c r="K71" s="3"/>
      <c r="L71" s="2">
        <v>6348.43</v>
      </c>
      <c r="M71" s="3"/>
      <c r="N71" s="2">
        <v>524.99</v>
      </c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","Subscriptions &amp; Dues                              ")</f>
        <v xml:space="preserve">     Subscriptions &amp; Dues                              </v>
      </c>
      <c r="C72" s="7"/>
      <c r="D72" s="1">
        <f>SUM(OSRRefD21_15x_0)</f>
        <v>8767</v>
      </c>
      <c r="E72" s="19"/>
      <c r="F72" s="1">
        <f>SUM(OSRRefF21_15x_0)</f>
        <v>8619</v>
      </c>
      <c r="G72" s="4"/>
      <c r="H72" s="1">
        <f>SUM(OSRRefH21_15x_0)</f>
        <v>7975</v>
      </c>
      <c r="I72" s="4"/>
      <c r="J72" s="1">
        <f>SUM(OSRRefJ21_15x_0)</f>
        <v>8250</v>
      </c>
      <c r="K72" s="4"/>
      <c r="L72" s="1">
        <f>SUM(OSRRefL21_15x_0)</f>
        <v>9482</v>
      </c>
      <c r="M72" s="4"/>
      <c r="N72" s="1">
        <f>SUM(OSRRefN21_15x_0)</f>
        <v>7238</v>
      </c>
      <c r="O72" s="4"/>
      <c r="P72" s="1">
        <f>SUM(OSRRefP21_15x_0)</f>
        <v>8950</v>
      </c>
      <c r="Q72" s="4"/>
      <c r="R72" s="1">
        <f>SUM(OSRRefR21_15x_0)</f>
        <v>8423</v>
      </c>
    </row>
    <row r="73" spans="1:18" s="16" customFormat="1" hidden="1" outlineLevel="2" x14ac:dyDescent="0.35">
      <c r="B73" s="11" t="str">
        <f>CONCATENATE("          ", "6258", " - ", "MEMBERSHIP DUES")</f>
        <v xml:space="preserve">          6258 - MEMBERSHIP DUES</v>
      </c>
      <c r="D73" s="2">
        <v>8767</v>
      </c>
      <c r="F73" s="2">
        <v>8619</v>
      </c>
      <c r="G73" s="3"/>
      <c r="H73" s="2">
        <v>7975</v>
      </c>
      <c r="I73" s="3"/>
      <c r="J73" s="2">
        <v>8250</v>
      </c>
      <c r="K73" s="3"/>
      <c r="L73" s="2">
        <v>9482</v>
      </c>
      <c r="M73" s="3"/>
      <c r="N73" s="2">
        <v>7238</v>
      </c>
      <c r="O73" s="3"/>
      <c r="P73" s="2">
        <v>8950</v>
      </c>
      <c r="Q73" s="3"/>
      <c r="R73" s="2">
        <v>8423</v>
      </c>
    </row>
    <row r="74" spans="1:18" s="15" customFormat="1" outlineLevel="1" collapsed="1" x14ac:dyDescent="0.35">
      <c r="A74" s="7"/>
      <c r="B74" s="20" t="str">
        <f>CONCATENATE("     ","Supplies                                          ")</f>
        <v xml:space="preserve">     Supplies                                          </v>
      </c>
      <c r="C74" s="7"/>
      <c r="D74" s="1">
        <f>SUM(OSRRefD21_16x_0)</f>
        <v>3387.36</v>
      </c>
      <c r="E74" s="19"/>
      <c r="F74" s="1">
        <f>SUM(OSRRefF21_16x_0)</f>
        <v>1448.5700000000002</v>
      </c>
      <c r="G74" s="4"/>
      <c r="H74" s="1">
        <f>SUM(OSRRefH21_16x_0)</f>
        <v>6820.86</v>
      </c>
      <c r="I74" s="4"/>
      <c r="J74" s="1">
        <f>SUM(OSRRefJ21_16x_0)</f>
        <v>10335.969999999999</v>
      </c>
      <c r="K74" s="4"/>
      <c r="L74" s="1">
        <f>SUM(OSRRefL21_16x_0)</f>
        <v>5598.58</v>
      </c>
      <c r="M74" s="4"/>
      <c r="N74" s="1">
        <f>SUM(OSRRefN21_16x_0)</f>
        <v>9650.0800000000017</v>
      </c>
      <c r="O74" s="4"/>
      <c r="P74" s="1">
        <f>SUM(OSRRefP21_16x_0)</f>
        <v>16500</v>
      </c>
      <c r="Q74" s="4"/>
      <c r="R74" s="1">
        <f>SUM(OSRRefR21_16x_0)</f>
        <v>1500</v>
      </c>
    </row>
    <row r="75" spans="1:18" s="16" customFormat="1" hidden="1" outlineLevel="2" x14ac:dyDescent="0.35">
      <c r="B75" s="11" t="str">
        <f>CONCATENATE("          ", "6234", " - ", "EXPENDABLE SUPPLIES &amp; EQUIPMEN")</f>
        <v xml:space="preserve">          6234 - EXPENDABLE SUPPLIES &amp; EQUIPMEN</v>
      </c>
      <c r="D75" s="2"/>
      <c r="F75" s="2"/>
      <c r="G75" s="3"/>
      <c r="H75" s="2">
        <v>129.96</v>
      </c>
      <c r="I75" s="3"/>
      <c r="J75" s="2"/>
      <c r="K75" s="3"/>
      <c r="L75" s="2">
        <v>723.41</v>
      </c>
      <c r="M75" s="3"/>
      <c r="N75" s="2">
        <v>217.02</v>
      </c>
      <c r="O75" s="3"/>
      <c r="P75" s="2">
        <v>12000</v>
      </c>
      <c r="Q75" s="3"/>
      <c r="R75" s="2">
        <v>1500</v>
      </c>
    </row>
    <row r="76" spans="1:18" s="16" customFormat="1" hidden="1" outlineLevel="2" x14ac:dyDescent="0.35">
      <c r="B76" s="11" t="str">
        <f>CONCATENATE("          ", "6235", " - ", "COVID-19 EXPENSES")</f>
        <v xml:space="preserve">          6235 - COVID-19 EXPENSES</v>
      </c>
      <c r="D76" s="2"/>
      <c r="F76" s="2"/>
      <c r="G76" s="3"/>
      <c r="H76" s="2"/>
      <c r="I76" s="3"/>
      <c r="J76" s="2"/>
      <c r="K76" s="3"/>
      <c r="L76" s="2"/>
      <c r="M76" s="3"/>
      <c r="N76" s="2">
        <v>5440</v>
      </c>
      <c r="O76" s="3"/>
      <c r="P76" s="2">
        <v>2000</v>
      </c>
      <c r="Q76" s="3"/>
      <c r="R76" s="2"/>
    </row>
    <row r="77" spans="1:18" s="16" customFormat="1" hidden="1" outlineLevel="2" x14ac:dyDescent="0.35">
      <c r="B77" s="11" t="str">
        <f>CONCATENATE("          ", "6241", " - ", "OFFICE EXPENSE")</f>
        <v xml:space="preserve">          6241 - OFFICE EXPENSE</v>
      </c>
      <c r="D77" s="2">
        <v>3361.01</v>
      </c>
      <c r="F77" s="2">
        <v>1151.8800000000001</v>
      </c>
      <c r="G77" s="3"/>
      <c r="H77" s="2">
        <v>5876.41</v>
      </c>
      <c r="I77" s="3"/>
      <c r="J77" s="2">
        <v>8740.83</v>
      </c>
      <c r="K77" s="3"/>
      <c r="L77" s="2">
        <v>4620.1000000000004</v>
      </c>
      <c r="M77" s="3"/>
      <c r="N77" s="2">
        <v>3961.2</v>
      </c>
      <c r="O77" s="3"/>
      <c r="P77" s="2">
        <v>2500</v>
      </c>
      <c r="Q77" s="3"/>
      <c r="R77" s="2"/>
    </row>
    <row r="78" spans="1:18" s="16" customFormat="1" hidden="1" outlineLevel="2" x14ac:dyDescent="0.35">
      <c r="B78" s="11" t="str">
        <f>CONCATENATE("          ", "6245", " - ", "PRINTING")</f>
        <v xml:space="preserve">          6245 - PRINTING</v>
      </c>
      <c r="D78" s="2">
        <v>26.35</v>
      </c>
      <c r="F78" s="2">
        <v>296.69</v>
      </c>
      <c r="G78" s="3"/>
      <c r="H78" s="2">
        <v>814.49</v>
      </c>
      <c r="I78" s="3"/>
      <c r="J78" s="2">
        <v>1595.14</v>
      </c>
      <c r="K78" s="3"/>
      <c r="L78" s="2">
        <v>255.07</v>
      </c>
      <c r="M78" s="3"/>
      <c r="N78" s="2">
        <v>31.86</v>
      </c>
      <c r="O78" s="3"/>
      <c r="P78" s="2"/>
      <c r="Q78" s="3"/>
      <c r="R78" s="2"/>
    </row>
    <row r="79" spans="1:18" s="15" customFormat="1" outlineLevel="1" collapsed="1" x14ac:dyDescent="0.35">
      <c r="A79" s="7"/>
      <c r="B79" s="20" t="str">
        <f>CONCATENATE("     ","Telephone/Data Lines                              ")</f>
        <v xml:space="preserve">     Telephone/Data Lines                              </v>
      </c>
      <c r="C79" s="7"/>
      <c r="D79" s="1">
        <f>SUM(OSRRefD21_17x_0)</f>
        <v>7074.12</v>
      </c>
      <c r="E79" s="19"/>
      <c r="F79" s="1">
        <f>SUM(OSRRefF21_17x_0)</f>
        <v>5341.17</v>
      </c>
      <c r="G79" s="4"/>
      <c r="H79" s="1">
        <f>SUM(OSRRefH21_17x_0)</f>
        <v>4170.12</v>
      </c>
      <c r="I79" s="4"/>
      <c r="J79" s="1">
        <f>SUM(OSRRefJ21_17x_0)</f>
        <v>4667.38</v>
      </c>
      <c r="K79" s="4"/>
      <c r="L79" s="1">
        <f>SUM(OSRRefL21_17x_0)</f>
        <v>4068.39</v>
      </c>
      <c r="M79" s="4"/>
      <c r="N79" s="1">
        <f>SUM(OSRRefN21_17x_0)</f>
        <v>4232.47</v>
      </c>
      <c r="O79" s="4"/>
      <c r="P79" s="1">
        <f>SUM(OSRRefP21_17x_0)</f>
        <v>4200</v>
      </c>
      <c r="Q79" s="4"/>
      <c r="R79" s="1">
        <f>SUM(OSRRefR21_17x_0)</f>
        <v>5100</v>
      </c>
    </row>
    <row r="80" spans="1:18" s="16" customFormat="1" hidden="1" outlineLevel="2" x14ac:dyDescent="0.35">
      <c r="B80" s="11" t="str">
        <f>CONCATENATE("          ", "6303", " - ", "DATA PHONE LINES")</f>
        <v xml:space="preserve">          6303 - DATA PHONE LINES</v>
      </c>
      <c r="D80" s="2">
        <v>82.25</v>
      </c>
      <c r="F80" s="2"/>
      <c r="G80" s="3"/>
      <c r="H80" s="2"/>
      <c r="I80" s="3"/>
      <c r="J80" s="2"/>
      <c r="K80" s="3"/>
      <c r="L80" s="2"/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"6309", " - ", "TELEPHONE")</f>
        <v xml:space="preserve">          6309 - TELEPHONE</v>
      </c>
      <c r="D81" s="2">
        <v>6991.87</v>
      </c>
      <c r="F81" s="2">
        <v>5341.17</v>
      </c>
      <c r="G81" s="3"/>
      <c r="H81" s="2">
        <v>4170.12</v>
      </c>
      <c r="I81" s="3"/>
      <c r="J81" s="2">
        <v>4667.38</v>
      </c>
      <c r="K81" s="3"/>
      <c r="L81" s="2">
        <v>4068.39</v>
      </c>
      <c r="M81" s="3"/>
      <c r="N81" s="2">
        <v>4232.47</v>
      </c>
      <c r="O81" s="3"/>
      <c r="P81" s="2">
        <v>4200</v>
      </c>
      <c r="Q81" s="3"/>
      <c r="R81" s="2">
        <v>5100</v>
      </c>
    </row>
    <row r="82" spans="1:18" s="15" customFormat="1" outlineLevel="1" collapsed="1" x14ac:dyDescent="0.35">
      <c r="A82" s="7"/>
      <c r="B82" s="20" t="str">
        <f>CONCATENATE("     ","Training                                          ")</f>
        <v xml:space="preserve">     Training                                          </v>
      </c>
      <c r="C82" s="7"/>
      <c r="D82" s="1">
        <f>SUM(OSRRefD21_18x_0)</f>
        <v>7550</v>
      </c>
      <c r="E82" s="19"/>
      <c r="F82" s="1">
        <f>SUM(OSRRefF21_18x_0)</f>
        <v>5890.65</v>
      </c>
      <c r="G82" s="4"/>
      <c r="H82" s="1">
        <f>SUM(OSRRefH21_18x_0)</f>
        <v>4984.1400000000003</v>
      </c>
      <c r="I82" s="4"/>
      <c r="J82" s="1">
        <f>SUM(OSRRefJ21_18x_0)</f>
        <v>6662.43</v>
      </c>
      <c r="K82" s="4"/>
      <c r="L82" s="1">
        <f>SUM(OSRRefL21_18x_0)</f>
        <v>3917.86</v>
      </c>
      <c r="M82" s="4"/>
      <c r="N82" s="1">
        <f>SUM(OSRRefN21_18x_0)</f>
        <v>6622.71</v>
      </c>
      <c r="O82" s="4"/>
      <c r="P82" s="1">
        <f>SUM(OSRRefP21_18x_0)</f>
        <v>5000</v>
      </c>
      <c r="Q82" s="4"/>
      <c r="R82" s="1">
        <f>SUM(OSRRefR21_18x_0)</f>
        <v>4050</v>
      </c>
    </row>
    <row r="83" spans="1:18" s="16" customFormat="1" hidden="1" outlineLevel="2" x14ac:dyDescent="0.35">
      <c r="B83" s="11" t="str">
        <f>CONCATENATE("          ", "6376", " - ", "TRAINING")</f>
        <v xml:space="preserve">          6376 - TRAINING</v>
      </c>
      <c r="D83" s="2">
        <v>7550</v>
      </c>
      <c r="F83" s="2">
        <v>5890.65</v>
      </c>
      <c r="G83" s="3"/>
      <c r="H83" s="2">
        <v>4984.1400000000003</v>
      </c>
      <c r="I83" s="3"/>
      <c r="J83" s="2">
        <v>6662.43</v>
      </c>
      <c r="K83" s="3"/>
      <c r="L83" s="2">
        <v>3917.86</v>
      </c>
      <c r="M83" s="3"/>
      <c r="N83" s="2">
        <v>6622.71</v>
      </c>
      <c r="O83" s="3"/>
      <c r="P83" s="2">
        <v>5000</v>
      </c>
      <c r="Q83" s="3"/>
      <c r="R83" s="2">
        <v>4050</v>
      </c>
    </row>
    <row r="84" spans="1:18" s="15" customFormat="1" outlineLevel="1" collapsed="1" x14ac:dyDescent="0.35">
      <c r="A84" s="7"/>
      <c r="B84" s="20" t="str">
        <f>CONCATENATE("     ","Travel                                            ")</f>
        <v xml:space="preserve">     Travel                                            </v>
      </c>
      <c r="C84" s="7"/>
      <c r="D84" s="1">
        <f>SUM(OSRRefD21_19x_0)</f>
        <v>13544.09</v>
      </c>
      <c r="E84" s="19"/>
      <c r="F84" s="1">
        <f>SUM(OSRRefF21_19x_0)</f>
        <v>21204.21</v>
      </c>
      <c r="G84" s="4"/>
      <c r="H84" s="1">
        <f>SUM(OSRRefH21_19x_0)</f>
        <v>17368.669999999998</v>
      </c>
      <c r="I84" s="4"/>
      <c r="J84" s="1">
        <f>SUM(OSRRefJ21_19x_0)</f>
        <v>16472.169999999998</v>
      </c>
      <c r="K84" s="4"/>
      <c r="L84" s="1">
        <f>SUM(OSRRefL21_19x_0)</f>
        <v>15093.19</v>
      </c>
      <c r="M84" s="4"/>
      <c r="N84" s="1">
        <f>SUM(OSRRefN21_19x_0)</f>
        <v>3811.99</v>
      </c>
      <c r="O84" s="4"/>
      <c r="P84" s="1">
        <f>SUM(OSRRefP21_19x_0)</f>
        <v>3600</v>
      </c>
      <c r="Q84" s="4"/>
      <c r="R84" s="1">
        <f>SUM(OSRRefR21_19x_0)</f>
        <v>1500</v>
      </c>
    </row>
    <row r="85" spans="1:18" s="16" customFormat="1" hidden="1" outlineLevel="2" x14ac:dyDescent="0.35">
      <c r="B85" s="11" t="str">
        <f>CONCATENATE("          ", "6292", " - ", "TRAVEL/CONFERENCE")</f>
        <v xml:space="preserve">          6292 - TRAVEL/CONFERENCE</v>
      </c>
      <c r="D85" s="2">
        <v>11613.69</v>
      </c>
      <c r="F85" s="2">
        <v>20990.77</v>
      </c>
      <c r="G85" s="3"/>
      <c r="H85" s="2">
        <v>16181.56</v>
      </c>
      <c r="I85" s="3"/>
      <c r="J85" s="2">
        <v>16472.169999999998</v>
      </c>
      <c r="K85" s="3"/>
      <c r="L85" s="2">
        <v>13718.76</v>
      </c>
      <c r="M85" s="3"/>
      <c r="N85" s="2">
        <v>3811.99</v>
      </c>
      <c r="O85" s="3"/>
      <c r="P85" s="2"/>
      <c r="Q85" s="3"/>
      <c r="R85" s="2"/>
    </row>
    <row r="86" spans="1:18" s="16" customFormat="1" hidden="1" outlineLevel="2" x14ac:dyDescent="0.35">
      <c r="B86" s="11" t="str">
        <f>CONCATENATE("          ", "6294", " - ", "TRAVEL OPERATIONAL")</f>
        <v xml:space="preserve">          6294 - TRAVEL OPERATIONAL</v>
      </c>
      <c r="D86" s="2">
        <v>1930.4</v>
      </c>
      <c r="F86" s="2">
        <v>213.44</v>
      </c>
      <c r="G86" s="3"/>
      <c r="H86" s="2">
        <v>1187.1099999999999</v>
      </c>
      <c r="I86" s="3"/>
      <c r="J86" s="2"/>
      <c r="K86" s="3"/>
      <c r="L86" s="2">
        <v>1374.43</v>
      </c>
      <c r="M86" s="3"/>
      <c r="N86" s="2"/>
      <c r="O86" s="3"/>
      <c r="P86" s="2">
        <v>3600</v>
      </c>
      <c r="Q86" s="3"/>
      <c r="R86" s="2">
        <v>1500</v>
      </c>
    </row>
    <row r="87" spans="1:18" x14ac:dyDescent="0.35">
      <c r="A87" s="12"/>
      <c r="B87" s="12"/>
      <c r="C87" s="12"/>
      <c r="D87" s="1"/>
      <c r="F87" s="1"/>
      <c r="H87" s="1"/>
      <c r="J87" s="1"/>
      <c r="L87" s="1"/>
      <c r="N87" s="1"/>
      <c r="P87" s="1"/>
      <c r="R87" s="1"/>
    </row>
    <row r="88" spans="1:18" s="7" customFormat="1" x14ac:dyDescent="0.35">
      <c r="A88" s="36"/>
      <c r="B88" s="34" t="s">
        <v>295</v>
      </c>
      <c r="D88" s="6">
        <f>SUM(0)</f>
        <v>0</v>
      </c>
      <c r="E88" s="12"/>
      <c r="F88" s="6">
        <f>SUM(0)</f>
        <v>0</v>
      </c>
      <c r="G88" s="5"/>
      <c r="H88" s="6">
        <f>SUM(0)</f>
        <v>0</v>
      </c>
      <c r="I88" s="5"/>
      <c r="J88" s="6">
        <f>SUM(0)</f>
        <v>0</v>
      </c>
      <c r="K88" s="5"/>
      <c r="L88" s="6">
        <f>SUM(0)</f>
        <v>0</v>
      </c>
      <c r="M88" s="5"/>
      <c r="N88" s="6">
        <f>SUM(0)</f>
        <v>0</v>
      </c>
      <c r="O88" s="5"/>
      <c r="P88" s="6">
        <f>SUM(0)</f>
        <v>0</v>
      </c>
      <c r="Q88" s="5"/>
      <c r="R88" s="6">
        <f>SUM(0)</f>
        <v>0</v>
      </c>
    </row>
    <row r="89" spans="1:18" x14ac:dyDescent="0.35">
      <c r="A89" s="12"/>
      <c r="B89" s="7"/>
      <c r="C89" s="7"/>
      <c r="D89" s="6"/>
      <c r="F89" s="6"/>
      <c r="H89" s="6"/>
      <c r="J89" s="6"/>
      <c r="L89" s="6"/>
      <c r="N89" s="6"/>
      <c r="P89" s="6"/>
      <c r="R89" s="6"/>
    </row>
    <row r="90" spans="1:18" s="15" customFormat="1" x14ac:dyDescent="0.35">
      <c r="A90" s="7"/>
      <c r="B90" s="22" t="s">
        <v>279</v>
      </c>
      <c r="C90" s="22"/>
      <c r="D90" s="10">
        <f>+D15-D18+D88</f>
        <v>-927973.19999999984</v>
      </c>
      <c r="E90" s="12"/>
      <c r="F90" s="10">
        <f>+F15-F18+F88</f>
        <v>-1227350.7899999993</v>
      </c>
      <c r="G90" s="5"/>
      <c r="H90" s="10">
        <f>+H15-H18+H88</f>
        <v>-1336610.5300000003</v>
      </c>
      <c r="I90" s="5"/>
      <c r="J90" s="10">
        <f>+J15-J18+J88</f>
        <v>-1162726.6899999997</v>
      </c>
      <c r="K90" s="5"/>
      <c r="L90" s="10">
        <f>+L15-L18+L88</f>
        <v>-1258220.8799999999</v>
      </c>
      <c r="M90" s="5"/>
      <c r="N90" s="10">
        <f>+N15-N18+N88</f>
        <v>-854503.02</v>
      </c>
      <c r="O90" s="5"/>
      <c r="P90" s="10">
        <f>+P15-P18+P88</f>
        <v>-564074.94107692305</v>
      </c>
      <c r="Q90" s="5"/>
      <c r="R90" s="10">
        <f>+R15-R18+R88</f>
        <v>-543826.54438846163</v>
      </c>
    </row>
    <row r="91" spans="1:18" s="27" customFormat="1" x14ac:dyDescent="0.35">
      <c r="A91" s="18"/>
      <c r="B91" s="31"/>
      <c r="C91" s="18"/>
      <c r="D91" s="9">
        <f>IFERROR(D90/D10, 0)</f>
        <v>0</v>
      </c>
      <c r="E91" s="18"/>
      <c r="F91" s="9">
        <f>IFERROR(F90/F10, 0)</f>
        <v>0</v>
      </c>
      <c r="G91" s="14"/>
      <c r="H91" s="9">
        <f>IFERROR(H90/H10, 0)</f>
        <v>0</v>
      </c>
      <c r="I91" s="14"/>
      <c r="J91" s="9">
        <f>IFERROR(J90/J10, 0)</f>
        <v>0</v>
      </c>
      <c r="K91" s="14"/>
      <c r="L91" s="9">
        <f>IFERROR(L90/L10, 0)</f>
        <v>0</v>
      </c>
      <c r="M91" s="14"/>
      <c r="N91" s="9">
        <f>IFERROR(N90/N10, 0)</f>
        <v>0</v>
      </c>
      <c r="O91" s="14"/>
      <c r="P91" s="9">
        <f>IFERROR(P90/P10, 0)</f>
        <v>0</v>
      </c>
      <c r="Q91" s="14"/>
      <c r="R91" s="9">
        <f>IFERROR(R90/R10, 0)</f>
        <v>0</v>
      </c>
    </row>
    <row r="92" spans="1:18" s="27" customFormat="1" x14ac:dyDescent="0.35">
      <c r="A92" s="18"/>
      <c r="B92" s="31"/>
      <c r="C92" s="18"/>
      <c r="D92" s="13"/>
      <c r="E92" s="18"/>
      <c r="F92" s="13"/>
      <c r="G92" s="14"/>
      <c r="H92" s="13"/>
      <c r="I92" s="14"/>
      <c r="J92" s="13"/>
      <c r="K92" s="14"/>
      <c r="L92" s="13"/>
      <c r="M92" s="14"/>
      <c r="N92" s="13"/>
      <c r="O92" s="14"/>
      <c r="P92" s="13"/>
      <c r="Q92" s="14"/>
      <c r="R92" s="13"/>
    </row>
    <row r="93" spans="1:18" s="15" customFormat="1" x14ac:dyDescent="0.35">
      <c r="A93" s="37"/>
      <c r="B93" s="7" t="s">
        <v>127</v>
      </c>
      <c r="C93" s="7"/>
      <c r="D93" s="6"/>
      <c r="E93" s="12"/>
      <c r="F93" s="6"/>
      <c r="G93" s="5"/>
      <c r="H93" s="6"/>
      <c r="I93" s="5"/>
      <c r="J93" s="6"/>
      <c r="K93" s="5"/>
      <c r="L93" s="6"/>
      <c r="M93" s="5"/>
      <c r="N93" s="6"/>
      <c r="O93" s="5"/>
      <c r="P93" s="6"/>
      <c r="Q93" s="5"/>
      <c r="R93" s="6"/>
    </row>
    <row r="94" spans="1:18" x14ac:dyDescent="0.35">
      <c r="A94" s="12"/>
      <c r="B94" s="7"/>
      <c r="C94" s="7"/>
      <c r="D94" s="6"/>
      <c r="F94" s="6"/>
      <c r="H94" s="6"/>
      <c r="J94" s="6"/>
      <c r="L94" s="6"/>
      <c r="N94" s="6"/>
      <c r="P94" s="6"/>
      <c r="R94" s="6"/>
    </row>
    <row r="95" spans="1:18" s="15" customFormat="1" x14ac:dyDescent="0.35">
      <c r="A95" s="7"/>
      <c r="B95" s="22" t="s">
        <v>126</v>
      </c>
      <c r="C95" s="22"/>
      <c r="D95" s="10">
        <f>+D90-D93</f>
        <v>-927973.19999999984</v>
      </c>
      <c r="E95" s="12"/>
      <c r="F95" s="10">
        <f>+F90-F93</f>
        <v>-1227350.7899999993</v>
      </c>
      <c r="G95" s="5"/>
      <c r="H95" s="10">
        <f>+H90-H93</f>
        <v>-1336610.5300000003</v>
      </c>
      <c r="I95" s="5"/>
      <c r="J95" s="10">
        <f>+J90-J93</f>
        <v>-1162726.6899999997</v>
      </c>
      <c r="K95" s="5"/>
      <c r="L95" s="10">
        <f>+L90-L93</f>
        <v>-1258220.8799999999</v>
      </c>
      <c r="M95" s="5"/>
      <c r="N95" s="10">
        <f>+N90-N93</f>
        <v>-854503.02</v>
      </c>
      <c r="O95" s="5"/>
      <c r="P95" s="10">
        <f>+P90-P93</f>
        <v>-564074.94107692305</v>
      </c>
      <c r="Q95" s="5"/>
      <c r="R95" s="10">
        <f>+R90-R93</f>
        <v>-543826.54438846163</v>
      </c>
    </row>
    <row r="96" spans="1:18" s="27" customFormat="1" x14ac:dyDescent="0.35">
      <c r="A96" s="18"/>
      <c r="B96" s="18"/>
      <c r="C96" s="18"/>
      <c r="D96" s="9">
        <f>IFERROR(D95/D10, 0)</f>
        <v>0</v>
      </c>
      <c r="E96" s="18"/>
      <c r="F96" s="9">
        <f>IFERROR(F95/F10, 0)</f>
        <v>0</v>
      </c>
      <c r="G96" s="14"/>
      <c r="H96" s="9">
        <f>IFERROR(H95/H10, 0)</f>
        <v>0</v>
      </c>
      <c r="I96" s="14"/>
      <c r="J96" s="9">
        <f>IFERROR(J95/J10, 0)</f>
        <v>0</v>
      </c>
      <c r="K96" s="14"/>
      <c r="L96" s="9">
        <f>IFERROR(L95/L10, 0)</f>
        <v>0</v>
      </c>
      <c r="M96" s="14"/>
      <c r="N96" s="9">
        <f>IFERROR(N95/N10, 0)</f>
        <v>0</v>
      </c>
      <c r="O96" s="14"/>
      <c r="P96" s="9">
        <f>IFERROR(P95/P10, 0)</f>
        <v>0</v>
      </c>
      <c r="Q96" s="14"/>
      <c r="R96" s="9">
        <f>IFERROR(R95/R10, 0)</f>
        <v>0</v>
      </c>
    </row>
    <row r="97" spans="1:18" s="27" customFormat="1" x14ac:dyDescent="0.35">
      <c r="A97" s="18"/>
      <c r="B97" s="18"/>
      <c r="C97" s="18"/>
      <c r="D97" s="13"/>
      <c r="E97" s="18"/>
      <c r="F97" s="13"/>
      <c r="G97" s="14"/>
      <c r="H97" s="13"/>
      <c r="I97" s="14"/>
      <c r="J97" s="13"/>
      <c r="K97" s="14"/>
      <c r="L97" s="13"/>
      <c r="M97" s="14"/>
      <c r="N97" s="13"/>
      <c r="O97" s="14"/>
      <c r="P97" s="13"/>
      <c r="Q97" s="14"/>
      <c r="R97" s="13"/>
    </row>
    <row r="98" spans="1:18" x14ac:dyDescent="0.35">
      <c r="A98" s="12"/>
      <c r="B98" s="12"/>
      <c r="C98" s="12"/>
      <c r="D98" s="6"/>
      <c r="F98" s="6"/>
      <c r="H98" s="6"/>
      <c r="J98" s="6"/>
      <c r="L98" s="6"/>
      <c r="N98" s="6"/>
      <c r="P98" s="6"/>
      <c r="R98" s="6"/>
    </row>
    <row r="99" spans="1:18" s="15" customFormat="1" x14ac:dyDescent="0.35">
      <c r="A99" s="7"/>
      <c r="B99" s="22" t="s">
        <v>296</v>
      </c>
      <c r="C99" s="22"/>
      <c r="D99" s="10">
        <f>SUM(D95:D98)</f>
        <v>-927973.19999999984</v>
      </c>
      <c r="E99" s="12"/>
      <c r="F99" s="10">
        <f>SUM(F95:F98)</f>
        <v>-1227350.7899999993</v>
      </c>
      <c r="G99" s="5"/>
      <c r="H99" s="10">
        <f>SUM(H95:H98)</f>
        <v>-1336610.5300000003</v>
      </c>
      <c r="I99" s="5"/>
      <c r="J99" s="10">
        <f>SUM(J95:J98)</f>
        <v>-1162726.6899999997</v>
      </c>
      <c r="K99" s="5"/>
      <c r="L99" s="10">
        <f>SUM(L95:L98)</f>
        <v>-1258220.8799999999</v>
      </c>
      <c r="M99" s="5"/>
      <c r="N99" s="10">
        <f>SUM(N95:N98)</f>
        <v>-854503.02</v>
      </c>
      <c r="O99" s="5"/>
      <c r="P99" s="10">
        <f>SUM(P95:P98)</f>
        <v>-564074.94107692305</v>
      </c>
      <c r="Q99" s="5"/>
      <c r="R99" s="10">
        <f>SUM(R95:R98)</f>
        <v>-543826.54438846163</v>
      </c>
    </row>
    <row r="100" spans="1:18" s="27" customFormat="1" x14ac:dyDescent="0.35">
      <c r="A100" s="18"/>
      <c r="B100" s="41"/>
      <c r="C100" s="18"/>
      <c r="D100" s="9">
        <f>IFERROR(D99/D10, 0)</f>
        <v>0</v>
      </c>
      <c r="E100" s="18"/>
      <c r="F100" s="9">
        <f>IFERROR(F99/F10, 0)</f>
        <v>0</v>
      </c>
      <c r="G100" s="14"/>
      <c r="H100" s="9">
        <f>IFERROR(H99/H10, 0)</f>
        <v>0</v>
      </c>
      <c r="I100" s="14"/>
      <c r="J100" s="9">
        <f>IFERROR(J99/J10, 0)</f>
        <v>0</v>
      </c>
      <c r="K100" s="14"/>
      <c r="L100" s="9">
        <f>IFERROR(L99/L10, 0)</f>
        <v>0</v>
      </c>
      <c r="M100" s="14"/>
      <c r="N100" s="9">
        <f>IFERROR(N99/N10, 0)</f>
        <v>0</v>
      </c>
      <c r="O100" s="14"/>
      <c r="P100" s="9">
        <f>IFERROR(P99/P10, 0)</f>
        <v>0</v>
      </c>
      <c r="Q100" s="14"/>
      <c r="R100" s="9">
        <f>IFERROR(R99/R10, 0)</f>
        <v>0</v>
      </c>
    </row>
    <row r="101" spans="1:18" x14ac:dyDescent="0.35">
      <c r="A101" s="12"/>
      <c r="B101" s="40">
        <v>44319.883572604165</v>
      </c>
      <c r="D101" s="24"/>
      <c r="F101" s="24"/>
      <c r="H101" s="24"/>
      <c r="J101" s="24"/>
      <c r="L101" s="24"/>
      <c r="N101" s="24"/>
      <c r="P101" s="24"/>
      <c r="R101" s="24"/>
    </row>
    <row r="102" spans="1:18" x14ac:dyDescent="0.35">
      <c r="A102" s="12"/>
      <c r="B102" s="39" t="s">
        <v>23</v>
      </c>
      <c r="D102" s="24"/>
      <c r="F102" s="24"/>
      <c r="H102" s="24"/>
      <c r="J102" s="24"/>
      <c r="L102" s="24"/>
      <c r="N102" s="24"/>
      <c r="P102" s="24"/>
      <c r="R102" s="24"/>
    </row>
    <row r="103" spans="1:18" x14ac:dyDescent="0.35">
      <c r="A103" s="12"/>
      <c r="D103" s="24"/>
      <c r="F103" s="24"/>
      <c r="H103" s="24"/>
      <c r="J103" s="24"/>
      <c r="L103" s="24"/>
      <c r="N103" s="24"/>
      <c r="P103" s="24"/>
      <c r="R103" s="24"/>
    </row>
    <row r="104" spans="1:18" x14ac:dyDescent="0.35">
      <c r="D104" s="24"/>
      <c r="F104" s="24"/>
      <c r="H104" s="24"/>
      <c r="J104" s="24"/>
      <c r="L104" s="24"/>
      <c r="N104" s="24"/>
      <c r="P104" s="24"/>
      <c r="R104" s="24"/>
    </row>
  </sheetData>
  <pageMargins left="0.5" right="0.5" top="0.5" bottom="0.5" header="0.3" footer="0.3"/>
  <pageSetup scale="59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","202", " - ", "Accounting")</f>
        <v>Department 202 - Accounting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0</v>
      </c>
      <c r="F10" s="8">
        <f>SUM(OSRRefF11x_0)</f>
        <v>0</v>
      </c>
      <c r="G10" s="8"/>
      <c r="H10" s="8">
        <f>SUM(OSRRefH11x_0)</f>
        <v>0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"4100", " - ", "NON-TAXABLE SALES")</f>
        <v xml:space="preserve">          4100 - NON-TAXABLE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/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x14ac:dyDescent="0.35">
      <c r="B13" s="7" t="s">
        <v>278</v>
      </c>
      <c r="D13" s="8">
        <f>SUM(0)</f>
        <v>0</v>
      </c>
      <c r="E13" s="8"/>
      <c r="F13" s="8">
        <f>SUM(0)</f>
        <v>0</v>
      </c>
      <c r="G13" s="8"/>
      <c r="H13" s="8">
        <f>SUM(0)</f>
        <v>0</v>
      </c>
      <c r="I13" s="8"/>
      <c r="J13" s="8">
        <f>SUM(0)</f>
        <v>0</v>
      </c>
      <c r="K13" s="8"/>
      <c r="L13" s="8">
        <f>SUM(0)</f>
        <v>0</v>
      </c>
      <c r="M13" s="8"/>
      <c r="N13" s="8">
        <f>SUM(0)</f>
        <v>0</v>
      </c>
      <c r="O13" s="8"/>
      <c r="P13" s="8">
        <f>SUM(0)</f>
        <v>0</v>
      </c>
      <c r="Q13" s="8"/>
      <c r="R13" s="8">
        <f>SUM(0)</f>
        <v>0</v>
      </c>
    </row>
    <row r="14" spans="1:18" x14ac:dyDescent="0.35">
      <c r="A14" s="12"/>
      <c r="B14" s="7"/>
      <c r="C14" s="7"/>
      <c r="D14" s="6"/>
      <c r="F14" s="6"/>
      <c r="H14" s="6"/>
      <c r="J14" s="6"/>
      <c r="L14" s="6"/>
      <c r="N14" s="6"/>
      <c r="P14" s="6"/>
      <c r="R14" s="6"/>
    </row>
    <row r="15" spans="1:18" s="15" customFormat="1" x14ac:dyDescent="0.35">
      <c r="A15" s="7"/>
      <c r="B15" s="22" t="s">
        <v>107</v>
      </c>
      <c r="C15" s="22"/>
      <c r="D15" s="10">
        <f>+D10-D13</f>
        <v>0</v>
      </c>
      <c r="E15" s="12"/>
      <c r="F15" s="10">
        <f>+F10-F13</f>
        <v>0</v>
      </c>
      <c r="G15" s="5"/>
      <c r="H15" s="10">
        <f>+H10-H13</f>
        <v>0</v>
      </c>
      <c r="I15" s="5"/>
      <c r="J15" s="10">
        <f>+J10-J13</f>
        <v>0</v>
      </c>
      <c r="K15" s="5"/>
      <c r="L15" s="10">
        <f>+L10-L13</f>
        <v>0</v>
      </c>
      <c r="M15" s="5"/>
      <c r="N15" s="10">
        <f>+N10-N13</f>
        <v>0</v>
      </c>
      <c r="O15" s="5"/>
      <c r="P15" s="10">
        <f>+P10-P13</f>
        <v>0</v>
      </c>
      <c r="Q15" s="5"/>
      <c r="R15" s="10">
        <f>+R10-R13</f>
        <v>0</v>
      </c>
    </row>
    <row r="16" spans="1:18" s="27" customFormat="1" x14ac:dyDescent="0.35">
      <c r="A16" s="18"/>
      <c r="B16" s="31"/>
      <c r="C16" s="18"/>
      <c r="D16" s="9">
        <f>IFERROR(D15/D10, 0)</f>
        <v>0</v>
      </c>
      <c r="E16" s="13"/>
      <c r="F16" s="9">
        <f>IFERROR(F15/F10, 0)</f>
        <v>0</v>
      </c>
      <c r="G16" s="26"/>
      <c r="H16" s="9">
        <f>IFERROR(H15/H10, 0)</f>
        <v>0</v>
      </c>
      <c r="I16" s="26"/>
      <c r="J16" s="9">
        <f>IFERROR(J15/J10, 0)</f>
        <v>0</v>
      </c>
      <c r="K16" s="26"/>
      <c r="L16" s="9">
        <f>IFERROR(L15/L10, 0)</f>
        <v>0</v>
      </c>
      <c r="M16" s="26"/>
      <c r="N16" s="9">
        <f>IFERROR(N15/N10, 0)</f>
        <v>0</v>
      </c>
      <c r="O16" s="26"/>
      <c r="P16" s="9">
        <f>IFERROR(P15/P10, 0)</f>
        <v>0</v>
      </c>
      <c r="Q16" s="26"/>
      <c r="R16" s="9">
        <f>IFERROR(R15/R10, 0)</f>
        <v>0</v>
      </c>
    </row>
    <row r="17" spans="1:18" s="27" customFormat="1" x14ac:dyDescent="0.35">
      <c r="A17" s="18"/>
      <c r="B17" s="31"/>
      <c r="C17" s="18"/>
      <c r="D17" s="13"/>
      <c r="E17" s="13"/>
      <c r="F17" s="13"/>
      <c r="G17" s="26"/>
      <c r="H17" s="13"/>
      <c r="I17" s="26"/>
      <c r="J17" s="13"/>
      <c r="K17" s="26"/>
      <c r="L17" s="13"/>
      <c r="M17" s="26"/>
      <c r="N17" s="13"/>
      <c r="O17" s="26"/>
      <c r="P17" s="13"/>
      <c r="Q17" s="26"/>
      <c r="R17" s="13"/>
    </row>
    <row r="18" spans="1:18" s="15" customFormat="1" x14ac:dyDescent="0.35">
      <c r="A18" s="7"/>
      <c r="B18" s="34" t="s">
        <v>314</v>
      </c>
      <c r="C18" s="7"/>
      <c r="D18" s="8">
        <f>SUM(OSRRefD21x_0)</f>
        <v>822491.06000000017</v>
      </c>
      <c r="E18" s="19"/>
      <c r="F18" s="8">
        <f>SUM(OSRRefF21x_0)</f>
        <v>701868.28999999992</v>
      </c>
      <c r="G18" s="4"/>
      <c r="H18" s="8">
        <f>SUM(OSRRefH21x_0)</f>
        <v>598880.01000000013</v>
      </c>
      <c r="I18" s="4"/>
      <c r="J18" s="8">
        <f>SUM(OSRRefJ21x_0)</f>
        <v>616381.98</v>
      </c>
      <c r="K18" s="4"/>
      <c r="L18" s="8">
        <f>SUM(OSRRefL21x_0)</f>
        <v>633175.13</v>
      </c>
      <c r="M18" s="4"/>
      <c r="N18" s="8">
        <f>SUM(OSRRefN21x_0)</f>
        <v>565424.47</v>
      </c>
      <c r="O18" s="4"/>
      <c r="P18" s="8">
        <f>SUM(OSRRefP21x_0)</f>
        <v>490283.61171999999</v>
      </c>
      <c r="Q18" s="4"/>
      <c r="R18" s="8">
        <f>SUM(OSRRefR21x_0)</f>
        <v>510088.22737199999</v>
      </c>
    </row>
    <row r="19" spans="1:18" s="15" customFormat="1" outlineLevel="1" collapsed="1" x14ac:dyDescent="0.35">
      <c r="A19" s="7"/>
      <c r="B19" s="20" t="str">
        <f>CONCATENATE("     ","*Benefits                                         ")</f>
        <v xml:space="preserve">     *Benefits                                         </v>
      </c>
      <c r="C19" s="7"/>
      <c r="D19" s="1">
        <f>SUM(OSRRefD21_0x_0)</f>
        <v>253300.98000000004</v>
      </c>
      <c r="E19" s="19"/>
      <c r="F19" s="1">
        <f>SUM(OSRRefF21_0x_0)</f>
        <v>178734.06999999998</v>
      </c>
      <c r="G19" s="4"/>
      <c r="H19" s="1">
        <f>SUM(OSRRefH21_0x_0)</f>
        <v>157909.54999999999</v>
      </c>
      <c r="I19" s="4"/>
      <c r="J19" s="1">
        <f>SUM(OSRRefJ21_0x_0)</f>
        <v>170747.1</v>
      </c>
      <c r="K19" s="4"/>
      <c r="L19" s="1">
        <f>SUM(OSRRefL21_0x_0)</f>
        <v>185117.03999999998</v>
      </c>
      <c r="M19" s="4"/>
      <c r="N19" s="1">
        <f>SUM(OSRRefN21_0x_0)</f>
        <v>144837.63999999998</v>
      </c>
      <c r="O19" s="4"/>
      <c r="P19" s="1">
        <f>SUM(OSRRefP21_0x_0)</f>
        <v>146488.81172</v>
      </c>
      <c r="Q19" s="4"/>
      <c r="R19" s="1">
        <f>SUM(OSRRefR21_0x_0)</f>
        <v>159155.947372</v>
      </c>
    </row>
    <row r="20" spans="1:18" s="16" customFormat="1" hidden="1" outlineLevel="2" x14ac:dyDescent="0.35">
      <c r="B20" s="11" t="str">
        <f>CONCATENATE("          ", "6111", " - ", "F.I.C.A.")</f>
        <v xml:space="preserve">          6111 - F.I.C.A.</v>
      </c>
      <c r="D20" s="2">
        <v>34351.06</v>
      </c>
      <c r="F20" s="2">
        <v>32688.49</v>
      </c>
      <c r="G20" s="3"/>
      <c r="H20" s="2">
        <v>25991.06</v>
      </c>
      <c r="I20" s="3"/>
      <c r="J20" s="2">
        <v>27669.64</v>
      </c>
      <c r="K20" s="3"/>
      <c r="L20" s="2">
        <v>28475.17</v>
      </c>
      <c r="M20" s="3"/>
      <c r="N20" s="2">
        <v>29415.53</v>
      </c>
      <c r="O20" s="3"/>
      <c r="P20" s="2">
        <v>21129.933000000001</v>
      </c>
      <c r="Q20" s="3"/>
      <c r="R20" s="2">
        <v>22034.242092</v>
      </c>
    </row>
    <row r="21" spans="1:18" s="16" customFormat="1" hidden="1" outlineLevel="2" x14ac:dyDescent="0.35">
      <c r="B21" s="11" t="str">
        <f>CONCATENATE("          ", "6112", " - ", "COMPENSATION INSURANCE")</f>
        <v xml:space="preserve">          6112 - COMPENSATION INSURANCE</v>
      </c>
      <c r="D21" s="2">
        <v>1680.41</v>
      </c>
      <c r="F21" s="2">
        <v>2959.28</v>
      </c>
      <c r="G21" s="3"/>
      <c r="H21" s="2">
        <v>1557.25</v>
      </c>
      <c r="I21" s="3"/>
      <c r="J21" s="2">
        <v>980.93</v>
      </c>
      <c r="K21" s="3"/>
      <c r="L21" s="2">
        <v>1169.78</v>
      </c>
      <c r="M21" s="3"/>
      <c r="N21" s="2">
        <v>1266.3399999999999</v>
      </c>
      <c r="O21" s="3"/>
      <c r="P21" s="2">
        <v>953.24063999999998</v>
      </c>
      <c r="Q21" s="3"/>
      <c r="R21" s="2">
        <v>959.20324000000005</v>
      </c>
    </row>
    <row r="22" spans="1:18" s="16" customFormat="1" hidden="1" outlineLevel="2" x14ac:dyDescent="0.35">
      <c r="B22" s="11" t="str">
        <f>CONCATENATE("          ", "6113", " - ", "GROUP INSURANCE")</f>
        <v xml:space="preserve">          6113 - GROUP INSURANCE</v>
      </c>
      <c r="D22" s="2">
        <v>93227.44</v>
      </c>
      <c r="F22" s="2">
        <v>68372.87</v>
      </c>
      <c r="G22" s="3"/>
      <c r="H22" s="2">
        <v>65585.320000000007</v>
      </c>
      <c r="I22" s="3"/>
      <c r="J22" s="2">
        <v>72356.7</v>
      </c>
      <c r="K22" s="3"/>
      <c r="L22" s="2">
        <v>74807.48</v>
      </c>
      <c r="M22" s="3"/>
      <c r="N22" s="2">
        <v>71876.789999999994</v>
      </c>
      <c r="O22" s="3"/>
      <c r="P22" s="2">
        <v>64980</v>
      </c>
      <c r="Q22" s="3"/>
      <c r="R22" s="2">
        <v>73476</v>
      </c>
    </row>
    <row r="23" spans="1:18" s="16" customFormat="1" hidden="1" outlineLevel="2" x14ac:dyDescent="0.35">
      <c r="B23" s="11" t="str">
        <f>CONCATENATE("          ", "6114", " - ", "STATE UNEMPLOYMENT INSURANCE")</f>
        <v xml:space="preserve">          6114 - STATE UNEMPLOYMENT INSURANCE</v>
      </c>
      <c r="D23" s="2">
        <v>3292.45</v>
      </c>
      <c r="F23" s="2">
        <v>2997.93</v>
      </c>
      <c r="G23" s="3"/>
      <c r="H23" s="2">
        <v>1128.72</v>
      </c>
      <c r="I23" s="3"/>
      <c r="J23" s="2">
        <v>1170.46</v>
      </c>
      <c r="K23" s="3"/>
      <c r="L23" s="2">
        <v>1088.81</v>
      </c>
      <c r="M23" s="3"/>
      <c r="N23" s="2">
        <v>0</v>
      </c>
      <c r="O23" s="3"/>
      <c r="P23" s="2">
        <v>751.03808000000004</v>
      </c>
      <c r="Q23" s="3"/>
      <c r="R23" s="2">
        <v>649.78283999999996</v>
      </c>
    </row>
    <row r="24" spans="1:18" s="16" customFormat="1" hidden="1" outlineLevel="2" x14ac:dyDescent="0.35">
      <c r="B24" s="11" t="str">
        <f>CONCATENATE("          ", "6115", " - ", "P.E.R.S.")</f>
        <v xml:space="preserve">          6115 - P.E.R.S.</v>
      </c>
      <c r="D24" s="2">
        <v>53323.66</v>
      </c>
      <c r="F24" s="2">
        <v>24847.48</v>
      </c>
      <c r="G24" s="3"/>
      <c r="H24" s="2">
        <v>23240.48</v>
      </c>
      <c r="I24" s="3"/>
      <c r="J24" s="2">
        <v>23563.99</v>
      </c>
      <c r="K24" s="3"/>
      <c r="L24" s="2">
        <v>24659.33</v>
      </c>
      <c r="M24" s="3"/>
      <c r="N24" s="2">
        <v>29534.16</v>
      </c>
      <c r="O24" s="3"/>
      <c r="P24" s="2">
        <v>23744.6</v>
      </c>
      <c r="Q24" s="3"/>
      <c r="R24" s="2">
        <v>24451.623200000002</v>
      </c>
    </row>
    <row r="25" spans="1:18" s="16" customFormat="1" hidden="1" outlineLevel="2" x14ac:dyDescent="0.35">
      <c r="B25" s="11" t="str">
        <f>CONCATENATE("          ", "6116", " - ", "EDUCATIONAL BENEFITS")</f>
        <v xml:space="preserve">          6116 - EDUCATIONAL BENEFITS</v>
      </c>
      <c r="D25" s="2"/>
      <c r="F25" s="2"/>
      <c r="G25" s="3"/>
      <c r="H25" s="2"/>
      <c r="I25" s="3"/>
      <c r="J25" s="2"/>
      <c r="K25" s="3"/>
      <c r="L25" s="2"/>
      <c r="M25" s="3"/>
      <c r="N25" s="2"/>
      <c r="O25" s="3"/>
      <c r="P25" s="2">
        <v>0</v>
      </c>
      <c r="Q25" s="3"/>
      <c r="R25" s="2">
        <v>0</v>
      </c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34321.83</v>
      </c>
      <c r="F26" s="2">
        <v>24674.67</v>
      </c>
      <c r="G26" s="3"/>
      <c r="H26" s="2">
        <v>18583.12</v>
      </c>
      <c r="I26" s="3"/>
      <c r="J26" s="2">
        <v>21020.959999999999</v>
      </c>
      <c r="K26" s="3"/>
      <c r="L26" s="2">
        <v>24597.03</v>
      </c>
      <c r="M26" s="3"/>
      <c r="N26" s="2">
        <v>24223.88</v>
      </c>
      <c r="O26" s="3"/>
      <c r="P26" s="2">
        <v>13805</v>
      </c>
      <c r="Q26" s="3"/>
      <c r="R26" s="2">
        <v>14216.06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21905.37</v>
      </c>
      <c r="F27" s="2">
        <v>12436.22</v>
      </c>
      <c r="G27" s="3"/>
      <c r="H27" s="2">
        <v>12992.21</v>
      </c>
      <c r="I27" s="3"/>
      <c r="J27" s="2">
        <v>15097.1</v>
      </c>
      <c r="K27" s="3"/>
      <c r="L27" s="2">
        <v>21574.080000000002</v>
      </c>
      <c r="M27" s="3"/>
      <c r="N27" s="2">
        <v>-19352.439999999999</v>
      </c>
      <c r="O27" s="3"/>
      <c r="P27" s="2">
        <v>13805</v>
      </c>
      <c r="Q27" s="3"/>
      <c r="R27" s="2">
        <v>14969.036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11198.76</v>
      </c>
      <c r="F28" s="2">
        <v>9757.1299999999992</v>
      </c>
      <c r="G28" s="3"/>
      <c r="H28" s="2">
        <v>8831.39</v>
      </c>
      <c r="I28" s="3"/>
      <c r="J28" s="2">
        <v>8887.32</v>
      </c>
      <c r="K28" s="3"/>
      <c r="L28" s="2">
        <v>8745.36</v>
      </c>
      <c r="M28" s="3"/>
      <c r="N28" s="2">
        <v>7873.38</v>
      </c>
      <c r="O28" s="3"/>
      <c r="P28" s="2">
        <v>7320</v>
      </c>
      <c r="Q28" s="3"/>
      <c r="R28" s="2">
        <v>8400</v>
      </c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500417.55</v>
      </c>
      <c r="E29" s="19"/>
      <c r="F29" s="1">
        <f>SUM(OSRRefF21_1x_0)</f>
        <v>445461.19000000006</v>
      </c>
      <c r="G29" s="4"/>
      <c r="H29" s="1">
        <f>SUM(OSRRefH21_1x_0)</f>
        <v>350359.23</v>
      </c>
      <c r="I29" s="4"/>
      <c r="J29" s="1">
        <f>SUM(OSRRefJ21_1x_0)</f>
        <v>340118.54</v>
      </c>
      <c r="K29" s="4"/>
      <c r="L29" s="1">
        <f>SUM(OSRRefL21_1x_0)</f>
        <v>356175.55000000005</v>
      </c>
      <c r="M29" s="4"/>
      <c r="N29" s="1">
        <f>SUM(OSRRefN21_1x_0)</f>
        <v>342140.14999999991</v>
      </c>
      <c r="O29" s="4"/>
      <c r="P29" s="1">
        <f>SUM(OSRRefP21_1x_0)</f>
        <v>261250.8</v>
      </c>
      <c r="Q29" s="4"/>
      <c r="R29" s="1">
        <f>SUM(OSRRefR21_1x_0)</f>
        <v>280988.28000000003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126073.39</v>
      </c>
      <c r="F30" s="2">
        <v>6513.59</v>
      </c>
      <c r="G30" s="3"/>
      <c r="H30" s="2"/>
      <c r="I30" s="3"/>
      <c r="J30" s="2"/>
      <c r="K30" s="3"/>
      <c r="L30" s="2"/>
      <c r="M30" s="3"/>
      <c r="N30" s="2"/>
      <c r="O30" s="3"/>
      <c r="P30" s="2">
        <v>70470</v>
      </c>
      <c r="Q30" s="3"/>
      <c r="R30" s="2">
        <v>72565.56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>
        <v>279767.51</v>
      </c>
      <c r="F31" s="2">
        <v>313373.62</v>
      </c>
      <c r="G31" s="3"/>
      <c r="H31" s="2">
        <v>261956.07</v>
      </c>
      <c r="I31" s="3"/>
      <c r="J31" s="2">
        <v>260093.99</v>
      </c>
      <c r="K31" s="3"/>
      <c r="L31" s="2">
        <v>279116.63</v>
      </c>
      <c r="M31" s="3"/>
      <c r="N31" s="2">
        <v>292837.13</v>
      </c>
      <c r="O31" s="3"/>
      <c r="P31" s="2">
        <v>178020</v>
      </c>
      <c r="Q31" s="3"/>
      <c r="R31" s="2">
        <v>183323.51999999999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/>
      <c r="F33" s="2"/>
      <c r="G33" s="3"/>
      <c r="H33" s="2"/>
      <c r="I33" s="3"/>
      <c r="J33" s="2"/>
      <c r="K33" s="3"/>
      <c r="L33" s="2"/>
      <c r="M33" s="3"/>
      <c r="N33" s="2">
        <v>-9381.52</v>
      </c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8815.41</v>
      </c>
      <c r="F34" s="2">
        <v>34600.839999999997</v>
      </c>
      <c r="G34" s="3"/>
      <c r="H34" s="2">
        <v>11150.15</v>
      </c>
      <c r="I34" s="3"/>
      <c r="J34" s="2">
        <v>25548.63</v>
      </c>
      <c r="K34" s="3"/>
      <c r="L34" s="2">
        <v>26133.68</v>
      </c>
      <c r="M34" s="3"/>
      <c r="N34" s="2">
        <v>20823.22</v>
      </c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>
        <v>4333</v>
      </c>
      <c r="F35" s="2">
        <v>17312.93</v>
      </c>
      <c r="G35" s="3"/>
      <c r="H35" s="2">
        <v>15402.23</v>
      </c>
      <c r="I35" s="3"/>
      <c r="J35" s="2">
        <v>3990.82</v>
      </c>
      <c r="K35" s="3"/>
      <c r="L35" s="2">
        <v>8589.4599999999991</v>
      </c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81428.240000000005</v>
      </c>
      <c r="F36" s="2">
        <v>73660.210000000006</v>
      </c>
      <c r="G36" s="3"/>
      <c r="H36" s="2">
        <v>61850.78</v>
      </c>
      <c r="I36" s="3"/>
      <c r="J36" s="2">
        <v>50485.1</v>
      </c>
      <c r="K36" s="3"/>
      <c r="L36" s="2">
        <v>39374.78</v>
      </c>
      <c r="M36" s="3"/>
      <c r="N36" s="2">
        <v>32551.35</v>
      </c>
      <c r="O36" s="3"/>
      <c r="P36" s="2">
        <v>0</v>
      </c>
      <c r="Q36" s="3"/>
      <c r="R36" s="2">
        <v>3595.2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/>
      <c r="F37" s="2"/>
      <c r="G37" s="3"/>
      <c r="H37" s="2"/>
      <c r="I37" s="3"/>
      <c r="J37" s="2"/>
      <c r="K37" s="3"/>
      <c r="L37" s="2">
        <v>2961</v>
      </c>
      <c r="M37" s="3"/>
      <c r="N37" s="2">
        <v>5309.97</v>
      </c>
      <c r="O37" s="3"/>
      <c r="P37" s="2">
        <v>12760.8</v>
      </c>
      <c r="Q37" s="3"/>
      <c r="R37" s="2">
        <v>21504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308.3</v>
      </c>
      <c r="E40" s="19"/>
      <c r="F40" s="1">
        <f>SUM(OSRRefF21_2x_0)</f>
        <v>36</v>
      </c>
      <c r="G40" s="4"/>
      <c r="H40" s="1">
        <f>SUM(OSRRefH21_2x_0)</f>
        <v>162.38999999999999</v>
      </c>
      <c r="I40" s="4"/>
      <c r="J40" s="1">
        <f>SUM(OSRRefJ21_2x_0)</f>
        <v>36</v>
      </c>
      <c r="K40" s="4"/>
      <c r="L40" s="1">
        <f>SUM(OSRRefL21_2x_0)</f>
        <v>54</v>
      </c>
      <c r="M40" s="4"/>
      <c r="N40" s="1">
        <f>SUM(OSRRefN21_2x_0)</f>
        <v>62</v>
      </c>
      <c r="O40" s="4"/>
      <c r="P40" s="1">
        <f>SUM(OSRRefP21_2x_0)</f>
        <v>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308.3</v>
      </c>
      <c r="F41" s="2">
        <v>36</v>
      </c>
      <c r="G41" s="3"/>
      <c r="H41" s="2">
        <v>162.38999999999999</v>
      </c>
      <c r="I41" s="3"/>
      <c r="J41" s="2">
        <v>36</v>
      </c>
      <c r="K41" s="3"/>
      <c r="L41" s="2">
        <v>54</v>
      </c>
      <c r="M41" s="3"/>
      <c r="N41" s="2">
        <v>62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","Depreciation                                      ")</f>
        <v xml:space="preserve">     Depreciation                                      </v>
      </c>
      <c r="C42" s="7"/>
      <c r="D42" s="1">
        <f>SUM(OSRRefD21_3x_0)</f>
        <v>0</v>
      </c>
      <c r="E42" s="19"/>
      <c r="F42" s="1">
        <f>SUM(OSRRefF21_3x_0)</f>
        <v>0</v>
      </c>
      <c r="G42" s="4"/>
      <c r="H42" s="1">
        <f>SUM(OSRRefH21_3x_0)</f>
        <v>6235.5</v>
      </c>
      <c r="I42" s="4"/>
      <c r="J42" s="1">
        <f>SUM(OSRRefJ21_3x_0)</f>
        <v>18706.5</v>
      </c>
      <c r="K42" s="4"/>
      <c r="L42" s="1">
        <f>SUM(OSRRefL21_3x_0)</f>
        <v>18706.5</v>
      </c>
      <c r="M42" s="4"/>
      <c r="N42" s="1">
        <f>SUM(OSRRefN21_3x_0)</f>
        <v>18706.5</v>
      </c>
      <c r="O42" s="4"/>
      <c r="P42" s="1">
        <f>SUM(OSRRefP21_3x_0)</f>
        <v>18708</v>
      </c>
      <c r="Q42" s="4"/>
      <c r="R42" s="1">
        <f>SUM(OSRRefR21_3x_0)</f>
        <v>12472</v>
      </c>
    </row>
    <row r="43" spans="1:18" s="16" customFormat="1" hidden="1" outlineLevel="2" x14ac:dyDescent="0.35">
      <c r="B43" s="11" t="str">
        <f>CONCATENATE("          ", "6322", " - ", "EQUIPMENT DEPRECIATION EXPENSE")</f>
        <v xml:space="preserve">          6322 - EQUIPMENT DEPRECIATION EXPENSE</v>
      </c>
      <c r="D43" s="2"/>
      <c r="F43" s="2"/>
      <c r="G43" s="3"/>
      <c r="H43" s="2">
        <v>6235.5</v>
      </c>
      <c r="I43" s="3"/>
      <c r="J43" s="2">
        <v>18706.5</v>
      </c>
      <c r="K43" s="3"/>
      <c r="L43" s="2">
        <v>18706.5</v>
      </c>
      <c r="M43" s="3"/>
      <c r="N43" s="2">
        <v>18706.5</v>
      </c>
      <c r="O43" s="3"/>
      <c r="P43" s="2">
        <v>18708</v>
      </c>
      <c r="Q43" s="3"/>
      <c r="R43" s="2">
        <v>12472</v>
      </c>
    </row>
    <row r="44" spans="1:18" s="15" customFormat="1" outlineLevel="1" collapsed="1" x14ac:dyDescent="0.35">
      <c r="A44" s="7"/>
      <c r="B44" s="20" t="str">
        <f>CONCATENATE("     ","Employees' Appreciation                           ")</f>
        <v xml:space="preserve">     Employees' Appreciation                           </v>
      </c>
      <c r="C44" s="7"/>
      <c r="D44" s="1">
        <f>SUM(OSRRefD21_4x_0)</f>
        <v>1106.7</v>
      </c>
      <c r="E44" s="19"/>
      <c r="F44" s="1">
        <f>SUM(OSRRefF21_4x_0)</f>
        <v>738.64</v>
      </c>
      <c r="G44" s="4"/>
      <c r="H44" s="1">
        <f>SUM(OSRRefH21_4x_0)</f>
        <v>351.71</v>
      </c>
      <c r="I44" s="4"/>
      <c r="J44" s="1">
        <f>SUM(OSRRefJ21_4x_0)</f>
        <v>229.08</v>
      </c>
      <c r="K44" s="4"/>
      <c r="L44" s="1">
        <f>SUM(OSRRefL21_4x_0)</f>
        <v>147.43</v>
      </c>
      <c r="M44" s="4"/>
      <c r="N44" s="1">
        <f>SUM(OSRRefN21_4x_0)</f>
        <v>3.96</v>
      </c>
      <c r="O44" s="4"/>
      <c r="P44" s="1">
        <f>SUM(OSRRefP21_4x_0)</f>
        <v>0</v>
      </c>
      <c r="Q44" s="4"/>
      <c r="R44" s="1">
        <f>SUM(OSRRefR21_4x_0)</f>
        <v>0</v>
      </c>
    </row>
    <row r="45" spans="1:18" s="16" customFormat="1" hidden="1" outlineLevel="2" x14ac:dyDescent="0.35">
      <c r="B45" s="11" t="str">
        <f>CONCATENATE("          ", "6277", " - ", "EMPLOYEE APPRECIATION")</f>
        <v xml:space="preserve">          6277 - EMPLOYEE APPRECIATION</v>
      </c>
      <c r="D45" s="2">
        <v>1106.7</v>
      </c>
      <c r="F45" s="2">
        <v>738.64</v>
      </c>
      <c r="G45" s="3"/>
      <c r="H45" s="2">
        <v>351.71</v>
      </c>
      <c r="I45" s="3"/>
      <c r="J45" s="2">
        <v>229.08</v>
      </c>
      <c r="K45" s="3"/>
      <c r="L45" s="2">
        <v>147.43</v>
      </c>
      <c r="M45" s="3"/>
      <c r="N45" s="2">
        <v>3.96</v>
      </c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","Equipment Rental                                  ")</f>
        <v xml:space="preserve">     Equipment Rental                                  </v>
      </c>
      <c r="C46" s="7"/>
      <c r="D46" s="1">
        <f>SUM(OSRRefD21_5x_0)</f>
        <v>1885.29</v>
      </c>
      <c r="E46" s="19"/>
      <c r="F46" s="1">
        <f>SUM(OSRRefF21_5x_0)</f>
        <v>1713.9</v>
      </c>
      <c r="G46" s="4"/>
      <c r="H46" s="1">
        <f>SUM(OSRRefH21_5x_0)</f>
        <v>1644.46</v>
      </c>
      <c r="I46" s="4"/>
      <c r="J46" s="1">
        <f>SUM(OSRRefJ21_5x_0)</f>
        <v>1094.71</v>
      </c>
      <c r="K46" s="4"/>
      <c r="L46" s="1">
        <f>SUM(OSRRefL21_5x_0)</f>
        <v>1095.1199999999999</v>
      </c>
      <c r="M46" s="4"/>
      <c r="N46" s="1">
        <f>SUM(OSRRefN21_5x_0)</f>
        <v>1095.1199999999999</v>
      </c>
      <c r="O46" s="4"/>
      <c r="P46" s="1">
        <f>SUM(OSRRefP21_5x_0)</f>
        <v>1092</v>
      </c>
      <c r="Q46" s="4"/>
      <c r="R46" s="1">
        <f>SUM(OSRRefR21_5x_0)</f>
        <v>1092</v>
      </c>
    </row>
    <row r="47" spans="1:18" s="16" customFormat="1" hidden="1" outlineLevel="2" x14ac:dyDescent="0.35">
      <c r="B47" s="11" t="str">
        <f>CONCATENATE("          ", "6351", " - ", "EQUIPMENT RENTAL")</f>
        <v xml:space="preserve">          6351 - EQUIPMENT RENTAL</v>
      </c>
      <c r="D47" s="2">
        <v>1885.29</v>
      </c>
      <c r="F47" s="2">
        <v>1713.9</v>
      </c>
      <c r="G47" s="3"/>
      <c r="H47" s="2">
        <v>1644.46</v>
      </c>
      <c r="I47" s="3"/>
      <c r="J47" s="2">
        <v>1094.71</v>
      </c>
      <c r="K47" s="3"/>
      <c r="L47" s="2">
        <v>1095.1199999999999</v>
      </c>
      <c r="M47" s="3"/>
      <c r="N47" s="2">
        <v>1095.1199999999999</v>
      </c>
      <c r="O47" s="3"/>
      <c r="P47" s="2">
        <v>1092</v>
      </c>
      <c r="Q47" s="3"/>
      <c r="R47" s="2">
        <v>1092</v>
      </c>
    </row>
    <row r="48" spans="1:18" s="15" customFormat="1" outlineLevel="1" collapsed="1" x14ac:dyDescent="0.35">
      <c r="A48" s="7"/>
      <c r="B48" s="20" t="str">
        <f>CONCATENATE("     ","Freight out/Postage                               ")</f>
        <v xml:space="preserve">     Freight out/Postage                               </v>
      </c>
      <c r="C48" s="7"/>
      <c r="D48" s="1">
        <f>SUM(OSRRefD21_6x_0)</f>
        <v>1689.7800000000002</v>
      </c>
      <c r="E48" s="19"/>
      <c r="F48" s="1">
        <f>SUM(OSRRefF21_6x_0)</f>
        <v>1708.78</v>
      </c>
      <c r="G48" s="4"/>
      <c r="H48" s="1">
        <f>SUM(OSRRefH21_6x_0)</f>
        <v>1615.99</v>
      </c>
      <c r="I48" s="4"/>
      <c r="J48" s="1">
        <f>SUM(OSRRefJ21_6x_0)</f>
        <v>1616.15</v>
      </c>
      <c r="K48" s="4"/>
      <c r="L48" s="1">
        <f>SUM(OSRRefL21_6x_0)</f>
        <v>1719.8</v>
      </c>
      <c r="M48" s="4"/>
      <c r="N48" s="1">
        <f>SUM(OSRRefN21_6x_0)</f>
        <v>1366.2</v>
      </c>
      <c r="O48" s="4"/>
      <c r="P48" s="1">
        <f>SUM(OSRRefP21_6x_0)</f>
        <v>1200</v>
      </c>
      <c r="Q48" s="4"/>
      <c r="R48" s="1">
        <f>SUM(OSRRefR21_6x_0)</f>
        <v>1200</v>
      </c>
    </row>
    <row r="49" spans="1:18" s="16" customFormat="1" hidden="1" outlineLevel="2" x14ac:dyDescent="0.35">
      <c r="B49" s="11" t="str">
        <f>CONCATENATE("          ", "6305", " - ", "FREIGHT OUT")</f>
        <v xml:space="preserve">          6305 - FREIGHT OUT</v>
      </c>
      <c r="D49" s="2">
        <v>28.63</v>
      </c>
      <c r="F49" s="2">
        <v>8.5</v>
      </c>
      <c r="G49" s="3"/>
      <c r="H49" s="2">
        <v>18.32</v>
      </c>
      <c r="I49" s="3"/>
      <c r="J49" s="2">
        <v>8.77</v>
      </c>
      <c r="K49" s="3"/>
      <c r="L49" s="2"/>
      <c r="M49" s="3"/>
      <c r="N49" s="2"/>
      <c r="O49" s="3"/>
      <c r="P49" s="2"/>
      <c r="Q49" s="3"/>
      <c r="R49" s="2"/>
    </row>
    <row r="50" spans="1:18" s="16" customFormat="1" hidden="1" outlineLevel="2" x14ac:dyDescent="0.35">
      <c r="B50" s="11" t="str">
        <f>CONCATENATE("          ", "6307", " - ", "POSTAGE")</f>
        <v xml:space="preserve">          6307 - POSTAGE</v>
      </c>
      <c r="D50" s="2">
        <v>1661.15</v>
      </c>
      <c r="F50" s="2">
        <v>1700.28</v>
      </c>
      <c r="G50" s="3"/>
      <c r="H50" s="2">
        <v>1597.67</v>
      </c>
      <c r="I50" s="3"/>
      <c r="J50" s="2">
        <v>1607.38</v>
      </c>
      <c r="K50" s="3"/>
      <c r="L50" s="2">
        <v>1719.8</v>
      </c>
      <c r="M50" s="3"/>
      <c r="N50" s="2">
        <v>1366.2</v>
      </c>
      <c r="O50" s="3"/>
      <c r="P50" s="2">
        <v>1200</v>
      </c>
      <c r="Q50" s="3"/>
      <c r="R50" s="2">
        <v>1200</v>
      </c>
    </row>
    <row r="51" spans="1:18" s="15" customFormat="1" outlineLevel="1" collapsed="1" x14ac:dyDescent="0.35">
      <c r="A51" s="7"/>
      <c r="B51" s="20" t="str">
        <f>CONCATENATE("     ","General                                           ")</f>
        <v xml:space="preserve">     General                                           </v>
      </c>
      <c r="C51" s="7"/>
      <c r="D51" s="1">
        <f>SUM(OSRRefD21_7x_0)</f>
        <v>0</v>
      </c>
      <c r="E51" s="19"/>
      <c r="F51" s="1">
        <f>SUM(OSRRefF21_7x_0)</f>
        <v>0</v>
      </c>
      <c r="G51" s="4"/>
      <c r="H51" s="1">
        <f>SUM(OSRRefH21_7x_0)</f>
        <v>-0.02</v>
      </c>
      <c r="I51" s="4"/>
      <c r="J51" s="1">
        <f>SUM(OSRRefJ21_7x_0)</f>
        <v>0</v>
      </c>
      <c r="K51" s="4"/>
      <c r="L51" s="1">
        <f>SUM(OSRRefL21_7x_0)</f>
        <v>90.42</v>
      </c>
      <c r="M51" s="4"/>
      <c r="N51" s="1">
        <f>SUM(OSRRefN21_7x_0)</f>
        <v>0</v>
      </c>
      <c r="O51" s="4"/>
      <c r="P51" s="1">
        <f>SUM(OSRRefP21_7x_0)</f>
        <v>0</v>
      </c>
      <c r="Q51" s="4"/>
      <c r="R51" s="1">
        <f>SUM(OSRRefR21_7x_0)</f>
        <v>0</v>
      </c>
    </row>
    <row r="52" spans="1:18" s="16" customFormat="1" hidden="1" outlineLevel="2" x14ac:dyDescent="0.35">
      <c r="B52" s="11" t="str">
        <f>CONCATENATE("          ", "6279", " - ", "GENERAL EXPENSE")</f>
        <v xml:space="preserve">          6279 - GENERAL EXPENSE</v>
      </c>
      <c r="D52" s="2"/>
      <c r="F52" s="2"/>
      <c r="G52" s="3"/>
      <c r="H52" s="2">
        <v>-0.02</v>
      </c>
      <c r="I52" s="3"/>
      <c r="J52" s="2"/>
      <c r="K52" s="3"/>
      <c r="L52" s="2">
        <v>90.42</v>
      </c>
      <c r="M52" s="3"/>
      <c r="N52" s="2"/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","Insurance                                         ")</f>
        <v xml:space="preserve">     Insurance                                         </v>
      </c>
      <c r="C53" s="7"/>
      <c r="D53" s="1">
        <f>SUM(OSRRefD21_8x_0)</f>
        <v>1270.23</v>
      </c>
      <c r="E53" s="19"/>
      <c r="F53" s="1">
        <f>SUM(OSRRefF21_8x_0)</f>
        <v>1537.56</v>
      </c>
      <c r="G53" s="4"/>
      <c r="H53" s="1">
        <f>SUM(OSRRefH21_8x_0)</f>
        <v>1171.79</v>
      </c>
      <c r="I53" s="4"/>
      <c r="J53" s="1">
        <f>SUM(OSRRefJ21_8x_0)</f>
        <v>1309.6199999999999</v>
      </c>
      <c r="K53" s="4"/>
      <c r="L53" s="1">
        <f>SUM(OSRRefL21_8x_0)</f>
        <v>1272.06</v>
      </c>
      <c r="M53" s="4"/>
      <c r="N53" s="1">
        <f>SUM(OSRRefN21_8x_0)</f>
        <v>1586.04</v>
      </c>
      <c r="O53" s="4"/>
      <c r="P53" s="1">
        <f>SUM(OSRRefP21_8x_0)</f>
        <v>1740</v>
      </c>
      <c r="Q53" s="4"/>
      <c r="R53" s="1">
        <f>SUM(OSRRefR21_8x_0)</f>
        <v>2160</v>
      </c>
    </row>
    <row r="54" spans="1:18" s="16" customFormat="1" hidden="1" outlineLevel="2" x14ac:dyDescent="0.35">
      <c r="B54" s="11" t="str">
        <f>CONCATENATE("          ", "6314", " - ", "LIABILITY INSURANCE")</f>
        <v xml:space="preserve">          6314 - LIABILITY INSURANCE</v>
      </c>
      <c r="D54" s="2">
        <v>1270.23</v>
      </c>
      <c r="F54" s="2">
        <v>1537.56</v>
      </c>
      <c r="G54" s="3"/>
      <c r="H54" s="2">
        <v>1171.79</v>
      </c>
      <c r="I54" s="3"/>
      <c r="J54" s="2">
        <v>1309.6199999999999</v>
      </c>
      <c r="K54" s="3"/>
      <c r="L54" s="2">
        <v>1272.06</v>
      </c>
      <c r="M54" s="3"/>
      <c r="N54" s="2">
        <v>1586.04</v>
      </c>
      <c r="O54" s="3"/>
      <c r="P54" s="2">
        <v>1740</v>
      </c>
      <c r="Q54" s="3"/>
      <c r="R54" s="2">
        <v>2160</v>
      </c>
    </row>
    <row r="55" spans="1:18" s="15" customFormat="1" outlineLevel="1" collapsed="1" x14ac:dyDescent="0.35">
      <c r="A55" s="7"/>
      <c r="B55" s="20" t="str">
        <f>CONCATENATE("     ","Professional Services                             ")</f>
        <v xml:space="preserve">     Professional Services                             </v>
      </c>
      <c r="C55" s="7"/>
      <c r="D55" s="1">
        <f>SUM(OSRRefD21_9x_0)</f>
        <v>660</v>
      </c>
      <c r="E55" s="19"/>
      <c r="F55" s="1">
        <f>SUM(OSRRefF21_9x_0)</f>
        <v>0</v>
      </c>
      <c r="G55" s="4"/>
      <c r="H55" s="1">
        <f>SUM(OSRRefH21_9x_0)</f>
        <v>4136.26</v>
      </c>
      <c r="I55" s="4"/>
      <c r="J55" s="1">
        <f>SUM(OSRRefJ21_9x_0)</f>
        <v>0</v>
      </c>
      <c r="K55" s="4"/>
      <c r="L55" s="1">
        <f>SUM(OSRRefL21_9x_0)</f>
        <v>412.5</v>
      </c>
      <c r="M55" s="4"/>
      <c r="N55" s="1">
        <f>SUM(OSRRefN21_9x_0)</f>
        <v>82.5</v>
      </c>
      <c r="O55" s="4"/>
      <c r="P55" s="1">
        <f>SUM(OSRRefP21_9x_0)</f>
        <v>3000</v>
      </c>
      <c r="Q55" s="4"/>
      <c r="R55" s="1">
        <f>SUM(OSRRefR21_9x_0)</f>
        <v>0</v>
      </c>
    </row>
    <row r="56" spans="1:18" s="16" customFormat="1" hidden="1" outlineLevel="2" x14ac:dyDescent="0.35">
      <c r="B56" s="11" t="str">
        <f>CONCATENATE("          ", "6332", " - ", "CONSULTANT FEES")</f>
        <v xml:space="preserve">          6332 - CONSULTANT FEES</v>
      </c>
      <c r="D56" s="2"/>
      <c r="F56" s="2"/>
      <c r="G56" s="3"/>
      <c r="H56" s="2">
        <v>4136.26</v>
      </c>
      <c r="I56" s="3"/>
      <c r="J56" s="2"/>
      <c r="K56" s="3"/>
      <c r="L56" s="2">
        <v>412.5</v>
      </c>
      <c r="M56" s="3"/>
      <c r="N56" s="2">
        <v>82.5</v>
      </c>
      <c r="O56" s="3"/>
      <c r="P56" s="2">
        <v>3000</v>
      </c>
      <c r="Q56" s="3"/>
      <c r="R56" s="2"/>
    </row>
    <row r="57" spans="1:18" s="16" customFormat="1" hidden="1" outlineLevel="2" x14ac:dyDescent="0.35">
      <c r="B57" s="11" t="str">
        <f>CONCATENATE("          ", "6336", " - ", "PROFESSIONAL SERVICES")</f>
        <v xml:space="preserve">          6336 - PROFESSIONAL SERVICES</v>
      </c>
      <c r="D57" s="2">
        <v>660</v>
      </c>
      <c r="F57" s="2"/>
      <c r="G57" s="3"/>
      <c r="H57" s="2"/>
      <c r="I57" s="3"/>
      <c r="J57" s="2"/>
      <c r="K57" s="3"/>
      <c r="L57" s="2"/>
      <c r="M57" s="3"/>
      <c r="N57" s="2"/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","Repair and Maintenance                            ")</f>
        <v xml:space="preserve">     Repair and Maintenance                            </v>
      </c>
      <c r="C58" s="7"/>
      <c r="D58" s="1">
        <f>SUM(OSRRefD21_10x_0)</f>
        <v>18726.150000000001</v>
      </c>
      <c r="E58" s="19"/>
      <c r="F58" s="1">
        <f>SUM(OSRRefF21_10x_0)</f>
        <v>28176.350000000002</v>
      </c>
      <c r="G58" s="4"/>
      <c r="H58" s="1">
        <f>SUM(OSRRefH21_10x_0)</f>
        <v>42626.770000000004</v>
      </c>
      <c r="I58" s="4"/>
      <c r="J58" s="1">
        <f>SUM(OSRRefJ21_10x_0)</f>
        <v>61430.759999999995</v>
      </c>
      <c r="K58" s="4"/>
      <c r="L58" s="1">
        <f>SUM(OSRRefL21_10x_0)</f>
        <v>30877.98</v>
      </c>
      <c r="M58" s="4"/>
      <c r="N58" s="1">
        <f>SUM(OSRRefN21_10x_0)</f>
        <v>32691.109999999997</v>
      </c>
      <c r="O58" s="4"/>
      <c r="P58" s="1">
        <f>SUM(OSRRefP21_10x_0)</f>
        <v>31570</v>
      </c>
      <c r="Q58" s="4"/>
      <c r="R58" s="1">
        <f>SUM(OSRRefR21_10x_0)</f>
        <v>36520</v>
      </c>
    </row>
    <row r="59" spans="1:18" s="16" customFormat="1" hidden="1" outlineLevel="2" x14ac:dyDescent="0.35">
      <c r="B59" s="11" t="str">
        <f>CONCATENATE("          ", "6371", " - ", "COMPUTER SOFTWARE MAINTENANCE")</f>
        <v xml:space="preserve">          6371 - COMPUTER SOFTWARE MAINTENANCE</v>
      </c>
      <c r="D59" s="2">
        <v>11107.38</v>
      </c>
      <c r="F59" s="2">
        <v>22514.49</v>
      </c>
      <c r="G59" s="3"/>
      <c r="H59" s="2">
        <v>34381.39</v>
      </c>
      <c r="I59" s="3"/>
      <c r="J59" s="2">
        <v>53453.49</v>
      </c>
      <c r="K59" s="3"/>
      <c r="L59" s="2">
        <v>25794.14</v>
      </c>
      <c r="M59" s="3"/>
      <c r="N59" s="2">
        <v>27023.78</v>
      </c>
      <c r="O59" s="3"/>
      <c r="P59" s="2">
        <v>27120</v>
      </c>
      <c r="Q59" s="3"/>
      <c r="R59" s="2">
        <v>29000</v>
      </c>
    </row>
    <row r="60" spans="1:18" s="16" customFormat="1" hidden="1" outlineLevel="2" x14ac:dyDescent="0.35">
      <c r="B60" s="11" t="str">
        <f>CONCATENATE("          ", "6373", " - ", "MAINTENANCE CONTRACTS")</f>
        <v xml:space="preserve">          6373 - MAINTENANCE CONTRACTS</v>
      </c>
      <c r="D60" s="2">
        <v>6216.73</v>
      </c>
      <c r="F60" s="2">
        <v>5431.28</v>
      </c>
      <c r="G60" s="3"/>
      <c r="H60" s="2">
        <v>8180.52</v>
      </c>
      <c r="I60" s="3"/>
      <c r="J60" s="2">
        <v>7977.27</v>
      </c>
      <c r="K60" s="3"/>
      <c r="L60" s="2">
        <v>5083.84</v>
      </c>
      <c r="M60" s="3"/>
      <c r="N60" s="2">
        <v>5129.3900000000003</v>
      </c>
      <c r="O60" s="3"/>
      <c r="P60" s="2">
        <v>4450</v>
      </c>
      <c r="Q60" s="3"/>
      <c r="R60" s="2">
        <v>5720</v>
      </c>
    </row>
    <row r="61" spans="1:18" s="16" customFormat="1" hidden="1" outlineLevel="2" x14ac:dyDescent="0.35">
      <c r="B61" s="11" t="str">
        <f>CONCATENATE("          ", "6375", " - ", "OUTSIDE REPAIRS &amp; MAINTENANCE")</f>
        <v xml:space="preserve">          6375 - OUTSIDE REPAIRS &amp; MAINTENANCE</v>
      </c>
      <c r="D61" s="2">
        <v>1402.04</v>
      </c>
      <c r="F61" s="2">
        <v>230.58</v>
      </c>
      <c r="G61" s="3"/>
      <c r="H61" s="2">
        <v>64.86</v>
      </c>
      <c r="I61" s="3"/>
      <c r="J61" s="2"/>
      <c r="K61" s="3"/>
      <c r="L61" s="2"/>
      <c r="M61" s="3"/>
      <c r="N61" s="2">
        <v>537.94000000000005</v>
      </c>
      <c r="O61" s="3"/>
      <c r="P61" s="2"/>
      <c r="Q61" s="3"/>
      <c r="R61" s="2">
        <v>1800</v>
      </c>
    </row>
    <row r="62" spans="1:18" s="15" customFormat="1" outlineLevel="1" collapsed="1" x14ac:dyDescent="0.35">
      <c r="A62" s="7"/>
      <c r="B62" s="20" t="str">
        <f>CONCATENATE("     ","Services                                          ")</f>
        <v xml:space="preserve">     Services                                          </v>
      </c>
      <c r="C62" s="7"/>
      <c r="D62" s="1">
        <f>SUM(OSRRefD21_11x_0)</f>
        <v>5155.7299999999996</v>
      </c>
      <c r="E62" s="19"/>
      <c r="F62" s="1">
        <f>SUM(OSRRefF21_11x_0)</f>
        <v>4666.83</v>
      </c>
      <c r="G62" s="4"/>
      <c r="H62" s="1">
        <f>SUM(OSRRefH21_11x_0)</f>
        <v>5112.75</v>
      </c>
      <c r="I62" s="4"/>
      <c r="J62" s="1">
        <f>SUM(OSRRefJ21_11x_0)</f>
        <v>7280.78</v>
      </c>
      <c r="K62" s="4"/>
      <c r="L62" s="1">
        <f>SUM(OSRRefL21_11x_0)</f>
        <v>9160.09</v>
      </c>
      <c r="M62" s="4"/>
      <c r="N62" s="1">
        <f>SUM(OSRRefN21_11x_0)</f>
        <v>10967.41</v>
      </c>
      <c r="O62" s="4"/>
      <c r="P62" s="1">
        <f>SUM(OSRRefP21_11x_0)</f>
        <v>6000</v>
      </c>
      <c r="Q62" s="4"/>
      <c r="R62" s="1">
        <f>SUM(OSRRefR21_11x_0)</f>
        <v>7500</v>
      </c>
    </row>
    <row r="63" spans="1:18" s="16" customFormat="1" hidden="1" outlineLevel="2" x14ac:dyDescent="0.35">
      <c r="B63" s="11" t="str">
        <f>CONCATENATE("          ", "6281", " - ", "STORAGE FEE")</f>
        <v xml:space="preserve">          6281 - STORAGE FEE</v>
      </c>
      <c r="D63" s="2">
        <v>5155.7299999999996</v>
      </c>
      <c r="F63" s="2">
        <v>4666.83</v>
      </c>
      <c r="G63" s="3"/>
      <c r="H63" s="2">
        <v>5112.75</v>
      </c>
      <c r="I63" s="3"/>
      <c r="J63" s="2">
        <v>7280.78</v>
      </c>
      <c r="K63" s="3"/>
      <c r="L63" s="2">
        <v>9160.09</v>
      </c>
      <c r="M63" s="3"/>
      <c r="N63" s="2">
        <v>10967.41</v>
      </c>
      <c r="O63" s="3"/>
      <c r="P63" s="2">
        <v>6000</v>
      </c>
      <c r="Q63" s="3"/>
      <c r="R63" s="2">
        <v>7500</v>
      </c>
    </row>
    <row r="64" spans="1:18" s="15" customFormat="1" outlineLevel="1" collapsed="1" x14ac:dyDescent="0.35">
      <c r="A64" s="7"/>
      <c r="B64" s="20" t="str">
        <f>CONCATENATE("     ","Subscriptions &amp; Dues                              ")</f>
        <v xml:space="preserve">     Subscriptions &amp; Dues                              </v>
      </c>
      <c r="C64" s="7"/>
      <c r="D64" s="1">
        <f>SUM(OSRRefD21_12x_0)</f>
        <v>0</v>
      </c>
      <c r="E64" s="19"/>
      <c r="F64" s="1">
        <f>SUM(OSRRefF21_12x_0)</f>
        <v>0</v>
      </c>
      <c r="G64" s="4"/>
      <c r="H64" s="1">
        <f>SUM(OSRRefH21_12x_0)</f>
        <v>0</v>
      </c>
      <c r="I64" s="4"/>
      <c r="J64" s="1">
        <f>SUM(OSRRefJ21_12x_0)</f>
        <v>0</v>
      </c>
      <c r="K64" s="4"/>
      <c r="L64" s="1">
        <f>SUM(OSRRefL21_12x_0)</f>
        <v>0</v>
      </c>
      <c r="M64" s="4"/>
      <c r="N64" s="1">
        <f>SUM(OSRRefN21_12x_0)</f>
        <v>39</v>
      </c>
      <c r="O64" s="4"/>
      <c r="P64" s="1">
        <f>SUM(OSRRefP21_12x_0)</f>
        <v>0</v>
      </c>
      <c r="Q64" s="4"/>
      <c r="R64" s="1">
        <f>SUM(OSRRefR21_12x_0)</f>
        <v>0</v>
      </c>
    </row>
    <row r="65" spans="1:18" s="16" customFormat="1" hidden="1" outlineLevel="2" x14ac:dyDescent="0.35">
      <c r="B65" s="11" t="str">
        <f>CONCATENATE("          ", "6258", " - ", "MEMBERSHIP DUES")</f>
        <v xml:space="preserve">          6258 - MEMBERSHIP DUES</v>
      </c>
      <c r="D65" s="2"/>
      <c r="F65" s="2"/>
      <c r="G65" s="3"/>
      <c r="H65" s="2"/>
      <c r="I65" s="3"/>
      <c r="J65" s="2"/>
      <c r="K65" s="3"/>
      <c r="L65" s="2"/>
      <c r="M65" s="3"/>
      <c r="N65" s="2">
        <v>39</v>
      </c>
      <c r="O65" s="3"/>
      <c r="P65" s="2"/>
      <c r="Q65" s="3"/>
      <c r="R65" s="2"/>
    </row>
    <row r="66" spans="1:18" s="15" customFormat="1" outlineLevel="1" collapsed="1" x14ac:dyDescent="0.35">
      <c r="A66" s="7"/>
      <c r="B66" s="20" t="str">
        <f>CONCATENATE("     ","Supplies                                          ")</f>
        <v xml:space="preserve">     Supplies                                          </v>
      </c>
      <c r="C66" s="7"/>
      <c r="D66" s="1">
        <f>SUM(OSRRefD21_13x_0)</f>
        <v>19733.349999999999</v>
      </c>
      <c r="E66" s="19"/>
      <c r="F66" s="1">
        <f>SUM(OSRRefF21_13x_0)</f>
        <v>27134.189999999995</v>
      </c>
      <c r="G66" s="4"/>
      <c r="H66" s="1">
        <f>SUM(OSRRefH21_13x_0)</f>
        <v>17056.739999999998</v>
      </c>
      <c r="I66" s="4"/>
      <c r="J66" s="1">
        <f>SUM(OSRRefJ21_13x_0)</f>
        <v>6975.7000000000007</v>
      </c>
      <c r="K66" s="4"/>
      <c r="L66" s="1">
        <f>SUM(OSRRefL21_13x_0)</f>
        <v>18189.129999999997</v>
      </c>
      <c r="M66" s="4"/>
      <c r="N66" s="1">
        <f>SUM(OSRRefN21_13x_0)</f>
        <v>6840.7699999999995</v>
      </c>
      <c r="O66" s="4"/>
      <c r="P66" s="1">
        <f>SUM(OSRRefP21_13x_0)</f>
        <v>11984</v>
      </c>
      <c r="Q66" s="4"/>
      <c r="R66" s="1">
        <f>SUM(OSRRefR21_13x_0)</f>
        <v>1200</v>
      </c>
    </row>
    <row r="67" spans="1:18" s="16" customFormat="1" hidden="1" outlineLevel="2" x14ac:dyDescent="0.35">
      <c r="B67" s="11" t="str">
        <f>CONCATENATE("          ", "6234", " - ", "EXPENDABLE SUPPLIES &amp; EQUIPMEN")</f>
        <v xml:space="preserve">          6234 - EXPENDABLE SUPPLIES &amp; EQUIPMEN</v>
      </c>
      <c r="D67" s="2">
        <v>3239.87</v>
      </c>
      <c r="F67" s="2">
        <v>11908.46</v>
      </c>
      <c r="G67" s="3"/>
      <c r="H67" s="2">
        <v>6438.4</v>
      </c>
      <c r="I67" s="3"/>
      <c r="J67" s="2">
        <v>1968.75</v>
      </c>
      <c r="K67" s="3"/>
      <c r="L67" s="2">
        <v>2355.94</v>
      </c>
      <c r="M67" s="3"/>
      <c r="N67" s="2"/>
      <c r="O67" s="3"/>
      <c r="P67" s="2">
        <v>9584</v>
      </c>
      <c r="Q67" s="3"/>
      <c r="R67" s="2"/>
    </row>
    <row r="68" spans="1:18" s="16" customFormat="1" hidden="1" outlineLevel="2" x14ac:dyDescent="0.35">
      <c r="B68" s="11" t="str">
        <f>CONCATENATE("          ", "6241", " - ", "OFFICE EXPENSE")</f>
        <v xml:space="preserve">          6241 - OFFICE EXPENSE</v>
      </c>
      <c r="D68" s="2">
        <v>15637</v>
      </c>
      <c r="F68" s="2">
        <v>14699.13</v>
      </c>
      <c r="G68" s="3"/>
      <c r="H68" s="2">
        <v>10572.67</v>
      </c>
      <c r="I68" s="3"/>
      <c r="J68" s="2">
        <v>5005.18</v>
      </c>
      <c r="K68" s="3"/>
      <c r="L68" s="2">
        <v>15832</v>
      </c>
      <c r="M68" s="3"/>
      <c r="N68" s="2">
        <v>6177.86</v>
      </c>
      <c r="O68" s="3"/>
      <c r="P68" s="2">
        <v>2400</v>
      </c>
      <c r="Q68" s="3"/>
      <c r="R68" s="2">
        <v>1200</v>
      </c>
    </row>
    <row r="69" spans="1:18" s="16" customFormat="1" hidden="1" outlineLevel="2" x14ac:dyDescent="0.35">
      <c r="B69" s="11" t="str">
        <f>CONCATENATE("          ", "6245", " - ", "PRINTING")</f>
        <v xml:space="preserve">          6245 - PRINTING</v>
      </c>
      <c r="D69" s="2">
        <v>856.48</v>
      </c>
      <c r="F69" s="2">
        <v>526.6</v>
      </c>
      <c r="G69" s="3"/>
      <c r="H69" s="2">
        <v>45.67</v>
      </c>
      <c r="I69" s="3"/>
      <c r="J69" s="2">
        <v>1.77</v>
      </c>
      <c r="K69" s="3"/>
      <c r="L69" s="2">
        <v>1.19</v>
      </c>
      <c r="M69" s="3"/>
      <c r="N69" s="2">
        <v>662.91</v>
      </c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","Telephone/Data Lines                              ")</f>
        <v xml:space="preserve">     Telephone/Data Lines                              </v>
      </c>
      <c r="C70" s="7"/>
      <c r="D70" s="1">
        <f>SUM(OSRRefD21_14x_0)</f>
        <v>5552.89</v>
      </c>
      <c r="E70" s="19"/>
      <c r="F70" s="1">
        <f>SUM(OSRRefF21_14x_0)</f>
        <v>4974.67</v>
      </c>
      <c r="G70" s="4"/>
      <c r="H70" s="1">
        <f>SUM(OSRRefH21_14x_0)</f>
        <v>4528.5</v>
      </c>
      <c r="I70" s="4"/>
      <c r="J70" s="1">
        <f>SUM(OSRRefJ21_14x_0)</f>
        <v>4475.8</v>
      </c>
      <c r="K70" s="4"/>
      <c r="L70" s="1">
        <f>SUM(OSRRefL21_14x_0)</f>
        <v>4450.55</v>
      </c>
      <c r="M70" s="4"/>
      <c r="N70" s="1">
        <f>SUM(OSRRefN21_14x_0)</f>
        <v>4605.8900000000003</v>
      </c>
      <c r="O70" s="4"/>
      <c r="P70" s="1">
        <f>SUM(OSRRefP21_14x_0)</f>
        <v>4500</v>
      </c>
      <c r="Q70" s="4"/>
      <c r="R70" s="1">
        <f>SUM(OSRRefR21_14x_0)</f>
        <v>4800</v>
      </c>
    </row>
    <row r="71" spans="1:18" s="16" customFormat="1" hidden="1" outlineLevel="2" x14ac:dyDescent="0.35">
      <c r="B71" s="11" t="str">
        <f>CONCATENATE("          ", "6309", " - ", "TELEPHONE")</f>
        <v xml:space="preserve">          6309 - TELEPHONE</v>
      </c>
      <c r="D71" s="2">
        <v>5552.89</v>
      </c>
      <c r="F71" s="2">
        <v>4974.67</v>
      </c>
      <c r="G71" s="3"/>
      <c r="H71" s="2">
        <v>4528.5</v>
      </c>
      <c r="I71" s="3"/>
      <c r="J71" s="2">
        <v>4475.8</v>
      </c>
      <c r="K71" s="3"/>
      <c r="L71" s="2">
        <v>4450.55</v>
      </c>
      <c r="M71" s="3"/>
      <c r="N71" s="2">
        <v>4605.8900000000003</v>
      </c>
      <c r="O71" s="3"/>
      <c r="P71" s="2">
        <v>4500</v>
      </c>
      <c r="Q71" s="3"/>
      <c r="R71" s="2">
        <v>4800</v>
      </c>
    </row>
    <row r="72" spans="1:18" s="15" customFormat="1" outlineLevel="1" collapsed="1" x14ac:dyDescent="0.35">
      <c r="A72" s="7"/>
      <c r="B72" s="20" t="str">
        <f>CONCATENATE("     ","Training                                          ")</f>
        <v xml:space="preserve">     Training                                          </v>
      </c>
      <c r="C72" s="7"/>
      <c r="D72" s="1">
        <f>SUM(OSRRefD21_15x_0)</f>
        <v>11372.31</v>
      </c>
      <c r="E72" s="19"/>
      <c r="F72" s="1">
        <f>SUM(OSRRefF21_15x_0)</f>
        <v>6000.19</v>
      </c>
      <c r="G72" s="4"/>
      <c r="H72" s="1">
        <f>SUM(OSRRefH21_15x_0)</f>
        <v>5082.97</v>
      </c>
      <c r="I72" s="4"/>
      <c r="J72" s="1">
        <f>SUM(OSRRefJ21_15x_0)</f>
        <v>2306.15</v>
      </c>
      <c r="K72" s="4"/>
      <c r="L72" s="1">
        <f>SUM(OSRRefL21_15x_0)</f>
        <v>5680.71</v>
      </c>
      <c r="M72" s="4"/>
      <c r="N72" s="1">
        <f>SUM(OSRRefN21_15x_0)</f>
        <v>400.18</v>
      </c>
      <c r="O72" s="4"/>
      <c r="P72" s="1">
        <f>SUM(OSRRefP21_15x_0)</f>
        <v>2750</v>
      </c>
      <c r="Q72" s="4"/>
      <c r="R72" s="1">
        <f>SUM(OSRRefR21_15x_0)</f>
        <v>3000</v>
      </c>
    </row>
    <row r="73" spans="1:18" s="16" customFormat="1" hidden="1" outlineLevel="2" x14ac:dyDescent="0.35">
      <c r="B73" s="11" t="str">
        <f>CONCATENATE("          ", "6376", " - ", "TRAINING")</f>
        <v xml:space="preserve">          6376 - TRAINING</v>
      </c>
      <c r="D73" s="2">
        <v>11372.31</v>
      </c>
      <c r="F73" s="2">
        <v>6000.19</v>
      </c>
      <c r="G73" s="3"/>
      <c r="H73" s="2">
        <v>5082.97</v>
      </c>
      <c r="I73" s="3"/>
      <c r="J73" s="2">
        <v>2306.15</v>
      </c>
      <c r="K73" s="3"/>
      <c r="L73" s="2">
        <v>5680.71</v>
      </c>
      <c r="M73" s="3"/>
      <c r="N73" s="2">
        <v>400.18</v>
      </c>
      <c r="O73" s="3"/>
      <c r="P73" s="2">
        <v>2750</v>
      </c>
      <c r="Q73" s="3"/>
      <c r="R73" s="2">
        <v>3000</v>
      </c>
    </row>
    <row r="74" spans="1:18" s="15" customFormat="1" outlineLevel="1" collapsed="1" x14ac:dyDescent="0.35">
      <c r="A74" s="7"/>
      <c r="B74" s="20" t="str">
        <f>CONCATENATE("     ","Travel                                            ")</f>
        <v xml:space="preserve">     Travel                                            </v>
      </c>
      <c r="C74" s="7"/>
      <c r="D74" s="1">
        <f>SUM(OSRRefD21_16x_0)</f>
        <v>1311.8</v>
      </c>
      <c r="E74" s="19"/>
      <c r="F74" s="1">
        <f>SUM(OSRRefF21_16x_0)</f>
        <v>985.92000000000007</v>
      </c>
      <c r="G74" s="4"/>
      <c r="H74" s="1">
        <f>SUM(OSRRefH21_16x_0)</f>
        <v>885.42</v>
      </c>
      <c r="I74" s="4"/>
      <c r="J74" s="1">
        <f>SUM(OSRRefJ21_16x_0)</f>
        <v>55.09</v>
      </c>
      <c r="K74" s="4"/>
      <c r="L74" s="1">
        <f>SUM(OSRRefL21_16x_0)</f>
        <v>26.25</v>
      </c>
      <c r="M74" s="4"/>
      <c r="N74" s="1">
        <f>SUM(OSRRefN21_16x_0)</f>
        <v>0</v>
      </c>
      <c r="O74" s="4"/>
      <c r="P74" s="1">
        <f>SUM(OSRRefP21_16x_0)</f>
        <v>0</v>
      </c>
      <c r="Q74" s="4"/>
      <c r="R74" s="1">
        <f>SUM(OSRRefR21_16x_0)</f>
        <v>0</v>
      </c>
    </row>
    <row r="75" spans="1:18" s="16" customFormat="1" hidden="1" outlineLevel="2" x14ac:dyDescent="0.35">
      <c r="B75" s="11" t="str">
        <f>CONCATENATE("          ", "6292", " - ", "TRAVEL/CONFERENCE")</f>
        <v xml:space="preserve">          6292 - TRAVEL/CONFERENCE</v>
      </c>
      <c r="D75" s="2">
        <v>1375.35</v>
      </c>
      <c r="F75" s="2">
        <v>82.23</v>
      </c>
      <c r="G75" s="3"/>
      <c r="H75" s="2"/>
      <c r="I75" s="3"/>
      <c r="J75" s="2">
        <v>55.09</v>
      </c>
      <c r="K75" s="3"/>
      <c r="L75" s="2">
        <v>22.62</v>
      </c>
      <c r="M75" s="3"/>
      <c r="N75" s="2"/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"6294", " - ", "TRAVEL OPERATIONAL")</f>
        <v xml:space="preserve">          6294 - TRAVEL OPERATIONAL</v>
      </c>
      <c r="D76" s="2">
        <v>-63.55</v>
      </c>
      <c r="F76" s="2">
        <v>903.69</v>
      </c>
      <c r="G76" s="3"/>
      <c r="H76" s="2">
        <v>885.42</v>
      </c>
      <c r="I76" s="3"/>
      <c r="J76" s="2"/>
      <c r="K76" s="3"/>
      <c r="L76" s="2">
        <v>3.63</v>
      </c>
      <c r="M76" s="3"/>
      <c r="N76" s="2"/>
      <c r="O76" s="3"/>
      <c r="P76" s="2"/>
      <c r="Q76" s="3"/>
      <c r="R76" s="2"/>
    </row>
    <row r="77" spans="1:18" x14ac:dyDescent="0.35">
      <c r="A77" s="12"/>
      <c r="B77" s="12"/>
      <c r="C77" s="12"/>
      <c r="D77" s="1"/>
      <c r="F77" s="1"/>
      <c r="H77" s="1"/>
      <c r="J77" s="1"/>
      <c r="L77" s="1"/>
      <c r="N77" s="1"/>
      <c r="P77" s="1"/>
      <c r="R77" s="1"/>
    </row>
    <row r="78" spans="1:18" s="7" customFormat="1" collapsed="1" x14ac:dyDescent="0.35">
      <c r="A78" s="36"/>
      <c r="B78" s="34" t="s">
        <v>295</v>
      </c>
      <c r="D78" s="6">
        <f>SUM(OSRRefD24x_0)</f>
        <v>0</v>
      </c>
      <c r="E78" s="12"/>
      <c r="F78" s="6">
        <f>SUM(OSRRefF24x_0)</f>
        <v>0</v>
      </c>
      <c r="G78" s="5"/>
      <c r="H78" s="6">
        <f>SUM(OSRRefH24x_0)</f>
        <v>0</v>
      </c>
      <c r="I78" s="5"/>
      <c r="J78" s="6">
        <f>SUM(OSRRefJ24x_0)</f>
        <v>0</v>
      </c>
      <c r="K78" s="5"/>
      <c r="L78" s="6">
        <f>SUM(OSRRefL24x_0)</f>
        <v>0</v>
      </c>
      <c r="M78" s="5"/>
      <c r="N78" s="6">
        <f>SUM(OSRRefN24x_0)</f>
        <v>0</v>
      </c>
      <c r="O78" s="5"/>
      <c r="P78" s="6">
        <f>SUM(OSRRefP24x_0)</f>
        <v>0</v>
      </c>
      <c r="Q78" s="5"/>
      <c r="R78" s="6">
        <f>SUM(OSRRefR24x_0)</f>
        <v>0</v>
      </c>
    </row>
    <row r="79" spans="1:18" s="7" customFormat="1" hidden="1" outlineLevel="1" x14ac:dyDescent="0.35">
      <c r="A79" s="36"/>
      <c r="B79" s="11" t="str">
        <f>CONCATENATE("          ", "9150", " - ", "MISC. INCOME")</f>
        <v xml:space="preserve">          9150 - MISC. INCOME</v>
      </c>
      <c r="D79" s="11">
        <f t="shared" ref="D79:D81" si="0">0</f>
        <v>0</v>
      </c>
      <c r="E79" s="16"/>
      <c r="F79" s="11">
        <f t="shared" ref="F79:F81" si="1">0</f>
        <v>0</v>
      </c>
      <c r="G79" s="3"/>
      <c r="H79" s="11">
        <f t="shared" ref="H79:H81" si="2">0</f>
        <v>0</v>
      </c>
      <c r="I79" s="3"/>
      <c r="J79" s="11">
        <f t="shared" ref="J79:J81" si="3">0</f>
        <v>0</v>
      </c>
      <c r="K79" s="3"/>
      <c r="L79" s="11">
        <f t="shared" ref="L79:L81" si="4">0</f>
        <v>0</v>
      </c>
      <c r="M79" s="3"/>
      <c r="N79" s="11">
        <f t="shared" ref="N79:N81" si="5">0</f>
        <v>0</v>
      </c>
      <c r="O79" s="3"/>
      <c r="P79" s="11">
        <v>0</v>
      </c>
      <c r="Q79" s="3"/>
      <c r="R79" s="11"/>
    </row>
    <row r="80" spans="1:18" s="7" customFormat="1" hidden="1" outlineLevel="1" x14ac:dyDescent="0.35">
      <c r="A80" s="36"/>
      <c r="B80" s="11" t="str">
        <f>CONCATENATE("          ", "9151", " - ", "MISC. INCOME")</f>
        <v xml:space="preserve">          9151 - MISC. INCOME</v>
      </c>
      <c r="D80" s="11">
        <f t="shared" si="0"/>
        <v>0</v>
      </c>
      <c r="E80" s="16"/>
      <c r="F80" s="11">
        <f t="shared" si="1"/>
        <v>0</v>
      </c>
      <c r="G80" s="3"/>
      <c r="H80" s="11">
        <f t="shared" si="2"/>
        <v>0</v>
      </c>
      <c r="I80" s="3"/>
      <c r="J80" s="11">
        <f t="shared" si="3"/>
        <v>0</v>
      </c>
      <c r="K80" s="3"/>
      <c r="L80" s="11">
        <f t="shared" si="4"/>
        <v>0</v>
      </c>
      <c r="M80" s="3"/>
      <c r="N80" s="11">
        <f t="shared" si="5"/>
        <v>0</v>
      </c>
      <c r="O80" s="3"/>
      <c r="P80" s="11">
        <v>0</v>
      </c>
      <c r="Q80" s="3"/>
      <c r="R80" s="11"/>
    </row>
    <row r="81" spans="1:18" s="7" customFormat="1" hidden="1" outlineLevel="1" x14ac:dyDescent="0.35">
      <c r="A81" s="36"/>
      <c r="B81" s="11" t="str">
        <f>CONCATENATE("          ", "9160", " - ", "MISC. INCOME")</f>
        <v xml:space="preserve">          9160 - MISC. INCOME</v>
      </c>
      <c r="D81" s="11">
        <f t="shared" si="0"/>
        <v>0</v>
      </c>
      <c r="E81" s="16"/>
      <c r="F81" s="11">
        <f t="shared" si="1"/>
        <v>0</v>
      </c>
      <c r="G81" s="3"/>
      <c r="H81" s="11">
        <f t="shared" si="2"/>
        <v>0</v>
      </c>
      <c r="I81" s="3"/>
      <c r="J81" s="11">
        <f t="shared" si="3"/>
        <v>0</v>
      </c>
      <c r="K81" s="3"/>
      <c r="L81" s="11">
        <f t="shared" si="4"/>
        <v>0</v>
      </c>
      <c r="M81" s="3"/>
      <c r="N81" s="11">
        <f t="shared" si="5"/>
        <v>0</v>
      </c>
      <c r="O81" s="3"/>
      <c r="P81" s="11">
        <v>0</v>
      </c>
      <c r="Q81" s="3"/>
      <c r="R81" s="11"/>
    </row>
    <row r="82" spans="1:18" x14ac:dyDescent="0.35">
      <c r="A82" s="12"/>
      <c r="B82" s="7"/>
      <c r="C82" s="7"/>
      <c r="D82" s="6"/>
      <c r="F82" s="6"/>
      <c r="H82" s="6"/>
      <c r="J82" s="6"/>
      <c r="L82" s="6"/>
      <c r="N82" s="6"/>
      <c r="P82" s="6"/>
      <c r="R82" s="6"/>
    </row>
    <row r="83" spans="1:18" s="15" customFormat="1" x14ac:dyDescent="0.35">
      <c r="A83" s="7"/>
      <c r="B83" s="22" t="s">
        <v>279</v>
      </c>
      <c r="C83" s="22"/>
      <c r="D83" s="10">
        <f>+D15-D18+D78</f>
        <v>-822491.06000000017</v>
      </c>
      <c r="E83" s="12"/>
      <c r="F83" s="10">
        <f>+F15-F18+F78</f>
        <v>-701868.28999999992</v>
      </c>
      <c r="G83" s="5"/>
      <c r="H83" s="10">
        <f>+H15-H18+H78</f>
        <v>-598880.01000000013</v>
      </c>
      <c r="I83" s="5"/>
      <c r="J83" s="10">
        <f>+J15-J18+J78</f>
        <v>-616381.98</v>
      </c>
      <c r="K83" s="5"/>
      <c r="L83" s="10">
        <f>+L15-L18+L78</f>
        <v>-633175.13</v>
      </c>
      <c r="M83" s="5"/>
      <c r="N83" s="10">
        <f>+N15-N18+N78</f>
        <v>-565424.47</v>
      </c>
      <c r="O83" s="5"/>
      <c r="P83" s="10">
        <f>+P15-P18+P78</f>
        <v>-490283.61171999999</v>
      </c>
      <c r="Q83" s="5"/>
      <c r="R83" s="10">
        <f>+R15-R18+R78</f>
        <v>-510088.22737199999</v>
      </c>
    </row>
    <row r="84" spans="1:18" s="27" customFormat="1" x14ac:dyDescent="0.35">
      <c r="A84" s="18"/>
      <c r="B84" s="31"/>
      <c r="C84" s="18"/>
      <c r="D84" s="9">
        <f>IFERROR(D83/D10, 0)</f>
        <v>0</v>
      </c>
      <c r="E84" s="18"/>
      <c r="F84" s="9">
        <f>IFERROR(F83/F10, 0)</f>
        <v>0</v>
      </c>
      <c r="G84" s="14"/>
      <c r="H84" s="9">
        <f>IFERROR(H83/H10, 0)</f>
        <v>0</v>
      </c>
      <c r="I84" s="14"/>
      <c r="J84" s="9">
        <f>IFERROR(J83/J10, 0)</f>
        <v>0</v>
      </c>
      <c r="K84" s="14"/>
      <c r="L84" s="9">
        <f>IFERROR(L83/L10, 0)</f>
        <v>0</v>
      </c>
      <c r="M84" s="14"/>
      <c r="N84" s="9">
        <f>IFERROR(N83/N10, 0)</f>
        <v>0</v>
      </c>
      <c r="O84" s="14"/>
      <c r="P84" s="9">
        <f>IFERROR(P83/P10, 0)</f>
        <v>0</v>
      </c>
      <c r="Q84" s="14"/>
      <c r="R84" s="9">
        <f>IFERROR(R83/R10, 0)</f>
        <v>0</v>
      </c>
    </row>
    <row r="85" spans="1:18" s="27" customFormat="1" x14ac:dyDescent="0.35">
      <c r="A85" s="18"/>
      <c r="B85" s="31"/>
      <c r="C85" s="18"/>
      <c r="D85" s="13"/>
      <c r="E85" s="18"/>
      <c r="F85" s="13"/>
      <c r="G85" s="14"/>
      <c r="H85" s="13"/>
      <c r="I85" s="14"/>
      <c r="J85" s="13"/>
      <c r="K85" s="14"/>
      <c r="L85" s="13"/>
      <c r="M85" s="14"/>
      <c r="N85" s="13"/>
      <c r="O85" s="14"/>
      <c r="P85" s="13"/>
      <c r="Q85" s="14"/>
      <c r="R85" s="13"/>
    </row>
    <row r="86" spans="1:18" s="15" customFormat="1" x14ac:dyDescent="0.35">
      <c r="A86" s="37"/>
      <c r="B86" s="7" t="s">
        <v>127</v>
      </c>
      <c r="C86" s="7"/>
      <c r="D86" s="6"/>
      <c r="E86" s="12"/>
      <c r="F86" s="6"/>
      <c r="G86" s="5"/>
      <c r="H86" s="6"/>
      <c r="I86" s="5"/>
      <c r="J86" s="6"/>
      <c r="K86" s="5"/>
      <c r="L86" s="6"/>
      <c r="M86" s="5"/>
      <c r="N86" s="6"/>
      <c r="O86" s="5"/>
      <c r="P86" s="6"/>
      <c r="Q86" s="5"/>
      <c r="R86" s="6"/>
    </row>
    <row r="87" spans="1:18" x14ac:dyDescent="0.35">
      <c r="A87" s="12"/>
      <c r="B87" s="7"/>
      <c r="C87" s="7"/>
      <c r="D87" s="6"/>
      <c r="F87" s="6"/>
      <c r="H87" s="6"/>
      <c r="J87" s="6"/>
      <c r="L87" s="6"/>
      <c r="N87" s="6"/>
      <c r="P87" s="6"/>
      <c r="R87" s="6"/>
    </row>
    <row r="88" spans="1:18" s="15" customFormat="1" x14ac:dyDescent="0.35">
      <c r="A88" s="7"/>
      <c r="B88" s="22" t="s">
        <v>126</v>
      </c>
      <c r="C88" s="22"/>
      <c r="D88" s="10">
        <f>+D83-D86</f>
        <v>-822491.06000000017</v>
      </c>
      <c r="E88" s="12"/>
      <c r="F88" s="10">
        <f>+F83-F86</f>
        <v>-701868.28999999992</v>
      </c>
      <c r="G88" s="5"/>
      <c r="H88" s="10">
        <f>+H83-H86</f>
        <v>-598880.01000000013</v>
      </c>
      <c r="I88" s="5"/>
      <c r="J88" s="10">
        <f>+J83-J86</f>
        <v>-616381.98</v>
      </c>
      <c r="K88" s="5"/>
      <c r="L88" s="10">
        <f>+L83-L86</f>
        <v>-633175.13</v>
      </c>
      <c r="M88" s="5"/>
      <c r="N88" s="10">
        <f>+N83-N86</f>
        <v>-565424.47</v>
      </c>
      <c r="O88" s="5"/>
      <c r="P88" s="10">
        <f>+P83-P86</f>
        <v>-490283.61171999999</v>
      </c>
      <c r="Q88" s="5"/>
      <c r="R88" s="10">
        <f>+R83-R86</f>
        <v>-510088.22737199999</v>
      </c>
    </row>
    <row r="89" spans="1:18" s="27" customFormat="1" x14ac:dyDescent="0.35">
      <c r="A89" s="18"/>
      <c r="B89" s="18"/>
      <c r="C89" s="18"/>
      <c r="D89" s="9">
        <f>IFERROR(D88/D10, 0)</f>
        <v>0</v>
      </c>
      <c r="E89" s="18"/>
      <c r="F89" s="9">
        <f>IFERROR(F88/F10, 0)</f>
        <v>0</v>
      </c>
      <c r="G89" s="14"/>
      <c r="H89" s="9">
        <f>IFERROR(H88/H10, 0)</f>
        <v>0</v>
      </c>
      <c r="I89" s="14"/>
      <c r="J89" s="9">
        <f>IFERROR(J88/J10, 0)</f>
        <v>0</v>
      </c>
      <c r="K89" s="14"/>
      <c r="L89" s="9">
        <f>IFERROR(L88/L10, 0)</f>
        <v>0</v>
      </c>
      <c r="M89" s="14"/>
      <c r="N89" s="9">
        <f>IFERROR(N88/N10, 0)</f>
        <v>0</v>
      </c>
      <c r="O89" s="14"/>
      <c r="P89" s="9">
        <f>IFERROR(P88/P10, 0)</f>
        <v>0</v>
      </c>
      <c r="Q89" s="14"/>
      <c r="R89" s="9">
        <f>IFERROR(R88/R10, 0)</f>
        <v>0</v>
      </c>
    </row>
    <row r="90" spans="1:18" s="27" customFormat="1" x14ac:dyDescent="0.35">
      <c r="A90" s="18"/>
      <c r="B90" s="18"/>
      <c r="C90" s="18"/>
      <c r="D90" s="13"/>
      <c r="E90" s="18"/>
      <c r="F90" s="13"/>
      <c r="G90" s="14"/>
      <c r="H90" s="13"/>
      <c r="I90" s="14"/>
      <c r="J90" s="13"/>
      <c r="K90" s="14"/>
      <c r="L90" s="13"/>
      <c r="M90" s="14"/>
      <c r="N90" s="13"/>
      <c r="O90" s="14"/>
      <c r="P90" s="13"/>
      <c r="Q90" s="14"/>
      <c r="R90" s="13"/>
    </row>
    <row r="91" spans="1:18" x14ac:dyDescent="0.35">
      <c r="A91" s="12"/>
      <c r="B91" s="12"/>
      <c r="C91" s="12"/>
      <c r="D91" s="6"/>
      <c r="F91" s="6"/>
      <c r="H91" s="6"/>
      <c r="J91" s="6"/>
      <c r="L91" s="6"/>
      <c r="N91" s="6"/>
      <c r="P91" s="6"/>
      <c r="R91" s="6"/>
    </row>
    <row r="92" spans="1:18" s="15" customFormat="1" x14ac:dyDescent="0.35">
      <c r="A92" s="7"/>
      <c r="B92" s="22" t="s">
        <v>296</v>
      </c>
      <c r="C92" s="22"/>
      <c r="D92" s="10">
        <f>SUM(D88:D91)</f>
        <v>-822491.06000000017</v>
      </c>
      <c r="E92" s="12"/>
      <c r="F92" s="10">
        <f>SUM(F88:F91)</f>
        <v>-701868.28999999992</v>
      </c>
      <c r="G92" s="5"/>
      <c r="H92" s="10">
        <f>SUM(H88:H91)</f>
        <v>-598880.01000000013</v>
      </c>
      <c r="I92" s="5"/>
      <c r="J92" s="10">
        <f>SUM(J88:J91)</f>
        <v>-616381.98</v>
      </c>
      <c r="K92" s="5"/>
      <c r="L92" s="10">
        <f>SUM(L88:L91)</f>
        <v>-633175.13</v>
      </c>
      <c r="M92" s="5"/>
      <c r="N92" s="10">
        <f>SUM(N88:N91)</f>
        <v>-565424.47</v>
      </c>
      <c r="O92" s="5"/>
      <c r="P92" s="10">
        <f>SUM(P88:P91)</f>
        <v>-490283.61171999999</v>
      </c>
      <c r="Q92" s="5"/>
      <c r="R92" s="10">
        <f>SUM(R88:R91)</f>
        <v>-510088.22737199999</v>
      </c>
    </row>
    <row r="93" spans="1:18" s="27" customFormat="1" x14ac:dyDescent="0.35">
      <c r="A93" s="18"/>
      <c r="B93" s="41"/>
      <c r="C93" s="18"/>
      <c r="D93" s="9">
        <f>IFERROR(D92/D10, 0)</f>
        <v>0</v>
      </c>
      <c r="E93" s="18"/>
      <c r="F93" s="9">
        <f>IFERROR(F92/F10, 0)</f>
        <v>0</v>
      </c>
      <c r="G93" s="14"/>
      <c r="H93" s="9">
        <f>IFERROR(H92/H10, 0)</f>
        <v>0</v>
      </c>
      <c r="I93" s="14"/>
      <c r="J93" s="9">
        <f>IFERROR(J92/J10, 0)</f>
        <v>0</v>
      </c>
      <c r="K93" s="14"/>
      <c r="L93" s="9">
        <f>IFERROR(L92/L10, 0)</f>
        <v>0</v>
      </c>
      <c r="M93" s="14"/>
      <c r="N93" s="9">
        <f>IFERROR(N92/N10, 0)</f>
        <v>0</v>
      </c>
      <c r="O93" s="14"/>
      <c r="P93" s="9">
        <f>IFERROR(P92/P10, 0)</f>
        <v>0</v>
      </c>
      <c r="Q93" s="14"/>
      <c r="R93" s="9">
        <f>IFERROR(R92/R10, 0)</f>
        <v>0</v>
      </c>
    </row>
    <row r="94" spans="1:18" x14ac:dyDescent="0.35">
      <c r="A94" s="12"/>
      <c r="B94" s="40">
        <v>44319.883572604165</v>
      </c>
      <c r="D94" s="24"/>
      <c r="F94" s="24"/>
      <c r="H94" s="24"/>
      <c r="J94" s="24"/>
      <c r="L94" s="24"/>
      <c r="N94" s="24"/>
      <c r="P94" s="24"/>
      <c r="R94" s="24"/>
    </row>
    <row r="95" spans="1:18" x14ac:dyDescent="0.35">
      <c r="A95" s="12"/>
      <c r="B95" s="39" t="s">
        <v>23</v>
      </c>
      <c r="D95" s="24"/>
      <c r="F95" s="24"/>
      <c r="H95" s="24"/>
      <c r="J95" s="24"/>
      <c r="L95" s="24"/>
      <c r="N95" s="24"/>
      <c r="P95" s="24"/>
      <c r="R95" s="24"/>
    </row>
    <row r="96" spans="1:18" x14ac:dyDescent="0.35">
      <c r="A96" s="12"/>
      <c r="D96" s="24"/>
      <c r="F96" s="24"/>
      <c r="H96" s="24"/>
      <c r="J96" s="24"/>
      <c r="L96" s="24"/>
      <c r="N96" s="24"/>
      <c r="P96" s="24"/>
      <c r="R96" s="24"/>
    </row>
    <row r="97" spans="4:18" x14ac:dyDescent="0.35">
      <c r="D97" s="24"/>
      <c r="F97" s="24"/>
      <c r="H97" s="24"/>
      <c r="J97" s="24"/>
      <c r="L97" s="24"/>
      <c r="N97" s="24"/>
      <c r="P97" s="24"/>
      <c r="R97" s="24"/>
    </row>
  </sheetData>
  <pageMargins left="0.5" right="0.5" top="0.5" bottom="0.5" header="0.3" footer="0.3"/>
  <pageSetup scale="59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","203", " - ", "Human Resources")</f>
        <v>Department 203 - Human Resources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548125.04</v>
      </c>
      <c r="E17" s="19"/>
      <c r="F17" s="8">
        <f>SUM(OSRRefF21x_0)</f>
        <v>586577.98000000021</v>
      </c>
      <c r="G17" s="4"/>
      <c r="H17" s="8">
        <f>SUM(OSRRefH21x_0)</f>
        <v>619861.71</v>
      </c>
      <c r="I17" s="4"/>
      <c r="J17" s="8">
        <f>SUM(OSRRefJ21x_0)</f>
        <v>699594.61999999988</v>
      </c>
      <c r="K17" s="4"/>
      <c r="L17" s="8">
        <f>SUM(OSRRefL21x_0)</f>
        <v>727638.21</v>
      </c>
      <c r="M17" s="4"/>
      <c r="N17" s="8">
        <f>SUM(OSRRefN21x_0)</f>
        <v>802300.28000000014</v>
      </c>
      <c r="O17" s="4"/>
      <c r="P17" s="8">
        <f>SUM(OSRRefP21x_0)</f>
        <v>645163.83520000009</v>
      </c>
      <c r="Q17" s="4"/>
      <c r="R17" s="8">
        <f>SUM(OSRRefR21x_0)</f>
        <v>602665.44720592001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92040.05</v>
      </c>
      <c r="E18" s="19"/>
      <c r="F18" s="1">
        <f>SUM(OSRRefF21_0x_0)</f>
        <v>94473.080000000016</v>
      </c>
      <c r="G18" s="4"/>
      <c r="H18" s="1">
        <f>SUM(OSRRefH21_0x_0)</f>
        <v>100469.82</v>
      </c>
      <c r="I18" s="4"/>
      <c r="J18" s="1">
        <f>SUM(OSRRefJ21_0x_0)</f>
        <v>121303.00999999997</v>
      </c>
      <c r="K18" s="4"/>
      <c r="L18" s="1">
        <f>SUM(OSRRefL21_0x_0)</f>
        <v>132825.80000000002</v>
      </c>
      <c r="M18" s="4"/>
      <c r="N18" s="1">
        <f>SUM(OSRRefN21_0x_0)</f>
        <v>165704.24</v>
      </c>
      <c r="O18" s="4"/>
      <c r="P18" s="1">
        <f>SUM(OSRRefP21_0x_0)</f>
        <v>134201.63520000002</v>
      </c>
      <c r="Q18" s="4"/>
      <c r="R18" s="1">
        <f>SUM(OSRRefR21_0x_0)</f>
        <v>142742.23232591999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17142.759999999998</v>
      </c>
      <c r="F19" s="2">
        <v>19429.72</v>
      </c>
      <c r="G19" s="3"/>
      <c r="H19" s="2">
        <v>20209.37</v>
      </c>
      <c r="I19" s="3"/>
      <c r="J19" s="2">
        <v>21141.7</v>
      </c>
      <c r="K19" s="3"/>
      <c r="L19" s="2">
        <v>20933.47</v>
      </c>
      <c r="M19" s="3"/>
      <c r="N19" s="2">
        <v>26917.62</v>
      </c>
      <c r="O19" s="3"/>
      <c r="P19" s="2">
        <v>19741.678800000002</v>
      </c>
      <c r="Q19" s="3"/>
      <c r="R19" s="2">
        <v>20283.228345119998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764.92</v>
      </c>
      <c r="F20" s="2">
        <v>1614.68</v>
      </c>
      <c r="G20" s="3"/>
      <c r="H20" s="2">
        <v>1330.32</v>
      </c>
      <c r="I20" s="3"/>
      <c r="J20" s="2">
        <v>707.2</v>
      </c>
      <c r="K20" s="3"/>
      <c r="L20" s="2">
        <v>817.49</v>
      </c>
      <c r="M20" s="3"/>
      <c r="N20" s="2">
        <v>1067.8800000000001</v>
      </c>
      <c r="O20" s="3"/>
      <c r="P20" s="2">
        <v>1184.6867999999999</v>
      </c>
      <c r="Q20" s="3"/>
      <c r="R20" s="2">
        <v>1063.4125423999999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26661.05</v>
      </c>
      <c r="F21" s="2">
        <v>36901.980000000003</v>
      </c>
      <c r="G21" s="3"/>
      <c r="H21" s="2">
        <v>39388.720000000001</v>
      </c>
      <c r="I21" s="3"/>
      <c r="J21" s="2">
        <v>60249.34</v>
      </c>
      <c r="K21" s="3"/>
      <c r="L21" s="2">
        <v>67890.720000000001</v>
      </c>
      <c r="M21" s="3"/>
      <c r="N21" s="2">
        <v>73799.08</v>
      </c>
      <c r="O21" s="3"/>
      <c r="P21" s="2">
        <v>71280</v>
      </c>
      <c r="Q21" s="3"/>
      <c r="R21" s="2">
        <v>79128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1497.95</v>
      </c>
      <c r="F22" s="2">
        <v>1635.78</v>
      </c>
      <c r="G22" s="3"/>
      <c r="H22" s="2">
        <v>804.56</v>
      </c>
      <c r="I22" s="3"/>
      <c r="J22" s="2">
        <v>845.48</v>
      </c>
      <c r="K22" s="3"/>
      <c r="L22" s="2">
        <v>763.42</v>
      </c>
      <c r="M22" s="3"/>
      <c r="N22" s="2">
        <v>0</v>
      </c>
      <c r="O22" s="3"/>
      <c r="P22" s="2">
        <v>933.38959999999997</v>
      </c>
      <c r="Q22" s="3"/>
      <c r="R22" s="2">
        <v>720.37623840000003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10246.35</v>
      </c>
      <c r="F23" s="2">
        <v>9394.91</v>
      </c>
      <c r="G23" s="3"/>
      <c r="H23" s="2">
        <v>14672.52</v>
      </c>
      <c r="I23" s="3"/>
      <c r="J23" s="2">
        <v>13608.57</v>
      </c>
      <c r="K23" s="3"/>
      <c r="L23" s="2">
        <v>10133.44</v>
      </c>
      <c r="M23" s="3"/>
      <c r="N23" s="2">
        <v>14655.15</v>
      </c>
      <c r="O23" s="3"/>
      <c r="P23" s="2">
        <v>11094</v>
      </c>
      <c r="Q23" s="3"/>
      <c r="R23" s="2">
        <v>11515.4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>
        <v>14850</v>
      </c>
      <c r="F24" s="2">
        <v>1100</v>
      </c>
      <c r="G24" s="3"/>
      <c r="H24" s="2">
        <v>739</v>
      </c>
      <c r="I24" s="3"/>
      <c r="J24" s="2">
        <v>1851.5</v>
      </c>
      <c r="K24" s="3"/>
      <c r="L24" s="2"/>
      <c r="M24" s="3"/>
      <c r="N24" s="2">
        <v>4936.88</v>
      </c>
      <c r="O24" s="3"/>
      <c r="P24" s="2">
        <v>0</v>
      </c>
      <c r="Q24" s="3"/>
      <c r="R24" s="2">
        <v>5000</v>
      </c>
    </row>
    <row r="25" spans="1:18" s="16" customFormat="1" hidden="1" outlineLevel="2" x14ac:dyDescent="0.35">
      <c r="B25" s="11" t="str">
        <f>CONCATENATE("          ", "6117", " - ", "RETIREMENT STAFF HOURLY")</f>
        <v xml:space="preserve">          6117 - RETIREMENT STAFF HOURLY</v>
      </c>
      <c r="D25" s="2">
        <v>4306.82</v>
      </c>
      <c r="F25" s="2">
        <v>5315.16</v>
      </c>
      <c r="G25" s="3"/>
      <c r="H25" s="2">
        <v>4146.54</v>
      </c>
      <c r="I25" s="3"/>
      <c r="J25" s="2">
        <v>3013.51</v>
      </c>
      <c r="K25" s="3"/>
      <c r="L25" s="2">
        <v>4148.9399999999996</v>
      </c>
      <c r="M25" s="3"/>
      <c r="N25" s="2">
        <v>5718.55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8032.81</v>
      </c>
      <c r="F26" s="2">
        <v>9501.25</v>
      </c>
      <c r="G26" s="3"/>
      <c r="H26" s="2">
        <v>9293.64</v>
      </c>
      <c r="I26" s="3"/>
      <c r="J26" s="2">
        <v>15219.67</v>
      </c>
      <c r="K26" s="3"/>
      <c r="L26" s="2">
        <v>13870.04</v>
      </c>
      <c r="M26" s="3"/>
      <c r="N26" s="2">
        <v>20368.54</v>
      </c>
      <c r="O26" s="3"/>
      <c r="P26" s="2">
        <v>12898</v>
      </c>
      <c r="Q26" s="3"/>
      <c r="R26" s="2">
        <v>9511.0891200000005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6866.25</v>
      </c>
      <c r="F27" s="2">
        <v>7880.35</v>
      </c>
      <c r="G27" s="3"/>
      <c r="H27" s="2">
        <v>8613.7099999999991</v>
      </c>
      <c r="I27" s="3"/>
      <c r="J27" s="2">
        <v>2129.31</v>
      </c>
      <c r="K27" s="3"/>
      <c r="L27" s="2">
        <v>9776.9699999999993</v>
      </c>
      <c r="M27" s="3"/>
      <c r="N27" s="2">
        <v>14579.58</v>
      </c>
      <c r="O27" s="3"/>
      <c r="P27" s="2">
        <v>10769.88</v>
      </c>
      <c r="Q27" s="3"/>
      <c r="R27" s="2">
        <v>7120.7260800000004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1671.14</v>
      </c>
      <c r="F28" s="2">
        <v>1699.25</v>
      </c>
      <c r="G28" s="3"/>
      <c r="H28" s="2">
        <v>1271.44</v>
      </c>
      <c r="I28" s="3"/>
      <c r="J28" s="2">
        <v>2536.73</v>
      </c>
      <c r="K28" s="3"/>
      <c r="L28" s="2">
        <v>4491.3100000000004</v>
      </c>
      <c r="M28" s="3"/>
      <c r="N28" s="2">
        <v>3660.96</v>
      </c>
      <c r="O28" s="3"/>
      <c r="P28" s="2">
        <v>6300</v>
      </c>
      <c r="Q28" s="3"/>
      <c r="R28" s="2">
        <v>8400</v>
      </c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222255.43000000002</v>
      </c>
      <c r="E29" s="19"/>
      <c r="F29" s="1">
        <f>SUM(OSRRefF21_1x_0)</f>
        <v>259781.65000000005</v>
      </c>
      <c r="G29" s="4"/>
      <c r="H29" s="1">
        <f>SUM(OSRRefH21_1x_0)</f>
        <v>235618.34999999998</v>
      </c>
      <c r="I29" s="4"/>
      <c r="J29" s="1">
        <f>SUM(OSRRefJ21_1x_0)</f>
        <v>253832.57</v>
      </c>
      <c r="K29" s="4"/>
      <c r="L29" s="1">
        <f>SUM(OSRRefL21_1x_0)</f>
        <v>260527.81000000003</v>
      </c>
      <c r="M29" s="4"/>
      <c r="N29" s="1">
        <f>SUM(OSRRefN21_1x_0)</f>
        <v>325084.53000000003</v>
      </c>
      <c r="O29" s="4"/>
      <c r="P29" s="1">
        <f>SUM(OSRRefP21_1x_0)</f>
        <v>338359.2</v>
      </c>
      <c r="Q29" s="4"/>
      <c r="R29" s="1">
        <f>SUM(OSRRefR21_1x_0)</f>
        <v>304847.21487999998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60566.35</v>
      </c>
      <c r="F30" s="2">
        <v>89128.38</v>
      </c>
      <c r="G30" s="3"/>
      <c r="H30" s="2">
        <v>59077.31</v>
      </c>
      <c r="I30" s="3"/>
      <c r="J30" s="2">
        <v>92666.6</v>
      </c>
      <c r="K30" s="3"/>
      <c r="L30" s="2">
        <v>95446.49</v>
      </c>
      <c r="M30" s="3"/>
      <c r="N30" s="2">
        <v>112844.3</v>
      </c>
      <c r="O30" s="3"/>
      <c r="P30" s="2">
        <v>118680</v>
      </c>
      <c r="Q30" s="3"/>
      <c r="R30" s="2">
        <v>127205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/>
      <c r="F31" s="2">
        <v>32908.79</v>
      </c>
      <c r="G31" s="3"/>
      <c r="H31" s="2">
        <v>66941.42</v>
      </c>
      <c r="I31" s="3"/>
      <c r="J31" s="2">
        <v>53627.56</v>
      </c>
      <c r="K31" s="3"/>
      <c r="L31" s="2"/>
      <c r="M31" s="3"/>
      <c r="N31" s="2">
        <v>21069.18</v>
      </c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>
        <v>53934.32</v>
      </c>
      <c r="F33" s="2">
        <v>30158.01</v>
      </c>
      <c r="G33" s="3"/>
      <c r="H33" s="2">
        <v>1982.63</v>
      </c>
      <c r="I33" s="3"/>
      <c r="J33" s="2">
        <v>53922.31</v>
      </c>
      <c r="K33" s="3"/>
      <c r="L33" s="2">
        <v>105132.59</v>
      </c>
      <c r="M33" s="3"/>
      <c r="N33" s="2">
        <v>121467.52</v>
      </c>
      <c r="O33" s="3"/>
      <c r="P33" s="2">
        <v>118643.2</v>
      </c>
      <c r="Q33" s="3"/>
      <c r="R33" s="2">
        <v>127202.21488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74813.399999999994</v>
      </c>
      <c r="F34" s="2">
        <v>82532.05</v>
      </c>
      <c r="G34" s="3"/>
      <c r="H34" s="2">
        <v>86029.37</v>
      </c>
      <c r="I34" s="3"/>
      <c r="J34" s="2">
        <v>36659</v>
      </c>
      <c r="K34" s="3"/>
      <c r="L34" s="2">
        <v>43816.29</v>
      </c>
      <c r="M34" s="3"/>
      <c r="N34" s="2">
        <v>69703.53</v>
      </c>
      <c r="O34" s="3"/>
      <c r="P34" s="2">
        <v>101036</v>
      </c>
      <c r="Q34" s="3"/>
      <c r="R34" s="2">
        <v>50440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>
        <v>1024.51</v>
      </c>
      <c r="F35" s="2">
        <v>10643.42</v>
      </c>
      <c r="G35" s="3"/>
      <c r="H35" s="2">
        <v>3415.82</v>
      </c>
      <c r="I35" s="3"/>
      <c r="J35" s="2"/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31916.85</v>
      </c>
      <c r="F36" s="2">
        <v>14411</v>
      </c>
      <c r="G36" s="3"/>
      <c r="H36" s="2">
        <v>18171.8</v>
      </c>
      <c r="I36" s="3"/>
      <c r="J36" s="2">
        <v>16957.099999999999</v>
      </c>
      <c r="K36" s="3"/>
      <c r="L36" s="2">
        <v>16132.44</v>
      </c>
      <c r="M36" s="3"/>
      <c r="N36" s="2">
        <v>0</v>
      </c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2656.95</v>
      </c>
      <c r="E40" s="19"/>
      <c r="F40" s="1">
        <f>SUM(OSRRefF21_2x_0)</f>
        <v>1852.84</v>
      </c>
      <c r="G40" s="4"/>
      <c r="H40" s="1">
        <f>SUM(OSRRefH21_2x_0)</f>
        <v>1951.46</v>
      </c>
      <c r="I40" s="4"/>
      <c r="J40" s="1">
        <f>SUM(OSRRefJ21_2x_0)</f>
        <v>4010.92</v>
      </c>
      <c r="K40" s="4"/>
      <c r="L40" s="1">
        <f>SUM(OSRRefL21_2x_0)</f>
        <v>5650.52</v>
      </c>
      <c r="M40" s="4"/>
      <c r="N40" s="1">
        <f>SUM(OSRRefN21_2x_0)</f>
        <v>1556.04</v>
      </c>
      <c r="O40" s="4"/>
      <c r="P40" s="1">
        <f>SUM(OSRRefP21_2x_0)</f>
        <v>3000</v>
      </c>
      <c r="Q40" s="4"/>
      <c r="R40" s="1">
        <f>SUM(OSRRefR21_2x_0)</f>
        <v>1800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2656.95</v>
      </c>
      <c r="F41" s="2">
        <v>1852.84</v>
      </c>
      <c r="G41" s="3"/>
      <c r="H41" s="2">
        <v>1951.46</v>
      </c>
      <c r="I41" s="3"/>
      <c r="J41" s="2">
        <v>4010.92</v>
      </c>
      <c r="K41" s="3"/>
      <c r="L41" s="2">
        <v>5650.52</v>
      </c>
      <c r="M41" s="3"/>
      <c r="N41" s="2">
        <v>1556.04</v>
      </c>
      <c r="O41" s="3"/>
      <c r="P41" s="2">
        <v>3000</v>
      </c>
      <c r="Q41" s="3"/>
      <c r="R41" s="2">
        <v>1800</v>
      </c>
    </row>
    <row r="42" spans="1:18" s="15" customFormat="1" outlineLevel="1" collapsed="1" x14ac:dyDescent="0.35">
      <c r="A42" s="7"/>
      <c r="B42" s="20" t="str">
        <f>CONCATENATE("     ","Depreciation                                      ")</f>
        <v xml:space="preserve">     Depreciation                                      </v>
      </c>
      <c r="C42" s="7"/>
      <c r="D42" s="1">
        <f>SUM(OSRRefD21_3x_0)</f>
        <v>672.52</v>
      </c>
      <c r="E42" s="19"/>
      <c r="F42" s="1">
        <f>SUM(OSRRefF21_3x_0)</f>
        <v>2690.07</v>
      </c>
      <c r="G42" s="4"/>
      <c r="H42" s="1">
        <f>SUM(OSRRefH21_3x_0)</f>
        <v>2690.07</v>
      </c>
      <c r="I42" s="4"/>
      <c r="J42" s="1">
        <f>SUM(OSRRefJ21_3x_0)</f>
        <v>2690.07</v>
      </c>
      <c r="K42" s="4"/>
      <c r="L42" s="1">
        <f>SUM(OSRRefL21_3x_0)</f>
        <v>2690.07</v>
      </c>
      <c r="M42" s="4"/>
      <c r="N42" s="1">
        <f>SUM(OSRRefN21_3x_0)</f>
        <v>2017.57</v>
      </c>
      <c r="O42" s="4"/>
      <c r="P42" s="1">
        <f>SUM(OSRRefP21_3x_0)</f>
        <v>0</v>
      </c>
      <c r="Q42" s="4"/>
      <c r="R42" s="1">
        <f>SUM(OSRRefR21_3x_0)</f>
        <v>0</v>
      </c>
    </row>
    <row r="43" spans="1:18" s="16" customFormat="1" hidden="1" outlineLevel="2" x14ac:dyDescent="0.35">
      <c r="B43" s="11" t="str">
        <f>CONCATENATE("          ", "6322", " - ", "EQUIPMENT DEPRECIATION EXPENSE")</f>
        <v xml:space="preserve">          6322 - EQUIPMENT DEPRECIATION EXPENSE</v>
      </c>
      <c r="D43" s="2">
        <v>672.52</v>
      </c>
      <c r="F43" s="2">
        <v>2690.07</v>
      </c>
      <c r="G43" s="3"/>
      <c r="H43" s="2">
        <v>2690.07</v>
      </c>
      <c r="I43" s="3"/>
      <c r="J43" s="2">
        <v>2690.07</v>
      </c>
      <c r="K43" s="3"/>
      <c r="L43" s="2">
        <v>2690.07</v>
      </c>
      <c r="M43" s="3"/>
      <c r="N43" s="2">
        <v>2017.57</v>
      </c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","Employees' Appreciation                           ")</f>
        <v xml:space="preserve">     Employees' Appreciation                           </v>
      </c>
      <c r="C44" s="7"/>
      <c r="D44" s="1">
        <f>SUM(OSRRefD21_4x_0)</f>
        <v>52382.75</v>
      </c>
      <c r="E44" s="19"/>
      <c r="F44" s="1">
        <f>SUM(OSRRefF21_4x_0)</f>
        <v>49683.55</v>
      </c>
      <c r="G44" s="4"/>
      <c r="H44" s="1">
        <f>SUM(OSRRefH21_4x_0)</f>
        <v>46872.42</v>
      </c>
      <c r="I44" s="4"/>
      <c r="J44" s="1">
        <f>SUM(OSRRefJ21_4x_0)</f>
        <v>59222.61</v>
      </c>
      <c r="K44" s="4"/>
      <c r="L44" s="1">
        <f>SUM(OSRRefL21_4x_0)</f>
        <v>57266.39</v>
      </c>
      <c r="M44" s="4"/>
      <c r="N44" s="1">
        <f>SUM(OSRRefN21_4x_0)</f>
        <v>29521.94</v>
      </c>
      <c r="O44" s="4"/>
      <c r="P44" s="1">
        <f>SUM(OSRRefP21_4x_0)</f>
        <v>11550</v>
      </c>
      <c r="Q44" s="4"/>
      <c r="R44" s="1">
        <f>SUM(OSRRefR21_4x_0)</f>
        <v>15500</v>
      </c>
    </row>
    <row r="45" spans="1:18" s="16" customFormat="1" hidden="1" outlineLevel="2" x14ac:dyDescent="0.35">
      <c r="B45" s="11" t="str">
        <f>CONCATENATE("          ", "6277", " - ", "EMPLOYEE APPRECIATION")</f>
        <v xml:space="preserve">          6277 - EMPLOYEE APPRECIATION</v>
      </c>
      <c r="D45" s="2">
        <v>52382.75</v>
      </c>
      <c r="F45" s="2">
        <v>49683.55</v>
      </c>
      <c r="G45" s="3"/>
      <c r="H45" s="2">
        <v>46872.42</v>
      </c>
      <c r="I45" s="3"/>
      <c r="J45" s="2">
        <v>59222.61</v>
      </c>
      <c r="K45" s="3"/>
      <c r="L45" s="2">
        <v>57266.39</v>
      </c>
      <c r="M45" s="3"/>
      <c r="N45" s="2">
        <v>29521.94</v>
      </c>
      <c r="O45" s="3"/>
      <c r="P45" s="2">
        <v>11550</v>
      </c>
      <c r="Q45" s="3"/>
      <c r="R45" s="2">
        <v>15500</v>
      </c>
    </row>
    <row r="46" spans="1:18" s="15" customFormat="1" outlineLevel="1" collapsed="1" x14ac:dyDescent="0.35">
      <c r="A46" s="7"/>
      <c r="B46" s="20" t="str">
        <f>CONCATENATE("     ","Equipment Rental                                  ")</f>
        <v xml:space="preserve">     Equipment Rental                                  </v>
      </c>
      <c r="C46" s="7"/>
      <c r="D46" s="1">
        <f>SUM(OSRRefD21_5x_0)</f>
        <v>2056.6799999999998</v>
      </c>
      <c r="E46" s="19"/>
      <c r="F46" s="1">
        <f>SUM(OSRRefF21_5x_0)</f>
        <v>2228.0700000000002</v>
      </c>
      <c r="G46" s="4"/>
      <c r="H46" s="1">
        <f>SUM(OSRRefH21_5x_0)</f>
        <v>1301.68</v>
      </c>
      <c r="I46" s="4"/>
      <c r="J46" s="1">
        <f>SUM(OSRRefJ21_5x_0)</f>
        <v>1094.71</v>
      </c>
      <c r="K46" s="4"/>
      <c r="L46" s="1">
        <f>SUM(OSRRefL21_5x_0)</f>
        <v>1095.1199999999999</v>
      </c>
      <c r="M46" s="4"/>
      <c r="N46" s="1">
        <f>SUM(OSRRefN21_5x_0)</f>
        <v>273.77999999999997</v>
      </c>
      <c r="O46" s="4"/>
      <c r="P46" s="1">
        <f>SUM(OSRRefP21_5x_0)</f>
        <v>908</v>
      </c>
      <c r="Q46" s="4"/>
      <c r="R46" s="1">
        <f>SUM(OSRRefR21_5x_0)</f>
        <v>900</v>
      </c>
    </row>
    <row r="47" spans="1:18" s="16" customFormat="1" hidden="1" outlineLevel="2" x14ac:dyDescent="0.35">
      <c r="B47" s="11" t="str">
        <f>CONCATENATE("          ", "6351", " - ", "EQUIPMENT RENTAL")</f>
        <v xml:space="preserve">          6351 - EQUIPMENT RENTAL</v>
      </c>
      <c r="D47" s="2">
        <v>2056.6799999999998</v>
      </c>
      <c r="F47" s="2">
        <v>2228.0700000000002</v>
      </c>
      <c r="G47" s="3"/>
      <c r="H47" s="2">
        <v>1301.68</v>
      </c>
      <c r="I47" s="3"/>
      <c r="J47" s="2">
        <v>1094.71</v>
      </c>
      <c r="K47" s="3"/>
      <c r="L47" s="2">
        <v>1095.1199999999999</v>
      </c>
      <c r="M47" s="3"/>
      <c r="N47" s="2">
        <v>273.77999999999997</v>
      </c>
      <c r="O47" s="3"/>
      <c r="P47" s="2">
        <v>908</v>
      </c>
      <c r="Q47" s="3"/>
      <c r="R47" s="2">
        <v>900</v>
      </c>
    </row>
    <row r="48" spans="1:18" s="15" customFormat="1" outlineLevel="1" collapsed="1" x14ac:dyDescent="0.35">
      <c r="A48" s="7"/>
      <c r="B48" s="20" t="str">
        <f>CONCATENATE("     ","Freight out/Postage                               ")</f>
        <v xml:space="preserve">     Freight out/Postage                               </v>
      </c>
      <c r="C48" s="7"/>
      <c r="D48" s="1">
        <f>SUM(OSRRefD21_6x_0)</f>
        <v>1766.51</v>
      </c>
      <c r="E48" s="19"/>
      <c r="F48" s="1">
        <f>SUM(OSRRefF21_6x_0)</f>
        <v>1547.62</v>
      </c>
      <c r="G48" s="4"/>
      <c r="H48" s="1">
        <f>SUM(OSRRefH21_6x_0)</f>
        <v>1891.82</v>
      </c>
      <c r="I48" s="4"/>
      <c r="J48" s="1">
        <f>SUM(OSRRefJ21_6x_0)</f>
        <v>1496.38</v>
      </c>
      <c r="K48" s="4"/>
      <c r="L48" s="1">
        <f>SUM(OSRRefL21_6x_0)</f>
        <v>1565.83</v>
      </c>
      <c r="M48" s="4"/>
      <c r="N48" s="1">
        <f>SUM(OSRRefN21_6x_0)</f>
        <v>1121</v>
      </c>
      <c r="O48" s="4"/>
      <c r="P48" s="1">
        <f>SUM(OSRRefP21_6x_0)</f>
        <v>1000</v>
      </c>
      <c r="Q48" s="4"/>
      <c r="R48" s="1">
        <f>SUM(OSRRefR21_6x_0)</f>
        <v>680</v>
      </c>
    </row>
    <row r="49" spans="1:18" s="16" customFormat="1" hidden="1" outlineLevel="2" x14ac:dyDescent="0.35">
      <c r="B49" s="11" t="str">
        <f>CONCATENATE("          ", "6307", " - ", "POSTAGE")</f>
        <v xml:space="preserve">          6307 - POSTAGE</v>
      </c>
      <c r="D49" s="2">
        <v>1766.51</v>
      </c>
      <c r="F49" s="2">
        <v>1547.62</v>
      </c>
      <c r="G49" s="3"/>
      <c r="H49" s="2">
        <v>1891.82</v>
      </c>
      <c r="I49" s="3"/>
      <c r="J49" s="2">
        <v>1496.38</v>
      </c>
      <c r="K49" s="3"/>
      <c r="L49" s="2">
        <v>1565.83</v>
      </c>
      <c r="M49" s="3"/>
      <c r="N49" s="2">
        <v>1121</v>
      </c>
      <c r="O49" s="3"/>
      <c r="P49" s="2">
        <v>1000</v>
      </c>
      <c r="Q49" s="3"/>
      <c r="R49" s="2">
        <v>680</v>
      </c>
    </row>
    <row r="50" spans="1:18" s="15" customFormat="1" outlineLevel="1" collapsed="1" x14ac:dyDescent="0.35">
      <c r="A50" s="7"/>
      <c r="B50" s="20" t="str">
        <f>CONCATENATE("     ","General                                           ")</f>
        <v xml:space="preserve">     General                                           </v>
      </c>
      <c r="C50" s="7"/>
      <c r="D50" s="1">
        <f>SUM(OSRRefD21_7x_0)</f>
        <v>17562.599999999999</v>
      </c>
      <c r="E50" s="19"/>
      <c r="F50" s="1">
        <f>SUM(OSRRefF21_7x_0)</f>
        <v>-638.07000000000005</v>
      </c>
      <c r="G50" s="4"/>
      <c r="H50" s="1">
        <f>SUM(OSRRefH21_7x_0)</f>
        <v>4837.37</v>
      </c>
      <c r="I50" s="4"/>
      <c r="J50" s="1">
        <f>SUM(OSRRefJ21_7x_0)</f>
        <v>130.33000000000001</v>
      </c>
      <c r="K50" s="4"/>
      <c r="L50" s="1">
        <f>SUM(OSRRefL21_7x_0)</f>
        <v>700</v>
      </c>
      <c r="M50" s="4"/>
      <c r="N50" s="1">
        <f>SUM(OSRRefN21_7x_0)</f>
        <v>700</v>
      </c>
      <c r="O50" s="4"/>
      <c r="P50" s="1">
        <f>SUM(OSRRefP21_7x_0)</f>
        <v>4000</v>
      </c>
      <c r="Q50" s="4"/>
      <c r="R50" s="1">
        <f>SUM(OSRRefR21_7x_0)</f>
        <v>0</v>
      </c>
    </row>
    <row r="51" spans="1:18" s="16" customFormat="1" hidden="1" outlineLevel="2" x14ac:dyDescent="0.35">
      <c r="B51" s="11" t="str">
        <f>CONCATENATE("          ", "6279", " - ", "GENERAL EXPENSE")</f>
        <v xml:space="preserve">          6279 - GENERAL EXPENSE</v>
      </c>
      <c r="D51" s="2">
        <v>17562.599999999999</v>
      </c>
      <c r="F51" s="2">
        <v>-638.07000000000005</v>
      </c>
      <c r="G51" s="3"/>
      <c r="H51" s="2">
        <v>4837.37</v>
      </c>
      <c r="I51" s="3"/>
      <c r="J51" s="2">
        <v>130.33000000000001</v>
      </c>
      <c r="K51" s="3"/>
      <c r="L51" s="2">
        <v>700</v>
      </c>
      <c r="M51" s="3"/>
      <c r="N51" s="2">
        <v>700</v>
      </c>
      <c r="O51" s="3"/>
      <c r="P51" s="2">
        <v>4000</v>
      </c>
      <c r="Q51" s="3"/>
      <c r="R51" s="2"/>
    </row>
    <row r="52" spans="1:18" s="15" customFormat="1" outlineLevel="1" collapsed="1" x14ac:dyDescent="0.35">
      <c r="A52" s="7"/>
      <c r="B52" s="20" t="str">
        <f>CONCATENATE("     ","Insurance                                         ")</f>
        <v xml:space="preserve">     Insurance                                         </v>
      </c>
      <c r="C52" s="7"/>
      <c r="D52" s="1">
        <f>SUM(OSRRefD21_8x_0)</f>
        <v>318.68</v>
      </c>
      <c r="E52" s="19"/>
      <c r="F52" s="1">
        <f>SUM(OSRRefF21_8x_0)</f>
        <v>385.8</v>
      </c>
      <c r="G52" s="4"/>
      <c r="H52" s="1">
        <f>SUM(OSRRefH21_8x_0)</f>
        <v>580.41</v>
      </c>
      <c r="I52" s="4"/>
      <c r="J52" s="1">
        <f>SUM(OSRRefJ21_8x_0)</f>
        <v>648.66999999999996</v>
      </c>
      <c r="K52" s="4"/>
      <c r="L52" s="1">
        <f>SUM(OSRRefL21_8x_0)</f>
        <v>630.1</v>
      </c>
      <c r="M52" s="4"/>
      <c r="N52" s="1">
        <f>SUM(OSRRefN21_8x_0)</f>
        <v>785.64</v>
      </c>
      <c r="O52" s="4"/>
      <c r="P52" s="1">
        <f>SUM(OSRRefP21_8x_0)</f>
        <v>1656</v>
      </c>
      <c r="Q52" s="4"/>
      <c r="R52" s="1">
        <f>SUM(OSRRefR21_8x_0)</f>
        <v>1080</v>
      </c>
    </row>
    <row r="53" spans="1:18" s="16" customFormat="1" hidden="1" outlineLevel="2" x14ac:dyDescent="0.35">
      <c r="B53" s="11" t="str">
        <f>CONCATENATE("          ", "6312", " - ", "FIRE &amp; THEFT INSURANCE")</f>
        <v xml:space="preserve">          6312 - FIRE &amp; THEFT INSURANCE</v>
      </c>
      <c r="D53" s="2"/>
      <c r="F53" s="2"/>
      <c r="G53" s="3"/>
      <c r="H53" s="2"/>
      <c r="I53" s="3"/>
      <c r="J53" s="2"/>
      <c r="K53" s="3"/>
      <c r="L53" s="2"/>
      <c r="M53" s="3"/>
      <c r="N53" s="2"/>
      <c r="O53" s="3"/>
      <c r="P53" s="2">
        <v>780</v>
      </c>
      <c r="Q53" s="3"/>
      <c r="R53" s="2"/>
    </row>
    <row r="54" spans="1:18" s="16" customFormat="1" hidden="1" outlineLevel="2" x14ac:dyDescent="0.35">
      <c r="B54" s="11" t="str">
        <f>CONCATENATE("          ", "6314", " - ", "LIABILITY INSURANCE")</f>
        <v xml:space="preserve">          6314 - LIABILITY INSURANCE</v>
      </c>
      <c r="D54" s="2">
        <v>318.68</v>
      </c>
      <c r="F54" s="2">
        <v>385.8</v>
      </c>
      <c r="G54" s="3"/>
      <c r="H54" s="2">
        <v>580.41</v>
      </c>
      <c r="I54" s="3"/>
      <c r="J54" s="2">
        <v>648.66999999999996</v>
      </c>
      <c r="K54" s="3"/>
      <c r="L54" s="2">
        <v>630.1</v>
      </c>
      <c r="M54" s="3"/>
      <c r="N54" s="2">
        <v>785.64</v>
      </c>
      <c r="O54" s="3"/>
      <c r="P54" s="2">
        <v>876</v>
      </c>
      <c r="Q54" s="3"/>
      <c r="R54" s="2">
        <v>1080</v>
      </c>
    </row>
    <row r="55" spans="1:18" s="15" customFormat="1" outlineLevel="1" collapsed="1" x14ac:dyDescent="0.35">
      <c r="A55" s="7"/>
      <c r="B55" s="20" t="str">
        <f>CONCATENATE("     ","Professional Services                             ")</f>
        <v xml:space="preserve">     Professional Services                             </v>
      </c>
      <c r="C55" s="7"/>
      <c r="D55" s="1">
        <f>SUM(OSRRefD21_9x_0)</f>
        <v>134229.29999999999</v>
      </c>
      <c r="E55" s="19"/>
      <c r="F55" s="1">
        <f>SUM(OSRRefF21_9x_0)</f>
        <v>124147.76</v>
      </c>
      <c r="G55" s="4"/>
      <c r="H55" s="1">
        <f>SUM(OSRRefH21_9x_0)</f>
        <v>15820</v>
      </c>
      <c r="I55" s="4"/>
      <c r="J55" s="1">
        <f>SUM(OSRRefJ21_9x_0)</f>
        <v>63500.97</v>
      </c>
      <c r="K55" s="4"/>
      <c r="L55" s="1">
        <f>SUM(OSRRefL21_9x_0)</f>
        <v>59017.490000000005</v>
      </c>
      <c r="M55" s="4"/>
      <c r="N55" s="1">
        <f>SUM(OSRRefN21_9x_0)</f>
        <v>89533.52</v>
      </c>
      <c r="O55" s="4"/>
      <c r="P55" s="1">
        <f>SUM(OSRRefP21_9x_0)</f>
        <v>25000</v>
      </c>
      <c r="Q55" s="4"/>
      <c r="R55" s="1">
        <f>SUM(OSRRefR21_9x_0)</f>
        <v>20000</v>
      </c>
    </row>
    <row r="56" spans="1:18" s="16" customFormat="1" hidden="1" outlineLevel="2" x14ac:dyDescent="0.35">
      <c r="B56" s="11" t="str">
        <f>CONCATENATE("          ", "6332", " - ", "CONSULTANT FEES")</f>
        <v xml:space="preserve">          6332 - CONSULTANT FEES</v>
      </c>
      <c r="D56" s="2">
        <v>5000</v>
      </c>
      <c r="F56" s="2">
        <v>5000</v>
      </c>
      <c r="G56" s="3"/>
      <c r="H56" s="2"/>
      <c r="I56" s="3"/>
      <c r="J56" s="2">
        <v>47750</v>
      </c>
      <c r="K56" s="3"/>
      <c r="L56" s="2">
        <v>41800</v>
      </c>
      <c r="M56" s="3"/>
      <c r="N56" s="2">
        <v>21750</v>
      </c>
      <c r="O56" s="3"/>
      <c r="P56" s="2">
        <v>0</v>
      </c>
      <c r="Q56" s="3"/>
      <c r="R56" s="2">
        <v>0</v>
      </c>
    </row>
    <row r="57" spans="1:18" s="16" customFormat="1" hidden="1" outlineLevel="2" x14ac:dyDescent="0.35">
      <c r="B57" s="11" t="str">
        <f>CONCATENATE("          ", "6334", " - ", "LEGAL COUNCIL EXPENSE")</f>
        <v xml:space="preserve">          6334 - LEGAL COUNCIL EXPENSE</v>
      </c>
      <c r="D57" s="2"/>
      <c r="F57" s="2">
        <v>1050</v>
      </c>
      <c r="G57" s="3"/>
      <c r="H57" s="2">
        <v>420</v>
      </c>
      <c r="I57" s="3"/>
      <c r="J57" s="2"/>
      <c r="K57" s="3"/>
      <c r="L57" s="2">
        <v>5377.79</v>
      </c>
      <c r="M57" s="3"/>
      <c r="N57" s="2">
        <v>38605</v>
      </c>
      <c r="O57" s="3"/>
      <c r="P57" s="2">
        <v>10000</v>
      </c>
      <c r="Q57" s="3"/>
      <c r="R57" s="2">
        <v>10000</v>
      </c>
    </row>
    <row r="58" spans="1:18" s="16" customFormat="1" hidden="1" outlineLevel="2" x14ac:dyDescent="0.35">
      <c r="B58" s="11" t="str">
        <f>CONCATENATE("          ", "6336", " - ", "PROFESSIONAL SERVICES")</f>
        <v xml:space="preserve">          6336 - PROFESSIONAL SERVICES</v>
      </c>
      <c r="D58" s="2">
        <v>129229.3</v>
      </c>
      <c r="F58" s="2">
        <v>118097.76</v>
      </c>
      <c r="G58" s="3"/>
      <c r="H58" s="2">
        <v>15400</v>
      </c>
      <c r="I58" s="3"/>
      <c r="J58" s="2">
        <v>15750.97</v>
      </c>
      <c r="K58" s="3"/>
      <c r="L58" s="2">
        <v>11839.7</v>
      </c>
      <c r="M58" s="3"/>
      <c r="N58" s="2">
        <v>29178.52</v>
      </c>
      <c r="O58" s="3"/>
      <c r="P58" s="2">
        <v>15000</v>
      </c>
      <c r="Q58" s="3"/>
      <c r="R58" s="2">
        <v>10000</v>
      </c>
    </row>
    <row r="59" spans="1:18" s="15" customFormat="1" outlineLevel="1" collapsed="1" x14ac:dyDescent="0.35">
      <c r="A59" s="7"/>
      <c r="B59" s="20" t="str">
        <f>CONCATENATE("     ","Repair and Maintenance                            ")</f>
        <v xml:space="preserve">     Repair and Maintenance                            </v>
      </c>
      <c r="C59" s="7"/>
      <c r="D59" s="1">
        <f>SUM(OSRRefD21_10x_0)</f>
        <v>566.53</v>
      </c>
      <c r="E59" s="19"/>
      <c r="F59" s="1">
        <f>SUM(OSRRefF21_10x_0)</f>
        <v>20715.05</v>
      </c>
      <c r="G59" s="4"/>
      <c r="H59" s="1">
        <f>SUM(OSRRefH21_10x_0)</f>
        <v>171649.07</v>
      </c>
      <c r="I59" s="4"/>
      <c r="J59" s="1">
        <f>SUM(OSRRefJ21_10x_0)</f>
        <v>147905.70000000001</v>
      </c>
      <c r="K59" s="4"/>
      <c r="L59" s="1">
        <f>SUM(OSRRefL21_10x_0)</f>
        <v>159549.07</v>
      </c>
      <c r="M59" s="4"/>
      <c r="N59" s="1">
        <f>SUM(OSRRefN21_10x_0)</f>
        <v>148921.76999999999</v>
      </c>
      <c r="O59" s="4"/>
      <c r="P59" s="1">
        <f>SUM(OSRRefP21_10x_0)</f>
        <v>85000</v>
      </c>
      <c r="Q59" s="4"/>
      <c r="R59" s="1">
        <f>SUM(OSRRefR21_10x_0)</f>
        <v>84000</v>
      </c>
    </row>
    <row r="60" spans="1:18" s="16" customFormat="1" hidden="1" outlineLevel="2" x14ac:dyDescent="0.35">
      <c r="B60" s="11" t="str">
        <f>CONCATENATE("          ", "6371", " - ", "COMPUTER SOFTWARE MAINTENANCE")</f>
        <v xml:space="preserve">          6371 - COMPUTER SOFTWARE MAINTENANCE</v>
      </c>
      <c r="D60" s="2">
        <v>29.99</v>
      </c>
      <c r="F60" s="2">
        <v>19000</v>
      </c>
      <c r="G60" s="3"/>
      <c r="H60" s="2">
        <v>171552.98</v>
      </c>
      <c r="I60" s="3"/>
      <c r="J60" s="2">
        <v>147496.72</v>
      </c>
      <c r="K60" s="3"/>
      <c r="L60" s="2">
        <v>156444.20000000001</v>
      </c>
      <c r="M60" s="3"/>
      <c r="N60" s="2">
        <v>148094.15</v>
      </c>
      <c r="O60" s="3"/>
      <c r="P60" s="2">
        <v>85000</v>
      </c>
      <c r="Q60" s="3"/>
      <c r="R60" s="2">
        <v>84000</v>
      </c>
    </row>
    <row r="61" spans="1:18" s="16" customFormat="1" hidden="1" outlineLevel="2" x14ac:dyDescent="0.35">
      <c r="B61" s="11" t="str">
        <f>CONCATENATE("          ", "6373", " - ", "MAINTENANCE CONTRACTS")</f>
        <v xml:space="preserve">          6373 - MAINTENANCE CONTRACTS</v>
      </c>
      <c r="D61" s="2">
        <v>536.54</v>
      </c>
      <c r="F61" s="2">
        <v>551.41999999999996</v>
      </c>
      <c r="G61" s="3"/>
      <c r="H61" s="2">
        <v>111.09</v>
      </c>
      <c r="I61" s="3"/>
      <c r="J61" s="2">
        <v>408.98</v>
      </c>
      <c r="K61" s="3"/>
      <c r="L61" s="2">
        <v>3104.87</v>
      </c>
      <c r="M61" s="3"/>
      <c r="N61" s="2">
        <v>827.62</v>
      </c>
      <c r="O61" s="3"/>
      <c r="P61" s="2"/>
      <c r="Q61" s="3"/>
      <c r="R61" s="2"/>
    </row>
    <row r="62" spans="1:18" s="16" customFormat="1" hidden="1" outlineLevel="2" x14ac:dyDescent="0.35">
      <c r="B62" s="11" t="str">
        <f>CONCATENATE("          ", "6375", " - ", "OUTSIDE REPAIRS &amp; MAINTENANCE")</f>
        <v xml:space="preserve">          6375 - OUTSIDE REPAIRS &amp; MAINTENANCE</v>
      </c>
      <c r="D62" s="2"/>
      <c r="F62" s="2">
        <v>1163.6300000000001</v>
      </c>
      <c r="G62" s="3"/>
      <c r="H62" s="2">
        <v>-15</v>
      </c>
      <c r="I62" s="3"/>
      <c r="J62" s="2"/>
      <c r="K62" s="3"/>
      <c r="L62" s="2"/>
      <c r="M62" s="3"/>
      <c r="N62" s="2"/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","Subscriptions &amp; Dues                              ")</f>
        <v xml:space="preserve">     Subscriptions &amp; Dues                              </v>
      </c>
      <c r="C63" s="7"/>
      <c r="D63" s="1">
        <f>SUM(OSRRefD21_11x_0)</f>
        <v>385</v>
      </c>
      <c r="E63" s="19"/>
      <c r="F63" s="1">
        <f>SUM(OSRRefF21_11x_0)</f>
        <v>560</v>
      </c>
      <c r="G63" s="4"/>
      <c r="H63" s="1">
        <f>SUM(OSRRefH21_11x_0)</f>
        <v>190</v>
      </c>
      <c r="I63" s="4"/>
      <c r="J63" s="1">
        <f>SUM(OSRRefJ21_11x_0)</f>
        <v>199</v>
      </c>
      <c r="K63" s="4"/>
      <c r="L63" s="1">
        <f>SUM(OSRRefL21_11x_0)</f>
        <v>2473.0100000000002</v>
      </c>
      <c r="M63" s="4"/>
      <c r="N63" s="1">
        <f>SUM(OSRRefN21_11x_0)</f>
        <v>587</v>
      </c>
      <c r="O63" s="4"/>
      <c r="P63" s="1">
        <f>SUM(OSRRefP21_11x_0)</f>
        <v>657</v>
      </c>
      <c r="Q63" s="4"/>
      <c r="R63" s="1">
        <f>SUM(OSRRefR21_11x_0)</f>
        <v>1000</v>
      </c>
    </row>
    <row r="64" spans="1:18" s="16" customFormat="1" hidden="1" outlineLevel="2" x14ac:dyDescent="0.35">
      <c r="B64" s="11" t="str">
        <f>CONCATENATE("          ", "6258", " - ", "MEMBERSHIP DUES")</f>
        <v xml:space="preserve">          6258 - MEMBERSHIP DUES</v>
      </c>
      <c r="D64" s="2">
        <v>190</v>
      </c>
      <c r="F64" s="2">
        <v>365</v>
      </c>
      <c r="G64" s="3"/>
      <c r="H64" s="2">
        <v>190</v>
      </c>
      <c r="I64" s="3"/>
      <c r="J64" s="2">
        <v>199</v>
      </c>
      <c r="K64" s="3"/>
      <c r="L64" s="2">
        <v>587</v>
      </c>
      <c r="M64" s="3"/>
      <c r="N64" s="2">
        <v>587</v>
      </c>
      <c r="O64" s="3"/>
      <c r="P64" s="2">
        <v>657</v>
      </c>
      <c r="Q64" s="3"/>
      <c r="R64" s="2">
        <v>1000</v>
      </c>
    </row>
    <row r="65" spans="1:18" s="16" customFormat="1" hidden="1" outlineLevel="2" x14ac:dyDescent="0.35">
      <c r="B65" s="11" t="str">
        <f>CONCATENATE("          ", "6275", " - ", "SUBSCRIPTIONS")</f>
        <v xml:space="preserve">          6275 - SUBSCRIPTIONS</v>
      </c>
      <c r="D65" s="2">
        <v>195</v>
      </c>
      <c r="F65" s="2">
        <v>195</v>
      </c>
      <c r="G65" s="3"/>
      <c r="H65" s="2"/>
      <c r="I65" s="3"/>
      <c r="J65" s="2"/>
      <c r="K65" s="3"/>
      <c r="L65" s="2">
        <v>1886.01</v>
      </c>
      <c r="M65" s="3"/>
      <c r="N65" s="2"/>
      <c r="O65" s="3"/>
      <c r="P65" s="2"/>
      <c r="Q65" s="3"/>
      <c r="R65" s="2"/>
    </row>
    <row r="66" spans="1:18" s="15" customFormat="1" outlineLevel="1" collapsed="1" x14ac:dyDescent="0.35">
      <c r="A66" s="7"/>
      <c r="B66" s="20" t="str">
        <f>CONCATENATE("     ","Supplies                                          ")</f>
        <v xml:space="preserve">     Supplies                                          </v>
      </c>
      <c r="C66" s="7"/>
      <c r="D66" s="1">
        <f>SUM(OSRRefD21_12x_0)</f>
        <v>10365.31</v>
      </c>
      <c r="E66" s="19"/>
      <c r="F66" s="1">
        <f>SUM(OSRRefF21_12x_0)</f>
        <v>11260.829999999998</v>
      </c>
      <c r="G66" s="4"/>
      <c r="H66" s="1">
        <f>SUM(OSRRefH21_12x_0)</f>
        <v>11985.49</v>
      </c>
      <c r="I66" s="4"/>
      <c r="J66" s="1">
        <f>SUM(OSRRefJ21_12x_0)</f>
        <v>14962.12</v>
      </c>
      <c r="K66" s="4"/>
      <c r="L66" s="1">
        <f>SUM(OSRRefL21_12x_0)</f>
        <v>21741.11</v>
      </c>
      <c r="M66" s="4"/>
      <c r="N66" s="1">
        <f>SUM(OSRRefN21_12x_0)</f>
        <v>18337.77</v>
      </c>
      <c r="O66" s="4"/>
      <c r="P66" s="1">
        <f>SUM(OSRRefP21_12x_0)</f>
        <v>25000</v>
      </c>
      <c r="Q66" s="4"/>
      <c r="R66" s="1">
        <f>SUM(OSRRefR21_12x_0)</f>
        <v>22000</v>
      </c>
    </row>
    <row r="67" spans="1:18" s="16" customFormat="1" hidden="1" outlineLevel="2" x14ac:dyDescent="0.35">
      <c r="B67" s="11" t="str">
        <f>CONCATENATE("          ", "6234", " - ", "EXPENDABLE SUPPLIES &amp; EQUIPMEN")</f>
        <v xml:space="preserve">          6234 - EXPENDABLE SUPPLIES &amp; EQUIPMEN</v>
      </c>
      <c r="D67" s="2"/>
      <c r="F67" s="2">
        <v>1831.02</v>
      </c>
      <c r="G67" s="3"/>
      <c r="H67" s="2"/>
      <c r="I67" s="3"/>
      <c r="J67" s="2"/>
      <c r="K67" s="3"/>
      <c r="L67" s="2"/>
      <c r="M67" s="3"/>
      <c r="N67" s="2"/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"6235", " - ", "COVID-19 EXPENSES")</f>
        <v xml:space="preserve">          6235 - COVID-19 EXPENSES</v>
      </c>
      <c r="D68" s="2"/>
      <c r="F68" s="2"/>
      <c r="G68" s="3"/>
      <c r="H68" s="2"/>
      <c r="I68" s="3"/>
      <c r="J68" s="2"/>
      <c r="K68" s="3"/>
      <c r="L68" s="2"/>
      <c r="M68" s="3"/>
      <c r="N68" s="2">
        <v>1330.84</v>
      </c>
      <c r="O68" s="3"/>
      <c r="P68" s="2">
        <v>5000</v>
      </c>
      <c r="Q68" s="3"/>
      <c r="R68" s="2"/>
    </row>
    <row r="69" spans="1:18" s="16" customFormat="1" hidden="1" outlineLevel="2" x14ac:dyDescent="0.35">
      <c r="B69" s="11" t="str">
        <f>CONCATENATE("          ", "6241", " - ", "OFFICE EXPENSE")</f>
        <v xml:space="preserve">          6241 - OFFICE EXPENSE</v>
      </c>
      <c r="D69" s="2">
        <v>5640.09</v>
      </c>
      <c r="F69" s="2">
        <v>4469.12</v>
      </c>
      <c r="G69" s="3"/>
      <c r="H69" s="2">
        <v>5551.24</v>
      </c>
      <c r="I69" s="3"/>
      <c r="J69" s="2">
        <v>8871.6</v>
      </c>
      <c r="K69" s="3"/>
      <c r="L69" s="2">
        <v>16597.5</v>
      </c>
      <c r="M69" s="3"/>
      <c r="N69" s="2">
        <v>12768.58</v>
      </c>
      <c r="O69" s="3"/>
      <c r="P69" s="2">
        <v>15000</v>
      </c>
      <c r="Q69" s="3"/>
      <c r="R69" s="2">
        <v>17000</v>
      </c>
    </row>
    <row r="70" spans="1:18" s="16" customFormat="1" hidden="1" outlineLevel="2" x14ac:dyDescent="0.35">
      <c r="B70" s="11" t="str">
        <f>CONCATENATE("          ", "6244", " - ", "SAFETY SUPPLY EXPENSE")</f>
        <v xml:space="preserve">          6244 - SAFETY SUPPLY EXPENSE</v>
      </c>
      <c r="D70" s="2">
        <v>3408.33</v>
      </c>
      <c r="F70" s="2">
        <v>3998.81</v>
      </c>
      <c r="G70" s="3"/>
      <c r="H70" s="2">
        <v>2926.94</v>
      </c>
      <c r="I70" s="3"/>
      <c r="J70" s="2">
        <v>3153.36</v>
      </c>
      <c r="K70" s="3"/>
      <c r="L70" s="2">
        <v>3662.48</v>
      </c>
      <c r="M70" s="3"/>
      <c r="N70" s="2">
        <v>2034.69</v>
      </c>
      <c r="O70" s="3"/>
      <c r="P70" s="2">
        <v>5000</v>
      </c>
      <c r="Q70" s="3"/>
      <c r="R70" s="2">
        <v>5000</v>
      </c>
    </row>
    <row r="71" spans="1:18" s="16" customFormat="1" hidden="1" outlineLevel="2" x14ac:dyDescent="0.35">
      <c r="B71" s="11" t="str">
        <f>CONCATENATE("          ", "6245", " - ", "PRINTING")</f>
        <v xml:space="preserve">          6245 - PRINTING</v>
      </c>
      <c r="D71" s="2">
        <v>1316.89</v>
      </c>
      <c r="F71" s="2">
        <v>961.88</v>
      </c>
      <c r="G71" s="3"/>
      <c r="H71" s="2">
        <v>3507.31</v>
      </c>
      <c r="I71" s="3"/>
      <c r="J71" s="2">
        <v>2937.16</v>
      </c>
      <c r="K71" s="3"/>
      <c r="L71" s="2">
        <v>1481.13</v>
      </c>
      <c r="M71" s="3"/>
      <c r="N71" s="2">
        <v>2203.66</v>
      </c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","Telephone/Data Lines                              ")</f>
        <v xml:space="preserve">     Telephone/Data Lines                              </v>
      </c>
      <c r="C72" s="7"/>
      <c r="D72" s="1">
        <f>SUM(OSRRefD21_13x_0)</f>
        <v>4247.92</v>
      </c>
      <c r="E72" s="19"/>
      <c r="F72" s="1">
        <f>SUM(OSRRefF21_13x_0)</f>
        <v>4338.0200000000004</v>
      </c>
      <c r="G72" s="4"/>
      <c r="H72" s="1">
        <f>SUM(OSRRefH21_13x_0)</f>
        <v>4257.2299999999996</v>
      </c>
      <c r="I72" s="4"/>
      <c r="J72" s="1">
        <f>SUM(OSRRefJ21_13x_0)</f>
        <v>4205</v>
      </c>
      <c r="K72" s="4"/>
      <c r="L72" s="1">
        <f>SUM(OSRRefL21_13x_0)</f>
        <v>3974.95</v>
      </c>
      <c r="M72" s="4"/>
      <c r="N72" s="1">
        <f>SUM(OSRRefN21_13x_0)</f>
        <v>4043.67</v>
      </c>
      <c r="O72" s="4"/>
      <c r="P72" s="1">
        <f>SUM(OSRRefP21_13x_0)</f>
        <v>3480</v>
      </c>
      <c r="Q72" s="4"/>
      <c r="R72" s="1">
        <f>SUM(OSRRefR21_13x_0)</f>
        <v>3396</v>
      </c>
    </row>
    <row r="73" spans="1:18" s="16" customFormat="1" hidden="1" outlineLevel="2" x14ac:dyDescent="0.35">
      <c r="B73" s="11" t="str">
        <f>CONCATENATE("          ", "6309", " - ", "TELEPHONE")</f>
        <v xml:space="preserve">          6309 - TELEPHONE</v>
      </c>
      <c r="D73" s="2">
        <v>4247.92</v>
      </c>
      <c r="F73" s="2">
        <v>4338.0200000000004</v>
      </c>
      <c r="G73" s="3"/>
      <c r="H73" s="2">
        <v>4257.2299999999996</v>
      </c>
      <c r="I73" s="3"/>
      <c r="J73" s="2">
        <v>4205</v>
      </c>
      <c r="K73" s="3"/>
      <c r="L73" s="2">
        <v>3974.95</v>
      </c>
      <c r="M73" s="3"/>
      <c r="N73" s="2">
        <v>4043.67</v>
      </c>
      <c r="O73" s="3"/>
      <c r="P73" s="2">
        <v>3480</v>
      </c>
      <c r="Q73" s="3"/>
      <c r="R73" s="2">
        <v>3396</v>
      </c>
    </row>
    <row r="74" spans="1:18" s="15" customFormat="1" outlineLevel="1" collapsed="1" x14ac:dyDescent="0.35">
      <c r="A74" s="7"/>
      <c r="B74" s="20" t="str">
        <f>CONCATENATE("     ","Training                                          ")</f>
        <v xml:space="preserve">     Training                                          </v>
      </c>
      <c r="C74" s="7"/>
      <c r="D74" s="1">
        <f>SUM(OSRRefD21_14x_0)</f>
        <v>3954.66</v>
      </c>
      <c r="E74" s="19"/>
      <c r="F74" s="1">
        <f>SUM(OSRRefF21_14x_0)</f>
        <v>12630.15</v>
      </c>
      <c r="G74" s="4"/>
      <c r="H74" s="1">
        <f>SUM(OSRRefH21_14x_0)</f>
        <v>18841.23</v>
      </c>
      <c r="I74" s="4"/>
      <c r="J74" s="1">
        <f>SUM(OSRRefJ21_14x_0)</f>
        <v>24020.57</v>
      </c>
      <c r="K74" s="4"/>
      <c r="L74" s="1">
        <f>SUM(OSRRefL21_14x_0)</f>
        <v>12224.46</v>
      </c>
      <c r="M74" s="4"/>
      <c r="N74" s="1">
        <f>SUM(OSRRefN21_14x_0)</f>
        <v>10624.8</v>
      </c>
      <c r="O74" s="4"/>
      <c r="P74" s="1">
        <f>SUM(OSRRefP21_14x_0)</f>
        <v>11352</v>
      </c>
      <c r="Q74" s="4"/>
      <c r="R74" s="1">
        <f>SUM(OSRRefR21_14x_0)</f>
        <v>4000</v>
      </c>
    </row>
    <row r="75" spans="1:18" s="16" customFormat="1" hidden="1" outlineLevel="2" x14ac:dyDescent="0.35">
      <c r="B75" s="11" t="str">
        <f>CONCATENATE("          ", "6376", " - ", "TRAINING")</f>
        <v xml:space="preserve">          6376 - TRAINING</v>
      </c>
      <c r="D75" s="2">
        <v>3954.66</v>
      </c>
      <c r="F75" s="2">
        <v>12630.15</v>
      </c>
      <c r="G75" s="3"/>
      <c r="H75" s="2">
        <v>18841.23</v>
      </c>
      <c r="I75" s="3"/>
      <c r="J75" s="2">
        <v>24020.57</v>
      </c>
      <c r="K75" s="3"/>
      <c r="L75" s="2">
        <v>12224.46</v>
      </c>
      <c r="M75" s="3"/>
      <c r="N75" s="2">
        <v>10624.8</v>
      </c>
      <c r="O75" s="3"/>
      <c r="P75" s="2">
        <v>11352</v>
      </c>
      <c r="Q75" s="3"/>
      <c r="R75" s="2">
        <v>4000</v>
      </c>
    </row>
    <row r="76" spans="1:18" s="15" customFormat="1" outlineLevel="1" collapsed="1" x14ac:dyDescent="0.35">
      <c r="A76" s="7"/>
      <c r="B76" s="20" t="str">
        <f>CONCATENATE("     ","Travel                                            ")</f>
        <v xml:space="preserve">     Travel                                            </v>
      </c>
      <c r="C76" s="7"/>
      <c r="D76" s="1">
        <f>SUM(OSRRefD21_15x_0)</f>
        <v>2664.1499999999996</v>
      </c>
      <c r="E76" s="19"/>
      <c r="F76" s="1">
        <f>SUM(OSRRefF21_15x_0)</f>
        <v>921.56</v>
      </c>
      <c r="G76" s="4"/>
      <c r="H76" s="1">
        <f>SUM(OSRRefH21_15x_0)</f>
        <v>905.29</v>
      </c>
      <c r="I76" s="4"/>
      <c r="J76" s="1">
        <f>SUM(OSRRefJ21_15x_0)</f>
        <v>371.99</v>
      </c>
      <c r="K76" s="4"/>
      <c r="L76" s="1">
        <f>SUM(OSRRefL21_15x_0)</f>
        <v>5706.48</v>
      </c>
      <c r="M76" s="4"/>
      <c r="N76" s="1">
        <f>SUM(OSRRefN21_15x_0)</f>
        <v>3487.01</v>
      </c>
      <c r="O76" s="4"/>
      <c r="P76" s="1">
        <f>SUM(OSRRefP21_15x_0)</f>
        <v>0</v>
      </c>
      <c r="Q76" s="4"/>
      <c r="R76" s="1">
        <f>SUM(OSRRefR21_15x_0)</f>
        <v>720</v>
      </c>
    </row>
    <row r="77" spans="1:18" s="16" customFormat="1" hidden="1" outlineLevel="2" x14ac:dyDescent="0.35">
      <c r="B77" s="11" t="str">
        <f>CONCATENATE("          ", "6292", " - ", "TRAVEL/CONFERENCE")</f>
        <v xml:space="preserve">          6292 - TRAVEL/CONFERENCE</v>
      </c>
      <c r="D77" s="2">
        <v>2327.41</v>
      </c>
      <c r="F77" s="2">
        <v>921.56</v>
      </c>
      <c r="G77" s="3"/>
      <c r="H77" s="2">
        <v>819.64</v>
      </c>
      <c r="I77" s="3"/>
      <c r="J77" s="2">
        <v>371.99</v>
      </c>
      <c r="K77" s="3"/>
      <c r="L77" s="2">
        <v>5706.48</v>
      </c>
      <c r="M77" s="3"/>
      <c r="N77" s="2">
        <v>3487.01</v>
      </c>
      <c r="O77" s="3"/>
      <c r="P77" s="2"/>
      <c r="Q77" s="3"/>
      <c r="R77" s="2">
        <v>720</v>
      </c>
    </row>
    <row r="78" spans="1:18" s="16" customFormat="1" hidden="1" outlineLevel="2" x14ac:dyDescent="0.35">
      <c r="B78" s="11" t="str">
        <f>CONCATENATE("          ", "6294", " - ", "TRAVEL OPERATIONAL")</f>
        <v xml:space="preserve">          6294 - TRAVEL OPERATIONAL</v>
      </c>
      <c r="D78" s="2">
        <v>336.74</v>
      </c>
      <c r="F78" s="2"/>
      <c r="G78" s="3"/>
      <c r="H78" s="2">
        <v>85.65</v>
      </c>
      <c r="I78" s="3"/>
      <c r="J78" s="2"/>
      <c r="K78" s="3"/>
      <c r="L78" s="2"/>
      <c r="M78" s="3"/>
      <c r="N78" s="2"/>
      <c r="O78" s="3"/>
      <c r="P78" s="2"/>
      <c r="Q78" s="3"/>
      <c r="R78" s="2"/>
    </row>
    <row r="79" spans="1:18" x14ac:dyDescent="0.35">
      <c r="A79" s="12"/>
      <c r="B79" s="12"/>
      <c r="C79" s="12"/>
      <c r="D79" s="1"/>
      <c r="F79" s="1"/>
      <c r="H79" s="1"/>
      <c r="J79" s="1"/>
      <c r="L79" s="1"/>
      <c r="N79" s="1"/>
      <c r="P79" s="1"/>
      <c r="R79" s="1"/>
    </row>
    <row r="80" spans="1:18" s="7" customFormat="1" x14ac:dyDescent="0.35">
      <c r="A80" s="36"/>
      <c r="B80" s="34" t="s">
        <v>295</v>
      </c>
      <c r="D80" s="6">
        <f>SUM(0)</f>
        <v>0</v>
      </c>
      <c r="E80" s="12"/>
      <c r="F80" s="6">
        <f>SUM(0)</f>
        <v>0</v>
      </c>
      <c r="G80" s="5"/>
      <c r="H80" s="6">
        <f>SUM(0)</f>
        <v>0</v>
      </c>
      <c r="I80" s="5"/>
      <c r="J80" s="6">
        <f>SUM(0)</f>
        <v>0</v>
      </c>
      <c r="K80" s="5"/>
      <c r="L80" s="6">
        <f>SUM(0)</f>
        <v>0</v>
      </c>
      <c r="M80" s="5"/>
      <c r="N80" s="6">
        <f>SUM(0)</f>
        <v>0</v>
      </c>
      <c r="O80" s="5"/>
      <c r="P80" s="6">
        <f>SUM(0)</f>
        <v>0</v>
      </c>
      <c r="Q80" s="5"/>
      <c r="R80" s="6">
        <f>SUM(0)</f>
        <v>0</v>
      </c>
    </row>
    <row r="81" spans="1:18" x14ac:dyDescent="0.35">
      <c r="A81" s="12"/>
      <c r="B81" s="7"/>
      <c r="C81" s="7"/>
      <c r="D81" s="6"/>
      <c r="F81" s="6"/>
      <c r="H81" s="6"/>
      <c r="J81" s="6"/>
      <c r="L81" s="6"/>
      <c r="N81" s="6"/>
      <c r="P81" s="6"/>
      <c r="R81" s="6"/>
    </row>
    <row r="82" spans="1:18" s="15" customFormat="1" x14ac:dyDescent="0.35">
      <c r="A82" s="7"/>
      <c r="B82" s="22" t="s">
        <v>279</v>
      </c>
      <c r="C82" s="22"/>
      <c r="D82" s="10">
        <f>+D14-D17+D80</f>
        <v>-548125.04</v>
      </c>
      <c r="E82" s="12"/>
      <c r="F82" s="10">
        <f>+F14-F17+F80</f>
        <v>-586577.98000000021</v>
      </c>
      <c r="G82" s="5"/>
      <c r="H82" s="10">
        <f>+H14-H17+H80</f>
        <v>-619861.71</v>
      </c>
      <c r="I82" s="5"/>
      <c r="J82" s="10">
        <f>+J14-J17+J80</f>
        <v>-699594.61999999988</v>
      </c>
      <c r="K82" s="5"/>
      <c r="L82" s="10">
        <f>+L14-L17+L80</f>
        <v>-727638.21</v>
      </c>
      <c r="M82" s="5"/>
      <c r="N82" s="10">
        <f>+N14-N17+N80</f>
        <v>-802300.28000000014</v>
      </c>
      <c r="O82" s="5"/>
      <c r="P82" s="10">
        <f>+P14-P17+P80</f>
        <v>-645163.83520000009</v>
      </c>
      <c r="Q82" s="5"/>
      <c r="R82" s="10">
        <f>+R14-R17+R80</f>
        <v>-602665.44720592001</v>
      </c>
    </row>
    <row r="83" spans="1:18" s="27" customFormat="1" x14ac:dyDescent="0.35">
      <c r="A83" s="18"/>
      <c r="B83" s="31"/>
      <c r="C83" s="18"/>
      <c r="D83" s="9">
        <f>IFERROR(D82/D10, 0)</f>
        <v>0</v>
      </c>
      <c r="E83" s="18"/>
      <c r="F83" s="9">
        <f>IFERROR(F82/F10, 0)</f>
        <v>0</v>
      </c>
      <c r="G83" s="14"/>
      <c r="H83" s="9">
        <f>IFERROR(H82/H10, 0)</f>
        <v>0</v>
      </c>
      <c r="I83" s="14"/>
      <c r="J83" s="9">
        <f>IFERROR(J82/J10, 0)</f>
        <v>0</v>
      </c>
      <c r="K83" s="14"/>
      <c r="L83" s="9">
        <f>IFERROR(L82/L10, 0)</f>
        <v>0</v>
      </c>
      <c r="M83" s="14"/>
      <c r="N83" s="9">
        <f>IFERROR(N82/N10, 0)</f>
        <v>0</v>
      </c>
      <c r="O83" s="14"/>
      <c r="P83" s="9">
        <f>IFERROR(P82/P10, 0)</f>
        <v>0</v>
      </c>
      <c r="Q83" s="14"/>
      <c r="R83" s="9">
        <f>IFERROR(R82/R10, 0)</f>
        <v>0</v>
      </c>
    </row>
    <row r="84" spans="1:18" s="27" customFormat="1" x14ac:dyDescent="0.35">
      <c r="A84" s="18"/>
      <c r="B84" s="31"/>
      <c r="C84" s="18"/>
      <c r="D84" s="13"/>
      <c r="E84" s="18"/>
      <c r="F84" s="13"/>
      <c r="G84" s="14"/>
      <c r="H84" s="13"/>
      <c r="I84" s="14"/>
      <c r="J84" s="13"/>
      <c r="K84" s="14"/>
      <c r="L84" s="13"/>
      <c r="M84" s="14"/>
      <c r="N84" s="13"/>
      <c r="O84" s="14"/>
      <c r="P84" s="13"/>
      <c r="Q84" s="14"/>
      <c r="R84" s="13"/>
    </row>
    <row r="85" spans="1:18" s="15" customFormat="1" x14ac:dyDescent="0.35">
      <c r="A85" s="37"/>
      <c r="B85" s="7" t="s">
        <v>127</v>
      </c>
      <c r="C85" s="7"/>
      <c r="D85" s="6"/>
      <c r="E85" s="12"/>
      <c r="F85" s="6"/>
      <c r="G85" s="5"/>
      <c r="H85" s="6"/>
      <c r="I85" s="5"/>
      <c r="J85" s="6"/>
      <c r="K85" s="5"/>
      <c r="L85" s="6"/>
      <c r="M85" s="5"/>
      <c r="N85" s="6"/>
      <c r="O85" s="5"/>
      <c r="P85" s="6"/>
      <c r="Q85" s="5"/>
      <c r="R85" s="6"/>
    </row>
    <row r="86" spans="1:18" x14ac:dyDescent="0.35">
      <c r="A86" s="12"/>
      <c r="B86" s="7"/>
      <c r="C86" s="7"/>
      <c r="D86" s="6"/>
      <c r="F86" s="6"/>
      <c r="H86" s="6"/>
      <c r="J86" s="6"/>
      <c r="L86" s="6"/>
      <c r="N86" s="6"/>
      <c r="P86" s="6"/>
      <c r="R86" s="6"/>
    </row>
    <row r="87" spans="1:18" s="15" customFormat="1" x14ac:dyDescent="0.35">
      <c r="A87" s="7"/>
      <c r="B87" s="22" t="s">
        <v>126</v>
      </c>
      <c r="C87" s="22"/>
      <c r="D87" s="10">
        <f>+D82-D85</f>
        <v>-548125.04</v>
      </c>
      <c r="E87" s="12"/>
      <c r="F87" s="10">
        <f>+F82-F85</f>
        <v>-586577.98000000021</v>
      </c>
      <c r="G87" s="5"/>
      <c r="H87" s="10">
        <f>+H82-H85</f>
        <v>-619861.71</v>
      </c>
      <c r="I87" s="5"/>
      <c r="J87" s="10">
        <f>+J82-J85</f>
        <v>-699594.61999999988</v>
      </c>
      <c r="K87" s="5"/>
      <c r="L87" s="10">
        <f>+L82-L85</f>
        <v>-727638.21</v>
      </c>
      <c r="M87" s="5"/>
      <c r="N87" s="10">
        <f>+N82-N85</f>
        <v>-802300.28000000014</v>
      </c>
      <c r="O87" s="5"/>
      <c r="P87" s="10">
        <f>+P82-P85</f>
        <v>-645163.83520000009</v>
      </c>
      <c r="Q87" s="5"/>
      <c r="R87" s="10">
        <f>+R82-R85</f>
        <v>-602665.44720592001</v>
      </c>
    </row>
    <row r="88" spans="1:18" s="27" customFormat="1" x14ac:dyDescent="0.35">
      <c r="A88" s="18"/>
      <c r="B88" s="18"/>
      <c r="C88" s="18"/>
      <c r="D88" s="9">
        <f>IFERROR(D87/D10, 0)</f>
        <v>0</v>
      </c>
      <c r="E88" s="18"/>
      <c r="F88" s="9">
        <f>IFERROR(F87/F10, 0)</f>
        <v>0</v>
      </c>
      <c r="G88" s="14"/>
      <c r="H88" s="9">
        <f>IFERROR(H87/H10, 0)</f>
        <v>0</v>
      </c>
      <c r="I88" s="14"/>
      <c r="J88" s="9">
        <f>IFERROR(J87/J10, 0)</f>
        <v>0</v>
      </c>
      <c r="K88" s="14"/>
      <c r="L88" s="9">
        <f>IFERROR(L87/L10, 0)</f>
        <v>0</v>
      </c>
      <c r="M88" s="14"/>
      <c r="N88" s="9">
        <f>IFERROR(N87/N10, 0)</f>
        <v>0</v>
      </c>
      <c r="O88" s="14"/>
      <c r="P88" s="9">
        <f>IFERROR(P87/P10, 0)</f>
        <v>0</v>
      </c>
      <c r="Q88" s="14"/>
      <c r="R88" s="9">
        <f>IFERROR(R87/R10, 0)</f>
        <v>0</v>
      </c>
    </row>
    <row r="89" spans="1:18" s="27" customFormat="1" x14ac:dyDescent="0.35">
      <c r="A89" s="18"/>
      <c r="B89" s="18"/>
      <c r="C89" s="18"/>
      <c r="D89" s="13"/>
      <c r="E89" s="18"/>
      <c r="F89" s="13"/>
      <c r="G89" s="14"/>
      <c r="H89" s="13"/>
      <c r="I89" s="14"/>
      <c r="J89" s="13"/>
      <c r="K89" s="14"/>
      <c r="L89" s="13"/>
      <c r="M89" s="14"/>
      <c r="N89" s="13"/>
      <c r="O89" s="14"/>
      <c r="P89" s="13"/>
      <c r="Q89" s="14"/>
      <c r="R89" s="13"/>
    </row>
    <row r="90" spans="1:18" x14ac:dyDescent="0.35">
      <c r="A90" s="12"/>
      <c r="B90" s="12"/>
      <c r="C90" s="12"/>
      <c r="D90" s="6"/>
      <c r="F90" s="6"/>
      <c r="H90" s="6"/>
      <c r="J90" s="6"/>
      <c r="L90" s="6"/>
      <c r="N90" s="6"/>
      <c r="P90" s="6"/>
      <c r="R90" s="6"/>
    </row>
    <row r="91" spans="1:18" s="15" customFormat="1" x14ac:dyDescent="0.35">
      <c r="A91" s="7"/>
      <c r="B91" s="22" t="s">
        <v>296</v>
      </c>
      <c r="C91" s="22"/>
      <c r="D91" s="10">
        <f>SUM(D87:D90)</f>
        <v>-548125.04</v>
      </c>
      <c r="E91" s="12"/>
      <c r="F91" s="10">
        <f>SUM(F87:F90)</f>
        <v>-586577.98000000021</v>
      </c>
      <c r="G91" s="5"/>
      <c r="H91" s="10">
        <f>SUM(H87:H90)</f>
        <v>-619861.71</v>
      </c>
      <c r="I91" s="5"/>
      <c r="J91" s="10">
        <f>SUM(J87:J90)</f>
        <v>-699594.61999999988</v>
      </c>
      <c r="K91" s="5"/>
      <c r="L91" s="10">
        <f>SUM(L87:L90)</f>
        <v>-727638.21</v>
      </c>
      <c r="M91" s="5"/>
      <c r="N91" s="10">
        <f>SUM(N87:N90)</f>
        <v>-802300.28000000014</v>
      </c>
      <c r="O91" s="5"/>
      <c r="P91" s="10">
        <f>SUM(P87:P90)</f>
        <v>-645163.83520000009</v>
      </c>
      <c r="Q91" s="5"/>
      <c r="R91" s="10">
        <f>SUM(R87:R90)</f>
        <v>-602665.44720592001</v>
      </c>
    </row>
    <row r="92" spans="1:18" s="27" customFormat="1" x14ac:dyDescent="0.35">
      <c r="A92" s="18"/>
      <c r="B92" s="41"/>
      <c r="C92" s="18"/>
      <c r="D92" s="9">
        <f>IFERROR(D91/D10, 0)</f>
        <v>0</v>
      </c>
      <c r="E92" s="18"/>
      <c r="F92" s="9">
        <f>IFERROR(F91/F10, 0)</f>
        <v>0</v>
      </c>
      <c r="G92" s="14"/>
      <c r="H92" s="9">
        <f>IFERROR(H91/H10, 0)</f>
        <v>0</v>
      </c>
      <c r="I92" s="14"/>
      <c r="J92" s="9">
        <f>IFERROR(J91/J10, 0)</f>
        <v>0</v>
      </c>
      <c r="K92" s="14"/>
      <c r="L92" s="9">
        <f>IFERROR(L91/L10, 0)</f>
        <v>0</v>
      </c>
      <c r="M92" s="14"/>
      <c r="N92" s="9">
        <f>IFERROR(N91/N10, 0)</f>
        <v>0</v>
      </c>
      <c r="O92" s="14"/>
      <c r="P92" s="9">
        <f>IFERROR(P91/P10, 0)</f>
        <v>0</v>
      </c>
      <c r="Q92" s="14"/>
      <c r="R92" s="9">
        <f>IFERROR(R91/R10, 0)</f>
        <v>0</v>
      </c>
    </row>
    <row r="93" spans="1:18" x14ac:dyDescent="0.35">
      <c r="A93" s="12"/>
      <c r="B93" s="40">
        <v>44319.883572604165</v>
      </c>
      <c r="D93" s="24"/>
      <c r="F93" s="24"/>
      <c r="H93" s="24"/>
      <c r="J93" s="24"/>
      <c r="L93" s="24"/>
      <c r="N93" s="24"/>
      <c r="P93" s="24"/>
      <c r="R93" s="24"/>
    </row>
    <row r="94" spans="1:18" x14ac:dyDescent="0.35">
      <c r="A94" s="12"/>
      <c r="B94" s="39" t="s">
        <v>23</v>
      </c>
      <c r="D94" s="24"/>
      <c r="F94" s="24"/>
      <c r="H94" s="24"/>
      <c r="J94" s="24"/>
      <c r="L94" s="24"/>
      <c r="N94" s="24"/>
      <c r="P94" s="24"/>
      <c r="R94" s="24"/>
    </row>
    <row r="95" spans="1:18" x14ac:dyDescent="0.35">
      <c r="A95" s="12"/>
      <c r="D95" s="24"/>
      <c r="F95" s="24"/>
      <c r="H95" s="24"/>
      <c r="J95" s="24"/>
      <c r="L95" s="24"/>
      <c r="N95" s="24"/>
      <c r="P95" s="24"/>
      <c r="R95" s="24"/>
    </row>
    <row r="96" spans="1:18" x14ac:dyDescent="0.35">
      <c r="D96" s="24"/>
      <c r="F96" s="24"/>
      <c r="H96" s="24"/>
      <c r="J96" s="24"/>
      <c r="L96" s="24"/>
      <c r="N96" s="24"/>
      <c r="P96" s="24"/>
      <c r="R96" s="24"/>
    </row>
  </sheetData>
  <pageMargins left="0.5" right="0.5" top="0.5" bottom="0.5" header="0.3" footer="0.3"/>
  <pageSetup scale="59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","204", " - ", "Information Technology")</f>
        <v>Department 204 - Information Technology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534971.50000000012</v>
      </c>
      <c r="E17" s="19"/>
      <c r="F17" s="8">
        <f>SUM(OSRRefF21x_0)</f>
        <v>590008.97999999986</v>
      </c>
      <c r="G17" s="4"/>
      <c r="H17" s="8">
        <f>SUM(OSRRefH21x_0)</f>
        <v>616190.89</v>
      </c>
      <c r="I17" s="4"/>
      <c r="J17" s="8">
        <f>SUM(OSRRefJ21x_0)</f>
        <v>652306.3899999999</v>
      </c>
      <c r="K17" s="4"/>
      <c r="L17" s="8">
        <f>SUM(OSRRefL21x_0)</f>
        <v>765533.83000000007</v>
      </c>
      <c r="M17" s="4"/>
      <c r="N17" s="8">
        <f>SUM(OSRRefN21x_0)</f>
        <v>682956.2100000002</v>
      </c>
      <c r="O17" s="4"/>
      <c r="P17" s="8">
        <f>SUM(OSRRefP21x_0)</f>
        <v>636971.66230769223</v>
      </c>
      <c r="Q17" s="4"/>
      <c r="R17" s="8">
        <f>SUM(OSRRefR21x_0)</f>
        <v>599704.65861600009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109699.91</v>
      </c>
      <c r="E18" s="19"/>
      <c r="F18" s="1">
        <f>SUM(OSRRefF21_0x_0)</f>
        <v>108443.23000000001</v>
      </c>
      <c r="G18" s="4"/>
      <c r="H18" s="1">
        <f>SUM(OSRRefH21_0x_0)</f>
        <v>118452.31999999999</v>
      </c>
      <c r="I18" s="4"/>
      <c r="J18" s="1">
        <f>SUM(OSRRefJ21_0x_0)</f>
        <v>157444.71999999997</v>
      </c>
      <c r="K18" s="4"/>
      <c r="L18" s="1">
        <f>SUM(OSRRefL21_0x_0)</f>
        <v>169876.13</v>
      </c>
      <c r="M18" s="4"/>
      <c r="N18" s="1">
        <f>SUM(OSRRefN21_0x_0)</f>
        <v>153591.16999999998</v>
      </c>
      <c r="O18" s="4"/>
      <c r="P18" s="1">
        <f>SUM(OSRRefP21_0x_0)</f>
        <v>140795.66230769228</v>
      </c>
      <c r="Q18" s="4"/>
      <c r="R18" s="1">
        <f>SUM(OSRRefR21_0x_0)</f>
        <v>138956.45861599999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16980.07</v>
      </c>
      <c r="F19" s="2">
        <v>18878.259999999998</v>
      </c>
      <c r="G19" s="3"/>
      <c r="H19" s="2">
        <v>21042.42</v>
      </c>
      <c r="I19" s="3"/>
      <c r="J19" s="2">
        <v>22210.53</v>
      </c>
      <c r="K19" s="3"/>
      <c r="L19" s="2">
        <v>27431.27</v>
      </c>
      <c r="M19" s="3"/>
      <c r="N19" s="2">
        <v>24563.51</v>
      </c>
      <c r="O19" s="3"/>
      <c r="P19" s="2">
        <v>21351.87</v>
      </c>
      <c r="Q19" s="3"/>
      <c r="R19" s="2">
        <v>23540.566776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793.18</v>
      </c>
      <c r="F20" s="2">
        <v>1724.64</v>
      </c>
      <c r="G20" s="3"/>
      <c r="H20" s="2">
        <v>1220.51</v>
      </c>
      <c r="I20" s="3"/>
      <c r="J20" s="2">
        <v>753.21</v>
      </c>
      <c r="K20" s="3"/>
      <c r="L20" s="2">
        <v>1062.3499999999999</v>
      </c>
      <c r="M20" s="3"/>
      <c r="N20" s="2">
        <v>995.08</v>
      </c>
      <c r="O20" s="3"/>
      <c r="P20" s="2">
        <v>920.7</v>
      </c>
      <c r="Q20" s="3"/>
      <c r="R20" s="2">
        <v>953.55751999999995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37703.370000000003</v>
      </c>
      <c r="F21" s="2">
        <v>38944.58</v>
      </c>
      <c r="G21" s="3"/>
      <c r="H21" s="2">
        <v>45810.66</v>
      </c>
      <c r="I21" s="3"/>
      <c r="J21" s="2">
        <v>78591.81</v>
      </c>
      <c r="K21" s="3"/>
      <c r="L21" s="2">
        <v>76223.59</v>
      </c>
      <c r="M21" s="3"/>
      <c r="N21" s="2">
        <v>64383</v>
      </c>
      <c r="O21" s="3"/>
      <c r="P21" s="2">
        <v>59817.692307692298</v>
      </c>
      <c r="Q21" s="3"/>
      <c r="R21" s="2">
        <v>64032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1552.95</v>
      </c>
      <c r="F22" s="2">
        <v>1747.18</v>
      </c>
      <c r="G22" s="3"/>
      <c r="H22" s="2">
        <v>880.7</v>
      </c>
      <c r="I22" s="3"/>
      <c r="J22" s="2">
        <v>898.97</v>
      </c>
      <c r="K22" s="3"/>
      <c r="L22" s="2">
        <v>973.7</v>
      </c>
      <c r="M22" s="3"/>
      <c r="N22" s="2">
        <v>0</v>
      </c>
      <c r="O22" s="3"/>
      <c r="P22" s="2">
        <v>725.4</v>
      </c>
      <c r="Q22" s="3"/>
      <c r="R22" s="2">
        <v>645.95831999999996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24664.38</v>
      </c>
      <c r="F23" s="2">
        <v>17824.310000000001</v>
      </c>
      <c r="G23" s="3"/>
      <c r="H23" s="2">
        <v>18373.66</v>
      </c>
      <c r="I23" s="3"/>
      <c r="J23" s="2">
        <v>18009.52</v>
      </c>
      <c r="K23" s="3"/>
      <c r="L23" s="2">
        <v>19746.560000000001</v>
      </c>
      <c r="M23" s="3"/>
      <c r="N23" s="2">
        <v>19719.72</v>
      </c>
      <c r="O23" s="3"/>
      <c r="P23" s="2">
        <v>19780</v>
      </c>
      <c r="Q23" s="3"/>
      <c r="R23" s="2">
        <v>20373.400000000001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>
        <v>548</v>
      </c>
      <c r="G24" s="3"/>
      <c r="H24" s="2">
        <v>400.4</v>
      </c>
      <c r="I24" s="3"/>
      <c r="J24" s="2"/>
      <c r="K24" s="3"/>
      <c r="L24" s="2"/>
      <c r="M24" s="3"/>
      <c r="N24" s="2">
        <v>878</v>
      </c>
      <c r="O24" s="3"/>
      <c r="P24" s="2">
        <v>3600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"6117", " - ", "RETIREMENT STAFF HOURLY")</f>
        <v xml:space="preserve">          6117 - RETIREMENT STAFF HOURLY</v>
      </c>
      <c r="D25" s="2"/>
      <c r="F25" s="2"/>
      <c r="G25" s="3"/>
      <c r="H25" s="2"/>
      <c r="I25" s="3"/>
      <c r="J25" s="2"/>
      <c r="K25" s="3"/>
      <c r="L25" s="2">
        <v>691.97</v>
      </c>
      <c r="M25" s="3"/>
      <c r="N25" s="2">
        <v>4400.32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14332.25</v>
      </c>
      <c r="F26" s="2">
        <v>16000.28</v>
      </c>
      <c r="G26" s="3"/>
      <c r="H26" s="2">
        <v>15040.49</v>
      </c>
      <c r="I26" s="3"/>
      <c r="J26" s="2">
        <v>18370.75</v>
      </c>
      <c r="K26" s="3"/>
      <c r="L26" s="2">
        <v>23934.87</v>
      </c>
      <c r="M26" s="3"/>
      <c r="N26" s="2">
        <v>19681.560000000001</v>
      </c>
      <c r="O26" s="3"/>
      <c r="P26" s="2">
        <v>13700</v>
      </c>
      <c r="Q26" s="3"/>
      <c r="R26" s="2">
        <v>11845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8833.77</v>
      </c>
      <c r="F27" s="2">
        <v>7864.38</v>
      </c>
      <c r="G27" s="3"/>
      <c r="H27" s="2">
        <v>10302.5</v>
      </c>
      <c r="I27" s="3"/>
      <c r="J27" s="2">
        <v>12115.62</v>
      </c>
      <c r="K27" s="3"/>
      <c r="L27" s="2">
        <v>12233.63</v>
      </c>
      <c r="M27" s="3"/>
      <c r="N27" s="2">
        <v>13222.18</v>
      </c>
      <c r="O27" s="3"/>
      <c r="P27" s="2">
        <v>13700</v>
      </c>
      <c r="Q27" s="3"/>
      <c r="R27" s="2">
        <v>13965.976000000001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4839.9399999999996</v>
      </c>
      <c r="F28" s="2">
        <v>4911.6000000000004</v>
      </c>
      <c r="G28" s="3"/>
      <c r="H28" s="2">
        <v>5380.98</v>
      </c>
      <c r="I28" s="3"/>
      <c r="J28" s="2">
        <v>6494.31</v>
      </c>
      <c r="K28" s="3"/>
      <c r="L28" s="2">
        <v>7578.19</v>
      </c>
      <c r="M28" s="3"/>
      <c r="N28" s="2">
        <v>5747.8</v>
      </c>
      <c r="O28" s="3"/>
      <c r="P28" s="2">
        <v>7200</v>
      </c>
      <c r="Q28" s="3"/>
      <c r="R28" s="2">
        <v>3600</v>
      </c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225903.95</v>
      </c>
      <c r="E29" s="19"/>
      <c r="F29" s="1">
        <f>SUM(OSRRefF21_1x_0)</f>
        <v>257265.56</v>
      </c>
      <c r="G29" s="4"/>
      <c r="H29" s="1">
        <f>SUM(OSRRefH21_1x_0)</f>
        <v>268799.38</v>
      </c>
      <c r="I29" s="4"/>
      <c r="J29" s="1">
        <f>SUM(OSRRefJ21_1x_0)</f>
        <v>246472.4</v>
      </c>
      <c r="K29" s="4"/>
      <c r="L29" s="1">
        <f>SUM(OSRRefL21_1x_0)</f>
        <v>320375.77999999997</v>
      </c>
      <c r="M29" s="4"/>
      <c r="N29" s="1">
        <f>SUM(OSRRefN21_1x_0)</f>
        <v>293390.10000000003</v>
      </c>
      <c r="O29" s="4"/>
      <c r="P29" s="1">
        <f>SUM(OSRRefP21_1x_0)</f>
        <v>251600</v>
      </c>
      <c r="Q29" s="4"/>
      <c r="R29" s="1">
        <f>SUM(OSRRefR21_1x_0)</f>
        <v>283909.2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0</v>
      </c>
      <c r="Q30" s="3"/>
      <c r="R30" s="2">
        <v>0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>
        <v>160970.35999999999</v>
      </c>
      <c r="F31" s="2">
        <v>167852.08</v>
      </c>
      <c r="G31" s="3"/>
      <c r="H31" s="2">
        <v>169439.31</v>
      </c>
      <c r="I31" s="3"/>
      <c r="J31" s="2">
        <v>150434.12</v>
      </c>
      <c r="K31" s="3"/>
      <c r="L31" s="2">
        <v>181815.42</v>
      </c>
      <c r="M31" s="3"/>
      <c r="N31" s="2">
        <v>160206.76</v>
      </c>
      <c r="O31" s="3"/>
      <c r="P31" s="2">
        <v>207000</v>
      </c>
      <c r="Q31" s="3"/>
      <c r="R31" s="2">
        <v>213210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/>
      <c r="F33" s="2"/>
      <c r="G33" s="3"/>
      <c r="H33" s="2">
        <v>3085.5</v>
      </c>
      <c r="I33" s="3"/>
      <c r="J33" s="2">
        <v>58043.17</v>
      </c>
      <c r="K33" s="3"/>
      <c r="L33" s="2">
        <v>85093.83</v>
      </c>
      <c r="M33" s="3"/>
      <c r="N33" s="2">
        <v>80619.600000000006</v>
      </c>
      <c r="O33" s="3"/>
      <c r="P33" s="2">
        <v>44600</v>
      </c>
      <c r="Q33" s="3"/>
      <c r="R33" s="2">
        <v>70699.199999999997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23847.14</v>
      </c>
      <c r="F34" s="2">
        <v>44702.1</v>
      </c>
      <c r="G34" s="3"/>
      <c r="H34" s="2">
        <v>57217.71</v>
      </c>
      <c r="I34" s="3"/>
      <c r="J34" s="2">
        <v>640</v>
      </c>
      <c r="K34" s="3"/>
      <c r="L34" s="2">
        <v>28275.75</v>
      </c>
      <c r="M34" s="3"/>
      <c r="N34" s="2">
        <v>23545.86</v>
      </c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>
        <v>328.25</v>
      </c>
      <c r="F35" s="2"/>
      <c r="G35" s="3"/>
      <c r="H35" s="2"/>
      <c r="I35" s="3"/>
      <c r="J35" s="2">
        <v>9254.9500000000007</v>
      </c>
      <c r="K35" s="3"/>
      <c r="L35" s="2">
        <v>5997.79</v>
      </c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29967.040000000001</v>
      </c>
      <c r="F36" s="2">
        <v>38553.97</v>
      </c>
      <c r="G36" s="3"/>
      <c r="H36" s="2">
        <v>39056.86</v>
      </c>
      <c r="I36" s="3"/>
      <c r="J36" s="2">
        <v>28100.16</v>
      </c>
      <c r="K36" s="3"/>
      <c r="L36" s="2">
        <v>18135.990000000002</v>
      </c>
      <c r="M36" s="3"/>
      <c r="N36" s="2">
        <v>26497.88</v>
      </c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>
        <v>10791.16</v>
      </c>
      <c r="F37" s="2">
        <v>6157.41</v>
      </c>
      <c r="G37" s="3"/>
      <c r="H37" s="2"/>
      <c r="I37" s="3"/>
      <c r="J37" s="2"/>
      <c r="K37" s="3"/>
      <c r="L37" s="2">
        <v>1057</v>
      </c>
      <c r="M37" s="3"/>
      <c r="N37" s="2">
        <v>2520</v>
      </c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0</v>
      </c>
      <c r="E40" s="19"/>
      <c r="F40" s="1">
        <f>SUM(OSRRefF21_2x_0)</f>
        <v>36</v>
      </c>
      <c r="G40" s="4"/>
      <c r="H40" s="1">
        <f>SUM(OSRRefH21_2x_0)</f>
        <v>399</v>
      </c>
      <c r="I40" s="4"/>
      <c r="J40" s="1">
        <f>SUM(OSRRefJ21_2x_0)</f>
        <v>69.5</v>
      </c>
      <c r="K40" s="4"/>
      <c r="L40" s="1">
        <f>SUM(OSRRefL21_2x_0)</f>
        <v>1038.5</v>
      </c>
      <c r="M40" s="4"/>
      <c r="N40" s="1">
        <f>SUM(OSRRefN21_2x_0)</f>
        <v>9.99</v>
      </c>
      <c r="O40" s="4"/>
      <c r="P40" s="1">
        <f>SUM(OSRRefP21_2x_0)</f>
        <v>100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/>
      <c r="F41" s="2">
        <v>36</v>
      </c>
      <c r="G41" s="3"/>
      <c r="H41" s="2">
        <v>399</v>
      </c>
      <c r="I41" s="3"/>
      <c r="J41" s="2">
        <v>69.5</v>
      </c>
      <c r="K41" s="3"/>
      <c r="L41" s="2">
        <v>1038.5</v>
      </c>
      <c r="M41" s="3"/>
      <c r="N41" s="2">
        <v>9.99</v>
      </c>
      <c r="O41" s="3"/>
      <c r="P41" s="2">
        <v>100</v>
      </c>
      <c r="Q41" s="3"/>
      <c r="R41" s="2"/>
    </row>
    <row r="42" spans="1:18" s="15" customFormat="1" outlineLevel="1" collapsed="1" x14ac:dyDescent="0.35">
      <c r="A42" s="7"/>
      <c r="B42" s="20" t="str">
        <f>CONCATENATE("     ","Depreciation                                      ")</f>
        <v xml:space="preserve">     Depreciation                                      </v>
      </c>
      <c r="C42" s="7"/>
      <c r="D42" s="1">
        <f>SUM(OSRRefD21_3x_0)</f>
        <v>73757.849999999991</v>
      </c>
      <c r="E42" s="19"/>
      <c r="F42" s="1">
        <f>SUM(OSRRefF21_3x_0)</f>
        <v>79370.929999999993</v>
      </c>
      <c r="G42" s="4"/>
      <c r="H42" s="1">
        <f>SUM(OSRRefH21_3x_0)</f>
        <v>79161.51999999999</v>
      </c>
      <c r="I42" s="4"/>
      <c r="J42" s="1">
        <f>SUM(OSRRefJ21_3x_0)</f>
        <v>82258.61</v>
      </c>
      <c r="K42" s="4"/>
      <c r="L42" s="1">
        <f>SUM(OSRRefL21_3x_0)</f>
        <v>93066.39</v>
      </c>
      <c r="M42" s="4"/>
      <c r="N42" s="1">
        <f>SUM(OSRRefN21_3x_0)</f>
        <v>72325.490000000005</v>
      </c>
      <c r="O42" s="4"/>
      <c r="P42" s="1">
        <f>SUM(OSRRefP21_3x_0)</f>
        <v>55695</v>
      </c>
      <c r="Q42" s="4"/>
      <c r="R42" s="1">
        <f>SUM(OSRRefR21_3x_0)</f>
        <v>33605</v>
      </c>
    </row>
    <row r="43" spans="1:18" s="16" customFormat="1" hidden="1" outlineLevel="2" x14ac:dyDescent="0.35">
      <c r="B43" s="11" t="str">
        <f>CONCATENATE("          ", "6322", " - ", "EQUIPMENT DEPRECIATION EXPENSE")</f>
        <v xml:space="preserve">          6322 - EQUIPMENT DEPRECIATION EXPENSE</v>
      </c>
      <c r="D43" s="2">
        <v>69843.429999999993</v>
      </c>
      <c r="F43" s="2">
        <v>75506.45</v>
      </c>
      <c r="G43" s="3"/>
      <c r="H43" s="2">
        <v>75297.039999999994</v>
      </c>
      <c r="I43" s="3"/>
      <c r="J43" s="2">
        <v>78394.13</v>
      </c>
      <c r="K43" s="3"/>
      <c r="L43" s="2">
        <v>89201.96</v>
      </c>
      <c r="M43" s="3"/>
      <c r="N43" s="2">
        <v>72325.490000000005</v>
      </c>
      <c r="O43" s="3"/>
      <c r="P43" s="2">
        <v>55595</v>
      </c>
      <c r="Q43" s="3"/>
      <c r="R43" s="2">
        <v>27605</v>
      </c>
    </row>
    <row r="44" spans="1:18" s="16" customFormat="1" hidden="1" outlineLevel="2" x14ac:dyDescent="0.35">
      <c r="B44" s="11" t="str">
        <f>CONCATENATE("          ", "6324", " - ", "FURNITURE + FIXT DEPRECIATION")</f>
        <v xml:space="preserve">          6324 - FURNITURE + FIXT DEPRECIATION</v>
      </c>
      <c r="D44" s="2">
        <v>3914.42</v>
      </c>
      <c r="F44" s="2">
        <v>3864.48</v>
      </c>
      <c r="G44" s="3"/>
      <c r="H44" s="2">
        <v>3864.48</v>
      </c>
      <c r="I44" s="3"/>
      <c r="J44" s="2">
        <v>3864.48</v>
      </c>
      <c r="K44" s="3"/>
      <c r="L44" s="2">
        <v>3864.43</v>
      </c>
      <c r="M44" s="3"/>
      <c r="N44" s="2"/>
      <c r="O44" s="3"/>
      <c r="P44" s="2">
        <v>100</v>
      </c>
      <c r="Q44" s="3"/>
      <c r="R44" s="2">
        <v>6000</v>
      </c>
    </row>
    <row r="45" spans="1:18" s="15" customFormat="1" outlineLevel="1" collapsed="1" x14ac:dyDescent="0.35">
      <c r="A45" s="7"/>
      <c r="B45" s="20" t="str">
        <f>CONCATENATE("     ","Employees' Appreciation                           ")</f>
        <v xml:space="preserve">     Employees' Appreciation                           </v>
      </c>
      <c r="C45" s="7"/>
      <c r="D45" s="1">
        <f>SUM(OSRRefD21_4x_0)</f>
        <v>785.92</v>
      </c>
      <c r="E45" s="19"/>
      <c r="F45" s="1">
        <f>SUM(OSRRefF21_4x_0)</f>
        <v>1102.4100000000001</v>
      </c>
      <c r="G45" s="4"/>
      <c r="H45" s="1">
        <f>SUM(OSRRefH21_4x_0)</f>
        <v>912.8</v>
      </c>
      <c r="I45" s="4"/>
      <c r="J45" s="1">
        <f>SUM(OSRRefJ21_4x_0)</f>
        <v>1051.57</v>
      </c>
      <c r="K45" s="4"/>
      <c r="L45" s="1">
        <f>SUM(OSRRefL21_4x_0)</f>
        <v>486.19</v>
      </c>
      <c r="M45" s="4"/>
      <c r="N45" s="1">
        <f>SUM(OSRRefN21_4x_0)</f>
        <v>0</v>
      </c>
      <c r="O45" s="4"/>
      <c r="P45" s="1">
        <f>SUM(OSRRefP21_4x_0)</f>
        <v>0</v>
      </c>
      <c r="Q45" s="4"/>
      <c r="R45" s="1">
        <f>SUM(OSRRefR21_4x_0)</f>
        <v>0</v>
      </c>
    </row>
    <row r="46" spans="1:18" s="16" customFormat="1" hidden="1" outlineLevel="2" x14ac:dyDescent="0.35">
      <c r="B46" s="11" t="str">
        <f>CONCATENATE("          ", "6277", " - ", "EMPLOYEE APPRECIATION")</f>
        <v xml:space="preserve">          6277 - EMPLOYEE APPRECIATION</v>
      </c>
      <c r="D46" s="2">
        <v>785.92</v>
      </c>
      <c r="F46" s="2">
        <v>1102.4100000000001</v>
      </c>
      <c r="G46" s="3"/>
      <c r="H46" s="2">
        <v>912.8</v>
      </c>
      <c r="I46" s="3"/>
      <c r="J46" s="2">
        <v>1051.57</v>
      </c>
      <c r="K46" s="3"/>
      <c r="L46" s="2">
        <v>486.19</v>
      </c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","Freight out/Postage                               ")</f>
        <v xml:space="preserve">     Freight out/Postage                               </v>
      </c>
      <c r="C47" s="7"/>
      <c r="D47" s="1">
        <f>SUM(OSRRefD21_5x_0)</f>
        <v>9.1900000000000013</v>
      </c>
      <c r="E47" s="19"/>
      <c r="F47" s="1">
        <f>SUM(OSRRefF21_5x_0)</f>
        <v>17.690000000000001</v>
      </c>
      <c r="G47" s="4"/>
      <c r="H47" s="1">
        <f>SUM(OSRRefH21_5x_0)</f>
        <v>0</v>
      </c>
      <c r="I47" s="4"/>
      <c r="J47" s="1">
        <f>SUM(OSRRefJ21_5x_0)</f>
        <v>3.98</v>
      </c>
      <c r="K47" s="4"/>
      <c r="L47" s="1">
        <f>SUM(OSRRefL21_5x_0)</f>
        <v>0</v>
      </c>
      <c r="M47" s="4"/>
      <c r="N47" s="1">
        <f>SUM(OSRRefN21_5x_0)</f>
        <v>0</v>
      </c>
      <c r="O47" s="4"/>
      <c r="P47" s="1">
        <f>SUM(OSRRefP21_5x_0)</f>
        <v>0</v>
      </c>
      <c r="Q47" s="4"/>
      <c r="R47" s="1">
        <f>SUM(OSRRefR21_5x_0)</f>
        <v>0</v>
      </c>
    </row>
    <row r="48" spans="1:18" s="16" customFormat="1" hidden="1" outlineLevel="2" x14ac:dyDescent="0.35">
      <c r="B48" s="11" t="str">
        <f>CONCATENATE("          ", "6305", " - ", "FREIGHT OUT")</f>
        <v xml:space="preserve">          6305 - FREIGHT OUT</v>
      </c>
      <c r="D48" s="2">
        <v>4.12</v>
      </c>
      <c r="F48" s="2">
        <v>17.690000000000001</v>
      </c>
      <c r="G48" s="3"/>
      <c r="H48" s="2"/>
      <c r="I48" s="3"/>
      <c r="J48" s="2">
        <v>3.98</v>
      </c>
      <c r="K48" s="3"/>
      <c r="L48" s="2"/>
      <c r="M48" s="3"/>
      <c r="N48" s="2"/>
      <c r="O48" s="3"/>
      <c r="P48" s="2"/>
      <c r="Q48" s="3"/>
      <c r="R48" s="2"/>
    </row>
    <row r="49" spans="1:18" s="16" customFormat="1" hidden="1" outlineLevel="2" x14ac:dyDescent="0.35">
      <c r="B49" s="11" t="str">
        <f>CONCATENATE("          ", "6307", " - ", "POSTAGE")</f>
        <v xml:space="preserve">          6307 - POSTAGE</v>
      </c>
      <c r="D49" s="2">
        <v>5.07</v>
      </c>
      <c r="F49" s="2"/>
      <c r="G49" s="3"/>
      <c r="H49" s="2"/>
      <c r="I49" s="3"/>
      <c r="J49" s="2"/>
      <c r="K49" s="3"/>
      <c r="L49" s="2"/>
      <c r="M49" s="3"/>
      <c r="N49" s="2"/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","General                                           ")</f>
        <v xml:space="preserve">     General                                           </v>
      </c>
      <c r="C50" s="7"/>
      <c r="D50" s="1">
        <f>SUM(OSRRefD21_6x_0)</f>
        <v>0</v>
      </c>
      <c r="E50" s="19"/>
      <c r="F50" s="1">
        <f>SUM(OSRRefF21_6x_0)</f>
        <v>41.51</v>
      </c>
      <c r="G50" s="4"/>
      <c r="H50" s="1">
        <f>SUM(OSRRefH21_6x_0)</f>
        <v>380.9</v>
      </c>
      <c r="I50" s="4"/>
      <c r="J50" s="1">
        <f>SUM(OSRRefJ21_6x_0)</f>
        <v>0</v>
      </c>
      <c r="K50" s="4"/>
      <c r="L50" s="1">
        <f>SUM(OSRRefL21_6x_0)</f>
        <v>0</v>
      </c>
      <c r="M50" s="4"/>
      <c r="N50" s="1">
        <f>SUM(OSRRefN21_6x_0)</f>
        <v>0</v>
      </c>
      <c r="O50" s="4"/>
      <c r="P50" s="1">
        <f>SUM(OSRRefP21_6x_0)</f>
        <v>500</v>
      </c>
      <c r="Q50" s="4"/>
      <c r="R50" s="1">
        <f>SUM(OSRRefR21_6x_0)</f>
        <v>0</v>
      </c>
    </row>
    <row r="51" spans="1:18" s="16" customFormat="1" hidden="1" outlineLevel="2" x14ac:dyDescent="0.35">
      <c r="B51" s="11" t="str">
        <f>CONCATENATE("          ", "6279", " - ", "GENERAL EXPENSE")</f>
        <v xml:space="preserve">          6279 - GENERAL EXPENSE</v>
      </c>
      <c r="D51" s="2">
        <v>0</v>
      </c>
      <c r="F51" s="2">
        <v>41.51</v>
      </c>
      <c r="G51" s="3"/>
      <c r="H51" s="2">
        <v>380.9</v>
      </c>
      <c r="I51" s="3"/>
      <c r="J51" s="2"/>
      <c r="K51" s="3"/>
      <c r="L51" s="2"/>
      <c r="M51" s="3"/>
      <c r="N51" s="2"/>
      <c r="O51" s="3"/>
      <c r="P51" s="2">
        <v>500</v>
      </c>
      <c r="Q51" s="3"/>
      <c r="R51" s="2"/>
    </row>
    <row r="52" spans="1:18" s="15" customFormat="1" outlineLevel="1" collapsed="1" x14ac:dyDescent="0.35">
      <c r="A52" s="7"/>
      <c r="B52" s="20" t="str">
        <f>CONCATENATE("     ","Insurance                                         ")</f>
        <v xml:space="preserve">     Insurance                                         </v>
      </c>
      <c r="C52" s="7"/>
      <c r="D52" s="1">
        <f>SUM(OSRRefD21_7x_0)</f>
        <v>467.74</v>
      </c>
      <c r="E52" s="19"/>
      <c r="F52" s="1">
        <f>SUM(OSRRefF21_7x_0)</f>
        <v>566.28</v>
      </c>
      <c r="G52" s="4"/>
      <c r="H52" s="1">
        <f>SUM(OSRRefH21_7x_0)</f>
        <v>499.49</v>
      </c>
      <c r="I52" s="4"/>
      <c r="J52" s="1">
        <f>SUM(OSRRefJ21_7x_0)</f>
        <v>558.19000000000005</v>
      </c>
      <c r="K52" s="4"/>
      <c r="L52" s="1">
        <f>SUM(OSRRefL21_7x_0)</f>
        <v>542.26</v>
      </c>
      <c r="M52" s="4"/>
      <c r="N52" s="1">
        <f>SUM(OSRRefN21_7x_0)</f>
        <v>676.08</v>
      </c>
      <c r="O52" s="4"/>
      <c r="P52" s="1">
        <f>SUM(OSRRefP21_7x_0)</f>
        <v>1271</v>
      </c>
      <c r="Q52" s="4"/>
      <c r="R52" s="1">
        <f>SUM(OSRRefR21_7x_0)</f>
        <v>900</v>
      </c>
    </row>
    <row r="53" spans="1:18" s="16" customFormat="1" hidden="1" outlineLevel="2" x14ac:dyDescent="0.35">
      <c r="B53" s="11" t="str">
        <f>CONCATENATE("          ", "6314", " - ", "LIABILITY INSURANCE")</f>
        <v xml:space="preserve">          6314 - LIABILITY INSURANCE</v>
      </c>
      <c r="D53" s="2">
        <v>467.74</v>
      </c>
      <c r="F53" s="2">
        <v>566.28</v>
      </c>
      <c r="G53" s="3"/>
      <c r="H53" s="2">
        <v>499.49</v>
      </c>
      <c r="I53" s="3"/>
      <c r="J53" s="2">
        <v>558.19000000000005</v>
      </c>
      <c r="K53" s="3"/>
      <c r="L53" s="2">
        <v>542.26</v>
      </c>
      <c r="M53" s="3"/>
      <c r="N53" s="2">
        <v>676.08</v>
      </c>
      <c r="O53" s="3"/>
      <c r="P53" s="2">
        <v>1271</v>
      </c>
      <c r="Q53" s="3"/>
      <c r="R53" s="2">
        <v>900</v>
      </c>
    </row>
    <row r="54" spans="1:18" s="15" customFormat="1" outlineLevel="1" collapsed="1" x14ac:dyDescent="0.35">
      <c r="A54" s="7"/>
      <c r="B54" s="20" t="str">
        <f>CONCATENATE("     ","Repair and Maintenance                            ")</f>
        <v xml:space="preserve">     Repair and Maintenance                            </v>
      </c>
      <c r="C54" s="7"/>
      <c r="D54" s="1">
        <f>SUM(OSRRefD21_8x_0)</f>
        <v>79543.88</v>
      </c>
      <c r="E54" s="19"/>
      <c r="F54" s="1">
        <f>SUM(OSRRefF21_8x_0)</f>
        <v>77930.03</v>
      </c>
      <c r="G54" s="4"/>
      <c r="H54" s="1">
        <f>SUM(OSRRefH21_8x_0)</f>
        <v>92890.37</v>
      </c>
      <c r="I54" s="4"/>
      <c r="J54" s="1">
        <f>SUM(OSRRefJ21_8x_0)</f>
        <v>96735.23</v>
      </c>
      <c r="K54" s="4"/>
      <c r="L54" s="1">
        <f>SUM(OSRRefL21_8x_0)</f>
        <v>105001.39000000001</v>
      </c>
      <c r="M54" s="4"/>
      <c r="N54" s="1">
        <f>SUM(OSRRefN21_8x_0)</f>
        <v>117256.67</v>
      </c>
      <c r="O54" s="4"/>
      <c r="P54" s="1">
        <f>SUM(OSRRefP21_8x_0)</f>
        <v>169070</v>
      </c>
      <c r="Q54" s="4"/>
      <c r="R54" s="1">
        <f>SUM(OSRRefR21_8x_0)</f>
        <v>128604</v>
      </c>
    </row>
    <row r="55" spans="1:18" s="16" customFormat="1" hidden="1" outlineLevel="2" x14ac:dyDescent="0.35">
      <c r="B55" s="11" t="str">
        <f>CONCATENATE("          ", "6371", " - ", "COMPUTER SOFTWARE MAINTENANCE")</f>
        <v xml:space="preserve">          6371 - COMPUTER SOFTWARE MAINTENANCE</v>
      </c>
      <c r="D55" s="2">
        <v>17569.09</v>
      </c>
      <c r="F55" s="2">
        <v>22175.759999999998</v>
      </c>
      <c r="G55" s="3"/>
      <c r="H55" s="2">
        <v>7943.18</v>
      </c>
      <c r="I55" s="3"/>
      <c r="J55" s="2">
        <v>11295.21</v>
      </c>
      <c r="K55" s="3"/>
      <c r="L55" s="2">
        <v>3046.57</v>
      </c>
      <c r="M55" s="3"/>
      <c r="N55" s="2">
        <v>3627.2</v>
      </c>
      <c r="O55" s="3"/>
      <c r="P55" s="2">
        <v>7920</v>
      </c>
      <c r="Q55" s="3"/>
      <c r="R55" s="2">
        <v>12000</v>
      </c>
    </row>
    <row r="56" spans="1:18" s="16" customFormat="1" hidden="1" outlineLevel="2" x14ac:dyDescent="0.35">
      <c r="B56" s="11" t="str">
        <f>CONCATENATE("          ", "6372", " - ", "COMPUTER HARDWARE MAINTENANCE")</f>
        <v xml:space="preserve">          6372 - COMPUTER HARDWARE MAINTENANCE</v>
      </c>
      <c r="D56" s="2"/>
      <c r="F56" s="2">
        <v>1533.14</v>
      </c>
      <c r="G56" s="3"/>
      <c r="H56" s="2"/>
      <c r="I56" s="3"/>
      <c r="J56" s="2"/>
      <c r="K56" s="3"/>
      <c r="L56" s="2">
        <v>321.92</v>
      </c>
      <c r="M56" s="3"/>
      <c r="N56" s="2"/>
      <c r="O56" s="3"/>
      <c r="P56" s="2">
        <v>21800</v>
      </c>
      <c r="Q56" s="3"/>
      <c r="R56" s="2">
        <v>3000</v>
      </c>
    </row>
    <row r="57" spans="1:18" s="16" customFormat="1" hidden="1" outlineLevel="2" x14ac:dyDescent="0.35">
      <c r="B57" s="11" t="str">
        <f>CONCATENATE("          ", "6373", " - ", "MAINTENANCE CONTRACTS")</f>
        <v xml:space="preserve">          6373 - MAINTENANCE CONTRACTS</v>
      </c>
      <c r="D57" s="2">
        <v>61974.79</v>
      </c>
      <c r="F57" s="2">
        <v>54071</v>
      </c>
      <c r="G57" s="3"/>
      <c r="H57" s="2">
        <v>72810.87</v>
      </c>
      <c r="I57" s="3"/>
      <c r="J57" s="2">
        <v>85366.66</v>
      </c>
      <c r="K57" s="3"/>
      <c r="L57" s="2">
        <v>100802.85</v>
      </c>
      <c r="M57" s="3"/>
      <c r="N57" s="2">
        <v>113471.07</v>
      </c>
      <c r="O57" s="3"/>
      <c r="P57" s="2">
        <v>139350</v>
      </c>
      <c r="Q57" s="3"/>
      <c r="R57" s="2">
        <v>113604</v>
      </c>
    </row>
    <row r="58" spans="1:18" s="16" customFormat="1" hidden="1" outlineLevel="2" x14ac:dyDescent="0.35">
      <c r="B58" s="11" t="str">
        <f>CONCATENATE("          ", "6375", " - ", "OUTSIDE REPAIRS &amp; MAINTENANCE")</f>
        <v xml:space="preserve">          6375 - OUTSIDE REPAIRS &amp; MAINTENANCE</v>
      </c>
      <c r="D58" s="2"/>
      <c r="F58" s="2">
        <v>150.13</v>
      </c>
      <c r="G58" s="3"/>
      <c r="H58" s="2">
        <v>12136.32</v>
      </c>
      <c r="I58" s="3"/>
      <c r="J58" s="2">
        <v>73.36</v>
      </c>
      <c r="K58" s="3"/>
      <c r="L58" s="2">
        <v>830.05</v>
      </c>
      <c r="M58" s="3"/>
      <c r="N58" s="2">
        <v>158.4</v>
      </c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","Subscriptions &amp; Dues                              ")</f>
        <v xml:space="preserve">     Subscriptions &amp; Dues                              </v>
      </c>
      <c r="C59" s="7"/>
      <c r="D59" s="1">
        <f>SUM(OSRRefD21_9x_0)</f>
        <v>0</v>
      </c>
      <c r="E59" s="19"/>
      <c r="F59" s="1">
        <f>SUM(OSRRefF21_9x_0)</f>
        <v>13.5</v>
      </c>
      <c r="G59" s="4"/>
      <c r="H59" s="1">
        <f>SUM(OSRRefH21_9x_0)</f>
        <v>0</v>
      </c>
      <c r="I59" s="4"/>
      <c r="J59" s="1">
        <f>SUM(OSRRefJ21_9x_0)</f>
        <v>0</v>
      </c>
      <c r="K59" s="4"/>
      <c r="L59" s="1">
        <f>SUM(OSRRefL21_9x_0)</f>
        <v>9.99</v>
      </c>
      <c r="M59" s="4"/>
      <c r="N59" s="1">
        <f>SUM(OSRRefN21_9x_0)</f>
        <v>0</v>
      </c>
      <c r="O59" s="4"/>
      <c r="P59" s="1">
        <f>SUM(OSRRefP21_9x_0)</f>
        <v>2100</v>
      </c>
      <c r="Q59" s="4"/>
      <c r="R59" s="1">
        <f>SUM(OSRRefR21_9x_0)</f>
        <v>850</v>
      </c>
    </row>
    <row r="60" spans="1:18" s="16" customFormat="1" hidden="1" outlineLevel="2" x14ac:dyDescent="0.35">
      <c r="B60" s="11" t="str">
        <f>CONCATENATE("          ", "6258", " - ", "MEMBERSHIP DUES")</f>
        <v xml:space="preserve">          6258 - MEMBERSHIP DUES</v>
      </c>
      <c r="D60" s="2"/>
      <c r="F60" s="2"/>
      <c r="G60" s="3"/>
      <c r="H60" s="2"/>
      <c r="I60" s="3"/>
      <c r="J60" s="2"/>
      <c r="K60" s="3"/>
      <c r="L60" s="2"/>
      <c r="M60" s="3"/>
      <c r="N60" s="2"/>
      <c r="O60" s="3"/>
      <c r="P60" s="2">
        <v>900</v>
      </c>
      <c r="Q60" s="3"/>
      <c r="R60" s="2">
        <v>250</v>
      </c>
    </row>
    <row r="61" spans="1:18" s="16" customFormat="1" hidden="1" outlineLevel="2" x14ac:dyDescent="0.35">
      <c r="B61" s="11" t="str">
        <f>CONCATENATE("          ", "6275", " - ", "SUBSCRIPTIONS")</f>
        <v xml:space="preserve">          6275 - SUBSCRIPTIONS</v>
      </c>
      <c r="D61" s="2"/>
      <c r="F61" s="2">
        <v>13.5</v>
      </c>
      <c r="G61" s="3"/>
      <c r="H61" s="2"/>
      <c r="I61" s="3"/>
      <c r="J61" s="2"/>
      <c r="K61" s="3"/>
      <c r="L61" s="2">
        <v>9.99</v>
      </c>
      <c r="M61" s="3"/>
      <c r="N61" s="2"/>
      <c r="O61" s="3"/>
      <c r="P61" s="2">
        <v>1200</v>
      </c>
      <c r="Q61" s="3"/>
      <c r="R61" s="2">
        <v>600</v>
      </c>
    </row>
    <row r="62" spans="1:18" s="15" customFormat="1" outlineLevel="1" collapsed="1" x14ac:dyDescent="0.35">
      <c r="A62" s="7"/>
      <c r="B62" s="20" t="str">
        <f>CONCATENATE("     ","Supplies                                          ")</f>
        <v xml:space="preserve">     Supplies                                          </v>
      </c>
      <c r="C62" s="7"/>
      <c r="D62" s="1">
        <f>SUM(OSRRefD21_10x_0)</f>
        <v>5788.75</v>
      </c>
      <c r="E62" s="19"/>
      <c r="F62" s="1">
        <f>SUM(OSRRefF21_10x_0)</f>
        <v>31291.54</v>
      </c>
      <c r="G62" s="4"/>
      <c r="H62" s="1">
        <f>SUM(OSRRefH21_10x_0)</f>
        <v>13490.28</v>
      </c>
      <c r="I62" s="4"/>
      <c r="J62" s="1">
        <f>SUM(OSRRefJ21_10x_0)</f>
        <v>41762.85</v>
      </c>
      <c r="K62" s="4"/>
      <c r="L62" s="1">
        <f>SUM(OSRRefL21_10x_0)</f>
        <v>51436.86</v>
      </c>
      <c r="M62" s="4"/>
      <c r="N62" s="1">
        <f>SUM(OSRRefN21_10x_0)</f>
        <v>27192.59</v>
      </c>
      <c r="O62" s="4"/>
      <c r="P62" s="1">
        <f>SUM(OSRRefP21_10x_0)</f>
        <v>3600</v>
      </c>
      <c r="Q62" s="4"/>
      <c r="R62" s="1">
        <f>SUM(OSRRefR21_10x_0)</f>
        <v>1200</v>
      </c>
    </row>
    <row r="63" spans="1:18" s="16" customFormat="1" hidden="1" outlineLevel="2" x14ac:dyDescent="0.35">
      <c r="B63" s="11" t="str">
        <f>CONCATENATE("          ", "6234", " - ", "EXPENDABLE SUPPLIES &amp; EQUIPMEN")</f>
        <v xml:space="preserve">          6234 - EXPENDABLE SUPPLIES &amp; EQUIPMEN</v>
      </c>
      <c r="D63" s="2">
        <v>274.12</v>
      </c>
      <c r="F63" s="2"/>
      <c r="G63" s="3"/>
      <c r="H63" s="2"/>
      <c r="I63" s="3"/>
      <c r="J63" s="2">
        <v>49.62</v>
      </c>
      <c r="K63" s="3"/>
      <c r="L63" s="2">
        <v>1245.83</v>
      </c>
      <c r="M63" s="3"/>
      <c r="N63" s="2"/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"6241", " - ", "OFFICE EXPENSE")</f>
        <v xml:space="preserve">          6241 - OFFICE EXPENSE</v>
      </c>
      <c r="D64" s="2">
        <v>5245.39</v>
      </c>
      <c r="F64" s="2">
        <v>31291.54</v>
      </c>
      <c r="G64" s="3"/>
      <c r="H64" s="2">
        <v>9819.1200000000008</v>
      </c>
      <c r="I64" s="3"/>
      <c r="J64" s="2">
        <v>41712.699999999997</v>
      </c>
      <c r="K64" s="3"/>
      <c r="L64" s="2">
        <v>50191.03</v>
      </c>
      <c r="M64" s="3"/>
      <c r="N64" s="2">
        <v>27192.59</v>
      </c>
      <c r="O64" s="3"/>
      <c r="P64" s="2">
        <v>3600</v>
      </c>
      <c r="Q64" s="3"/>
      <c r="R64" s="2">
        <v>1200</v>
      </c>
    </row>
    <row r="65" spans="1:18" s="16" customFormat="1" hidden="1" outlineLevel="2" x14ac:dyDescent="0.35">
      <c r="B65" s="11" t="str">
        <f>CONCATENATE("          ", "6245", " - ", "PRINTING")</f>
        <v xml:space="preserve">          6245 - PRINTING</v>
      </c>
      <c r="D65" s="2"/>
      <c r="F65" s="2"/>
      <c r="G65" s="3"/>
      <c r="H65" s="2">
        <v>3671.16</v>
      </c>
      <c r="I65" s="3"/>
      <c r="J65" s="2">
        <v>0.53</v>
      </c>
      <c r="K65" s="3"/>
      <c r="L65" s="2"/>
      <c r="M65" s="3"/>
      <c r="N65" s="2"/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"6248", " - ", "UNIFORMS")</f>
        <v xml:space="preserve">          6248 - UNIFORMS</v>
      </c>
      <c r="D66" s="2">
        <v>269.24</v>
      </c>
      <c r="F66" s="2"/>
      <c r="G66" s="3"/>
      <c r="H66" s="2"/>
      <c r="I66" s="3"/>
      <c r="J66" s="2"/>
      <c r="K66" s="3"/>
      <c r="L66" s="2"/>
      <c r="M66" s="3"/>
      <c r="N66" s="2"/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","Telephone/Data Lines                              ")</f>
        <v xml:space="preserve">     Telephone/Data Lines                              </v>
      </c>
      <c r="C67" s="7"/>
      <c r="D67" s="1">
        <f>SUM(OSRRefD21_11x_0)</f>
        <v>17445.41</v>
      </c>
      <c r="E67" s="19"/>
      <c r="F67" s="1">
        <f>SUM(OSRRefF21_11x_0)</f>
        <v>16186.29</v>
      </c>
      <c r="G67" s="4"/>
      <c r="H67" s="1">
        <f>SUM(OSRRefH21_11x_0)</f>
        <v>17689.439999999999</v>
      </c>
      <c r="I67" s="4"/>
      <c r="J67" s="1">
        <f>SUM(OSRRefJ21_11x_0)</f>
        <v>12004.26</v>
      </c>
      <c r="K67" s="4"/>
      <c r="L67" s="1">
        <f>SUM(OSRRefL21_11x_0)</f>
        <v>12774.7</v>
      </c>
      <c r="M67" s="4"/>
      <c r="N67" s="1">
        <f>SUM(OSRRefN21_11x_0)</f>
        <v>14138.230000000001</v>
      </c>
      <c r="O67" s="4"/>
      <c r="P67" s="1">
        <f>SUM(OSRRefP21_11x_0)</f>
        <v>4740</v>
      </c>
      <c r="Q67" s="4"/>
      <c r="R67" s="1">
        <f>SUM(OSRRefR21_11x_0)</f>
        <v>6180</v>
      </c>
    </row>
    <row r="68" spans="1:18" s="16" customFormat="1" hidden="1" outlineLevel="2" x14ac:dyDescent="0.35">
      <c r="B68" s="11" t="str">
        <f>CONCATENATE("          ", "6303", " - ", "DATA PHONE LINES")</f>
        <v xml:space="preserve">          6303 - DATA PHONE LINES</v>
      </c>
      <c r="D68" s="2">
        <v>5009.2</v>
      </c>
      <c r="F68" s="2">
        <v>4198.96</v>
      </c>
      <c r="G68" s="3"/>
      <c r="H68" s="2">
        <v>2870.43</v>
      </c>
      <c r="I68" s="3"/>
      <c r="J68" s="2">
        <v>2243.0300000000002</v>
      </c>
      <c r="K68" s="3"/>
      <c r="L68" s="2">
        <v>2118.17</v>
      </c>
      <c r="M68" s="3"/>
      <c r="N68" s="2">
        <v>1889.95</v>
      </c>
      <c r="O68" s="3"/>
      <c r="P68" s="2">
        <v>4020</v>
      </c>
      <c r="Q68" s="3"/>
      <c r="R68" s="2">
        <v>2580</v>
      </c>
    </row>
    <row r="69" spans="1:18" s="16" customFormat="1" hidden="1" outlineLevel="2" x14ac:dyDescent="0.35">
      <c r="B69" s="11" t="str">
        <f>CONCATENATE("          ", "6309", " - ", "TELEPHONE")</f>
        <v xml:space="preserve">          6309 - TELEPHONE</v>
      </c>
      <c r="D69" s="2">
        <v>12436.21</v>
      </c>
      <c r="F69" s="2">
        <v>11987.33</v>
      </c>
      <c r="G69" s="3"/>
      <c r="H69" s="2">
        <v>14819.01</v>
      </c>
      <c r="I69" s="3"/>
      <c r="J69" s="2">
        <v>9761.23</v>
      </c>
      <c r="K69" s="3"/>
      <c r="L69" s="2">
        <v>10656.53</v>
      </c>
      <c r="M69" s="3"/>
      <c r="N69" s="2">
        <v>12248.28</v>
      </c>
      <c r="O69" s="3"/>
      <c r="P69" s="2">
        <v>720</v>
      </c>
      <c r="Q69" s="3"/>
      <c r="R69" s="2">
        <v>3600</v>
      </c>
    </row>
    <row r="70" spans="1:18" s="15" customFormat="1" outlineLevel="1" collapsed="1" x14ac:dyDescent="0.35">
      <c r="A70" s="7"/>
      <c r="B70" s="20" t="str">
        <f>CONCATENATE("     ","Training                                          ")</f>
        <v xml:space="preserve">     Training                                          </v>
      </c>
      <c r="C70" s="7"/>
      <c r="D70" s="1">
        <f>SUM(OSRRefD21_12x_0)</f>
        <v>20610.79</v>
      </c>
      <c r="E70" s="19"/>
      <c r="F70" s="1">
        <f>SUM(OSRRefF21_12x_0)</f>
        <v>16909.46</v>
      </c>
      <c r="G70" s="4"/>
      <c r="H70" s="1">
        <f>SUM(OSRRefH21_12x_0)</f>
        <v>23312.15</v>
      </c>
      <c r="I70" s="4"/>
      <c r="J70" s="1">
        <f>SUM(OSRRefJ21_12x_0)</f>
        <v>9636.7000000000007</v>
      </c>
      <c r="K70" s="4"/>
      <c r="L70" s="1">
        <f>SUM(OSRRefL21_12x_0)</f>
        <v>9879.61</v>
      </c>
      <c r="M70" s="4"/>
      <c r="N70" s="1">
        <f>SUM(OSRRefN21_12x_0)</f>
        <v>2992.68</v>
      </c>
      <c r="O70" s="4"/>
      <c r="P70" s="1">
        <f>SUM(OSRRefP21_12x_0)</f>
        <v>0</v>
      </c>
      <c r="Q70" s="4"/>
      <c r="R70" s="1">
        <f>SUM(OSRRefR21_12x_0)</f>
        <v>0</v>
      </c>
    </row>
    <row r="71" spans="1:18" s="16" customFormat="1" hidden="1" outlineLevel="2" x14ac:dyDescent="0.35">
      <c r="B71" s="11" t="str">
        <f>CONCATENATE("          ", "6376", " - ", "TRAINING")</f>
        <v xml:space="preserve">          6376 - TRAINING</v>
      </c>
      <c r="D71" s="2">
        <v>20610.79</v>
      </c>
      <c r="F71" s="2">
        <v>16909.46</v>
      </c>
      <c r="G71" s="3"/>
      <c r="H71" s="2">
        <v>23312.15</v>
      </c>
      <c r="I71" s="3"/>
      <c r="J71" s="2">
        <v>9636.7000000000007</v>
      </c>
      <c r="K71" s="3"/>
      <c r="L71" s="2">
        <v>9879.61</v>
      </c>
      <c r="M71" s="3"/>
      <c r="N71" s="2">
        <v>2992.68</v>
      </c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","Travel                                            ")</f>
        <v xml:space="preserve">     Travel                                            </v>
      </c>
      <c r="C72" s="7"/>
      <c r="D72" s="1">
        <f>SUM(OSRRefD21_13x_0)</f>
        <v>958.1099999999999</v>
      </c>
      <c r="E72" s="19"/>
      <c r="F72" s="1">
        <f>SUM(OSRRefF21_13x_0)</f>
        <v>834.55000000000007</v>
      </c>
      <c r="G72" s="4"/>
      <c r="H72" s="1">
        <f>SUM(OSRRefH21_13x_0)</f>
        <v>203.24</v>
      </c>
      <c r="I72" s="4"/>
      <c r="J72" s="1">
        <f>SUM(OSRRefJ21_13x_0)</f>
        <v>4308.38</v>
      </c>
      <c r="K72" s="4"/>
      <c r="L72" s="1">
        <f>SUM(OSRRefL21_13x_0)</f>
        <v>1046.03</v>
      </c>
      <c r="M72" s="4"/>
      <c r="N72" s="1">
        <f>SUM(OSRRefN21_13x_0)</f>
        <v>1383.21</v>
      </c>
      <c r="O72" s="4"/>
      <c r="P72" s="1">
        <f>SUM(OSRRefP21_13x_0)</f>
        <v>7500</v>
      </c>
      <c r="Q72" s="4"/>
      <c r="R72" s="1">
        <f>SUM(OSRRefR21_13x_0)</f>
        <v>5500</v>
      </c>
    </row>
    <row r="73" spans="1:18" s="16" customFormat="1" hidden="1" outlineLevel="2" x14ac:dyDescent="0.35">
      <c r="B73" s="11" t="str">
        <f>CONCATENATE("          ", "6292", " - ", "TRAVEL/CONFERENCE")</f>
        <v xml:space="preserve">          6292 - TRAVEL/CONFERENCE</v>
      </c>
      <c r="D73" s="2">
        <v>843.8</v>
      </c>
      <c r="F73" s="2">
        <v>824.83</v>
      </c>
      <c r="G73" s="3"/>
      <c r="H73" s="2">
        <v>203.24</v>
      </c>
      <c r="I73" s="3"/>
      <c r="J73" s="2">
        <v>4308.38</v>
      </c>
      <c r="K73" s="3"/>
      <c r="L73" s="2">
        <v>1046.03</v>
      </c>
      <c r="M73" s="3"/>
      <c r="N73" s="2">
        <v>1359.31</v>
      </c>
      <c r="O73" s="3"/>
      <c r="P73" s="2">
        <v>7500</v>
      </c>
      <c r="Q73" s="3"/>
      <c r="R73" s="2">
        <v>5500</v>
      </c>
    </row>
    <row r="74" spans="1:18" s="16" customFormat="1" hidden="1" outlineLevel="2" x14ac:dyDescent="0.35">
      <c r="B74" s="11" t="str">
        <f>CONCATENATE("          ", "6294", " - ", "TRAVEL OPERATIONAL")</f>
        <v xml:space="preserve">          6294 - TRAVEL OPERATIONAL</v>
      </c>
      <c r="D74" s="2">
        <v>114.31</v>
      </c>
      <c r="F74" s="2">
        <v>9.7200000000000006</v>
      </c>
      <c r="G74" s="3"/>
      <c r="H74" s="2"/>
      <c r="I74" s="3"/>
      <c r="J74" s="2"/>
      <c r="K74" s="3"/>
      <c r="L74" s="2"/>
      <c r="M74" s="3"/>
      <c r="N74" s="2">
        <v>23.9</v>
      </c>
      <c r="O74" s="3"/>
      <c r="P74" s="2"/>
      <c r="Q74" s="3"/>
      <c r="R74" s="2"/>
    </row>
    <row r="75" spans="1:18" x14ac:dyDescent="0.35">
      <c r="A75" s="12"/>
      <c r="B75" s="12"/>
      <c r="C75" s="12"/>
      <c r="D75" s="1"/>
      <c r="F75" s="1"/>
      <c r="H75" s="1"/>
      <c r="J75" s="1"/>
      <c r="L75" s="1"/>
      <c r="N75" s="1"/>
      <c r="P75" s="1"/>
      <c r="R75" s="1"/>
    </row>
    <row r="76" spans="1:18" s="7" customFormat="1" x14ac:dyDescent="0.35">
      <c r="A76" s="36"/>
      <c r="B76" s="34" t="s">
        <v>295</v>
      </c>
      <c r="D76" s="6">
        <f>SUM(0)</f>
        <v>0</v>
      </c>
      <c r="E76" s="12"/>
      <c r="F76" s="6">
        <f>SUM(0)</f>
        <v>0</v>
      </c>
      <c r="G76" s="5"/>
      <c r="H76" s="6">
        <f>SUM(0)</f>
        <v>0</v>
      </c>
      <c r="I76" s="5"/>
      <c r="J76" s="6">
        <f>SUM(0)</f>
        <v>0</v>
      </c>
      <c r="K76" s="5"/>
      <c r="L76" s="6">
        <f>SUM(0)</f>
        <v>0</v>
      </c>
      <c r="M76" s="5"/>
      <c r="N76" s="6">
        <f>SUM(0)</f>
        <v>0</v>
      </c>
      <c r="O76" s="5"/>
      <c r="P76" s="6">
        <f>SUM(0)</f>
        <v>0</v>
      </c>
      <c r="Q76" s="5"/>
      <c r="R76" s="6">
        <f>SUM(0)</f>
        <v>0</v>
      </c>
    </row>
    <row r="77" spans="1:18" x14ac:dyDescent="0.35">
      <c r="A77" s="12"/>
      <c r="B77" s="7"/>
      <c r="C77" s="7"/>
      <c r="D77" s="6"/>
      <c r="F77" s="6"/>
      <c r="H77" s="6"/>
      <c r="J77" s="6"/>
      <c r="L77" s="6"/>
      <c r="N77" s="6"/>
      <c r="P77" s="6"/>
      <c r="R77" s="6"/>
    </row>
    <row r="78" spans="1:18" s="15" customFormat="1" x14ac:dyDescent="0.35">
      <c r="A78" s="7"/>
      <c r="B78" s="22" t="s">
        <v>279</v>
      </c>
      <c r="C78" s="22"/>
      <c r="D78" s="10">
        <f>+D14-D17+D76</f>
        <v>-534971.50000000012</v>
      </c>
      <c r="E78" s="12"/>
      <c r="F78" s="10">
        <f>+F14-F17+F76</f>
        <v>-590008.97999999986</v>
      </c>
      <c r="G78" s="5"/>
      <c r="H78" s="10">
        <f>+H14-H17+H76</f>
        <v>-616190.89</v>
      </c>
      <c r="I78" s="5"/>
      <c r="J78" s="10">
        <f>+J14-J17+J76</f>
        <v>-652306.3899999999</v>
      </c>
      <c r="K78" s="5"/>
      <c r="L78" s="10">
        <f>+L14-L17+L76</f>
        <v>-765533.83000000007</v>
      </c>
      <c r="M78" s="5"/>
      <c r="N78" s="10">
        <f>+N14-N17+N76</f>
        <v>-682956.2100000002</v>
      </c>
      <c r="O78" s="5"/>
      <c r="P78" s="10">
        <f>+P14-P17+P76</f>
        <v>-636971.66230769223</v>
      </c>
      <c r="Q78" s="5"/>
      <c r="R78" s="10">
        <f>+R14-R17+R76</f>
        <v>-599704.65861600009</v>
      </c>
    </row>
    <row r="79" spans="1:18" s="27" customFormat="1" x14ac:dyDescent="0.35">
      <c r="A79" s="18"/>
      <c r="B79" s="31"/>
      <c r="C79" s="18"/>
      <c r="D79" s="9">
        <f>IFERROR(D78/D10, 0)</f>
        <v>0</v>
      </c>
      <c r="E79" s="18"/>
      <c r="F79" s="9">
        <f>IFERROR(F78/F10, 0)</f>
        <v>0</v>
      </c>
      <c r="G79" s="14"/>
      <c r="H79" s="9">
        <f>IFERROR(H78/H10, 0)</f>
        <v>0</v>
      </c>
      <c r="I79" s="14"/>
      <c r="J79" s="9">
        <f>IFERROR(J78/J10, 0)</f>
        <v>0</v>
      </c>
      <c r="K79" s="14"/>
      <c r="L79" s="9">
        <f>IFERROR(L78/L10, 0)</f>
        <v>0</v>
      </c>
      <c r="M79" s="14"/>
      <c r="N79" s="9">
        <f>IFERROR(N78/N10, 0)</f>
        <v>0</v>
      </c>
      <c r="O79" s="14"/>
      <c r="P79" s="9">
        <f>IFERROR(P78/P10, 0)</f>
        <v>0</v>
      </c>
      <c r="Q79" s="14"/>
      <c r="R79" s="9">
        <f>IFERROR(R78/R10, 0)</f>
        <v>0</v>
      </c>
    </row>
    <row r="80" spans="1:18" s="27" customFormat="1" x14ac:dyDescent="0.35">
      <c r="A80" s="18"/>
      <c r="B80" s="31"/>
      <c r="C80" s="18"/>
      <c r="D80" s="13"/>
      <c r="E80" s="18"/>
      <c r="F80" s="13"/>
      <c r="G80" s="14"/>
      <c r="H80" s="13"/>
      <c r="I80" s="14"/>
      <c r="J80" s="13"/>
      <c r="K80" s="14"/>
      <c r="L80" s="13"/>
      <c r="M80" s="14"/>
      <c r="N80" s="13"/>
      <c r="O80" s="14"/>
      <c r="P80" s="13"/>
      <c r="Q80" s="14"/>
      <c r="R80" s="13"/>
    </row>
    <row r="81" spans="1:18" s="15" customFormat="1" x14ac:dyDescent="0.35">
      <c r="A81" s="37"/>
      <c r="B81" s="7" t="s">
        <v>127</v>
      </c>
      <c r="C81" s="7"/>
      <c r="D81" s="6"/>
      <c r="E81" s="12"/>
      <c r="F81" s="6"/>
      <c r="G81" s="5"/>
      <c r="H81" s="6"/>
      <c r="I81" s="5"/>
      <c r="J81" s="6"/>
      <c r="K81" s="5"/>
      <c r="L81" s="6"/>
      <c r="M81" s="5"/>
      <c r="N81" s="6"/>
      <c r="O81" s="5"/>
      <c r="P81" s="6"/>
      <c r="Q81" s="5"/>
      <c r="R81" s="6"/>
    </row>
    <row r="82" spans="1:18" x14ac:dyDescent="0.35">
      <c r="A82" s="12"/>
      <c r="B82" s="7"/>
      <c r="C82" s="7"/>
      <c r="D82" s="6"/>
      <c r="F82" s="6"/>
      <c r="H82" s="6"/>
      <c r="J82" s="6"/>
      <c r="L82" s="6"/>
      <c r="N82" s="6"/>
      <c r="P82" s="6"/>
      <c r="R82" s="6"/>
    </row>
    <row r="83" spans="1:18" s="15" customFormat="1" x14ac:dyDescent="0.35">
      <c r="A83" s="7"/>
      <c r="B83" s="22" t="s">
        <v>126</v>
      </c>
      <c r="C83" s="22"/>
      <c r="D83" s="10">
        <f>+D78-D81</f>
        <v>-534971.50000000012</v>
      </c>
      <c r="E83" s="12"/>
      <c r="F83" s="10">
        <f>+F78-F81</f>
        <v>-590008.97999999986</v>
      </c>
      <c r="G83" s="5"/>
      <c r="H83" s="10">
        <f>+H78-H81</f>
        <v>-616190.89</v>
      </c>
      <c r="I83" s="5"/>
      <c r="J83" s="10">
        <f>+J78-J81</f>
        <v>-652306.3899999999</v>
      </c>
      <c r="K83" s="5"/>
      <c r="L83" s="10">
        <f>+L78-L81</f>
        <v>-765533.83000000007</v>
      </c>
      <c r="M83" s="5"/>
      <c r="N83" s="10">
        <f>+N78-N81</f>
        <v>-682956.2100000002</v>
      </c>
      <c r="O83" s="5"/>
      <c r="P83" s="10">
        <f>+P78-P81</f>
        <v>-636971.66230769223</v>
      </c>
      <c r="Q83" s="5"/>
      <c r="R83" s="10">
        <f>+R78-R81</f>
        <v>-599704.65861600009</v>
      </c>
    </row>
    <row r="84" spans="1:18" s="27" customFormat="1" x14ac:dyDescent="0.35">
      <c r="A84" s="18"/>
      <c r="B84" s="18"/>
      <c r="C84" s="18"/>
      <c r="D84" s="9">
        <f>IFERROR(D83/D10, 0)</f>
        <v>0</v>
      </c>
      <c r="E84" s="18"/>
      <c r="F84" s="9">
        <f>IFERROR(F83/F10, 0)</f>
        <v>0</v>
      </c>
      <c r="G84" s="14"/>
      <c r="H84" s="9">
        <f>IFERROR(H83/H10, 0)</f>
        <v>0</v>
      </c>
      <c r="I84" s="14"/>
      <c r="J84" s="9">
        <f>IFERROR(J83/J10, 0)</f>
        <v>0</v>
      </c>
      <c r="K84" s="14"/>
      <c r="L84" s="9">
        <f>IFERROR(L83/L10, 0)</f>
        <v>0</v>
      </c>
      <c r="M84" s="14"/>
      <c r="N84" s="9">
        <f>IFERROR(N83/N10, 0)</f>
        <v>0</v>
      </c>
      <c r="O84" s="14"/>
      <c r="P84" s="9">
        <f>IFERROR(P83/P10, 0)</f>
        <v>0</v>
      </c>
      <c r="Q84" s="14"/>
      <c r="R84" s="9">
        <f>IFERROR(R83/R10, 0)</f>
        <v>0</v>
      </c>
    </row>
    <row r="85" spans="1:18" s="27" customFormat="1" x14ac:dyDescent="0.35">
      <c r="A85" s="18"/>
      <c r="B85" s="18"/>
      <c r="C85" s="18"/>
      <c r="D85" s="13"/>
      <c r="E85" s="18"/>
      <c r="F85" s="13"/>
      <c r="G85" s="14"/>
      <c r="H85" s="13"/>
      <c r="I85" s="14"/>
      <c r="J85" s="13"/>
      <c r="K85" s="14"/>
      <c r="L85" s="13"/>
      <c r="M85" s="14"/>
      <c r="N85" s="13"/>
      <c r="O85" s="14"/>
      <c r="P85" s="13"/>
      <c r="Q85" s="14"/>
      <c r="R85" s="13"/>
    </row>
    <row r="86" spans="1:18" x14ac:dyDescent="0.35">
      <c r="A86" s="12"/>
      <c r="B86" s="12"/>
      <c r="C86" s="12"/>
      <c r="D86" s="6"/>
      <c r="F86" s="6"/>
      <c r="H86" s="6"/>
      <c r="J86" s="6"/>
      <c r="L86" s="6"/>
      <c r="N86" s="6"/>
      <c r="P86" s="6"/>
      <c r="R86" s="6"/>
    </row>
    <row r="87" spans="1:18" s="15" customFormat="1" x14ac:dyDescent="0.35">
      <c r="A87" s="7"/>
      <c r="B87" s="22" t="s">
        <v>296</v>
      </c>
      <c r="C87" s="22"/>
      <c r="D87" s="10">
        <f>SUM(D83:D86)</f>
        <v>-534971.50000000012</v>
      </c>
      <c r="E87" s="12"/>
      <c r="F87" s="10">
        <f>SUM(F83:F86)</f>
        <v>-590008.97999999986</v>
      </c>
      <c r="G87" s="5"/>
      <c r="H87" s="10">
        <f>SUM(H83:H86)</f>
        <v>-616190.89</v>
      </c>
      <c r="I87" s="5"/>
      <c r="J87" s="10">
        <f>SUM(J83:J86)</f>
        <v>-652306.3899999999</v>
      </c>
      <c r="K87" s="5"/>
      <c r="L87" s="10">
        <f>SUM(L83:L86)</f>
        <v>-765533.83000000007</v>
      </c>
      <c r="M87" s="5"/>
      <c r="N87" s="10">
        <f>SUM(N83:N86)</f>
        <v>-682956.2100000002</v>
      </c>
      <c r="O87" s="5"/>
      <c r="P87" s="10">
        <f>SUM(P83:P86)</f>
        <v>-636971.66230769223</v>
      </c>
      <c r="Q87" s="5"/>
      <c r="R87" s="10">
        <f>SUM(R83:R86)</f>
        <v>-599704.65861600009</v>
      </c>
    </row>
    <row r="88" spans="1:18" s="27" customFormat="1" x14ac:dyDescent="0.35">
      <c r="A88" s="18"/>
      <c r="B88" s="41"/>
      <c r="C88" s="18"/>
      <c r="D88" s="9">
        <f>IFERROR(D87/D10, 0)</f>
        <v>0</v>
      </c>
      <c r="E88" s="18"/>
      <c r="F88" s="9">
        <f>IFERROR(F87/F10, 0)</f>
        <v>0</v>
      </c>
      <c r="G88" s="14"/>
      <c r="H88" s="9">
        <f>IFERROR(H87/H10, 0)</f>
        <v>0</v>
      </c>
      <c r="I88" s="14"/>
      <c r="J88" s="9">
        <f>IFERROR(J87/J10, 0)</f>
        <v>0</v>
      </c>
      <c r="K88" s="14"/>
      <c r="L88" s="9">
        <f>IFERROR(L87/L10, 0)</f>
        <v>0</v>
      </c>
      <c r="M88" s="14"/>
      <c r="N88" s="9">
        <f>IFERROR(N87/N10, 0)</f>
        <v>0</v>
      </c>
      <c r="O88" s="14"/>
      <c r="P88" s="9">
        <f>IFERROR(P87/P10, 0)</f>
        <v>0</v>
      </c>
      <c r="Q88" s="14"/>
      <c r="R88" s="9">
        <f>IFERROR(R87/R10, 0)</f>
        <v>0</v>
      </c>
    </row>
    <row r="89" spans="1:18" x14ac:dyDescent="0.35">
      <c r="A89" s="12"/>
      <c r="B89" s="40">
        <v>44319.883572604165</v>
      </c>
      <c r="D89" s="24"/>
      <c r="F89" s="24"/>
      <c r="H89" s="24"/>
      <c r="J89" s="24"/>
      <c r="L89" s="24"/>
      <c r="N89" s="24"/>
      <c r="P89" s="24"/>
      <c r="R89" s="24"/>
    </row>
    <row r="90" spans="1:18" x14ac:dyDescent="0.35">
      <c r="A90" s="12"/>
      <c r="B90" s="39" t="s">
        <v>23</v>
      </c>
      <c r="D90" s="24"/>
      <c r="F90" s="24"/>
      <c r="H90" s="24"/>
      <c r="J90" s="24"/>
      <c r="L90" s="24"/>
      <c r="N90" s="24"/>
      <c r="P90" s="24"/>
      <c r="R90" s="24"/>
    </row>
    <row r="91" spans="1:18" x14ac:dyDescent="0.35">
      <c r="A91" s="12"/>
      <c r="D91" s="24"/>
      <c r="F91" s="24"/>
      <c r="H91" s="24"/>
      <c r="J91" s="24"/>
      <c r="L91" s="24"/>
      <c r="N91" s="24"/>
      <c r="P91" s="24"/>
      <c r="R91" s="24"/>
    </row>
    <row r="92" spans="1:18" x14ac:dyDescent="0.35">
      <c r="D92" s="24"/>
      <c r="F92" s="24"/>
      <c r="H92" s="24"/>
      <c r="J92" s="24"/>
      <c r="L92" s="24"/>
      <c r="N92" s="24"/>
      <c r="P92" s="24"/>
      <c r="R92" s="24"/>
    </row>
  </sheetData>
  <pageMargins left="0.5" right="0.5" top="0.5" bottom="0.5" header="0.3" footer="0.3"/>
  <pageSetup scale="5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3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SUM(0)</f>
        <v>0</v>
      </c>
      <c r="E17" s="19"/>
      <c r="F17" s="8">
        <f>SUM(0)</f>
        <v>0</v>
      </c>
      <c r="G17" s="4"/>
      <c r="H17" s="8">
        <f>SUM(0)</f>
        <v>0</v>
      </c>
      <c r="I17" s="4"/>
      <c r="J17" s="8">
        <f>SUM(0)</f>
        <v>0</v>
      </c>
      <c r="K17" s="4"/>
      <c r="L17" s="8">
        <f>SUM(0)</f>
        <v>0</v>
      </c>
      <c r="M17" s="4"/>
      <c r="N17" s="8">
        <f>SUM(0)</f>
        <v>0</v>
      </c>
      <c r="O17" s="4"/>
      <c r="P17" s="8">
        <f>SUM(0)</f>
        <v>0</v>
      </c>
      <c r="Q17" s="4"/>
      <c r="R17" s="8">
        <f>SUM(0)</f>
        <v>0</v>
      </c>
    </row>
    <row r="18" spans="1:18" x14ac:dyDescent="0.35">
      <c r="A18" s="12"/>
      <c r="B18" s="12"/>
      <c r="C18" s="12"/>
      <c r="D18" s="1"/>
      <c r="F18" s="1"/>
      <c r="H18" s="1"/>
      <c r="J18" s="1"/>
      <c r="L18" s="1"/>
      <c r="N18" s="1"/>
      <c r="P18" s="1"/>
      <c r="R18" s="1"/>
    </row>
    <row r="19" spans="1:18" s="7" customFormat="1" x14ac:dyDescent="0.35">
      <c r="A19" s="36"/>
      <c r="B19" s="34" t="s">
        <v>295</v>
      </c>
      <c r="D19" s="6">
        <f>SUM(0)</f>
        <v>0</v>
      </c>
      <c r="E19" s="12"/>
      <c r="F19" s="6">
        <f>SUM(0)</f>
        <v>0</v>
      </c>
      <c r="G19" s="5"/>
      <c r="H19" s="6">
        <f>SUM(0)</f>
        <v>0</v>
      </c>
      <c r="I19" s="5"/>
      <c r="J19" s="6">
        <f>SUM(0)</f>
        <v>0</v>
      </c>
      <c r="K19" s="5"/>
      <c r="L19" s="6">
        <f>SUM(0)</f>
        <v>0</v>
      </c>
      <c r="M19" s="5"/>
      <c r="N19" s="6">
        <f>SUM(0)</f>
        <v>0</v>
      </c>
      <c r="O19" s="5"/>
      <c r="P19" s="6">
        <f>SUM(0)</f>
        <v>0</v>
      </c>
      <c r="Q19" s="5"/>
      <c r="R19" s="6">
        <f>SUM(0)</f>
        <v>0</v>
      </c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279</v>
      </c>
      <c r="C21" s="22"/>
      <c r="D21" s="10">
        <f>+D14-D17+D19</f>
        <v>0</v>
      </c>
      <c r="E21" s="12"/>
      <c r="F21" s="10">
        <f>+F14-F17+F19</f>
        <v>0</v>
      </c>
      <c r="G21" s="5"/>
      <c r="H21" s="10">
        <f>+H14-H17+H19</f>
        <v>0</v>
      </c>
      <c r="I21" s="5"/>
      <c r="J21" s="10">
        <f>+J14-J17+J19</f>
        <v>0</v>
      </c>
      <c r="K21" s="5"/>
      <c r="L21" s="10">
        <f>+L14-L17+L19</f>
        <v>0</v>
      </c>
      <c r="M21" s="5"/>
      <c r="N21" s="10">
        <f>+N14-N17+N19</f>
        <v>0</v>
      </c>
      <c r="O21" s="5"/>
      <c r="P21" s="10">
        <f>+P14-P17+P19</f>
        <v>0</v>
      </c>
      <c r="Q21" s="5"/>
      <c r="R21" s="10">
        <f>+R14-R17+R19</f>
        <v>0</v>
      </c>
    </row>
    <row r="22" spans="1:18" s="27" customFormat="1" x14ac:dyDescent="0.35">
      <c r="A22" s="18"/>
      <c r="B22" s="31"/>
      <c r="C22" s="18"/>
      <c r="D22" s="9">
        <f>IFERROR(D21/D10, 0)</f>
        <v>0</v>
      </c>
      <c r="E22" s="18"/>
      <c r="F22" s="9">
        <f>IFERROR(F21/F10, 0)</f>
        <v>0</v>
      </c>
      <c r="G22" s="14"/>
      <c r="H22" s="9">
        <f>IFERROR(H21/H10, 0)</f>
        <v>0</v>
      </c>
      <c r="I22" s="14"/>
      <c r="J22" s="9">
        <f>IFERROR(J21/J10, 0)</f>
        <v>0</v>
      </c>
      <c r="K22" s="14"/>
      <c r="L22" s="9">
        <f>IFERROR(L21/L10, 0)</f>
        <v>0</v>
      </c>
      <c r="M22" s="14"/>
      <c r="N22" s="9">
        <f>IFERROR(N21/N10, 0)</f>
        <v>0</v>
      </c>
      <c r="O22" s="14"/>
      <c r="P22" s="9">
        <f>IFERROR(P21/P10, 0)</f>
        <v>0</v>
      </c>
      <c r="Q22" s="14"/>
      <c r="R22" s="9">
        <f>IFERROR(R21/R10, 0)</f>
        <v>0</v>
      </c>
    </row>
    <row r="23" spans="1:18" s="27" customFormat="1" x14ac:dyDescent="0.35">
      <c r="A23" s="18"/>
      <c r="B23" s="31"/>
      <c r="C23" s="18"/>
      <c r="D23" s="13"/>
      <c r="E23" s="18"/>
      <c r="F23" s="13"/>
      <c r="G23" s="14"/>
      <c r="H23" s="13"/>
      <c r="I23" s="14"/>
      <c r="J23" s="13"/>
      <c r="K23" s="14"/>
      <c r="L23" s="13"/>
      <c r="M23" s="14"/>
      <c r="N23" s="13"/>
      <c r="O23" s="14"/>
      <c r="P23" s="13"/>
      <c r="Q23" s="14"/>
      <c r="R23" s="13"/>
    </row>
    <row r="24" spans="1:18" s="15" customFormat="1" x14ac:dyDescent="0.35">
      <c r="A24" s="37"/>
      <c r="B24" s="7" t="s">
        <v>127</v>
      </c>
      <c r="C24" s="7"/>
      <c r="D24" s="6"/>
      <c r="E24" s="12"/>
      <c r="F24" s="6"/>
      <c r="G24" s="5"/>
      <c r="H24" s="6"/>
      <c r="I24" s="5"/>
      <c r="J24" s="6"/>
      <c r="K24" s="5"/>
      <c r="L24" s="6"/>
      <c r="M24" s="5"/>
      <c r="N24" s="6"/>
      <c r="O24" s="5"/>
      <c r="P24" s="6">
        <v>0</v>
      </c>
      <c r="Q24" s="5"/>
      <c r="R24" s="6"/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126</v>
      </c>
      <c r="C26" s="22"/>
      <c r="D26" s="10">
        <f>+D21-D24</f>
        <v>0</v>
      </c>
      <c r="E26" s="12"/>
      <c r="F26" s="10">
        <f>+F21-F24</f>
        <v>0</v>
      </c>
      <c r="G26" s="5"/>
      <c r="H26" s="10">
        <f>+H21-H24</f>
        <v>0</v>
      </c>
      <c r="I26" s="5"/>
      <c r="J26" s="10">
        <f>+J21-J24</f>
        <v>0</v>
      </c>
      <c r="K26" s="5"/>
      <c r="L26" s="10">
        <f>+L21-L24</f>
        <v>0</v>
      </c>
      <c r="M26" s="5"/>
      <c r="N26" s="10">
        <f>+N21-N24</f>
        <v>0</v>
      </c>
      <c r="O26" s="5"/>
      <c r="P26" s="10">
        <f>+P21-P24</f>
        <v>0</v>
      </c>
      <c r="Q26" s="5"/>
      <c r="R26" s="10">
        <f>+R21-R24</f>
        <v>0</v>
      </c>
    </row>
    <row r="27" spans="1:18" s="27" customFormat="1" x14ac:dyDescent="0.35">
      <c r="A27" s="18"/>
      <c r="B27" s="18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18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6"/>
      <c r="B29" s="45" t="s">
        <v>187</v>
      </c>
      <c r="C29" s="7"/>
      <c r="D29" s="30">
        <f>IFERROR(-155365.56, 0)</f>
        <v>-155365.56</v>
      </c>
      <c r="E29" s="12"/>
      <c r="F29" s="30">
        <f>IFERROR(-311726.97, 0)</f>
        <v>-311726.96999999997</v>
      </c>
      <c r="G29" s="5"/>
      <c r="H29" s="30">
        <f>IFERROR(--524364.72, 0)</f>
        <v>524364.72</v>
      </c>
      <c r="I29" s="5"/>
      <c r="J29" s="30">
        <f>IFERROR(--306614.11, 0)</f>
        <v>306614.11</v>
      </c>
      <c r="K29" s="5"/>
      <c r="L29" s="30">
        <f>IFERROR(-494428.15, 0)</f>
        <v>-494428.15</v>
      </c>
      <c r="M29" s="5"/>
      <c r="N29" s="30">
        <f>IFERROR(-36911.48, 0)</f>
        <v>-36911.480000000003</v>
      </c>
      <c r="O29" s="5"/>
      <c r="P29" s="30">
        <f t="shared" ref="P29:P30" si="0">IFERROR(--180000, 0)</f>
        <v>180000</v>
      </c>
      <c r="Q29" s="5"/>
      <c r="R29" s="30">
        <f>IFERROR(--180000, 0)</f>
        <v>180000</v>
      </c>
    </row>
    <row r="30" spans="1:18" s="15" customFormat="1" x14ac:dyDescent="0.35">
      <c r="A30" s="36"/>
      <c r="B30" s="7" t="s">
        <v>80</v>
      </c>
      <c r="C30" s="7"/>
      <c r="D30" s="30">
        <f>IFERROR(--321343.72, 0)</f>
        <v>321343.71999999997</v>
      </c>
      <c r="E30" s="12"/>
      <c r="F30" s="30">
        <f>IFERROR(--171244.92, 0)</f>
        <v>171244.92</v>
      </c>
      <c r="G30" s="5"/>
      <c r="H30" s="30">
        <f>IFERROR(--634542.42, 0)</f>
        <v>634542.42000000004</v>
      </c>
      <c r="I30" s="5"/>
      <c r="J30" s="30">
        <f>IFERROR(--644093.46, 0)</f>
        <v>644093.46</v>
      </c>
      <c r="K30" s="5"/>
      <c r="L30" s="30">
        <f>IFERROR(--839538.06, 0)</f>
        <v>839538.06</v>
      </c>
      <c r="M30" s="5"/>
      <c r="N30" s="30">
        <f>IFERROR(--324468.28, 0)</f>
        <v>324468.28000000003</v>
      </c>
      <c r="O30" s="5"/>
      <c r="P30" s="30">
        <f t="shared" si="0"/>
        <v>180000</v>
      </c>
      <c r="Q30" s="5"/>
      <c r="R30" s="30">
        <f>IFERROR(--200000, 0)</f>
        <v>200000</v>
      </c>
    </row>
    <row r="31" spans="1:18" x14ac:dyDescent="0.35">
      <c r="A31" s="12"/>
      <c r="B31" s="12"/>
      <c r="C31" s="12"/>
      <c r="D31" s="6"/>
      <c r="F31" s="6"/>
      <c r="H31" s="6"/>
      <c r="J31" s="6"/>
      <c r="L31" s="6"/>
      <c r="N31" s="6"/>
      <c r="P31" s="6"/>
      <c r="R31" s="6"/>
    </row>
    <row r="32" spans="1:18" s="15" customFormat="1" x14ac:dyDescent="0.35">
      <c r="A32" s="7"/>
      <c r="B32" s="22" t="s">
        <v>296</v>
      </c>
      <c r="C32" s="22"/>
      <c r="D32" s="10">
        <f>SUM(D26:D31)</f>
        <v>165978.15999999997</v>
      </c>
      <c r="E32" s="12"/>
      <c r="F32" s="10">
        <f>SUM(F26:F31)</f>
        <v>-140482.04999999996</v>
      </c>
      <c r="G32" s="5"/>
      <c r="H32" s="10">
        <f>SUM(H26:H31)</f>
        <v>1158907.1400000001</v>
      </c>
      <c r="I32" s="5"/>
      <c r="J32" s="10">
        <f>SUM(J26:J31)</f>
        <v>950707.57</v>
      </c>
      <c r="K32" s="5"/>
      <c r="L32" s="10">
        <f>SUM(L26:L31)</f>
        <v>345109.91000000003</v>
      </c>
      <c r="M32" s="5"/>
      <c r="N32" s="10">
        <f>SUM(N26:N31)</f>
        <v>287556.80000000005</v>
      </c>
      <c r="O32" s="5"/>
      <c r="P32" s="10">
        <f>SUM(P26:P31)</f>
        <v>360000</v>
      </c>
      <c r="Q32" s="5"/>
      <c r="R32" s="10">
        <f>SUM(R26:R31)</f>
        <v>380000</v>
      </c>
    </row>
    <row r="33" spans="1:18" s="27" customFormat="1" x14ac:dyDescent="0.35">
      <c r="A33" s="18"/>
      <c r="B33" s="41"/>
      <c r="C33" s="18"/>
      <c r="D33" s="9">
        <f>IFERROR(D32/D10, 0)</f>
        <v>0</v>
      </c>
      <c r="E33" s="18"/>
      <c r="F33" s="9">
        <f>IFERROR(F32/F10, 0)</f>
        <v>0</v>
      </c>
      <c r="G33" s="14"/>
      <c r="H33" s="9">
        <f>IFERROR(H32/H10, 0)</f>
        <v>0</v>
      </c>
      <c r="I33" s="14"/>
      <c r="J33" s="9">
        <f>IFERROR(J32/J10, 0)</f>
        <v>0</v>
      </c>
      <c r="K33" s="14"/>
      <c r="L33" s="9">
        <f>IFERROR(L32/L10, 0)</f>
        <v>0</v>
      </c>
      <c r="M33" s="14"/>
      <c r="N33" s="9">
        <f>IFERROR(N32/N10, 0)</f>
        <v>0</v>
      </c>
      <c r="O33" s="14"/>
      <c r="P33" s="9">
        <f>IFERROR(P32/P10, 0)</f>
        <v>0</v>
      </c>
      <c r="Q33" s="14"/>
      <c r="R33" s="9">
        <f>IFERROR(R32/R10, 0)</f>
        <v>0</v>
      </c>
    </row>
    <row r="34" spans="1:18" x14ac:dyDescent="0.35">
      <c r="A34" s="12"/>
      <c r="B34" s="40">
        <v>44319.883524618053</v>
      </c>
      <c r="D34" s="24"/>
      <c r="F34" s="24"/>
      <c r="H34" s="24"/>
      <c r="J34" s="24"/>
      <c r="L34" s="24"/>
      <c r="N34" s="24"/>
      <c r="P34" s="24"/>
      <c r="R34" s="24"/>
    </row>
    <row r="35" spans="1:18" x14ac:dyDescent="0.35">
      <c r="A35" s="12"/>
      <c r="B35" s="39" t="s">
        <v>23</v>
      </c>
      <c r="D35" s="24"/>
      <c r="F35" s="24"/>
      <c r="H35" s="24"/>
      <c r="J35" s="24"/>
      <c r="L35" s="24"/>
      <c r="N35" s="24"/>
      <c r="P35" s="24"/>
      <c r="R35" s="24"/>
    </row>
    <row r="36" spans="1:18" x14ac:dyDescent="0.35">
      <c r="A36" s="12"/>
      <c r="D36" s="24"/>
      <c r="F36" s="24"/>
      <c r="H36" s="24"/>
      <c r="J36" s="24"/>
      <c r="L36" s="24"/>
      <c r="N36" s="24"/>
      <c r="P36" s="24"/>
      <c r="R36" s="24"/>
    </row>
    <row r="37" spans="1:18" x14ac:dyDescent="0.35">
      <c r="D37" s="24"/>
      <c r="F37" s="24"/>
      <c r="H37" s="24"/>
      <c r="J37" s="24"/>
      <c r="L37" s="24"/>
      <c r="N37" s="24"/>
      <c r="P37" s="24"/>
      <c r="R37" s="24"/>
    </row>
  </sheetData>
  <pageMargins left="0.5" right="0.5" top="0.5" bottom="0.5" header="0.3" footer="0.3"/>
  <pageSetup scale="59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7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","205", " - ", "Maintenance")</f>
        <v>Department 205 - Maintenance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95626.369999999981</v>
      </c>
      <c r="E17" s="19"/>
      <c r="F17" s="8">
        <f>SUM(OSRRefF21x_0)</f>
        <v>87677.540000000008</v>
      </c>
      <c r="G17" s="4"/>
      <c r="H17" s="8">
        <f>SUM(OSRRefH21x_0)</f>
        <v>89423.360000000001</v>
      </c>
      <c r="I17" s="4"/>
      <c r="J17" s="8">
        <f>SUM(OSRRefJ21x_0)</f>
        <v>87313.900000000009</v>
      </c>
      <c r="K17" s="4"/>
      <c r="L17" s="8">
        <f>SUM(OSRRefL21x_0)</f>
        <v>101277.34999999998</v>
      </c>
      <c r="M17" s="4"/>
      <c r="N17" s="8">
        <f>SUM(OSRRefN21x_0)</f>
        <v>90939.59</v>
      </c>
      <c r="O17" s="4"/>
      <c r="P17" s="8">
        <f>SUM(OSRRefP21x_0)</f>
        <v>101096.27799999999</v>
      </c>
      <c r="Q17" s="4"/>
      <c r="R17" s="8">
        <f>SUM(OSRRefR21x_0)</f>
        <v>104608.56554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34592.83</v>
      </c>
      <c r="E18" s="19"/>
      <c r="F18" s="1">
        <f>SUM(OSRRefF21_0x_0)</f>
        <v>28572.09</v>
      </c>
      <c r="G18" s="4"/>
      <c r="H18" s="1">
        <f>SUM(OSRRefH21_0x_0)</f>
        <v>28548.57</v>
      </c>
      <c r="I18" s="4"/>
      <c r="J18" s="1">
        <f>SUM(OSRRefJ21_0x_0)</f>
        <v>28251.449999999997</v>
      </c>
      <c r="K18" s="4"/>
      <c r="L18" s="1">
        <f>SUM(OSRRefL21_0x_0)</f>
        <v>27957.89</v>
      </c>
      <c r="M18" s="4"/>
      <c r="N18" s="1">
        <f>SUM(OSRRefN21_0x_0)</f>
        <v>30746.67</v>
      </c>
      <c r="O18" s="4"/>
      <c r="P18" s="1">
        <f>SUM(OSRRefP21_0x_0)</f>
        <v>23728.277999999998</v>
      </c>
      <c r="Q18" s="4"/>
      <c r="R18" s="1">
        <f>SUM(OSRRefR21_0x_0)</f>
        <v>23937.225539999999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4037.16</v>
      </c>
      <c r="F19" s="2">
        <v>3782.92</v>
      </c>
      <c r="G19" s="3"/>
      <c r="H19" s="2">
        <v>3787.55</v>
      </c>
      <c r="I19" s="3"/>
      <c r="J19" s="2">
        <v>4068.87</v>
      </c>
      <c r="K19" s="3"/>
      <c r="L19" s="2">
        <v>4064.24</v>
      </c>
      <c r="M19" s="3"/>
      <c r="N19" s="2">
        <v>4197.5600000000004</v>
      </c>
      <c r="O19" s="3"/>
      <c r="P19" s="2">
        <v>4178.5379999999996</v>
      </c>
      <c r="Q19" s="3"/>
      <c r="R19" s="2">
        <v>4303.8941400000003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1601.04</v>
      </c>
      <c r="F20" s="2">
        <v>2082.5500000000002</v>
      </c>
      <c r="G20" s="3"/>
      <c r="H20" s="2">
        <v>2346.38</v>
      </c>
      <c r="I20" s="3"/>
      <c r="J20" s="2">
        <v>1786.52</v>
      </c>
      <c r="K20" s="3"/>
      <c r="L20" s="2">
        <v>2158.4299999999998</v>
      </c>
      <c r="M20" s="3"/>
      <c r="N20" s="2">
        <v>3350.78</v>
      </c>
      <c r="O20" s="3"/>
      <c r="P20" s="2">
        <v>3783.78</v>
      </c>
      <c r="Q20" s="3"/>
      <c r="R20" s="2">
        <v>3835.4315999999999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11493</v>
      </c>
      <c r="F21" s="2">
        <v>6789.64</v>
      </c>
      <c r="G21" s="3"/>
      <c r="H21" s="2">
        <v>7468.92</v>
      </c>
      <c r="I21" s="3"/>
      <c r="J21" s="2">
        <v>8000.98</v>
      </c>
      <c r="K21" s="3"/>
      <c r="L21" s="2">
        <v>7915.25</v>
      </c>
      <c r="M21" s="3"/>
      <c r="N21" s="2">
        <v>8347.7999999999993</v>
      </c>
      <c r="O21" s="3"/>
      <c r="P21" s="2">
        <v>7980</v>
      </c>
      <c r="Q21" s="3"/>
      <c r="R21" s="2">
        <v>7956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323.14999999999998</v>
      </c>
      <c r="F22" s="2">
        <v>305.56</v>
      </c>
      <c r="G22" s="3"/>
      <c r="H22" s="2">
        <v>143.46</v>
      </c>
      <c r="I22" s="3"/>
      <c r="J22" s="2">
        <v>152.80000000000001</v>
      </c>
      <c r="K22" s="3"/>
      <c r="L22" s="2">
        <v>142.33000000000001</v>
      </c>
      <c r="M22" s="3"/>
      <c r="N22" s="2">
        <v>0</v>
      </c>
      <c r="O22" s="3"/>
      <c r="P22" s="2">
        <v>141.96</v>
      </c>
      <c r="Q22" s="3"/>
      <c r="R22" s="2">
        <v>118.0998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6240.39</v>
      </c>
      <c r="F23" s="2">
        <v>3965.53</v>
      </c>
      <c r="G23" s="3"/>
      <c r="H23" s="2">
        <v>4480.3</v>
      </c>
      <c r="I23" s="3"/>
      <c r="J23" s="2">
        <v>4587.5</v>
      </c>
      <c r="K23" s="3"/>
      <c r="L23" s="2">
        <v>4612.5</v>
      </c>
      <c r="M23" s="3"/>
      <c r="N23" s="2">
        <v>5365.74</v>
      </c>
      <c r="O23" s="3"/>
      <c r="P23" s="2">
        <v>0</v>
      </c>
      <c r="Q23" s="3"/>
      <c r="R23" s="2">
        <v>0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/>
      <c r="G24" s="3"/>
      <c r="H24" s="2"/>
      <c r="I24" s="3"/>
      <c r="J24" s="2"/>
      <c r="K24" s="3"/>
      <c r="L24" s="2"/>
      <c r="M24" s="3"/>
      <c r="N24" s="2"/>
      <c r="O24" s="3"/>
      <c r="P24" s="2">
        <v>0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"6118", " - ", "VACATION")</f>
        <v xml:space="preserve">          6118 - VACATION</v>
      </c>
      <c r="D25" s="2">
        <v>4376.32</v>
      </c>
      <c r="F25" s="2">
        <v>4931.3999999999996</v>
      </c>
      <c r="G25" s="3"/>
      <c r="H25" s="2">
        <v>4607.88</v>
      </c>
      <c r="I25" s="3"/>
      <c r="J25" s="2">
        <v>4824.91</v>
      </c>
      <c r="K25" s="3"/>
      <c r="L25" s="2">
        <v>4088.38</v>
      </c>
      <c r="M25" s="3"/>
      <c r="N25" s="2">
        <v>4805.12</v>
      </c>
      <c r="O25" s="3"/>
      <c r="P25" s="2">
        <v>5460</v>
      </c>
      <c r="Q25" s="3"/>
      <c r="R25" s="2">
        <v>4499.04</v>
      </c>
    </row>
    <row r="26" spans="1:18" s="16" customFormat="1" hidden="1" outlineLevel="2" x14ac:dyDescent="0.35">
      <c r="B26" s="11" t="str">
        <f>CONCATENATE("          ", "6119", " - ", "SICK LEAVE")</f>
        <v xml:space="preserve">          6119 - SICK LEAVE</v>
      </c>
      <c r="D26" s="2">
        <v>2712.87</v>
      </c>
      <c r="F26" s="2">
        <v>3349.15</v>
      </c>
      <c r="G26" s="3"/>
      <c r="H26" s="2">
        <v>2327.2600000000002</v>
      </c>
      <c r="I26" s="3"/>
      <c r="J26" s="2">
        <v>2965.16</v>
      </c>
      <c r="K26" s="3"/>
      <c r="L26" s="2">
        <v>3226.19</v>
      </c>
      <c r="M26" s="3"/>
      <c r="N26" s="2">
        <v>3363.4</v>
      </c>
      <c r="O26" s="3"/>
      <c r="P26" s="2">
        <v>2184</v>
      </c>
      <c r="Q26" s="3"/>
      <c r="R26" s="2">
        <v>1124.76</v>
      </c>
    </row>
    <row r="27" spans="1:18" s="16" customFormat="1" hidden="1" outlineLevel="2" x14ac:dyDescent="0.35">
      <c r="B27" s="11" t="str">
        <f>CONCATENATE("          ", "6156", " - ", "EMPLOYEE MEALS")</f>
        <v xml:space="preserve">          6156 - EMPLOYEE MEALS</v>
      </c>
      <c r="D27" s="2">
        <v>3808.9</v>
      </c>
      <c r="F27" s="2">
        <v>3365.34</v>
      </c>
      <c r="G27" s="3"/>
      <c r="H27" s="2">
        <v>3386.82</v>
      </c>
      <c r="I27" s="3"/>
      <c r="J27" s="2">
        <v>1864.71</v>
      </c>
      <c r="K27" s="3"/>
      <c r="L27" s="2">
        <v>1750.57</v>
      </c>
      <c r="M27" s="3"/>
      <c r="N27" s="2">
        <v>1316.27</v>
      </c>
      <c r="O27" s="3"/>
      <c r="P27" s="2"/>
      <c r="Q27" s="3"/>
      <c r="R27" s="2">
        <v>2100</v>
      </c>
    </row>
    <row r="28" spans="1:18" s="15" customFormat="1" outlineLevel="1" collapsed="1" x14ac:dyDescent="0.35">
      <c r="A28" s="7"/>
      <c r="B28" s="20" t="str">
        <f>CONCATENATE("     ","*Payroll                                          ")</f>
        <v xml:space="preserve">     *Payroll                                          </v>
      </c>
      <c r="C28" s="7"/>
      <c r="D28" s="1">
        <f>SUM(OSRRefD21_1x_0)</f>
        <v>49740.2</v>
      </c>
      <c r="E28" s="19"/>
      <c r="F28" s="1">
        <f>SUM(OSRRefF21_1x_0)</f>
        <v>42024.7</v>
      </c>
      <c r="G28" s="4"/>
      <c r="H28" s="1">
        <f>SUM(OSRRefH21_1x_0)</f>
        <v>44983.76</v>
      </c>
      <c r="I28" s="4"/>
      <c r="J28" s="1">
        <f>SUM(OSRRefJ21_1x_0)</f>
        <v>46512.27</v>
      </c>
      <c r="K28" s="4"/>
      <c r="L28" s="1">
        <f>SUM(OSRRefL21_1x_0)</f>
        <v>48635.82</v>
      </c>
      <c r="M28" s="4"/>
      <c r="N28" s="1">
        <f>SUM(OSRRefN21_1x_0)</f>
        <v>36498.43</v>
      </c>
      <c r="O28" s="4"/>
      <c r="P28" s="1">
        <f>SUM(OSRRefP21_1x_0)</f>
        <v>48594</v>
      </c>
      <c r="Q28" s="4"/>
      <c r="R28" s="1">
        <f>SUM(OSRRefR21_1x_0)</f>
        <v>52301.34</v>
      </c>
    </row>
    <row r="29" spans="1:18" s="16" customFormat="1" hidden="1" outlineLevel="2" x14ac:dyDescent="0.35">
      <c r="B29" s="11" t="str">
        <f>CONCATENATE("          ", "6001", " - ", "ADMINISTRATIVE SALARIES")</f>
        <v xml:space="preserve">          6001 - ADMINISTRATIVE SALARIES</v>
      </c>
      <c r="D29" s="2"/>
      <c r="F29" s="2"/>
      <c r="G29" s="3"/>
      <c r="H29" s="2"/>
      <c r="I29" s="3"/>
      <c r="J29" s="2"/>
      <c r="K29" s="3"/>
      <c r="L29" s="2"/>
      <c r="M29" s="3"/>
      <c r="N29" s="2"/>
      <c r="O29" s="3"/>
      <c r="P29" s="2">
        <v>0</v>
      </c>
      <c r="Q29" s="3"/>
      <c r="R29" s="2">
        <v>0</v>
      </c>
    </row>
    <row r="30" spans="1:18" s="16" customFormat="1" hidden="1" outlineLevel="2" x14ac:dyDescent="0.35">
      <c r="B30" s="11" t="str">
        <f>CONCATENATE("          ", "6002", " - ", "STAFF SALARIES")</f>
        <v xml:space="preserve">          6002 - STAFF SALARIES</v>
      </c>
      <c r="D30" s="2">
        <v>44121.22</v>
      </c>
      <c r="F30" s="2">
        <v>42024.7</v>
      </c>
      <c r="G30" s="3"/>
      <c r="H30" s="2">
        <v>44983.76</v>
      </c>
      <c r="I30" s="3"/>
      <c r="J30" s="2">
        <v>46512.27</v>
      </c>
      <c r="K30" s="3"/>
      <c r="L30" s="2">
        <v>48635.82</v>
      </c>
      <c r="M30" s="3"/>
      <c r="N30" s="2">
        <v>36498.43</v>
      </c>
      <c r="O30" s="3"/>
      <c r="P30" s="2">
        <v>0</v>
      </c>
      <c r="Q30" s="3"/>
      <c r="R30" s="2">
        <v>0</v>
      </c>
    </row>
    <row r="31" spans="1:18" s="16" customFormat="1" hidden="1" outlineLevel="2" x14ac:dyDescent="0.35">
      <c r="B31" s="11" t="str">
        <f>CONCATENATE("          ", "6003", " - ", "STAFF HOURLY-9 MONTH")</f>
        <v xml:space="preserve">          6003 - STAFF HOURLY-9 MONTH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"6004", " - ", "STAFF HOURLY")</f>
        <v xml:space="preserve">          6004 - STAFF HOURLY</v>
      </c>
      <c r="D32" s="2">
        <v>5066.2299999999996</v>
      </c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48594</v>
      </c>
      <c r="Q32" s="3"/>
      <c r="R32" s="2">
        <v>52301.34</v>
      </c>
    </row>
    <row r="33" spans="1:18" s="16" customFormat="1" hidden="1" outlineLevel="2" x14ac:dyDescent="0.35">
      <c r="B33" s="11" t="str">
        <f>CONCATENATE("          ", "6005", " - ", "TEMPORARY WAGES-HOURLY")</f>
        <v xml:space="preserve">          6005 - TEMPORARY WAGES-HOURLY</v>
      </c>
      <c r="D33" s="2">
        <v>94.5</v>
      </c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"6006", " - ", "TEMPORARY PART TIME")</f>
        <v xml:space="preserve">          6006 - TEMPORARY PART TIME</v>
      </c>
      <c r="D34" s="2"/>
      <c r="F34" s="2"/>
      <c r="G34" s="3"/>
      <c r="H34" s="2"/>
      <c r="I34" s="3"/>
      <c r="J34" s="2"/>
      <c r="K34" s="3"/>
      <c r="L34" s="2"/>
      <c r="M34" s="3"/>
      <c r="N34" s="2"/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"6007", " - ", "STUDENT HOURLY")</f>
        <v xml:space="preserve">          6007 - STUDENT HOURLY</v>
      </c>
      <c r="D35" s="2">
        <v>339</v>
      </c>
      <c r="F35" s="2"/>
      <c r="G35" s="3"/>
      <c r="H35" s="2"/>
      <c r="I35" s="3"/>
      <c r="J35" s="2">
        <v>0</v>
      </c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"6008", " - ", "STUDENT HOURLY-FICA EXEMPT")</f>
        <v xml:space="preserve">          6008 - STUDENT HOURLY-FICA EXEMPT</v>
      </c>
      <c r="D36" s="2">
        <v>119.25</v>
      </c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"6009", " - ", "TEMPORARY-SEASONAL")</f>
        <v xml:space="preserve">          6009 - TEMPORARY-SEASONAL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"6010", " - ", "GRATUITY")</f>
        <v xml:space="preserve">          6010 - GRATUITY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5" customFormat="1" outlineLevel="1" collapsed="1" x14ac:dyDescent="0.35">
      <c r="A39" s="7"/>
      <c r="B39" s="20" t="str">
        <f>CONCATENATE("     ","General                                           ")</f>
        <v xml:space="preserve">     General                                           </v>
      </c>
      <c r="C39" s="7"/>
      <c r="D39" s="1">
        <f>SUM(OSRRefD21_2x_0)</f>
        <v>-4104.62</v>
      </c>
      <c r="E39" s="19"/>
      <c r="F39" s="1">
        <f>SUM(OSRRefF21_2x_0)</f>
        <v>-2931.04</v>
      </c>
      <c r="G39" s="4"/>
      <c r="H39" s="1">
        <f>SUM(OSRRefH21_2x_0)</f>
        <v>-4849.1499999999996</v>
      </c>
      <c r="I39" s="4"/>
      <c r="J39" s="1">
        <f>SUM(OSRRefJ21_2x_0)</f>
        <v>-5158.6099999999997</v>
      </c>
      <c r="K39" s="4"/>
      <c r="L39" s="1">
        <f>SUM(OSRRefL21_2x_0)</f>
        <v>-3455.65</v>
      </c>
      <c r="M39" s="4"/>
      <c r="N39" s="1">
        <f>SUM(OSRRefN21_2x_0)</f>
        <v>-1185.6199999999999</v>
      </c>
      <c r="O39" s="4"/>
      <c r="P39" s="1">
        <f>SUM(OSRRefP21_2x_0)</f>
        <v>-750</v>
      </c>
      <c r="Q39" s="4"/>
      <c r="R39" s="1">
        <f>SUM(OSRRefR21_2x_0)</f>
        <v>-750</v>
      </c>
    </row>
    <row r="40" spans="1:18" s="16" customFormat="1" hidden="1" outlineLevel="2" x14ac:dyDescent="0.35">
      <c r="B40" s="11" t="str">
        <f>CONCATENATE("          ", "6279", " - ", "GENERAL EXPENSE")</f>
        <v xml:space="preserve">          6279 - GENERAL EXPENSE</v>
      </c>
      <c r="D40" s="2">
        <v>-4104.62</v>
      </c>
      <c r="F40" s="2">
        <v>-2931.04</v>
      </c>
      <c r="G40" s="3"/>
      <c r="H40" s="2">
        <v>-4849.1499999999996</v>
      </c>
      <c r="I40" s="3"/>
      <c r="J40" s="2">
        <v>-5158.6099999999997</v>
      </c>
      <c r="K40" s="3"/>
      <c r="L40" s="2">
        <v>-3455.65</v>
      </c>
      <c r="M40" s="3"/>
      <c r="N40" s="2">
        <v>-1185.6199999999999</v>
      </c>
      <c r="O40" s="3"/>
      <c r="P40" s="2">
        <v>-750</v>
      </c>
      <c r="Q40" s="3"/>
      <c r="R40" s="2">
        <v>-750</v>
      </c>
    </row>
    <row r="41" spans="1:18" s="15" customFormat="1" outlineLevel="1" collapsed="1" x14ac:dyDescent="0.35">
      <c r="A41" s="7"/>
      <c r="B41" s="20" t="str">
        <f>CONCATENATE("     ","Insurance                                         ")</f>
        <v xml:space="preserve">     Insurance                                         </v>
      </c>
      <c r="C41" s="7"/>
      <c r="D41" s="1">
        <f>SUM(OSRRefD21_3x_0)</f>
        <v>203.9</v>
      </c>
      <c r="E41" s="19"/>
      <c r="F41" s="1">
        <f>SUM(OSRRefF21_3x_0)</f>
        <v>246.84</v>
      </c>
      <c r="G41" s="4"/>
      <c r="H41" s="1">
        <f>SUM(OSRRefH21_3x_0)</f>
        <v>217.73</v>
      </c>
      <c r="I41" s="4"/>
      <c r="J41" s="1">
        <f>SUM(OSRRefJ21_3x_0)</f>
        <v>243.38</v>
      </c>
      <c r="K41" s="4"/>
      <c r="L41" s="1">
        <f>SUM(OSRRefL21_3x_0)</f>
        <v>236.39</v>
      </c>
      <c r="M41" s="4"/>
      <c r="N41" s="1">
        <f>SUM(OSRRefN21_3x_0)</f>
        <v>294.72000000000003</v>
      </c>
      <c r="O41" s="4"/>
      <c r="P41" s="1">
        <f>SUM(OSRRefP21_3x_0)</f>
        <v>324</v>
      </c>
      <c r="Q41" s="4"/>
      <c r="R41" s="1">
        <f>SUM(OSRRefR21_3x_0)</f>
        <v>420</v>
      </c>
    </row>
    <row r="42" spans="1:18" s="16" customFormat="1" hidden="1" outlineLevel="2" x14ac:dyDescent="0.35">
      <c r="B42" s="11" t="str">
        <f>CONCATENATE("          ", "6314", " - ", "LIABILITY INSURANCE")</f>
        <v xml:space="preserve">          6314 - LIABILITY INSURANCE</v>
      </c>
      <c r="D42" s="2">
        <v>203.9</v>
      </c>
      <c r="F42" s="2">
        <v>246.84</v>
      </c>
      <c r="G42" s="3"/>
      <c r="H42" s="2">
        <v>217.73</v>
      </c>
      <c r="I42" s="3"/>
      <c r="J42" s="2">
        <v>243.38</v>
      </c>
      <c r="K42" s="3"/>
      <c r="L42" s="2">
        <v>236.39</v>
      </c>
      <c r="M42" s="3"/>
      <c r="N42" s="2">
        <v>294.72000000000003</v>
      </c>
      <c r="O42" s="3"/>
      <c r="P42" s="2">
        <v>324</v>
      </c>
      <c r="Q42" s="3"/>
      <c r="R42" s="2">
        <v>420</v>
      </c>
    </row>
    <row r="43" spans="1:18" s="15" customFormat="1" outlineLevel="1" collapsed="1" x14ac:dyDescent="0.35">
      <c r="A43" s="7"/>
      <c r="B43" s="20" t="str">
        <f>CONCATENATE("     ","Repair and Maintenance                            ")</f>
        <v xml:space="preserve">     Repair and Maintenance                            </v>
      </c>
      <c r="C43" s="7"/>
      <c r="D43" s="1">
        <f>SUM(OSRRefD21_4x_0)</f>
        <v>11057.57</v>
      </c>
      <c r="E43" s="19"/>
      <c r="F43" s="1">
        <f>SUM(OSRRefF21_4x_0)</f>
        <v>15615.18</v>
      </c>
      <c r="G43" s="4"/>
      <c r="H43" s="1">
        <f>SUM(OSRRefH21_4x_0)</f>
        <v>16073.02</v>
      </c>
      <c r="I43" s="4"/>
      <c r="J43" s="1">
        <f>SUM(OSRRefJ21_4x_0)</f>
        <v>15652.69</v>
      </c>
      <c r="K43" s="4"/>
      <c r="L43" s="1">
        <f>SUM(OSRRefL21_4x_0)</f>
        <v>19419.509999999998</v>
      </c>
      <c r="M43" s="4"/>
      <c r="N43" s="1">
        <f>SUM(OSRRefN21_4x_0)</f>
        <v>21916.65</v>
      </c>
      <c r="O43" s="4"/>
      <c r="P43" s="1">
        <f>SUM(OSRRefP21_4x_0)</f>
        <v>23000</v>
      </c>
      <c r="Q43" s="4"/>
      <c r="R43" s="1">
        <f>SUM(OSRRefR21_4x_0)</f>
        <v>21600</v>
      </c>
    </row>
    <row r="44" spans="1:18" s="16" customFormat="1" hidden="1" outlineLevel="2" x14ac:dyDescent="0.35">
      <c r="B44" s="11" t="str">
        <f>CONCATENATE("          ", "6371", " - ", "COMPUTER SOFTWARE MAINTENANCE")</f>
        <v xml:space="preserve">          6371 - COMPUTER SOFTWARE MAINTENANCE</v>
      </c>
      <c r="D44" s="2">
        <v>698</v>
      </c>
      <c r="F44" s="2"/>
      <c r="G44" s="3"/>
      <c r="H44" s="2"/>
      <c r="I44" s="3"/>
      <c r="J44" s="2"/>
      <c r="K44" s="3"/>
      <c r="L44" s="2"/>
      <c r="M44" s="3"/>
      <c r="N44" s="2">
        <v>4968.9799999999996</v>
      </c>
      <c r="O44" s="3"/>
      <c r="P44" s="2">
        <v>5000</v>
      </c>
      <c r="Q44" s="3"/>
      <c r="R44" s="2">
        <v>5000</v>
      </c>
    </row>
    <row r="45" spans="1:18" s="16" customFormat="1" hidden="1" outlineLevel="2" x14ac:dyDescent="0.35">
      <c r="B45" s="11" t="str">
        <f>CONCATENATE("          ", "6373", " - ", "MAINTENANCE CONTRACTS")</f>
        <v xml:space="preserve">          6373 - MAINTENANCE CONTRACTS</v>
      </c>
      <c r="D45" s="2">
        <v>9165</v>
      </c>
      <c r="F45" s="2">
        <v>14599</v>
      </c>
      <c r="G45" s="3"/>
      <c r="H45" s="2">
        <v>14729</v>
      </c>
      <c r="I45" s="3"/>
      <c r="J45" s="2">
        <v>14729</v>
      </c>
      <c r="K45" s="3"/>
      <c r="L45" s="2">
        <v>17741.75</v>
      </c>
      <c r="M45" s="3"/>
      <c r="N45" s="2">
        <v>14519.91</v>
      </c>
      <c r="O45" s="3"/>
      <c r="P45" s="2">
        <v>18000</v>
      </c>
      <c r="Q45" s="3"/>
      <c r="R45" s="2">
        <v>16600</v>
      </c>
    </row>
    <row r="46" spans="1:18" s="16" customFormat="1" hidden="1" outlineLevel="2" x14ac:dyDescent="0.35">
      <c r="B46" s="11" t="str">
        <f>CONCATENATE("          ", "6375", " - ", "OUTSIDE REPAIRS &amp; MAINTENANCE")</f>
        <v xml:space="preserve">          6375 - OUTSIDE REPAIRS &amp; MAINTENANCE</v>
      </c>
      <c r="D46" s="2">
        <v>1194.57</v>
      </c>
      <c r="F46" s="2">
        <v>1016.18</v>
      </c>
      <c r="G46" s="3"/>
      <c r="H46" s="2">
        <v>1344.02</v>
      </c>
      <c r="I46" s="3"/>
      <c r="J46" s="2">
        <v>923.69</v>
      </c>
      <c r="K46" s="3"/>
      <c r="L46" s="2">
        <v>1677.76</v>
      </c>
      <c r="M46" s="3"/>
      <c r="N46" s="2">
        <v>2427.7600000000002</v>
      </c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","Services                                          ")</f>
        <v xml:space="preserve">     Services                                          </v>
      </c>
      <c r="C47" s="7"/>
      <c r="D47" s="1">
        <f>SUM(OSRRefD21_5x_0)</f>
        <v>1683.76</v>
      </c>
      <c r="E47" s="19"/>
      <c r="F47" s="1">
        <f>SUM(OSRRefF21_5x_0)</f>
        <v>467.6</v>
      </c>
      <c r="G47" s="4"/>
      <c r="H47" s="1">
        <f>SUM(OSRRefH21_5x_0)</f>
        <v>745.62</v>
      </c>
      <c r="I47" s="4"/>
      <c r="J47" s="1">
        <f>SUM(OSRRefJ21_5x_0)</f>
        <v>281.33</v>
      </c>
      <c r="K47" s="4"/>
      <c r="L47" s="1">
        <f>SUM(OSRRefL21_5x_0)</f>
        <v>98.22</v>
      </c>
      <c r="M47" s="4"/>
      <c r="N47" s="1">
        <f>SUM(OSRRefN21_5x_0)</f>
        <v>83.98</v>
      </c>
      <c r="O47" s="4"/>
      <c r="P47" s="1">
        <f>SUM(OSRRefP21_5x_0)</f>
        <v>300</v>
      </c>
      <c r="Q47" s="4"/>
      <c r="R47" s="1">
        <f>SUM(OSRRefR21_5x_0)</f>
        <v>300</v>
      </c>
    </row>
    <row r="48" spans="1:18" s="16" customFormat="1" hidden="1" outlineLevel="2" x14ac:dyDescent="0.35">
      <c r="B48" s="11" t="str">
        <f>CONCATENATE("          ", "6286", " - ", "LAUNDRY EXPENSE")</f>
        <v xml:space="preserve">          6286 - LAUNDRY EXPENSE</v>
      </c>
      <c r="D48" s="2">
        <v>1683.76</v>
      </c>
      <c r="F48" s="2">
        <v>467.6</v>
      </c>
      <c r="G48" s="3"/>
      <c r="H48" s="2">
        <v>745.62</v>
      </c>
      <c r="I48" s="3"/>
      <c r="J48" s="2">
        <v>281.33</v>
      </c>
      <c r="K48" s="3"/>
      <c r="L48" s="2">
        <v>98.22</v>
      </c>
      <c r="M48" s="3"/>
      <c r="N48" s="2">
        <v>83.98</v>
      </c>
      <c r="O48" s="3"/>
      <c r="P48" s="2">
        <v>300</v>
      </c>
      <c r="Q48" s="3"/>
      <c r="R48" s="2">
        <v>300</v>
      </c>
    </row>
    <row r="49" spans="1:18" s="15" customFormat="1" outlineLevel="1" collapsed="1" x14ac:dyDescent="0.35">
      <c r="A49" s="7"/>
      <c r="B49" s="20" t="str">
        <f>CONCATENATE("     ","Supplies                                          ")</f>
        <v xml:space="preserve">     Supplies                                          </v>
      </c>
      <c r="C49" s="7"/>
      <c r="D49" s="1">
        <f>SUM(OSRRefD21_6x_0)</f>
        <v>539.63</v>
      </c>
      <c r="E49" s="19"/>
      <c r="F49" s="1">
        <f>SUM(OSRRefF21_6x_0)</f>
        <v>2774.99</v>
      </c>
      <c r="G49" s="4"/>
      <c r="H49" s="1">
        <f>SUM(OSRRefH21_6x_0)</f>
        <v>3008.89</v>
      </c>
      <c r="I49" s="4"/>
      <c r="J49" s="1">
        <f>SUM(OSRRefJ21_6x_0)</f>
        <v>454.49</v>
      </c>
      <c r="K49" s="4"/>
      <c r="L49" s="1">
        <f>SUM(OSRRefL21_6x_0)</f>
        <v>7514.4</v>
      </c>
      <c r="M49" s="4"/>
      <c r="N49" s="1">
        <f>SUM(OSRRefN21_6x_0)</f>
        <v>1123.9000000000001</v>
      </c>
      <c r="O49" s="4"/>
      <c r="P49" s="1">
        <f>SUM(OSRRefP21_6x_0)</f>
        <v>5000</v>
      </c>
      <c r="Q49" s="4"/>
      <c r="R49" s="1">
        <f>SUM(OSRRefR21_6x_0)</f>
        <v>5300</v>
      </c>
    </row>
    <row r="50" spans="1:18" s="16" customFormat="1" hidden="1" outlineLevel="2" x14ac:dyDescent="0.35">
      <c r="B50" s="11" t="str">
        <f>CONCATENATE("          ", "6234", " - ", "EXPENDABLE SUPPLIES &amp; EQUIPMEN")</f>
        <v xml:space="preserve">          6234 - EXPENDABLE SUPPLIES &amp; EQUIPMEN</v>
      </c>
      <c r="D50" s="2">
        <v>32.26</v>
      </c>
      <c r="F50" s="2">
        <v>2664.91</v>
      </c>
      <c r="G50" s="3"/>
      <c r="H50" s="2">
        <v>1996.25</v>
      </c>
      <c r="I50" s="3"/>
      <c r="J50" s="2">
        <v>310.32</v>
      </c>
      <c r="K50" s="3"/>
      <c r="L50" s="2">
        <v>1429</v>
      </c>
      <c r="M50" s="3"/>
      <c r="N50" s="2">
        <v>1006.59</v>
      </c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"6241", " - ", "OFFICE EXPENSE")</f>
        <v xml:space="preserve">          6241 - OFFICE EXPENSE</v>
      </c>
      <c r="D51" s="2">
        <v>507.37</v>
      </c>
      <c r="F51" s="2">
        <v>110.08</v>
      </c>
      <c r="G51" s="3"/>
      <c r="H51" s="2">
        <v>959.9</v>
      </c>
      <c r="I51" s="3"/>
      <c r="J51" s="2">
        <v>144.16999999999999</v>
      </c>
      <c r="K51" s="3"/>
      <c r="L51" s="2">
        <v>6085.4</v>
      </c>
      <c r="M51" s="3"/>
      <c r="N51" s="2">
        <v>117.31</v>
      </c>
      <c r="O51" s="3"/>
      <c r="P51" s="2"/>
      <c r="Q51" s="3"/>
      <c r="R51" s="2">
        <v>300</v>
      </c>
    </row>
    <row r="52" spans="1:18" s="16" customFormat="1" hidden="1" outlineLevel="2" x14ac:dyDescent="0.35">
      <c r="B52" s="11" t="str">
        <f>CONCATENATE("          ", "6247", " - ", "STORE SUPPLIES")</f>
        <v xml:space="preserve">          6247 - STORE SUPPLIES</v>
      </c>
      <c r="D52" s="2"/>
      <c r="F52" s="2"/>
      <c r="G52" s="3"/>
      <c r="H52" s="2"/>
      <c r="I52" s="3"/>
      <c r="J52" s="2"/>
      <c r="K52" s="3"/>
      <c r="L52" s="2"/>
      <c r="M52" s="3"/>
      <c r="N52" s="2"/>
      <c r="O52" s="3"/>
      <c r="P52" s="2">
        <v>5000</v>
      </c>
      <c r="Q52" s="3"/>
      <c r="R52" s="2">
        <v>5000</v>
      </c>
    </row>
    <row r="53" spans="1:18" s="16" customFormat="1" hidden="1" outlineLevel="2" x14ac:dyDescent="0.35">
      <c r="B53" s="11" t="str">
        <f>CONCATENATE("          ", "6248", " - ", "UNIFORMS")</f>
        <v xml:space="preserve">          6248 - UNIFORMS</v>
      </c>
      <c r="D53" s="2"/>
      <c r="F53" s="2"/>
      <c r="G53" s="3"/>
      <c r="H53" s="2">
        <v>52.74</v>
      </c>
      <c r="I53" s="3"/>
      <c r="J53" s="2"/>
      <c r="K53" s="3"/>
      <c r="L53" s="2"/>
      <c r="M53" s="3"/>
      <c r="N53" s="2"/>
      <c r="O53" s="3"/>
      <c r="P53" s="2"/>
      <c r="Q53" s="3"/>
      <c r="R53" s="2"/>
    </row>
    <row r="54" spans="1:18" s="15" customFormat="1" outlineLevel="1" collapsed="1" x14ac:dyDescent="0.35">
      <c r="A54" s="7"/>
      <c r="B54" s="20" t="str">
        <f>CONCATENATE("     ","Telephone/Data Lines                              ")</f>
        <v xml:space="preserve">     Telephone/Data Lines                              </v>
      </c>
      <c r="C54" s="7"/>
      <c r="D54" s="1">
        <f>SUM(OSRRefD21_7x_0)</f>
        <v>1060.67</v>
      </c>
      <c r="E54" s="19"/>
      <c r="F54" s="1">
        <f>SUM(OSRRefF21_7x_0)</f>
        <v>609.47</v>
      </c>
      <c r="G54" s="4"/>
      <c r="H54" s="1">
        <f>SUM(OSRRefH21_7x_0)</f>
        <v>666.22</v>
      </c>
      <c r="I54" s="4"/>
      <c r="J54" s="1">
        <f>SUM(OSRRefJ21_7x_0)</f>
        <v>742.95</v>
      </c>
      <c r="K54" s="4"/>
      <c r="L54" s="1">
        <f>SUM(OSRRefL21_7x_0)</f>
        <v>579.26</v>
      </c>
      <c r="M54" s="4"/>
      <c r="N54" s="1">
        <f>SUM(OSRRefN21_7x_0)</f>
        <v>1204</v>
      </c>
      <c r="O54" s="4"/>
      <c r="P54" s="1">
        <f>SUM(OSRRefP21_7x_0)</f>
        <v>900</v>
      </c>
      <c r="Q54" s="4"/>
      <c r="R54" s="1">
        <f>SUM(OSRRefR21_7x_0)</f>
        <v>1500</v>
      </c>
    </row>
    <row r="55" spans="1:18" s="16" customFormat="1" hidden="1" outlineLevel="2" x14ac:dyDescent="0.35">
      <c r="B55" s="11" t="str">
        <f>CONCATENATE("          ", "6309", " - ", "TELEPHONE")</f>
        <v xml:space="preserve">          6309 - TELEPHONE</v>
      </c>
      <c r="D55" s="2">
        <v>1060.67</v>
      </c>
      <c r="F55" s="2">
        <v>609.47</v>
      </c>
      <c r="G55" s="3"/>
      <c r="H55" s="2">
        <v>666.22</v>
      </c>
      <c r="I55" s="3"/>
      <c r="J55" s="2">
        <v>742.95</v>
      </c>
      <c r="K55" s="3"/>
      <c r="L55" s="2">
        <v>579.26</v>
      </c>
      <c r="M55" s="3"/>
      <c r="N55" s="2">
        <v>1204</v>
      </c>
      <c r="O55" s="3"/>
      <c r="P55" s="2">
        <v>900</v>
      </c>
      <c r="Q55" s="3"/>
      <c r="R55" s="2">
        <v>1500</v>
      </c>
    </row>
    <row r="56" spans="1:18" s="15" customFormat="1" outlineLevel="1" collapsed="1" x14ac:dyDescent="0.35">
      <c r="A56" s="7"/>
      <c r="B56" s="20" t="str">
        <f>CONCATENATE("     ","Travel                                            ")</f>
        <v xml:space="preserve">     Travel                                            </v>
      </c>
      <c r="C56" s="7"/>
      <c r="D56" s="1">
        <f>SUM(OSRRefD21_8x_0)</f>
        <v>852.43</v>
      </c>
      <c r="E56" s="19"/>
      <c r="F56" s="1">
        <f>SUM(OSRRefF21_8x_0)</f>
        <v>297.70999999999998</v>
      </c>
      <c r="G56" s="4"/>
      <c r="H56" s="1">
        <f>SUM(OSRRefH21_8x_0)</f>
        <v>28.7</v>
      </c>
      <c r="I56" s="4"/>
      <c r="J56" s="1">
        <f>SUM(OSRRefJ21_8x_0)</f>
        <v>333.95</v>
      </c>
      <c r="K56" s="4"/>
      <c r="L56" s="1">
        <f>SUM(OSRRefL21_8x_0)</f>
        <v>291.51</v>
      </c>
      <c r="M56" s="4"/>
      <c r="N56" s="1">
        <f>SUM(OSRRefN21_8x_0)</f>
        <v>256.86</v>
      </c>
      <c r="O56" s="4"/>
      <c r="P56" s="1">
        <f>SUM(OSRRefP21_8x_0)</f>
        <v>0</v>
      </c>
      <c r="Q56" s="4"/>
      <c r="R56" s="1">
        <f>SUM(OSRRefR21_8x_0)</f>
        <v>0</v>
      </c>
    </row>
    <row r="57" spans="1:18" s="16" customFormat="1" hidden="1" outlineLevel="2" x14ac:dyDescent="0.35">
      <c r="B57" s="11" t="str">
        <f>CONCATENATE("          ", "6292", " - ", "TRAVEL/CONFERENCE")</f>
        <v xml:space="preserve">          6292 - TRAVEL/CONFERENCE</v>
      </c>
      <c r="D57" s="2">
        <v>852.43</v>
      </c>
      <c r="F57" s="2">
        <v>297.70999999999998</v>
      </c>
      <c r="G57" s="3"/>
      <c r="H57" s="2">
        <v>28.7</v>
      </c>
      <c r="I57" s="3"/>
      <c r="J57" s="2">
        <v>333.95</v>
      </c>
      <c r="K57" s="3"/>
      <c r="L57" s="2">
        <v>291.51</v>
      </c>
      <c r="M57" s="3"/>
      <c r="N57" s="2">
        <v>256.86</v>
      </c>
      <c r="O57" s="3"/>
      <c r="P57" s="2"/>
      <c r="Q57" s="3"/>
      <c r="R57" s="2"/>
    </row>
    <row r="58" spans="1:18" x14ac:dyDescent="0.35">
      <c r="A58" s="12"/>
      <c r="B58" s="12"/>
      <c r="C58" s="12"/>
      <c r="D58" s="1"/>
      <c r="F58" s="1"/>
      <c r="H58" s="1"/>
      <c r="J58" s="1"/>
      <c r="L58" s="1"/>
      <c r="N58" s="1"/>
      <c r="P58" s="1"/>
      <c r="R58" s="1"/>
    </row>
    <row r="59" spans="1:18" s="7" customFormat="1" x14ac:dyDescent="0.35">
      <c r="A59" s="36"/>
      <c r="B59" s="34" t="s">
        <v>295</v>
      </c>
      <c r="D59" s="6">
        <f>SUM(0)</f>
        <v>0</v>
      </c>
      <c r="E59" s="12"/>
      <c r="F59" s="6">
        <f>SUM(0)</f>
        <v>0</v>
      </c>
      <c r="G59" s="5"/>
      <c r="H59" s="6">
        <f>SUM(0)</f>
        <v>0</v>
      </c>
      <c r="I59" s="5"/>
      <c r="J59" s="6">
        <f>SUM(0)</f>
        <v>0</v>
      </c>
      <c r="K59" s="5"/>
      <c r="L59" s="6">
        <f>SUM(0)</f>
        <v>0</v>
      </c>
      <c r="M59" s="5"/>
      <c r="N59" s="6">
        <f>SUM(0)</f>
        <v>0</v>
      </c>
      <c r="O59" s="5"/>
      <c r="P59" s="6">
        <f>SUM(0)</f>
        <v>0</v>
      </c>
      <c r="Q59" s="5"/>
      <c r="R59" s="6">
        <f>SUM(0)</f>
        <v>0</v>
      </c>
    </row>
    <row r="60" spans="1:18" x14ac:dyDescent="0.35">
      <c r="A60" s="12"/>
      <c r="B60" s="7"/>
      <c r="C60" s="7"/>
      <c r="D60" s="6"/>
      <c r="F60" s="6"/>
      <c r="H60" s="6"/>
      <c r="J60" s="6"/>
      <c r="L60" s="6"/>
      <c r="N60" s="6"/>
      <c r="P60" s="6"/>
      <c r="R60" s="6"/>
    </row>
    <row r="61" spans="1:18" s="15" customFormat="1" x14ac:dyDescent="0.35">
      <c r="A61" s="7"/>
      <c r="B61" s="22" t="s">
        <v>279</v>
      </c>
      <c r="C61" s="22"/>
      <c r="D61" s="10">
        <f>+D14-D17+D59</f>
        <v>-95626.369999999981</v>
      </c>
      <c r="E61" s="12"/>
      <c r="F61" s="10">
        <f>+F14-F17+F59</f>
        <v>-87677.540000000008</v>
      </c>
      <c r="G61" s="5"/>
      <c r="H61" s="10">
        <f>+H14-H17+H59</f>
        <v>-89423.360000000001</v>
      </c>
      <c r="I61" s="5"/>
      <c r="J61" s="10">
        <f>+J14-J17+J59</f>
        <v>-87313.900000000009</v>
      </c>
      <c r="K61" s="5"/>
      <c r="L61" s="10">
        <f>+L14-L17+L59</f>
        <v>-101277.34999999998</v>
      </c>
      <c r="M61" s="5"/>
      <c r="N61" s="10">
        <f>+N14-N17+N59</f>
        <v>-90939.59</v>
      </c>
      <c r="O61" s="5"/>
      <c r="P61" s="10">
        <f>+P14-P17+P59</f>
        <v>-101096.27799999999</v>
      </c>
      <c r="Q61" s="5"/>
      <c r="R61" s="10">
        <f>+R14-R17+R59</f>
        <v>-104608.56554</v>
      </c>
    </row>
    <row r="62" spans="1:18" s="27" customFormat="1" x14ac:dyDescent="0.35">
      <c r="A62" s="18"/>
      <c r="B62" s="31"/>
      <c r="C62" s="18"/>
      <c r="D62" s="9">
        <f>IFERROR(D61/D10, 0)</f>
        <v>0</v>
      </c>
      <c r="E62" s="18"/>
      <c r="F62" s="9">
        <f>IFERROR(F61/F10, 0)</f>
        <v>0</v>
      </c>
      <c r="G62" s="14"/>
      <c r="H62" s="9">
        <f>IFERROR(H61/H10, 0)</f>
        <v>0</v>
      </c>
      <c r="I62" s="14"/>
      <c r="J62" s="9">
        <f>IFERROR(J61/J10, 0)</f>
        <v>0</v>
      </c>
      <c r="K62" s="14"/>
      <c r="L62" s="9">
        <f>IFERROR(L61/L10, 0)</f>
        <v>0</v>
      </c>
      <c r="M62" s="14"/>
      <c r="N62" s="9">
        <f>IFERROR(N61/N10, 0)</f>
        <v>0</v>
      </c>
      <c r="O62" s="14"/>
      <c r="P62" s="9">
        <f>IFERROR(P61/P10, 0)</f>
        <v>0</v>
      </c>
      <c r="Q62" s="14"/>
      <c r="R62" s="9">
        <f>IFERROR(R61/R10, 0)</f>
        <v>0</v>
      </c>
    </row>
    <row r="63" spans="1:18" s="27" customFormat="1" x14ac:dyDescent="0.35">
      <c r="A63" s="18"/>
      <c r="B63" s="31"/>
      <c r="C63" s="18"/>
      <c r="D63" s="13"/>
      <c r="E63" s="18"/>
      <c r="F63" s="13"/>
      <c r="G63" s="14"/>
      <c r="H63" s="13"/>
      <c r="I63" s="14"/>
      <c r="J63" s="13"/>
      <c r="K63" s="14"/>
      <c r="L63" s="13"/>
      <c r="M63" s="14"/>
      <c r="N63" s="13"/>
      <c r="O63" s="14"/>
      <c r="P63" s="13"/>
      <c r="Q63" s="14"/>
      <c r="R63" s="13"/>
    </row>
    <row r="64" spans="1:18" s="15" customFormat="1" x14ac:dyDescent="0.35">
      <c r="A64" s="37"/>
      <c r="B64" s="7" t="s">
        <v>127</v>
      </c>
      <c r="C64" s="7"/>
      <c r="D64" s="6"/>
      <c r="E64" s="12"/>
      <c r="F64" s="6"/>
      <c r="G64" s="5"/>
      <c r="H64" s="6"/>
      <c r="I64" s="5"/>
      <c r="J64" s="6"/>
      <c r="K64" s="5"/>
      <c r="L64" s="6"/>
      <c r="M64" s="5"/>
      <c r="N64" s="6"/>
      <c r="O64" s="5"/>
      <c r="P64" s="6"/>
      <c r="Q64" s="5"/>
      <c r="R64" s="6"/>
    </row>
    <row r="65" spans="1:18" x14ac:dyDescent="0.35">
      <c r="A65" s="12"/>
      <c r="B65" s="7"/>
      <c r="C65" s="7"/>
      <c r="D65" s="6"/>
      <c r="F65" s="6"/>
      <c r="H65" s="6"/>
      <c r="J65" s="6"/>
      <c r="L65" s="6"/>
      <c r="N65" s="6"/>
      <c r="P65" s="6"/>
      <c r="R65" s="6"/>
    </row>
    <row r="66" spans="1:18" s="15" customFormat="1" x14ac:dyDescent="0.35">
      <c r="A66" s="7"/>
      <c r="B66" s="22" t="s">
        <v>126</v>
      </c>
      <c r="C66" s="22"/>
      <c r="D66" s="10">
        <f>+D61-D64</f>
        <v>-95626.369999999981</v>
      </c>
      <c r="E66" s="12"/>
      <c r="F66" s="10">
        <f>+F61-F64</f>
        <v>-87677.540000000008</v>
      </c>
      <c r="G66" s="5"/>
      <c r="H66" s="10">
        <f>+H61-H64</f>
        <v>-89423.360000000001</v>
      </c>
      <c r="I66" s="5"/>
      <c r="J66" s="10">
        <f>+J61-J64</f>
        <v>-87313.900000000009</v>
      </c>
      <c r="K66" s="5"/>
      <c r="L66" s="10">
        <f>+L61-L64</f>
        <v>-101277.34999999998</v>
      </c>
      <c r="M66" s="5"/>
      <c r="N66" s="10">
        <f>+N61-N64</f>
        <v>-90939.59</v>
      </c>
      <c r="O66" s="5"/>
      <c r="P66" s="10">
        <f>+P61-P64</f>
        <v>-101096.27799999999</v>
      </c>
      <c r="Q66" s="5"/>
      <c r="R66" s="10">
        <f>+R61-R64</f>
        <v>-104608.56554</v>
      </c>
    </row>
    <row r="67" spans="1:18" s="27" customFormat="1" x14ac:dyDescent="0.35">
      <c r="A67" s="18"/>
      <c r="B67" s="18"/>
      <c r="C67" s="18"/>
      <c r="D67" s="9">
        <f>IFERROR(D66/D10, 0)</f>
        <v>0</v>
      </c>
      <c r="E67" s="18"/>
      <c r="F67" s="9">
        <f>IFERROR(F66/F10, 0)</f>
        <v>0</v>
      </c>
      <c r="G67" s="14"/>
      <c r="H67" s="9">
        <f>IFERROR(H66/H10, 0)</f>
        <v>0</v>
      </c>
      <c r="I67" s="14"/>
      <c r="J67" s="9">
        <f>IFERROR(J66/J10, 0)</f>
        <v>0</v>
      </c>
      <c r="K67" s="14"/>
      <c r="L67" s="9">
        <f>IFERROR(L66/L10, 0)</f>
        <v>0</v>
      </c>
      <c r="M67" s="14"/>
      <c r="N67" s="9">
        <f>IFERROR(N66/N10, 0)</f>
        <v>0</v>
      </c>
      <c r="O67" s="14"/>
      <c r="P67" s="9">
        <f>IFERROR(P66/P10, 0)</f>
        <v>0</v>
      </c>
      <c r="Q67" s="14"/>
      <c r="R67" s="9">
        <f>IFERROR(R66/R10, 0)</f>
        <v>0</v>
      </c>
    </row>
    <row r="68" spans="1:18" s="27" customFormat="1" x14ac:dyDescent="0.35">
      <c r="A68" s="18"/>
      <c r="B68" s="18"/>
      <c r="C68" s="18"/>
      <c r="D68" s="13"/>
      <c r="E68" s="18"/>
      <c r="F68" s="13"/>
      <c r="G68" s="14"/>
      <c r="H68" s="13"/>
      <c r="I68" s="14"/>
      <c r="J68" s="13"/>
      <c r="K68" s="14"/>
      <c r="L68" s="13"/>
      <c r="M68" s="14"/>
      <c r="N68" s="13"/>
      <c r="O68" s="14"/>
      <c r="P68" s="13"/>
      <c r="Q68" s="14"/>
      <c r="R68" s="13"/>
    </row>
    <row r="69" spans="1:18" x14ac:dyDescent="0.35">
      <c r="A69" s="12"/>
      <c r="B69" s="12"/>
      <c r="C69" s="12"/>
      <c r="D69" s="6"/>
      <c r="F69" s="6"/>
      <c r="H69" s="6"/>
      <c r="J69" s="6"/>
      <c r="L69" s="6"/>
      <c r="N69" s="6"/>
      <c r="P69" s="6"/>
      <c r="R69" s="6"/>
    </row>
    <row r="70" spans="1:18" s="15" customFormat="1" x14ac:dyDescent="0.35">
      <c r="A70" s="7"/>
      <c r="B70" s="22" t="s">
        <v>296</v>
      </c>
      <c r="C70" s="22"/>
      <c r="D70" s="10">
        <f>SUM(D66:D69)</f>
        <v>-95626.369999999981</v>
      </c>
      <c r="E70" s="12"/>
      <c r="F70" s="10">
        <f>SUM(F66:F69)</f>
        <v>-87677.540000000008</v>
      </c>
      <c r="G70" s="5"/>
      <c r="H70" s="10">
        <f>SUM(H66:H69)</f>
        <v>-89423.360000000001</v>
      </c>
      <c r="I70" s="5"/>
      <c r="J70" s="10">
        <f>SUM(J66:J69)</f>
        <v>-87313.900000000009</v>
      </c>
      <c r="K70" s="5"/>
      <c r="L70" s="10">
        <f>SUM(L66:L69)</f>
        <v>-101277.34999999998</v>
      </c>
      <c r="M70" s="5"/>
      <c r="N70" s="10">
        <f>SUM(N66:N69)</f>
        <v>-90939.59</v>
      </c>
      <c r="O70" s="5"/>
      <c r="P70" s="10">
        <f>SUM(P66:P69)</f>
        <v>-101096.27799999999</v>
      </c>
      <c r="Q70" s="5"/>
      <c r="R70" s="10">
        <f>SUM(R66:R69)</f>
        <v>-104608.56554</v>
      </c>
    </row>
    <row r="71" spans="1:18" s="27" customFormat="1" x14ac:dyDescent="0.35">
      <c r="A71" s="18"/>
      <c r="B71" s="41"/>
      <c r="C71" s="18"/>
      <c r="D71" s="9">
        <f>IFERROR(D70/D10, 0)</f>
        <v>0</v>
      </c>
      <c r="E71" s="18"/>
      <c r="F71" s="9">
        <f>IFERROR(F70/F10, 0)</f>
        <v>0</v>
      </c>
      <c r="G71" s="14"/>
      <c r="H71" s="9">
        <f>IFERROR(H70/H10, 0)</f>
        <v>0</v>
      </c>
      <c r="I71" s="14"/>
      <c r="J71" s="9">
        <f>IFERROR(J70/J10, 0)</f>
        <v>0</v>
      </c>
      <c r="K71" s="14"/>
      <c r="L71" s="9">
        <f>IFERROR(L70/L10, 0)</f>
        <v>0</v>
      </c>
      <c r="M71" s="14"/>
      <c r="N71" s="9">
        <f>IFERROR(N70/N10, 0)</f>
        <v>0</v>
      </c>
      <c r="O71" s="14"/>
      <c r="P71" s="9">
        <f>IFERROR(P70/P10, 0)</f>
        <v>0</v>
      </c>
      <c r="Q71" s="14"/>
      <c r="R71" s="9">
        <f>IFERROR(R70/R10, 0)</f>
        <v>0</v>
      </c>
    </row>
    <row r="72" spans="1:18" x14ac:dyDescent="0.35">
      <c r="A72" s="12"/>
      <c r="B72" s="40">
        <v>44319.883572604165</v>
      </c>
      <c r="D72" s="24"/>
      <c r="F72" s="24"/>
      <c r="H72" s="24"/>
      <c r="J72" s="24"/>
      <c r="L72" s="24"/>
      <c r="N72" s="24"/>
      <c r="P72" s="24"/>
      <c r="R72" s="24"/>
    </row>
    <row r="73" spans="1:18" x14ac:dyDescent="0.35">
      <c r="A73" s="12"/>
      <c r="B73" s="39" t="s">
        <v>23</v>
      </c>
      <c r="D73" s="24"/>
      <c r="F73" s="24"/>
      <c r="H73" s="24"/>
      <c r="J73" s="24"/>
      <c r="L73" s="24"/>
      <c r="N73" s="24"/>
      <c r="P73" s="24"/>
      <c r="R73" s="24"/>
    </row>
    <row r="74" spans="1:18" x14ac:dyDescent="0.35">
      <c r="A74" s="12"/>
      <c r="D74" s="24"/>
      <c r="F74" s="24"/>
      <c r="H74" s="24"/>
      <c r="J74" s="24"/>
      <c r="L74" s="24"/>
      <c r="N74" s="24"/>
      <c r="P74" s="24"/>
      <c r="R74" s="24"/>
    </row>
    <row r="75" spans="1:18" x14ac:dyDescent="0.35">
      <c r="D75" s="24"/>
      <c r="F75" s="24"/>
      <c r="H75" s="24"/>
      <c r="J75" s="24"/>
      <c r="L75" s="24"/>
      <c r="N75" s="24"/>
      <c r="P75" s="24"/>
      <c r="R75" s="24"/>
    </row>
  </sheetData>
  <pageMargins left="0.5" right="0.5" top="0.5" bottom="0.5" header="0.3" footer="0.3"/>
  <pageSetup scale="59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8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","206", " - ", "Communications")</f>
        <v>Department 206 - Communications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144769.47999999995</v>
      </c>
      <c r="E17" s="19"/>
      <c r="F17" s="8">
        <f>SUM(OSRRefF21x_0)</f>
        <v>109783.08000000002</v>
      </c>
      <c r="G17" s="4"/>
      <c r="H17" s="8">
        <f>SUM(OSRRefH21x_0)</f>
        <v>158675.85999999999</v>
      </c>
      <c r="I17" s="4"/>
      <c r="J17" s="8">
        <f>SUM(OSRRefJ21x_0)</f>
        <v>98833.48000000001</v>
      </c>
      <c r="K17" s="4"/>
      <c r="L17" s="8">
        <f>SUM(OSRRefL21x_0)</f>
        <v>69392.909999999989</v>
      </c>
      <c r="M17" s="4"/>
      <c r="N17" s="8">
        <f>SUM(OSRRefN21x_0)</f>
        <v>106543.27999999998</v>
      </c>
      <c r="O17" s="4"/>
      <c r="P17" s="8">
        <f>SUM(OSRRefP21x_0)</f>
        <v>220150.97500000001</v>
      </c>
      <c r="Q17" s="4"/>
      <c r="R17" s="8">
        <f>SUM(OSRRefR21x_0)</f>
        <v>158346.57616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71070.649999999994</v>
      </c>
      <c r="E18" s="19"/>
      <c r="F18" s="1">
        <f>SUM(OSRRefF21_0x_0)</f>
        <v>79303.240000000005</v>
      </c>
      <c r="G18" s="4"/>
      <c r="H18" s="1">
        <f>SUM(OSRRefH21_0x_0)</f>
        <v>88904.339999999982</v>
      </c>
      <c r="I18" s="4"/>
      <c r="J18" s="1">
        <f>SUM(OSRRefJ21_0x_0)</f>
        <v>81422.720000000001</v>
      </c>
      <c r="K18" s="4"/>
      <c r="L18" s="1">
        <f>SUM(OSRRefL21_0x_0)</f>
        <v>58547.85</v>
      </c>
      <c r="M18" s="4"/>
      <c r="N18" s="1">
        <f>SUM(OSRRefN21_0x_0)</f>
        <v>20837.550000000003</v>
      </c>
      <c r="O18" s="4"/>
      <c r="P18" s="1">
        <f>SUM(OSRRefP21_0x_0)</f>
        <v>21165.974999999999</v>
      </c>
      <c r="Q18" s="4"/>
      <c r="R18" s="1">
        <f>SUM(OSRRefR21_0x_0)</f>
        <v>28958.73616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9500.3799999999992</v>
      </c>
      <c r="F19" s="2">
        <v>9629.93</v>
      </c>
      <c r="G19" s="3"/>
      <c r="H19" s="2">
        <v>11278.13</v>
      </c>
      <c r="I19" s="3"/>
      <c r="J19" s="2">
        <v>11465.56</v>
      </c>
      <c r="K19" s="3"/>
      <c r="L19" s="2">
        <v>12956.32</v>
      </c>
      <c r="M19" s="3"/>
      <c r="N19" s="2">
        <v>5453.03</v>
      </c>
      <c r="O19" s="3"/>
      <c r="P19" s="2">
        <v>5165.7749999999996</v>
      </c>
      <c r="Q19" s="3"/>
      <c r="R19" s="2">
        <v>5555.46576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487.5</v>
      </c>
      <c r="F20" s="2">
        <v>977.08</v>
      </c>
      <c r="G20" s="3"/>
      <c r="H20" s="2">
        <v>711.32</v>
      </c>
      <c r="I20" s="3"/>
      <c r="J20" s="2">
        <v>448.08</v>
      </c>
      <c r="K20" s="3"/>
      <c r="L20" s="2">
        <v>643.57000000000005</v>
      </c>
      <c r="M20" s="3"/>
      <c r="N20" s="2">
        <v>295.89999999999998</v>
      </c>
      <c r="O20" s="3"/>
      <c r="P20" s="2">
        <v>257.39999999999998</v>
      </c>
      <c r="Q20" s="3"/>
      <c r="R20" s="2">
        <v>302.41120000000001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32565.61</v>
      </c>
      <c r="F21" s="2">
        <v>41660.22</v>
      </c>
      <c r="G21" s="3"/>
      <c r="H21" s="2">
        <v>47269</v>
      </c>
      <c r="I21" s="3"/>
      <c r="J21" s="2">
        <v>42610.98</v>
      </c>
      <c r="K21" s="3"/>
      <c r="L21" s="2">
        <v>30708.03</v>
      </c>
      <c r="M21" s="3"/>
      <c r="N21" s="2">
        <v>8410.68</v>
      </c>
      <c r="O21" s="3"/>
      <c r="P21" s="2">
        <v>7980</v>
      </c>
      <c r="Q21" s="3"/>
      <c r="R21" s="2">
        <v>16584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932.33</v>
      </c>
      <c r="F22" s="2">
        <v>947.68</v>
      </c>
      <c r="G22" s="3"/>
      <c r="H22" s="2">
        <v>515.05999999999995</v>
      </c>
      <c r="I22" s="3"/>
      <c r="J22" s="2">
        <v>533.75</v>
      </c>
      <c r="K22" s="3"/>
      <c r="L22" s="2">
        <v>585.27</v>
      </c>
      <c r="M22" s="3"/>
      <c r="N22" s="2">
        <v>0</v>
      </c>
      <c r="O22" s="3"/>
      <c r="P22" s="2">
        <v>202.8</v>
      </c>
      <c r="Q22" s="3"/>
      <c r="R22" s="2">
        <v>204.85919999999999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10204.52</v>
      </c>
      <c r="F23" s="2">
        <v>7206.96</v>
      </c>
      <c r="G23" s="3"/>
      <c r="H23" s="2">
        <v>9275.0400000000009</v>
      </c>
      <c r="I23" s="3"/>
      <c r="J23" s="2">
        <v>6905.02</v>
      </c>
      <c r="K23" s="3"/>
      <c r="L23" s="2">
        <v>6000.81</v>
      </c>
      <c r="M23" s="3"/>
      <c r="N23" s="2"/>
      <c r="O23" s="3"/>
      <c r="P23" s="2">
        <v>0</v>
      </c>
      <c r="Q23" s="3"/>
      <c r="R23" s="2">
        <v>0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/>
      <c r="G24" s="3"/>
      <c r="H24" s="2"/>
      <c r="I24" s="3"/>
      <c r="J24" s="2"/>
      <c r="K24" s="3"/>
      <c r="L24" s="2"/>
      <c r="M24" s="3"/>
      <c r="N24" s="2"/>
      <c r="O24" s="3"/>
      <c r="P24" s="2">
        <v>0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"6118", " - ", "VACATION")</f>
        <v xml:space="preserve">          6118 - VACATION</v>
      </c>
      <c r="D25" s="2">
        <v>8959.6200000000008</v>
      </c>
      <c r="F25" s="2">
        <v>10411.99</v>
      </c>
      <c r="G25" s="3"/>
      <c r="H25" s="2">
        <v>10753.63</v>
      </c>
      <c r="I25" s="3"/>
      <c r="J25" s="2">
        <v>10304.32</v>
      </c>
      <c r="K25" s="3"/>
      <c r="L25" s="2">
        <v>8932.11</v>
      </c>
      <c r="M25" s="3"/>
      <c r="N25" s="2">
        <v>2402.4</v>
      </c>
      <c r="O25" s="3"/>
      <c r="P25" s="2">
        <v>3120</v>
      </c>
      <c r="Q25" s="3"/>
      <c r="R25" s="2">
        <v>1928.16</v>
      </c>
    </row>
    <row r="26" spans="1:18" s="16" customFormat="1" hidden="1" outlineLevel="2" x14ac:dyDescent="0.35">
      <c r="B26" s="11" t="str">
        <f>CONCATENATE("          ", "6119", " - ", "SICK LEAVE")</f>
        <v xml:space="preserve">          6119 - SICK LEAVE</v>
      </c>
      <c r="D26" s="2">
        <v>4996.38</v>
      </c>
      <c r="F26" s="2">
        <v>5665.35</v>
      </c>
      <c r="G26" s="3"/>
      <c r="H26" s="2">
        <v>5797.68</v>
      </c>
      <c r="I26" s="3"/>
      <c r="J26" s="2">
        <v>6030.77</v>
      </c>
      <c r="K26" s="3"/>
      <c r="L26" s="2">
        <v>-4250.45</v>
      </c>
      <c r="M26" s="3"/>
      <c r="N26" s="2">
        <v>2878.2</v>
      </c>
      <c r="O26" s="3"/>
      <c r="P26" s="2">
        <v>2340</v>
      </c>
      <c r="Q26" s="3"/>
      <c r="R26" s="2">
        <v>2283.84</v>
      </c>
    </row>
    <row r="27" spans="1:18" s="16" customFormat="1" hidden="1" outlineLevel="2" x14ac:dyDescent="0.35">
      <c r="B27" s="11" t="str">
        <f>CONCATENATE("          ", "6156", " - ", "EMPLOYEE MEALS")</f>
        <v xml:space="preserve">          6156 - EMPLOYEE MEALS</v>
      </c>
      <c r="D27" s="2">
        <v>3424.31</v>
      </c>
      <c r="F27" s="2">
        <v>2804.03</v>
      </c>
      <c r="G27" s="3"/>
      <c r="H27" s="2">
        <v>3304.48</v>
      </c>
      <c r="I27" s="3"/>
      <c r="J27" s="2">
        <v>3124.24</v>
      </c>
      <c r="K27" s="3"/>
      <c r="L27" s="2">
        <v>2972.19</v>
      </c>
      <c r="M27" s="3"/>
      <c r="N27" s="2">
        <v>1397.34</v>
      </c>
      <c r="O27" s="3"/>
      <c r="P27" s="2">
        <v>2100</v>
      </c>
      <c r="Q27" s="3"/>
      <c r="R27" s="2">
        <v>2100</v>
      </c>
    </row>
    <row r="28" spans="1:18" s="15" customFormat="1" outlineLevel="1" collapsed="1" x14ac:dyDescent="0.35">
      <c r="A28" s="7"/>
      <c r="B28" s="20" t="str">
        <f>CONCATENATE("     ","*Payroll                                          ")</f>
        <v xml:space="preserve">     *Payroll                                          </v>
      </c>
      <c r="C28" s="7"/>
      <c r="D28" s="1">
        <f>SUM(OSRRefD21_1x_0)</f>
        <v>149335.66</v>
      </c>
      <c r="E28" s="19"/>
      <c r="F28" s="1">
        <f>SUM(OSRRefF21_1x_0)</f>
        <v>133972.78999999998</v>
      </c>
      <c r="G28" s="4"/>
      <c r="H28" s="1">
        <f>SUM(OSRRefH21_1x_0)</f>
        <v>162744.82</v>
      </c>
      <c r="I28" s="4"/>
      <c r="J28" s="1">
        <f>SUM(OSRRefJ21_1x_0)</f>
        <v>174089.53999999998</v>
      </c>
      <c r="K28" s="4"/>
      <c r="L28" s="1">
        <f>SUM(OSRRefL21_1x_0)</f>
        <v>187721.77</v>
      </c>
      <c r="M28" s="4"/>
      <c r="N28" s="1">
        <f>SUM(OSRRefN21_1x_0)</f>
        <v>119549.47</v>
      </c>
      <c r="O28" s="4"/>
      <c r="P28" s="1">
        <f>SUM(OSRRefP21_1x_0)</f>
        <v>73788</v>
      </c>
      <c r="Q28" s="4"/>
      <c r="R28" s="1">
        <f>SUM(OSRRefR21_1x_0)</f>
        <v>95623.84</v>
      </c>
    </row>
    <row r="29" spans="1:18" s="16" customFormat="1" hidden="1" outlineLevel="2" x14ac:dyDescent="0.35">
      <c r="B29" s="11" t="str">
        <f>CONCATENATE("          ", "6001", " - ", "ADMINISTRATIVE SALARIES")</f>
        <v xml:space="preserve">          6001 - ADMINISTRATIVE SALARIES</v>
      </c>
      <c r="D29" s="2">
        <v>69447.259999999995</v>
      </c>
      <c r="F29" s="2">
        <v>51611.77</v>
      </c>
      <c r="G29" s="3"/>
      <c r="H29" s="2">
        <v>75876.67</v>
      </c>
      <c r="I29" s="3"/>
      <c r="J29" s="2">
        <v>81549.64</v>
      </c>
      <c r="K29" s="3"/>
      <c r="L29" s="2">
        <v>65342.400000000001</v>
      </c>
      <c r="M29" s="3"/>
      <c r="N29" s="2"/>
      <c r="O29" s="3"/>
      <c r="P29" s="2">
        <v>0</v>
      </c>
      <c r="Q29" s="3"/>
      <c r="R29" s="2">
        <v>0</v>
      </c>
    </row>
    <row r="30" spans="1:18" s="16" customFormat="1" hidden="1" outlineLevel="2" x14ac:dyDescent="0.35">
      <c r="B30" s="11" t="str">
        <f>CONCATENATE("          ", "6002", " - ", "STAFF SALARIES")</f>
        <v xml:space="preserve">          6002 - STAFF SALARIES</v>
      </c>
      <c r="D30" s="2">
        <v>35849.65</v>
      </c>
      <c r="F30" s="2">
        <v>36065.449999999997</v>
      </c>
      <c r="G30" s="3"/>
      <c r="H30" s="2">
        <v>42041.95</v>
      </c>
      <c r="I30" s="3"/>
      <c r="J30" s="2">
        <v>11938.39</v>
      </c>
      <c r="K30" s="3"/>
      <c r="L30" s="2">
        <v>-168.26</v>
      </c>
      <c r="M30" s="3"/>
      <c r="N30" s="2"/>
      <c r="O30" s="3"/>
      <c r="P30" s="2">
        <v>0</v>
      </c>
      <c r="Q30" s="3"/>
      <c r="R30" s="2">
        <v>0</v>
      </c>
    </row>
    <row r="31" spans="1:18" s="16" customFormat="1" hidden="1" outlineLevel="2" x14ac:dyDescent="0.35">
      <c r="B31" s="11" t="str">
        <f>CONCATENATE("          ", "6003", " - ", "STAFF HOURLY-9 MONTH")</f>
        <v xml:space="preserve">          6003 - STAFF HOURLY-9 MONTH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"6004", " - ", "STAFF HOURLY")</f>
        <v xml:space="preserve">          6004 - STAFF HOURLY</v>
      </c>
      <c r="D32" s="2"/>
      <c r="F32" s="2"/>
      <c r="G32" s="3"/>
      <c r="H32" s="2"/>
      <c r="I32" s="3"/>
      <c r="J32" s="2">
        <v>22791</v>
      </c>
      <c r="K32" s="3"/>
      <c r="L32" s="2">
        <v>48894.78</v>
      </c>
      <c r="M32" s="3"/>
      <c r="N32" s="2">
        <v>62899.5</v>
      </c>
      <c r="O32" s="3"/>
      <c r="P32" s="2">
        <v>58656</v>
      </c>
      <c r="Q32" s="3"/>
      <c r="R32" s="2">
        <v>62343.839999999997</v>
      </c>
    </row>
    <row r="33" spans="1:18" s="16" customFormat="1" hidden="1" outlineLevel="2" x14ac:dyDescent="0.35">
      <c r="B33" s="11" t="str">
        <f>CONCATENATE("          ", "6005", " - ", "TEMPORARY WAGES-HOURLY")</f>
        <v xml:space="preserve">          6005 - TEMPORARY WAGES-HOURLY</v>
      </c>
      <c r="D33" s="2">
        <v>43.56</v>
      </c>
      <c r="F33" s="2"/>
      <c r="G33" s="3"/>
      <c r="H33" s="2">
        <v>2860</v>
      </c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"6006", " - ", "TEMPORARY PART TIME")</f>
        <v xml:space="preserve">          6006 - TEMPORARY PART TIME</v>
      </c>
      <c r="D34" s="2">
        <v>10061.969999999999</v>
      </c>
      <c r="F34" s="2">
        <v>4276.26</v>
      </c>
      <c r="G34" s="3"/>
      <c r="H34" s="2">
        <v>840.02</v>
      </c>
      <c r="I34" s="3"/>
      <c r="J34" s="2">
        <v>1817.92</v>
      </c>
      <c r="K34" s="3"/>
      <c r="L34" s="2">
        <v>6605.56</v>
      </c>
      <c r="M34" s="3"/>
      <c r="N34" s="2">
        <v>2361.4299999999998</v>
      </c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"6007", " - ", "STUDENT HOURLY")</f>
        <v xml:space="preserve">          6007 - STUDENT HOURLY</v>
      </c>
      <c r="D35" s="2">
        <v>30963.72</v>
      </c>
      <c r="F35" s="2">
        <v>42019.31</v>
      </c>
      <c r="G35" s="3"/>
      <c r="H35" s="2">
        <v>41126.18</v>
      </c>
      <c r="I35" s="3"/>
      <c r="J35" s="2">
        <v>55992.59</v>
      </c>
      <c r="K35" s="3"/>
      <c r="L35" s="2">
        <v>67047.289999999994</v>
      </c>
      <c r="M35" s="3"/>
      <c r="N35" s="2">
        <v>41753.5</v>
      </c>
      <c r="O35" s="3"/>
      <c r="P35" s="2">
        <v>4947</v>
      </c>
      <c r="Q35" s="3"/>
      <c r="R35" s="2">
        <v>8320</v>
      </c>
    </row>
    <row r="36" spans="1:18" s="16" customFormat="1" hidden="1" outlineLevel="2" x14ac:dyDescent="0.35">
      <c r="B36" s="11" t="str">
        <f>CONCATENATE("          ", "6008", " - ", "STUDENT HOURLY-FICA EXEMPT")</f>
        <v xml:space="preserve">          6008 - STUDENT HOURLY-FICA EXEMPT</v>
      </c>
      <c r="D36" s="2">
        <v>2969.5</v>
      </c>
      <c r="F36" s="2"/>
      <c r="G36" s="3"/>
      <c r="H36" s="2"/>
      <c r="I36" s="3"/>
      <c r="J36" s="2"/>
      <c r="K36" s="3"/>
      <c r="L36" s="2"/>
      <c r="M36" s="3"/>
      <c r="N36" s="2">
        <v>12535.04</v>
      </c>
      <c r="O36" s="3"/>
      <c r="P36" s="2">
        <v>10185</v>
      </c>
      <c r="Q36" s="3"/>
      <c r="R36" s="2">
        <v>24960</v>
      </c>
    </row>
    <row r="37" spans="1:18" s="16" customFormat="1" hidden="1" outlineLevel="2" x14ac:dyDescent="0.35">
      <c r="B37" s="11" t="str">
        <f>CONCATENATE("          ", "6009", " - ", "TEMPORARY-SEASONAL")</f>
        <v xml:space="preserve">          6009 - TEMPORARY-SEASONAL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"6010", " - ", "GRATUITY")</f>
        <v xml:space="preserve">          6010 - GRATUITY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5" customFormat="1" outlineLevel="1" collapsed="1" x14ac:dyDescent="0.35">
      <c r="A39" s="7"/>
      <c r="B39" s="20" t="str">
        <f>CONCATENATE("     ","Advertising/Promo                                 ")</f>
        <v xml:space="preserve">     Advertising/Promo                                 </v>
      </c>
      <c r="C39" s="7"/>
      <c r="D39" s="1">
        <f>SUM(OSRRefD21_2x_0)</f>
        <v>-89761.66</v>
      </c>
      <c r="E39" s="19"/>
      <c r="F39" s="1">
        <f>SUM(OSRRefF21_2x_0)</f>
        <v>-110936.21</v>
      </c>
      <c r="G39" s="4"/>
      <c r="H39" s="1">
        <f>SUM(OSRRefH21_2x_0)</f>
        <v>-93233.71</v>
      </c>
      <c r="I39" s="4"/>
      <c r="J39" s="1">
        <f>SUM(OSRRefJ21_2x_0)</f>
        <v>-162867.78</v>
      </c>
      <c r="K39" s="4"/>
      <c r="L39" s="1">
        <f>SUM(OSRRefL21_2x_0)</f>
        <v>-186087.98</v>
      </c>
      <c r="M39" s="4"/>
      <c r="N39" s="1">
        <f>SUM(OSRRefN21_2x_0)</f>
        <v>-45543.57</v>
      </c>
      <c r="O39" s="4"/>
      <c r="P39" s="1">
        <f>SUM(OSRRefP21_2x_0)</f>
        <v>100000</v>
      </c>
      <c r="Q39" s="4"/>
      <c r="R39" s="1">
        <f>SUM(OSRRefR21_2x_0)</f>
        <v>5000</v>
      </c>
    </row>
    <row r="40" spans="1:18" s="16" customFormat="1" hidden="1" outlineLevel="2" x14ac:dyDescent="0.35">
      <c r="B40" s="11" t="str">
        <f>CONCATENATE("          ", "6362", " - ", "ADVERTISING EXPENSE")</f>
        <v xml:space="preserve">          6362 - ADVERTISING EXPENSE</v>
      </c>
      <c r="D40" s="2">
        <v>-89761.66</v>
      </c>
      <c r="F40" s="2">
        <v>-110936.21</v>
      </c>
      <c r="G40" s="3"/>
      <c r="H40" s="2">
        <v>-93233.71</v>
      </c>
      <c r="I40" s="3"/>
      <c r="J40" s="2">
        <v>-162867.78</v>
      </c>
      <c r="K40" s="3"/>
      <c r="L40" s="2">
        <v>-186087.98</v>
      </c>
      <c r="M40" s="3"/>
      <c r="N40" s="2">
        <v>-45543.57</v>
      </c>
      <c r="O40" s="3"/>
      <c r="P40" s="2">
        <v>100000</v>
      </c>
      <c r="Q40" s="3"/>
      <c r="R40" s="2">
        <v>5000</v>
      </c>
    </row>
    <row r="41" spans="1:18" s="15" customFormat="1" outlineLevel="1" collapsed="1" x14ac:dyDescent="0.35">
      <c r="A41" s="7"/>
      <c r="B41" s="20" t="str">
        <f>CONCATENATE("     ","Depreciation                                      ")</f>
        <v xml:space="preserve">     Depreciation                                      </v>
      </c>
      <c r="C41" s="7"/>
      <c r="D41" s="1">
        <f>SUM(OSRRefD21_3x_0)</f>
        <v>2314.02</v>
      </c>
      <c r="E41" s="19"/>
      <c r="F41" s="1">
        <f>SUM(OSRRefF21_3x_0)</f>
        <v>2533.67</v>
      </c>
      <c r="G41" s="4"/>
      <c r="H41" s="1">
        <f>SUM(OSRRefH21_3x_0)</f>
        <v>2346.9499999999998</v>
      </c>
      <c r="I41" s="4"/>
      <c r="J41" s="1">
        <f>SUM(OSRRefJ21_3x_0)</f>
        <v>1649.25</v>
      </c>
      <c r="K41" s="4"/>
      <c r="L41" s="1">
        <f>SUM(OSRRefL21_3x_0)</f>
        <v>3548.18</v>
      </c>
      <c r="M41" s="4"/>
      <c r="N41" s="1">
        <f>SUM(OSRRefN21_3x_0)</f>
        <v>3474.95</v>
      </c>
      <c r="O41" s="4"/>
      <c r="P41" s="1">
        <f>SUM(OSRRefP21_3x_0)</f>
        <v>1897</v>
      </c>
      <c r="Q41" s="4"/>
      <c r="R41" s="1">
        <f>SUM(OSRRefR21_3x_0)</f>
        <v>0</v>
      </c>
    </row>
    <row r="42" spans="1:18" s="16" customFormat="1" hidden="1" outlineLevel="2" x14ac:dyDescent="0.35">
      <c r="B42" s="11" t="str">
        <f>CONCATENATE("          ", "6322", " - ", "EQUIPMENT DEPRECIATION EXPENSE")</f>
        <v xml:space="preserve">          6322 - EQUIPMENT DEPRECIATION EXPENSE</v>
      </c>
      <c r="D42" s="2">
        <v>2314.02</v>
      </c>
      <c r="F42" s="2">
        <v>2533.67</v>
      </c>
      <c r="G42" s="3"/>
      <c r="H42" s="2">
        <v>2346.9499999999998</v>
      </c>
      <c r="I42" s="3"/>
      <c r="J42" s="2">
        <v>1649.25</v>
      </c>
      <c r="K42" s="3"/>
      <c r="L42" s="2">
        <v>3548.18</v>
      </c>
      <c r="M42" s="3"/>
      <c r="N42" s="2">
        <v>3474.95</v>
      </c>
      <c r="O42" s="3"/>
      <c r="P42" s="2">
        <v>1897</v>
      </c>
      <c r="Q42" s="3"/>
      <c r="R42" s="2"/>
    </row>
    <row r="43" spans="1:18" s="15" customFormat="1" outlineLevel="1" collapsed="1" x14ac:dyDescent="0.35">
      <c r="A43" s="7"/>
      <c r="B43" s="20" t="str">
        <f>CONCATENATE("     ","Employees' Appreciation                           ")</f>
        <v xml:space="preserve">     Employees' Appreciation                           </v>
      </c>
      <c r="C43" s="7"/>
      <c r="D43" s="1">
        <f>SUM(OSRRefD21_4x_0)</f>
        <v>295.07</v>
      </c>
      <c r="E43" s="19"/>
      <c r="F43" s="1">
        <f>SUM(OSRRefF21_4x_0)</f>
        <v>149.44999999999999</v>
      </c>
      <c r="G43" s="4"/>
      <c r="H43" s="1">
        <f>SUM(OSRRefH21_4x_0)</f>
        <v>-310.42</v>
      </c>
      <c r="I43" s="4"/>
      <c r="J43" s="1">
        <f>SUM(OSRRefJ21_4x_0)</f>
        <v>0</v>
      </c>
      <c r="K43" s="4"/>
      <c r="L43" s="1">
        <f>SUM(OSRRefL21_4x_0)</f>
        <v>0</v>
      </c>
      <c r="M43" s="4"/>
      <c r="N43" s="1">
        <f>SUM(OSRRefN21_4x_0)</f>
        <v>30.15</v>
      </c>
      <c r="O43" s="4"/>
      <c r="P43" s="1">
        <f>SUM(OSRRefP21_4x_0)</f>
        <v>500</v>
      </c>
      <c r="Q43" s="4"/>
      <c r="R43" s="1">
        <f>SUM(OSRRefR21_4x_0)</f>
        <v>500</v>
      </c>
    </row>
    <row r="44" spans="1:18" s="16" customFormat="1" hidden="1" outlineLevel="2" x14ac:dyDescent="0.35">
      <c r="B44" s="11" t="str">
        <f>CONCATENATE("          ", "6277", " - ", "EMPLOYEE APPRECIATION")</f>
        <v xml:space="preserve">          6277 - EMPLOYEE APPRECIATION</v>
      </c>
      <c r="D44" s="2">
        <v>295.07</v>
      </c>
      <c r="F44" s="2">
        <v>149.44999999999999</v>
      </c>
      <c r="G44" s="3"/>
      <c r="H44" s="2">
        <v>-310.42</v>
      </c>
      <c r="I44" s="3"/>
      <c r="J44" s="2"/>
      <c r="K44" s="3"/>
      <c r="L44" s="2"/>
      <c r="M44" s="3"/>
      <c r="N44" s="2">
        <v>30.15</v>
      </c>
      <c r="O44" s="3"/>
      <c r="P44" s="2">
        <v>500</v>
      </c>
      <c r="Q44" s="3"/>
      <c r="R44" s="2">
        <v>500</v>
      </c>
    </row>
    <row r="45" spans="1:18" s="15" customFormat="1" outlineLevel="1" collapsed="1" x14ac:dyDescent="0.35">
      <c r="A45" s="7"/>
      <c r="B45" s="20" t="str">
        <f>CONCATENATE("     ","Equipment Rental                                  ")</f>
        <v xml:space="preserve">     Equipment Rental                                  </v>
      </c>
      <c r="C45" s="7"/>
      <c r="D45" s="1">
        <f>SUM(OSRRefD21_5x_0)</f>
        <v>0</v>
      </c>
      <c r="E45" s="19"/>
      <c r="F45" s="1">
        <f>SUM(OSRRefF21_5x_0)</f>
        <v>0</v>
      </c>
      <c r="G45" s="4"/>
      <c r="H45" s="1">
        <f>SUM(OSRRefH21_5x_0)</f>
        <v>275.92</v>
      </c>
      <c r="I45" s="4"/>
      <c r="J45" s="1">
        <f>SUM(OSRRefJ21_5x_0)</f>
        <v>0</v>
      </c>
      <c r="K45" s="4"/>
      <c r="L45" s="1">
        <f>SUM(OSRRefL21_5x_0)</f>
        <v>0</v>
      </c>
      <c r="M45" s="4"/>
      <c r="N45" s="1">
        <f>SUM(OSRRefN21_5x_0)</f>
        <v>0</v>
      </c>
      <c r="O45" s="4"/>
      <c r="P45" s="1">
        <f>SUM(OSRRefP21_5x_0)</f>
        <v>0</v>
      </c>
      <c r="Q45" s="4"/>
      <c r="R45" s="1">
        <f>SUM(OSRRefR21_5x_0)</f>
        <v>0</v>
      </c>
    </row>
    <row r="46" spans="1:18" s="16" customFormat="1" hidden="1" outlineLevel="2" x14ac:dyDescent="0.35">
      <c r="B46" s="11" t="str">
        <f>CONCATENATE("          ", "6351", " - ", "EQUIPMENT RENTAL")</f>
        <v xml:space="preserve">          6351 - EQUIPMENT RENTAL</v>
      </c>
      <c r="D46" s="2"/>
      <c r="F46" s="2"/>
      <c r="G46" s="3"/>
      <c r="H46" s="2">
        <v>275.92</v>
      </c>
      <c r="I46" s="3"/>
      <c r="J46" s="2"/>
      <c r="K46" s="3"/>
      <c r="L46" s="2"/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","General                                           ")</f>
        <v xml:space="preserve">     General                                           </v>
      </c>
      <c r="C47" s="7"/>
      <c r="D47" s="1">
        <f>SUM(OSRRefD21_6x_0)</f>
        <v>858.92</v>
      </c>
      <c r="E47" s="19"/>
      <c r="F47" s="1">
        <f>SUM(OSRRefF21_6x_0)</f>
        <v>0</v>
      </c>
      <c r="G47" s="4"/>
      <c r="H47" s="1">
        <f>SUM(OSRRefH21_6x_0)</f>
        <v>63.41</v>
      </c>
      <c r="I47" s="4"/>
      <c r="J47" s="1">
        <f>SUM(OSRRefJ21_6x_0)</f>
        <v>0</v>
      </c>
      <c r="K47" s="4"/>
      <c r="L47" s="1">
        <f>SUM(OSRRefL21_6x_0)</f>
        <v>298</v>
      </c>
      <c r="M47" s="4"/>
      <c r="N47" s="1">
        <f>SUM(OSRRefN21_6x_0)</f>
        <v>1373.22</v>
      </c>
      <c r="O47" s="4"/>
      <c r="P47" s="1">
        <f>SUM(OSRRefP21_6x_0)</f>
        <v>0</v>
      </c>
      <c r="Q47" s="4"/>
      <c r="R47" s="1">
        <f>SUM(OSRRefR21_6x_0)</f>
        <v>0</v>
      </c>
    </row>
    <row r="48" spans="1:18" s="16" customFormat="1" hidden="1" outlineLevel="2" x14ac:dyDescent="0.35">
      <c r="B48" s="11" t="str">
        <f>CONCATENATE("          ", "6279", " - ", "GENERAL EXPENSE")</f>
        <v xml:space="preserve">          6279 - GENERAL EXPENSE</v>
      </c>
      <c r="D48" s="2">
        <v>858.92</v>
      </c>
      <c r="F48" s="2"/>
      <c r="G48" s="3"/>
      <c r="H48" s="2">
        <v>63.41</v>
      </c>
      <c r="I48" s="3"/>
      <c r="J48" s="2"/>
      <c r="K48" s="3"/>
      <c r="L48" s="2">
        <v>298</v>
      </c>
      <c r="M48" s="3"/>
      <c r="N48" s="2">
        <v>1373.22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","Repair and Maintenance                            ")</f>
        <v xml:space="preserve">     Repair and Maintenance                            </v>
      </c>
      <c r="C49" s="7"/>
      <c r="D49" s="1">
        <f>SUM(OSRRefD21_7x_0)</f>
        <v>558.66000000000008</v>
      </c>
      <c r="E49" s="19"/>
      <c r="F49" s="1">
        <f>SUM(OSRRefF21_7x_0)</f>
        <v>43.58</v>
      </c>
      <c r="G49" s="4"/>
      <c r="H49" s="1">
        <f>SUM(OSRRefH21_7x_0)</f>
        <v>232.14</v>
      </c>
      <c r="I49" s="4"/>
      <c r="J49" s="1">
        <f>SUM(OSRRefJ21_7x_0)</f>
        <v>0</v>
      </c>
      <c r="K49" s="4"/>
      <c r="L49" s="1">
        <f>SUM(OSRRefL21_7x_0)</f>
        <v>0</v>
      </c>
      <c r="M49" s="4"/>
      <c r="N49" s="1">
        <f>SUM(OSRRefN21_7x_0)</f>
        <v>0</v>
      </c>
      <c r="O49" s="4"/>
      <c r="P49" s="1">
        <f>SUM(OSRRefP21_7x_0)</f>
        <v>8000</v>
      </c>
      <c r="Q49" s="4"/>
      <c r="R49" s="1">
        <f>SUM(OSRRefR21_7x_0)</f>
        <v>19200</v>
      </c>
    </row>
    <row r="50" spans="1:18" s="16" customFormat="1" hidden="1" outlineLevel="2" x14ac:dyDescent="0.35">
      <c r="B50" s="11" t="str">
        <f>CONCATENATE("          ", "6371", " - ", "COMPUTER SOFTWARE MAINTENANCE")</f>
        <v xml:space="preserve">          6371 - COMPUTER SOFTWARE MAINTENANCE</v>
      </c>
      <c r="D50" s="2">
        <v>524.85</v>
      </c>
      <c r="F50" s="2"/>
      <c r="G50" s="3"/>
      <c r="H50" s="2"/>
      <c r="I50" s="3"/>
      <c r="J50" s="2"/>
      <c r="K50" s="3"/>
      <c r="L50" s="2"/>
      <c r="M50" s="3"/>
      <c r="N50" s="2"/>
      <c r="O50" s="3"/>
      <c r="P50" s="2">
        <v>8000</v>
      </c>
      <c r="Q50" s="3"/>
      <c r="R50" s="2">
        <v>19200</v>
      </c>
    </row>
    <row r="51" spans="1:18" s="16" customFormat="1" hidden="1" outlineLevel="2" x14ac:dyDescent="0.35">
      <c r="B51" s="11" t="str">
        <f>CONCATENATE("          ", "6373", " - ", "MAINTENANCE CONTRACTS")</f>
        <v xml:space="preserve">          6373 - MAINTENANCE CONTRACTS</v>
      </c>
      <c r="D51" s="2"/>
      <c r="F51" s="2"/>
      <c r="G51" s="3"/>
      <c r="H51" s="2">
        <v>232.14</v>
      </c>
      <c r="I51" s="3"/>
      <c r="J51" s="2"/>
      <c r="K51" s="3"/>
      <c r="L51" s="2"/>
      <c r="M51" s="3"/>
      <c r="N51" s="2"/>
      <c r="O51" s="3"/>
      <c r="P51" s="2"/>
      <c r="Q51" s="3"/>
      <c r="R51" s="2"/>
    </row>
    <row r="52" spans="1:18" s="16" customFormat="1" hidden="1" outlineLevel="2" x14ac:dyDescent="0.35">
      <c r="B52" s="11" t="str">
        <f>CONCATENATE("          ", "6375", " - ", "OUTSIDE REPAIRS &amp; MAINTENANCE")</f>
        <v xml:space="preserve">          6375 - OUTSIDE REPAIRS &amp; MAINTENANCE</v>
      </c>
      <c r="D52" s="2">
        <v>33.81</v>
      </c>
      <c r="F52" s="2">
        <v>43.58</v>
      </c>
      <c r="G52" s="3"/>
      <c r="H52" s="2"/>
      <c r="I52" s="3"/>
      <c r="J52" s="2"/>
      <c r="K52" s="3"/>
      <c r="L52" s="2"/>
      <c r="M52" s="3"/>
      <c r="N52" s="2"/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","Subscriptions &amp; Dues                              ")</f>
        <v xml:space="preserve">     Subscriptions &amp; Dues                              </v>
      </c>
      <c r="C53" s="7"/>
      <c r="D53" s="1">
        <f>SUM(OSRRefD21_8x_0)</f>
        <v>0</v>
      </c>
      <c r="E53" s="19"/>
      <c r="F53" s="1">
        <f>SUM(OSRRefF21_8x_0)</f>
        <v>0</v>
      </c>
      <c r="G53" s="4"/>
      <c r="H53" s="1">
        <f>SUM(OSRRefH21_8x_0)</f>
        <v>0</v>
      </c>
      <c r="I53" s="4"/>
      <c r="J53" s="1">
        <f>SUM(OSRRefJ21_8x_0)</f>
        <v>0</v>
      </c>
      <c r="K53" s="4"/>
      <c r="L53" s="1">
        <f>SUM(OSRRefL21_8x_0)</f>
        <v>0</v>
      </c>
      <c r="M53" s="4"/>
      <c r="N53" s="1">
        <f>SUM(OSRRefN21_8x_0)</f>
        <v>0</v>
      </c>
      <c r="O53" s="4"/>
      <c r="P53" s="1">
        <f>SUM(OSRRefP21_8x_0)</f>
        <v>600</v>
      </c>
      <c r="Q53" s="4"/>
      <c r="R53" s="1">
        <f>SUM(OSRRefR21_8x_0)</f>
        <v>0</v>
      </c>
    </row>
    <row r="54" spans="1:18" s="16" customFormat="1" hidden="1" outlineLevel="2" x14ac:dyDescent="0.35">
      <c r="B54" s="11" t="str">
        <f>CONCATENATE("          ", "6258", " - ", "MEMBERSHIP DUES")</f>
        <v xml:space="preserve">          6258 - MEMBERSHIP DUES</v>
      </c>
      <c r="D54" s="2"/>
      <c r="F54" s="2"/>
      <c r="G54" s="3"/>
      <c r="H54" s="2"/>
      <c r="I54" s="3"/>
      <c r="J54" s="2"/>
      <c r="K54" s="3"/>
      <c r="L54" s="2"/>
      <c r="M54" s="3"/>
      <c r="N54" s="2"/>
      <c r="O54" s="3"/>
      <c r="P54" s="2">
        <v>600</v>
      </c>
      <c r="Q54" s="3"/>
      <c r="R54" s="2"/>
    </row>
    <row r="55" spans="1:18" s="15" customFormat="1" outlineLevel="1" collapsed="1" x14ac:dyDescent="0.35">
      <c r="A55" s="7"/>
      <c r="B55" s="20" t="str">
        <f>CONCATENATE("     ","Supplies                                          ")</f>
        <v xml:space="preserve">     Supplies                                          </v>
      </c>
      <c r="C55" s="7"/>
      <c r="D55" s="1">
        <f>SUM(OSRRefD21_9x_0)</f>
        <v>7037</v>
      </c>
      <c r="E55" s="19"/>
      <c r="F55" s="1">
        <f>SUM(OSRRefF21_9x_0)</f>
        <v>2585.14</v>
      </c>
      <c r="G55" s="4"/>
      <c r="H55" s="1">
        <f>SUM(OSRRefH21_9x_0)</f>
        <v>-5033.74</v>
      </c>
      <c r="I55" s="4"/>
      <c r="J55" s="1">
        <f>SUM(OSRRefJ21_9x_0)</f>
        <v>1978.8500000000001</v>
      </c>
      <c r="K55" s="4"/>
      <c r="L55" s="1">
        <f>SUM(OSRRefL21_9x_0)</f>
        <v>1789.1799999999998</v>
      </c>
      <c r="M55" s="4"/>
      <c r="N55" s="1">
        <f>SUM(OSRRefN21_9x_0)</f>
        <v>2281.75</v>
      </c>
      <c r="O55" s="4"/>
      <c r="P55" s="1">
        <f>SUM(OSRRefP21_9x_0)</f>
        <v>10000</v>
      </c>
      <c r="Q55" s="4"/>
      <c r="R55" s="1">
        <f>SUM(OSRRefR21_9x_0)</f>
        <v>7200</v>
      </c>
    </row>
    <row r="56" spans="1:18" s="16" customFormat="1" hidden="1" outlineLevel="2" x14ac:dyDescent="0.35">
      <c r="B56" s="11" t="str">
        <f>CONCATENATE("          ", "6241", " - ", "OFFICE EXPENSE")</f>
        <v xml:space="preserve">          6241 - OFFICE EXPENSE</v>
      </c>
      <c r="D56" s="2">
        <v>7015.05</v>
      </c>
      <c r="F56" s="2">
        <v>2585.14</v>
      </c>
      <c r="G56" s="3"/>
      <c r="H56" s="2">
        <v>-5033.74</v>
      </c>
      <c r="I56" s="3"/>
      <c r="J56" s="2">
        <v>1963.72</v>
      </c>
      <c r="K56" s="3"/>
      <c r="L56" s="2">
        <v>851.16</v>
      </c>
      <c r="M56" s="3"/>
      <c r="N56" s="2">
        <v>1935.33</v>
      </c>
      <c r="O56" s="3"/>
      <c r="P56" s="2">
        <v>10000</v>
      </c>
      <c r="Q56" s="3"/>
      <c r="R56" s="2">
        <v>7200</v>
      </c>
    </row>
    <row r="57" spans="1:18" s="16" customFormat="1" hidden="1" outlineLevel="2" x14ac:dyDescent="0.35">
      <c r="B57" s="11" t="str">
        <f>CONCATENATE("          ", "6245", " - ", "PRINTING")</f>
        <v xml:space="preserve">          6245 - PRINTING</v>
      </c>
      <c r="D57" s="2">
        <v>21.95</v>
      </c>
      <c r="F57" s="2"/>
      <c r="G57" s="3"/>
      <c r="H57" s="2"/>
      <c r="I57" s="3"/>
      <c r="J57" s="2">
        <v>15.13</v>
      </c>
      <c r="K57" s="3"/>
      <c r="L57" s="2">
        <v>938.02</v>
      </c>
      <c r="M57" s="3"/>
      <c r="N57" s="2">
        <v>346.42</v>
      </c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","Telephone/Data Lines                              ")</f>
        <v xml:space="preserve">     Telephone/Data Lines                              </v>
      </c>
      <c r="C58" s="7"/>
      <c r="D58" s="1">
        <f>SUM(OSRRefD21_10x_0)</f>
        <v>2361.33</v>
      </c>
      <c r="E58" s="19"/>
      <c r="F58" s="1">
        <f>SUM(OSRRefF21_10x_0)</f>
        <v>1559.09</v>
      </c>
      <c r="G58" s="4"/>
      <c r="H58" s="1">
        <f>SUM(OSRRefH21_10x_0)</f>
        <v>1865.73</v>
      </c>
      <c r="I58" s="4"/>
      <c r="J58" s="1">
        <f>SUM(OSRRefJ21_10x_0)</f>
        <v>1456.01</v>
      </c>
      <c r="K58" s="4"/>
      <c r="L58" s="1">
        <f>SUM(OSRRefL21_10x_0)</f>
        <v>1621.82</v>
      </c>
      <c r="M58" s="4"/>
      <c r="N58" s="1">
        <f>SUM(OSRRefN21_10x_0)</f>
        <v>618.38</v>
      </c>
      <c r="O58" s="4"/>
      <c r="P58" s="1">
        <f>SUM(OSRRefP21_10x_0)</f>
        <v>1800</v>
      </c>
      <c r="Q58" s="4"/>
      <c r="R58" s="1">
        <f>SUM(OSRRefR21_10x_0)</f>
        <v>864</v>
      </c>
    </row>
    <row r="59" spans="1:18" s="16" customFormat="1" hidden="1" outlineLevel="2" x14ac:dyDescent="0.35">
      <c r="B59" s="11" t="str">
        <f>CONCATENATE("          ", "6303", " - ", "DATA PHONE LINES")</f>
        <v xml:space="preserve">          6303 - DATA PHONE LINES</v>
      </c>
      <c r="D59" s="2"/>
      <c r="F59" s="2"/>
      <c r="G59" s="3"/>
      <c r="H59" s="2"/>
      <c r="I59" s="3"/>
      <c r="J59" s="2"/>
      <c r="K59" s="3"/>
      <c r="L59" s="2"/>
      <c r="M59" s="3"/>
      <c r="N59" s="2"/>
      <c r="O59" s="3"/>
      <c r="P59" s="2">
        <v>1800</v>
      </c>
      <c r="Q59" s="3"/>
      <c r="R59" s="2">
        <v>432</v>
      </c>
    </row>
    <row r="60" spans="1:18" s="16" customFormat="1" hidden="1" outlineLevel="2" x14ac:dyDescent="0.35">
      <c r="B60" s="11" t="str">
        <f>CONCATENATE("          ", "6309", " - ", "TELEPHONE")</f>
        <v xml:space="preserve">          6309 - TELEPHONE</v>
      </c>
      <c r="D60" s="2">
        <v>2361.33</v>
      </c>
      <c r="F60" s="2">
        <v>1559.09</v>
      </c>
      <c r="G60" s="3"/>
      <c r="H60" s="2">
        <v>1865.73</v>
      </c>
      <c r="I60" s="3"/>
      <c r="J60" s="2">
        <v>1456.01</v>
      </c>
      <c r="K60" s="3"/>
      <c r="L60" s="2">
        <v>1621.82</v>
      </c>
      <c r="M60" s="3"/>
      <c r="N60" s="2">
        <v>618.38</v>
      </c>
      <c r="O60" s="3"/>
      <c r="P60" s="2"/>
      <c r="Q60" s="3"/>
      <c r="R60" s="2">
        <v>432</v>
      </c>
    </row>
    <row r="61" spans="1:18" s="15" customFormat="1" outlineLevel="1" collapsed="1" x14ac:dyDescent="0.35">
      <c r="A61" s="7"/>
      <c r="B61" s="20" t="str">
        <f>CONCATENATE("     ","Training                                          ")</f>
        <v xml:space="preserve">     Training                                          </v>
      </c>
      <c r="C61" s="7"/>
      <c r="D61" s="1">
        <f>SUM(OSRRefD21_11x_0)</f>
        <v>0</v>
      </c>
      <c r="E61" s="19"/>
      <c r="F61" s="1">
        <f>SUM(OSRRefF21_11x_0)</f>
        <v>0</v>
      </c>
      <c r="G61" s="4"/>
      <c r="H61" s="1">
        <f>SUM(OSRRefH21_11x_0)</f>
        <v>0</v>
      </c>
      <c r="I61" s="4"/>
      <c r="J61" s="1">
        <f>SUM(OSRRefJ21_11x_0)</f>
        <v>14.99</v>
      </c>
      <c r="K61" s="4"/>
      <c r="L61" s="1">
        <f>SUM(OSRRefL21_11x_0)</f>
        <v>0</v>
      </c>
      <c r="M61" s="4"/>
      <c r="N61" s="1">
        <f>SUM(OSRRefN21_11x_0)</f>
        <v>0</v>
      </c>
      <c r="O61" s="4"/>
      <c r="P61" s="1">
        <f>SUM(OSRRefP21_11x_0)</f>
        <v>2400</v>
      </c>
      <c r="Q61" s="4"/>
      <c r="R61" s="1">
        <f>SUM(OSRRefR21_11x_0)</f>
        <v>1000</v>
      </c>
    </row>
    <row r="62" spans="1:18" s="16" customFormat="1" hidden="1" outlineLevel="2" x14ac:dyDescent="0.35">
      <c r="B62" s="11" t="str">
        <f>CONCATENATE("          ", "6376", " - ", "TRAINING")</f>
        <v xml:space="preserve">          6376 - TRAINING</v>
      </c>
      <c r="D62" s="2"/>
      <c r="F62" s="2"/>
      <c r="G62" s="3"/>
      <c r="H62" s="2"/>
      <c r="I62" s="3"/>
      <c r="J62" s="2">
        <v>14.99</v>
      </c>
      <c r="K62" s="3"/>
      <c r="L62" s="2"/>
      <c r="M62" s="3"/>
      <c r="N62" s="2"/>
      <c r="O62" s="3"/>
      <c r="P62" s="2">
        <v>2400</v>
      </c>
      <c r="Q62" s="3"/>
      <c r="R62" s="2">
        <v>1000</v>
      </c>
    </row>
    <row r="63" spans="1:18" s="15" customFormat="1" outlineLevel="1" collapsed="1" x14ac:dyDescent="0.35">
      <c r="A63" s="7"/>
      <c r="B63" s="20" t="str">
        <f>CONCATENATE("     ","Travel                                            ")</f>
        <v xml:space="preserve">     Travel                                            </v>
      </c>
      <c r="C63" s="7"/>
      <c r="D63" s="1">
        <f>SUM(OSRRefD21_12x_0)</f>
        <v>699.83</v>
      </c>
      <c r="E63" s="19"/>
      <c r="F63" s="1">
        <f>SUM(OSRRefF21_12x_0)</f>
        <v>572.33000000000004</v>
      </c>
      <c r="G63" s="4"/>
      <c r="H63" s="1">
        <f>SUM(OSRRefH21_12x_0)</f>
        <v>820.42</v>
      </c>
      <c r="I63" s="4"/>
      <c r="J63" s="1">
        <f>SUM(OSRRefJ21_12x_0)</f>
        <v>1089.9000000000001</v>
      </c>
      <c r="K63" s="4"/>
      <c r="L63" s="1">
        <f>SUM(OSRRefL21_12x_0)</f>
        <v>1954.09</v>
      </c>
      <c r="M63" s="4"/>
      <c r="N63" s="1">
        <f>SUM(OSRRefN21_12x_0)</f>
        <v>3921.38</v>
      </c>
      <c r="O63" s="4"/>
      <c r="P63" s="1">
        <f>SUM(OSRRefP21_12x_0)</f>
        <v>0</v>
      </c>
      <c r="Q63" s="4"/>
      <c r="R63" s="1">
        <f>SUM(OSRRefR21_12x_0)</f>
        <v>0</v>
      </c>
    </row>
    <row r="64" spans="1:18" s="16" customFormat="1" hidden="1" outlineLevel="2" x14ac:dyDescent="0.35">
      <c r="B64" s="11" t="str">
        <f>CONCATENATE("          ", "6292", " - ", "TRAVEL/CONFERENCE")</f>
        <v xml:space="preserve">          6292 - TRAVEL/CONFERENCE</v>
      </c>
      <c r="D64" s="2">
        <v>699.83</v>
      </c>
      <c r="F64" s="2">
        <v>572.33000000000004</v>
      </c>
      <c r="G64" s="3"/>
      <c r="H64" s="2">
        <v>769.87</v>
      </c>
      <c r="I64" s="3"/>
      <c r="J64" s="2">
        <v>1089.9000000000001</v>
      </c>
      <c r="K64" s="3"/>
      <c r="L64" s="2">
        <v>1954.09</v>
      </c>
      <c r="M64" s="3"/>
      <c r="N64" s="2">
        <v>3921.38</v>
      </c>
      <c r="O64" s="3"/>
      <c r="P64" s="2"/>
      <c r="Q64" s="3"/>
      <c r="R64" s="2"/>
    </row>
    <row r="65" spans="1:18" s="16" customFormat="1" hidden="1" outlineLevel="2" x14ac:dyDescent="0.35">
      <c r="B65" s="11" t="str">
        <f>CONCATENATE("          ", "6294", " - ", "TRAVEL OPERATIONAL")</f>
        <v xml:space="preserve">          6294 - TRAVEL OPERATIONAL</v>
      </c>
      <c r="D65" s="2"/>
      <c r="F65" s="2"/>
      <c r="G65" s="3"/>
      <c r="H65" s="2">
        <v>50.55</v>
      </c>
      <c r="I65" s="3"/>
      <c r="J65" s="2"/>
      <c r="K65" s="3"/>
      <c r="L65" s="2"/>
      <c r="M65" s="3"/>
      <c r="N65" s="2"/>
      <c r="O65" s="3"/>
      <c r="P65" s="2"/>
      <c r="Q65" s="3"/>
      <c r="R65" s="2"/>
    </row>
    <row r="66" spans="1:18" x14ac:dyDescent="0.35">
      <c r="A66" s="12"/>
      <c r="B66" s="12"/>
      <c r="C66" s="12"/>
      <c r="D66" s="1"/>
      <c r="F66" s="1"/>
      <c r="H66" s="1"/>
      <c r="J66" s="1"/>
      <c r="L66" s="1"/>
      <c r="N66" s="1"/>
      <c r="P66" s="1"/>
      <c r="R66" s="1"/>
    </row>
    <row r="67" spans="1:18" s="7" customFormat="1" x14ac:dyDescent="0.35">
      <c r="A67" s="36"/>
      <c r="B67" s="34" t="s">
        <v>295</v>
      </c>
      <c r="D67" s="6">
        <f>SUM(0)</f>
        <v>0</v>
      </c>
      <c r="E67" s="12"/>
      <c r="F67" s="6">
        <f>SUM(0)</f>
        <v>0</v>
      </c>
      <c r="G67" s="5"/>
      <c r="H67" s="6">
        <f>SUM(0)</f>
        <v>0</v>
      </c>
      <c r="I67" s="5"/>
      <c r="J67" s="6">
        <f>SUM(0)</f>
        <v>0</v>
      </c>
      <c r="K67" s="5"/>
      <c r="L67" s="6">
        <f>SUM(0)</f>
        <v>0</v>
      </c>
      <c r="M67" s="5"/>
      <c r="N67" s="6">
        <f>SUM(0)</f>
        <v>0</v>
      </c>
      <c r="O67" s="5"/>
      <c r="P67" s="6">
        <f>SUM(0)</f>
        <v>0</v>
      </c>
      <c r="Q67" s="5"/>
      <c r="R67" s="6">
        <f>SUM(0)</f>
        <v>0</v>
      </c>
    </row>
    <row r="68" spans="1:18" x14ac:dyDescent="0.35">
      <c r="A68" s="12"/>
      <c r="B68" s="7"/>
      <c r="C68" s="7"/>
      <c r="D68" s="6"/>
      <c r="F68" s="6"/>
      <c r="H68" s="6"/>
      <c r="J68" s="6"/>
      <c r="L68" s="6"/>
      <c r="N68" s="6"/>
      <c r="P68" s="6"/>
      <c r="R68" s="6"/>
    </row>
    <row r="69" spans="1:18" s="15" customFormat="1" x14ac:dyDescent="0.35">
      <c r="A69" s="7"/>
      <c r="B69" s="22" t="s">
        <v>279</v>
      </c>
      <c r="C69" s="22"/>
      <c r="D69" s="10">
        <f>+D14-D17+D67</f>
        <v>-144769.47999999995</v>
      </c>
      <c r="E69" s="12"/>
      <c r="F69" s="10">
        <f>+F14-F17+F67</f>
        <v>-109783.08000000002</v>
      </c>
      <c r="G69" s="5"/>
      <c r="H69" s="10">
        <f>+H14-H17+H67</f>
        <v>-158675.85999999999</v>
      </c>
      <c r="I69" s="5"/>
      <c r="J69" s="10">
        <f>+J14-J17+J67</f>
        <v>-98833.48000000001</v>
      </c>
      <c r="K69" s="5"/>
      <c r="L69" s="10">
        <f>+L14-L17+L67</f>
        <v>-69392.909999999989</v>
      </c>
      <c r="M69" s="5"/>
      <c r="N69" s="10">
        <f>+N14-N17+N67</f>
        <v>-106543.27999999998</v>
      </c>
      <c r="O69" s="5"/>
      <c r="P69" s="10">
        <f>+P14-P17+P67</f>
        <v>-220150.97500000001</v>
      </c>
      <c r="Q69" s="5"/>
      <c r="R69" s="10">
        <f>+R14-R17+R67</f>
        <v>-158346.57616</v>
      </c>
    </row>
    <row r="70" spans="1:18" s="27" customFormat="1" x14ac:dyDescent="0.35">
      <c r="A70" s="18"/>
      <c r="B70" s="31"/>
      <c r="C70" s="18"/>
      <c r="D70" s="9">
        <f>IFERROR(D69/D10, 0)</f>
        <v>0</v>
      </c>
      <c r="E70" s="18"/>
      <c r="F70" s="9">
        <f>IFERROR(F69/F10, 0)</f>
        <v>0</v>
      </c>
      <c r="G70" s="14"/>
      <c r="H70" s="9">
        <f>IFERROR(H69/H10, 0)</f>
        <v>0</v>
      </c>
      <c r="I70" s="14"/>
      <c r="J70" s="9">
        <f>IFERROR(J69/J10, 0)</f>
        <v>0</v>
      </c>
      <c r="K70" s="14"/>
      <c r="L70" s="9">
        <f>IFERROR(L69/L10, 0)</f>
        <v>0</v>
      </c>
      <c r="M70" s="14"/>
      <c r="N70" s="9">
        <f>IFERROR(N69/N10, 0)</f>
        <v>0</v>
      </c>
      <c r="O70" s="14"/>
      <c r="P70" s="9">
        <f>IFERROR(P69/P10, 0)</f>
        <v>0</v>
      </c>
      <c r="Q70" s="14"/>
      <c r="R70" s="9">
        <f>IFERROR(R69/R10, 0)</f>
        <v>0</v>
      </c>
    </row>
    <row r="71" spans="1:18" s="27" customFormat="1" x14ac:dyDescent="0.35">
      <c r="A71" s="18"/>
      <c r="B71" s="31"/>
      <c r="C71" s="18"/>
      <c r="D71" s="13"/>
      <c r="E71" s="18"/>
      <c r="F71" s="13"/>
      <c r="G71" s="14"/>
      <c r="H71" s="13"/>
      <c r="I71" s="14"/>
      <c r="J71" s="13"/>
      <c r="K71" s="14"/>
      <c r="L71" s="13"/>
      <c r="M71" s="14"/>
      <c r="N71" s="13"/>
      <c r="O71" s="14"/>
      <c r="P71" s="13"/>
      <c r="Q71" s="14"/>
      <c r="R71" s="13"/>
    </row>
    <row r="72" spans="1:18" s="15" customFormat="1" x14ac:dyDescent="0.35">
      <c r="A72" s="37"/>
      <c r="B72" s="7" t="s">
        <v>127</v>
      </c>
      <c r="C72" s="7"/>
      <c r="D72" s="6"/>
      <c r="E72" s="12"/>
      <c r="F72" s="6"/>
      <c r="G72" s="5"/>
      <c r="H72" s="6"/>
      <c r="I72" s="5"/>
      <c r="J72" s="6"/>
      <c r="K72" s="5"/>
      <c r="L72" s="6"/>
      <c r="M72" s="5"/>
      <c r="N72" s="6"/>
      <c r="O72" s="5"/>
      <c r="P72" s="6"/>
      <c r="Q72" s="5"/>
      <c r="R72" s="6"/>
    </row>
    <row r="73" spans="1:18" x14ac:dyDescent="0.35">
      <c r="A73" s="12"/>
      <c r="B73" s="7"/>
      <c r="C73" s="7"/>
      <c r="D73" s="6"/>
      <c r="F73" s="6"/>
      <c r="H73" s="6"/>
      <c r="J73" s="6"/>
      <c r="L73" s="6"/>
      <c r="N73" s="6"/>
      <c r="P73" s="6"/>
      <c r="R73" s="6"/>
    </row>
    <row r="74" spans="1:18" s="15" customFormat="1" x14ac:dyDescent="0.35">
      <c r="A74" s="7"/>
      <c r="B74" s="22" t="s">
        <v>126</v>
      </c>
      <c r="C74" s="22"/>
      <c r="D74" s="10">
        <f>+D69-D72</f>
        <v>-144769.47999999995</v>
      </c>
      <c r="E74" s="12"/>
      <c r="F74" s="10">
        <f>+F69-F72</f>
        <v>-109783.08000000002</v>
      </c>
      <c r="G74" s="5"/>
      <c r="H74" s="10">
        <f>+H69-H72</f>
        <v>-158675.85999999999</v>
      </c>
      <c r="I74" s="5"/>
      <c r="J74" s="10">
        <f>+J69-J72</f>
        <v>-98833.48000000001</v>
      </c>
      <c r="K74" s="5"/>
      <c r="L74" s="10">
        <f>+L69-L72</f>
        <v>-69392.909999999989</v>
      </c>
      <c r="M74" s="5"/>
      <c r="N74" s="10">
        <f>+N69-N72</f>
        <v>-106543.27999999998</v>
      </c>
      <c r="O74" s="5"/>
      <c r="P74" s="10">
        <f>+P69-P72</f>
        <v>-220150.97500000001</v>
      </c>
      <c r="Q74" s="5"/>
      <c r="R74" s="10">
        <f>+R69-R72</f>
        <v>-158346.57616</v>
      </c>
    </row>
    <row r="75" spans="1:18" s="27" customFormat="1" x14ac:dyDescent="0.35">
      <c r="A75" s="18"/>
      <c r="B75" s="18"/>
      <c r="C75" s="18"/>
      <c r="D75" s="9">
        <f>IFERROR(D74/D10, 0)</f>
        <v>0</v>
      </c>
      <c r="E75" s="18"/>
      <c r="F75" s="9">
        <f>IFERROR(F74/F10, 0)</f>
        <v>0</v>
      </c>
      <c r="G75" s="14"/>
      <c r="H75" s="9">
        <f>IFERROR(H74/H10, 0)</f>
        <v>0</v>
      </c>
      <c r="I75" s="14"/>
      <c r="J75" s="9">
        <f>IFERROR(J74/J10, 0)</f>
        <v>0</v>
      </c>
      <c r="K75" s="14"/>
      <c r="L75" s="9">
        <f>IFERROR(L74/L10, 0)</f>
        <v>0</v>
      </c>
      <c r="M75" s="14"/>
      <c r="N75" s="9">
        <f>IFERROR(N74/N10, 0)</f>
        <v>0</v>
      </c>
      <c r="O75" s="14"/>
      <c r="P75" s="9">
        <f>IFERROR(P74/P10, 0)</f>
        <v>0</v>
      </c>
      <c r="Q75" s="14"/>
      <c r="R75" s="9">
        <f>IFERROR(R74/R10, 0)</f>
        <v>0</v>
      </c>
    </row>
    <row r="76" spans="1:18" s="27" customFormat="1" x14ac:dyDescent="0.35">
      <c r="A76" s="18"/>
      <c r="B76" s="18"/>
      <c r="C76" s="18"/>
      <c r="D76" s="13"/>
      <c r="E76" s="18"/>
      <c r="F76" s="13"/>
      <c r="G76" s="14"/>
      <c r="H76" s="13"/>
      <c r="I76" s="14"/>
      <c r="J76" s="13"/>
      <c r="K76" s="14"/>
      <c r="L76" s="13"/>
      <c r="M76" s="14"/>
      <c r="N76" s="13"/>
      <c r="O76" s="14"/>
      <c r="P76" s="13"/>
      <c r="Q76" s="14"/>
      <c r="R76" s="13"/>
    </row>
    <row r="77" spans="1:18" x14ac:dyDescent="0.35">
      <c r="A77" s="12"/>
      <c r="B77" s="12"/>
      <c r="C77" s="12"/>
      <c r="D77" s="6"/>
      <c r="F77" s="6"/>
      <c r="H77" s="6"/>
      <c r="J77" s="6"/>
      <c r="L77" s="6"/>
      <c r="N77" s="6"/>
      <c r="P77" s="6"/>
      <c r="R77" s="6"/>
    </row>
    <row r="78" spans="1:18" s="15" customFormat="1" x14ac:dyDescent="0.35">
      <c r="A78" s="7"/>
      <c r="B78" s="22" t="s">
        <v>296</v>
      </c>
      <c r="C78" s="22"/>
      <c r="D78" s="10">
        <f>SUM(D74:D77)</f>
        <v>-144769.47999999995</v>
      </c>
      <c r="E78" s="12"/>
      <c r="F78" s="10">
        <f>SUM(F74:F77)</f>
        <v>-109783.08000000002</v>
      </c>
      <c r="G78" s="5"/>
      <c r="H78" s="10">
        <f>SUM(H74:H77)</f>
        <v>-158675.85999999999</v>
      </c>
      <c r="I78" s="5"/>
      <c r="J78" s="10">
        <f>SUM(J74:J77)</f>
        <v>-98833.48000000001</v>
      </c>
      <c r="K78" s="5"/>
      <c r="L78" s="10">
        <f>SUM(L74:L77)</f>
        <v>-69392.909999999989</v>
      </c>
      <c r="M78" s="5"/>
      <c r="N78" s="10">
        <f>SUM(N74:N77)</f>
        <v>-106543.27999999998</v>
      </c>
      <c r="O78" s="5"/>
      <c r="P78" s="10">
        <f>SUM(P74:P77)</f>
        <v>-220150.97500000001</v>
      </c>
      <c r="Q78" s="5"/>
      <c r="R78" s="10">
        <f>SUM(R74:R77)</f>
        <v>-158346.57616</v>
      </c>
    </row>
    <row r="79" spans="1:18" s="27" customFormat="1" x14ac:dyDescent="0.35">
      <c r="A79" s="18"/>
      <c r="B79" s="41"/>
      <c r="C79" s="18"/>
      <c r="D79" s="9">
        <f>IFERROR(D78/D10, 0)</f>
        <v>0</v>
      </c>
      <c r="E79" s="18"/>
      <c r="F79" s="9">
        <f>IFERROR(F78/F10, 0)</f>
        <v>0</v>
      </c>
      <c r="G79" s="14"/>
      <c r="H79" s="9">
        <f>IFERROR(H78/H10, 0)</f>
        <v>0</v>
      </c>
      <c r="I79" s="14"/>
      <c r="J79" s="9">
        <f>IFERROR(J78/J10, 0)</f>
        <v>0</v>
      </c>
      <c r="K79" s="14"/>
      <c r="L79" s="9">
        <f>IFERROR(L78/L10, 0)</f>
        <v>0</v>
      </c>
      <c r="M79" s="14"/>
      <c r="N79" s="9">
        <f>IFERROR(N78/N10, 0)</f>
        <v>0</v>
      </c>
      <c r="O79" s="14"/>
      <c r="P79" s="9">
        <f>IFERROR(P78/P10, 0)</f>
        <v>0</v>
      </c>
      <c r="Q79" s="14"/>
      <c r="R79" s="9">
        <f>IFERROR(R78/R10, 0)</f>
        <v>0</v>
      </c>
    </row>
    <row r="80" spans="1:18" x14ac:dyDescent="0.35">
      <c r="A80" s="12"/>
      <c r="B80" s="40">
        <v>44319.883572604165</v>
      </c>
      <c r="D80" s="24"/>
      <c r="F80" s="24"/>
      <c r="H80" s="24"/>
      <c r="J80" s="24"/>
      <c r="L80" s="24"/>
      <c r="N80" s="24"/>
      <c r="P80" s="24"/>
      <c r="R80" s="24"/>
    </row>
    <row r="81" spans="1:18" x14ac:dyDescent="0.35">
      <c r="A81" s="12"/>
      <c r="B81" s="39" t="s">
        <v>23</v>
      </c>
      <c r="D81" s="24"/>
      <c r="F81" s="24"/>
      <c r="H81" s="24"/>
      <c r="J81" s="24"/>
      <c r="L81" s="24"/>
      <c r="N81" s="24"/>
      <c r="P81" s="24"/>
      <c r="R81" s="24"/>
    </row>
    <row r="82" spans="1:18" x14ac:dyDescent="0.35">
      <c r="A82" s="12"/>
      <c r="D82" s="24"/>
      <c r="F82" s="24"/>
      <c r="H82" s="24"/>
      <c r="J82" s="24"/>
      <c r="L82" s="24"/>
      <c r="N82" s="24"/>
      <c r="P82" s="24"/>
      <c r="R82" s="24"/>
    </row>
    <row r="83" spans="1:18" x14ac:dyDescent="0.35">
      <c r="D83" s="24"/>
      <c r="F83" s="24"/>
      <c r="H83" s="24"/>
      <c r="J83" s="24"/>
      <c r="L83" s="24"/>
      <c r="N83" s="24"/>
      <c r="P83" s="24"/>
      <c r="R83" s="24"/>
    </row>
  </sheetData>
  <pageMargins left="0.5" right="0.5" top="0.5" bottom="0.5" header="0.3" footer="0.3"/>
  <pageSetup scale="59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3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","301", " - ", "Bookstore Operations")</f>
        <v>Department 301 - Bookstore Operations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collapsed="1" x14ac:dyDescent="0.35">
      <c r="B12" s="7" t="s">
        <v>278</v>
      </c>
      <c r="D12" s="8">
        <f>SUM(OSRRefD14x_0)</f>
        <v>0</v>
      </c>
      <c r="E12" s="8"/>
      <c r="F12" s="8">
        <f>SUM(OSRRefF14x_0)</f>
        <v>0</v>
      </c>
      <c r="G12" s="8"/>
      <c r="H12" s="8">
        <f>SUM(OSRRefH14x_0)</f>
        <v>0</v>
      </c>
      <c r="I12" s="8"/>
      <c r="J12" s="8">
        <f>SUM(OSRRefJ14x_0)</f>
        <v>0</v>
      </c>
      <c r="K12" s="8"/>
      <c r="L12" s="8">
        <f>SUM(OSRRefL14x_0)</f>
        <v>20</v>
      </c>
      <c r="M12" s="8"/>
      <c r="N12" s="8">
        <f>SUM(OSRRefN14x_0)</f>
        <v>0</v>
      </c>
      <c r="O12" s="8"/>
      <c r="P12" s="8">
        <f>SUM(OSRRefP14x_0)</f>
        <v>0</v>
      </c>
      <c r="Q12" s="8"/>
      <c r="R12" s="8">
        <f>SUM(OSRRefR14x_0)</f>
        <v>0</v>
      </c>
    </row>
    <row r="13" spans="1:18" s="44" customFormat="1" hidden="1" outlineLevel="1" x14ac:dyDescent="0.35">
      <c r="A13" s="16"/>
      <c r="B13" s="35" t="str">
        <f>CONCATENATE("          ", "5000", " - ", "PURCHASES @ COST")</f>
        <v xml:space="preserve">          5000 - PURCHASES @ COST</v>
      </c>
      <c r="C13" s="16"/>
      <c r="D13" s="11"/>
      <c r="E13" s="16"/>
      <c r="F13" s="11"/>
      <c r="G13" s="3"/>
      <c r="H13" s="11"/>
      <c r="I13" s="3"/>
      <c r="J13" s="11"/>
      <c r="K13" s="3"/>
      <c r="L13" s="11">
        <v>20</v>
      </c>
      <c r="M13" s="3"/>
      <c r="N13" s="11"/>
      <c r="O13" s="3"/>
      <c r="P13" s="11"/>
      <c r="Q13" s="3"/>
      <c r="R13" s="11"/>
    </row>
    <row r="14" spans="1:18" x14ac:dyDescent="0.35">
      <c r="A14" s="12"/>
      <c r="B14" s="7"/>
      <c r="C14" s="7"/>
      <c r="D14" s="6"/>
      <c r="F14" s="6"/>
      <c r="H14" s="6"/>
      <c r="J14" s="6"/>
      <c r="L14" s="6"/>
      <c r="N14" s="6"/>
      <c r="P14" s="6"/>
      <c r="R14" s="6"/>
    </row>
    <row r="15" spans="1:18" s="15" customFormat="1" x14ac:dyDescent="0.35">
      <c r="A15" s="7"/>
      <c r="B15" s="22" t="s">
        <v>107</v>
      </c>
      <c r="C15" s="22"/>
      <c r="D15" s="10">
        <f>+D10-D12</f>
        <v>0</v>
      </c>
      <c r="E15" s="12"/>
      <c r="F15" s="10">
        <f>+F10-F12</f>
        <v>0</v>
      </c>
      <c r="G15" s="5"/>
      <c r="H15" s="10">
        <f>+H10-H12</f>
        <v>0</v>
      </c>
      <c r="I15" s="5"/>
      <c r="J15" s="10">
        <f>+J10-J12</f>
        <v>0</v>
      </c>
      <c r="K15" s="5"/>
      <c r="L15" s="10">
        <f>+L10-L12</f>
        <v>-20</v>
      </c>
      <c r="M15" s="5"/>
      <c r="N15" s="10">
        <f>+N10-N12</f>
        <v>0</v>
      </c>
      <c r="O15" s="5"/>
      <c r="P15" s="10">
        <f>+P10-P12</f>
        <v>0</v>
      </c>
      <c r="Q15" s="5"/>
      <c r="R15" s="10">
        <f>+R10-R12</f>
        <v>0</v>
      </c>
    </row>
    <row r="16" spans="1:18" s="27" customFormat="1" x14ac:dyDescent="0.35">
      <c r="A16" s="18"/>
      <c r="B16" s="31"/>
      <c r="C16" s="18"/>
      <c r="D16" s="9">
        <f>IFERROR(D15/D10, 0)</f>
        <v>0</v>
      </c>
      <c r="E16" s="13"/>
      <c r="F16" s="9">
        <f>IFERROR(F15/F10, 0)</f>
        <v>0</v>
      </c>
      <c r="G16" s="26"/>
      <c r="H16" s="9">
        <f>IFERROR(H15/H10, 0)</f>
        <v>0</v>
      </c>
      <c r="I16" s="26"/>
      <c r="J16" s="9">
        <f>IFERROR(J15/J10, 0)</f>
        <v>0</v>
      </c>
      <c r="K16" s="26"/>
      <c r="L16" s="9">
        <f>IFERROR(L15/L10, 0)</f>
        <v>0</v>
      </c>
      <c r="M16" s="26"/>
      <c r="N16" s="9">
        <f>IFERROR(N15/N10, 0)</f>
        <v>0</v>
      </c>
      <c r="O16" s="26"/>
      <c r="P16" s="9">
        <f>IFERROR(P15/P10, 0)</f>
        <v>0</v>
      </c>
      <c r="Q16" s="26"/>
      <c r="R16" s="9">
        <f>IFERROR(R15/R10, 0)</f>
        <v>0</v>
      </c>
    </row>
    <row r="17" spans="1:18" s="27" customFormat="1" x14ac:dyDescent="0.35">
      <c r="A17" s="18"/>
      <c r="B17" s="31"/>
      <c r="C17" s="18"/>
      <c r="D17" s="13"/>
      <c r="E17" s="13"/>
      <c r="F17" s="13"/>
      <c r="G17" s="26"/>
      <c r="H17" s="13"/>
      <c r="I17" s="26"/>
      <c r="J17" s="13"/>
      <c r="K17" s="26"/>
      <c r="L17" s="13"/>
      <c r="M17" s="26"/>
      <c r="N17" s="13"/>
      <c r="O17" s="26"/>
      <c r="P17" s="13"/>
      <c r="Q17" s="26"/>
      <c r="R17" s="13"/>
    </row>
    <row r="18" spans="1:18" s="15" customFormat="1" x14ac:dyDescent="0.35">
      <c r="A18" s="7"/>
      <c r="B18" s="34" t="s">
        <v>314</v>
      </c>
      <c r="C18" s="7"/>
      <c r="D18" s="8">
        <f>SUM(OSRRefD21x_0)</f>
        <v>772108.2100000002</v>
      </c>
      <c r="E18" s="19"/>
      <c r="F18" s="8">
        <f>SUM(OSRRefF21x_0)</f>
        <v>1096039.51</v>
      </c>
      <c r="G18" s="4"/>
      <c r="H18" s="8">
        <f>SUM(OSRRefH21x_0)</f>
        <v>1211970.8600000003</v>
      </c>
      <c r="I18" s="4"/>
      <c r="J18" s="8">
        <f>SUM(OSRRefJ21x_0)</f>
        <v>1324031.2500000002</v>
      </c>
      <c r="K18" s="4"/>
      <c r="L18" s="8">
        <f>SUM(OSRRefL21x_0)</f>
        <v>1783735.1000000003</v>
      </c>
      <c r="M18" s="4"/>
      <c r="N18" s="8">
        <f>SUM(OSRRefN21x_0)</f>
        <v>1196390.1899999995</v>
      </c>
      <c r="O18" s="4"/>
      <c r="P18" s="8">
        <f>SUM(OSRRefP21x_0)</f>
        <v>1656008.37156031</v>
      </c>
      <c r="Q18" s="4"/>
      <c r="R18" s="8">
        <f>SUM(OSRRefR21x_0)</f>
        <v>1498625.2569776</v>
      </c>
    </row>
    <row r="19" spans="1:18" s="15" customFormat="1" outlineLevel="1" collapsed="1" x14ac:dyDescent="0.35">
      <c r="A19" s="7"/>
      <c r="B19" s="20" t="str">
        <f>CONCATENATE("     ","*Benefits                                         ")</f>
        <v xml:space="preserve">     *Benefits                                         </v>
      </c>
      <c r="C19" s="7"/>
      <c r="D19" s="1">
        <f>SUM(OSRRefD21_0x_0)</f>
        <v>33365.879999999997</v>
      </c>
      <c r="E19" s="19"/>
      <c r="F19" s="1">
        <f>SUM(OSRRefF21_0x_0)</f>
        <v>74389.89</v>
      </c>
      <c r="G19" s="4"/>
      <c r="H19" s="1">
        <f>SUM(OSRRefH21_0x_0)</f>
        <v>103028.93999999999</v>
      </c>
      <c r="I19" s="4"/>
      <c r="J19" s="1">
        <f>SUM(OSRRefJ21_0x_0)</f>
        <v>108916.38</v>
      </c>
      <c r="K19" s="4"/>
      <c r="L19" s="1">
        <f>SUM(OSRRefL21_0x_0)</f>
        <v>159892.81999999998</v>
      </c>
      <c r="M19" s="4"/>
      <c r="N19" s="1">
        <f>SUM(OSRRefN21_0x_0)</f>
        <v>96872.78</v>
      </c>
      <c r="O19" s="4"/>
      <c r="P19" s="1">
        <f>SUM(OSRRefP21_0x_0)</f>
        <v>104942.24226031</v>
      </c>
      <c r="Q19" s="4"/>
      <c r="R19" s="1">
        <f>SUM(OSRRefR21_0x_0)</f>
        <v>68587.050652599995</v>
      </c>
    </row>
    <row r="20" spans="1:18" s="16" customFormat="1" hidden="1" outlineLevel="2" x14ac:dyDescent="0.35">
      <c r="B20" s="11" t="str">
        <f>CONCATENATE("          ", "6111", " - ", "F.I.C.A.")</f>
        <v xml:space="preserve">          6111 - F.I.C.A.</v>
      </c>
      <c r="D20" s="2">
        <v>7128.02</v>
      </c>
      <c r="F20" s="2">
        <v>11542.3</v>
      </c>
      <c r="G20" s="3"/>
      <c r="H20" s="2">
        <v>15738.81</v>
      </c>
      <c r="I20" s="3"/>
      <c r="J20" s="2">
        <v>18079</v>
      </c>
      <c r="K20" s="3"/>
      <c r="L20" s="2">
        <v>28289.48</v>
      </c>
      <c r="M20" s="3"/>
      <c r="N20" s="2">
        <v>24928.37</v>
      </c>
      <c r="O20" s="3"/>
      <c r="P20" s="2">
        <v>24710.353616609998</v>
      </c>
      <c r="Q20" s="3"/>
      <c r="R20" s="2">
        <v>18659.95747935</v>
      </c>
    </row>
    <row r="21" spans="1:18" s="16" customFormat="1" hidden="1" outlineLevel="2" x14ac:dyDescent="0.35">
      <c r="B21" s="11" t="str">
        <f>CONCATENATE("          ", "6112", " - ", "COMPENSATION INSURANCE")</f>
        <v xml:space="preserve">          6112 - COMPENSATION INSURANCE</v>
      </c>
      <c r="D21" s="2">
        <v>358.92</v>
      </c>
      <c r="F21" s="2">
        <v>984.63</v>
      </c>
      <c r="G21" s="3"/>
      <c r="H21" s="2">
        <v>966.81</v>
      </c>
      <c r="I21" s="3"/>
      <c r="J21" s="2">
        <v>641.85</v>
      </c>
      <c r="K21" s="3"/>
      <c r="L21" s="2">
        <v>4547.4799999999996</v>
      </c>
      <c r="M21" s="3"/>
      <c r="N21" s="2">
        <v>6264.96</v>
      </c>
      <c r="O21" s="3"/>
      <c r="P21" s="2">
        <v>9723.1809194999896</v>
      </c>
      <c r="Q21" s="3"/>
      <c r="R21" s="2">
        <v>8714.3631509999996</v>
      </c>
    </row>
    <row r="22" spans="1:18" s="16" customFormat="1" hidden="1" outlineLevel="2" x14ac:dyDescent="0.35">
      <c r="B22" s="11" t="str">
        <f>CONCATENATE("          ", "6113", " - ", "GROUP INSURANCE")</f>
        <v xml:space="preserve">          6113 - GROUP INSURANCE</v>
      </c>
      <c r="D22" s="2">
        <v>9170.4500000000007</v>
      </c>
      <c r="F22" s="2">
        <v>25100.25</v>
      </c>
      <c r="G22" s="3"/>
      <c r="H22" s="2">
        <v>39120.050000000003</v>
      </c>
      <c r="I22" s="3"/>
      <c r="J22" s="2">
        <v>43198.73</v>
      </c>
      <c r="K22" s="3"/>
      <c r="L22" s="2">
        <v>67580.12</v>
      </c>
      <c r="M22" s="3"/>
      <c r="N22" s="2">
        <v>39694.699999999997</v>
      </c>
      <c r="O22" s="3"/>
      <c r="P22" s="2">
        <v>41550</v>
      </c>
      <c r="Q22" s="3"/>
      <c r="R22" s="2">
        <v>16248</v>
      </c>
    </row>
    <row r="23" spans="1:18" s="16" customFormat="1" hidden="1" outlineLevel="2" x14ac:dyDescent="0.35">
      <c r="B23" s="11" t="str">
        <f>CONCATENATE("          ", "6114", " - ", "STATE UNEMPLOYMENT INSURANCE")</f>
        <v xml:space="preserve">          6114 - STATE UNEMPLOYMENT INSURANCE</v>
      </c>
      <c r="D23" s="2">
        <v>-1594.48</v>
      </c>
      <c r="F23" s="2">
        <v>955.38</v>
      </c>
      <c r="G23" s="3"/>
      <c r="H23" s="2">
        <v>696.7</v>
      </c>
      <c r="I23" s="3"/>
      <c r="J23" s="2">
        <v>766.94</v>
      </c>
      <c r="K23" s="3"/>
      <c r="L23" s="2">
        <v>1611</v>
      </c>
      <c r="M23" s="3"/>
      <c r="N23" s="2">
        <v>0</v>
      </c>
      <c r="O23" s="3"/>
      <c r="P23" s="2">
        <v>1366.5011022000001</v>
      </c>
      <c r="Q23" s="3"/>
      <c r="R23" s="2">
        <v>1173.08734725</v>
      </c>
    </row>
    <row r="24" spans="1:18" s="16" customFormat="1" hidden="1" outlineLevel="2" x14ac:dyDescent="0.35">
      <c r="B24" s="11" t="str">
        <f>CONCATENATE("          ", "6115", " - ", "P.E.R.S.")</f>
        <v xml:space="preserve">          6115 - P.E.R.S.</v>
      </c>
      <c r="D24" s="2">
        <v>10240.02</v>
      </c>
      <c r="F24" s="2">
        <v>12733.34</v>
      </c>
      <c r="G24" s="3"/>
      <c r="H24" s="2">
        <v>20247.37</v>
      </c>
      <c r="I24" s="3"/>
      <c r="J24" s="2">
        <v>18391.27</v>
      </c>
      <c r="K24" s="3"/>
      <c r="L24" s="2">
        <v>20545.29</v>
      </c>
      <c r="M24" s="3"/>
      <c r="N24" s="2">
        <v>21242</v>
      </c>
      <c r="O24" s="3"/>
      <c r="P24" s="2">
        <v>9632.1872220000005</v>
      </c>
      <c r="Q24" s="3"/>
      <c r="R24" s="2">
        <v>4871.8999999999996</v>
      </c>
    </row>
    <row r="25" spans="1:18" s="16" customFormat="1" hidden="1" outlineLevel="2" x14ac:dyDescent="0.35">
      <c r="B25" s="11" t="str">
        <f>CONCATENATE("          ", "6116", " - ", "EDUCATIONAL BENEFITS")</f>
        <v xml:space="preserve">          6116 - EDUCATIONAL BENEFITS</v>
      </c>
      <c r="D25" s="2"/>
      <c r="F25" s="2"/>
      <c r="G25" s="3"/>
      <c r="H25" s="2"/>
      <c r="I25" s="3"/>
      <c r="J25" s="2"/>
      <c r="K25" s="3"/>
      <c r="L25" s="2"/>
      <c r="M25" s="3"/>
      <c r="N25" s="2"/>
      <c r="O25" s="3"/>
      <c r="P25" s="2">
        <v>0</v>
      </c>
      <c r="Q25" s="3"/>
      <c r="R25" s="2">
        <v>0</v>
      </c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6306.94</v>
      </c>
      <c r="F26" s="2">
        <v>14052.39</v>
      </c>
      <c r="G26" s="3"/>
      <c r="H26" s="2">
        <v>15080.84</v>
      </c>
      <c r="I26" s="3"/>
      <c r="J26" s="2">
        <v>15030.93</v>
      </c>
      <c r="K26" s="3"/>
      <c r="L26" s="2">
        <v>20047.86</v>
      </c>
      <c r="M26" s="3"/>
      <c r="N26" s="2">
        <v>16122.9</v>
      </c>
      <c r="O26" s="3"/>
      <c r="P26" s="2">
        <v>7160.1088499999996</v>
      </c>
      <c r="Q26" s="3"/>
      <c r="R26" s="2">
        <v>3242.0279999999998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1558.7</v>
      </c>
      <c r="F27" s="2">
        <v>7351.83</v>
      </c>
      <c r="G27" s="3"/>
      <c r="H27" s="2">
        <v>8437.1200000000008</v>
      </c>
      <c r="I27" s="3"/>
      <c r="J27" s="2">
        <v>9680.5</v>
      </c>
      <c r="K27" s="3"/>
      <c r="L27" s="2">
        <v>12554.12</v>
      </c>
      <c r="M27" s="3"/>
      <c r="N27" s="2">
        <v>-14372.76</v>
      </c>
      <c r="O27" s="3"/>
      <c r="P27" s="2">
        <v>10799.910550000001</v>
      </c>
      <c r="Q27" s="3"/>
      <c r="R27" s="2">
        <v>15677.714674999999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197.31</v>
      </c>
      <c r="F28" s="2">
        <v>1669.77</v>
      </c>
      <c r="G28" s="3"/>
      <c r="H28" s="2">
        <v>2741.24</v>
      </c>
      <c r="I28" s="3"/>
      <c r="J28" s="2">
        <v>3127.16</v>
      </c>
      <c r="K28" s="3"/>
      <c r="L28" s="2">
        <v>4717.47</v>
      </c>
      <c r="M28" s="3"/>
      <c r="N28" s="2">
        <v>2992.61</v>
      </c>
      <c r="O28" s="3"/>
      <c r="P28" s="2"/>
      <c r="Q28" s="3"/>
      <c r="R28" s="2"/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85927.800000000017</v>
      </c>
      <c r="E29" s="19"/>
      <c r="F29" s="1">
        <f>SUM(OSRRefF21_1x_0)</f>
        <v>144389.29999999999</v>
      </c>
      <c r="G29" s="4"/>
      <c r="H29" s="1">
        <f>SUM(OSRRefH21_1x_0)</f>
        <v>206202.23999999999</v>
      </c>
      <c r="I29" s="4"/>
      <c r="J29" s="1">
        <f>SUM(OSRRefJ21_1x_0)</f>
        <v>215655.02</v>
      </c>
      <c r="K29" s="4"/>
      <c r="L29" s="1">
        <f>SUM(OSRRefL21_1x_0)</f>
        <v>506551.9</v>
      </c>
      <c r="M29" s="4"/>
      <c r="N29" s="1">
        <f>SUM(OSRRefN21_1x_0)</f>
        <v>393621.75</v>
      </c>
      <c r="O29" s="4"/>
      <c r="P29" s="1">
        <f>SUM(OSRRefP21_1x_0)</f>
        <v>511777.12929999997</v>
      </c>
      <c r="Q29" s="4"/>
      <c r="R29" s="1">
        <f>SUM(OSRRefR21_1x_0)</f>
        <v>555833.20632499992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7692.32</v>
      </c>
      <c r="F30" s="2">
        <v>123006.26</v>
      </c>
      <c r="G30" s="3"/>
      <c r="H30" s="2">
        <v>117855.95</v>
      </c>
      <c r="I30" s="3"/>
      <c r="J30" s="2">
        <v>122233.39</v>
      </c>
      <c r="K30" s="3"/>
      <c r="L30" s="2">
        <v>125900.5</v>
      </c>
      <c r="M30" s="3"/>
      <c r="N30" s="2">
        <v>93238.31</v>
      </c>
      <c r="O30" s="3"/>
      <c r="P30" s="2">
        <v>49500</v>
      </c>
      <c r="Q30" s="3"/>
      <c r="R30" s="2">
        <v>53817.5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>
        <v>68722.850000000006</v>
      </c>
      <c r="F31" s="2">
        <v>9090.86</v>
      </c>
      <c r="G31" s="3"/>
      <c r="H31" s="2">
        <v>47721.1</v>
      </c>
      <c r="I31" s="3"/>
      <c r="J31" s="2">
        <v>48434.23</v>
      </c>
      <c r="K31" s="3"/>
      <c r="L31" s="2">
        <v>97511.63</v>
      </c>
      <c r="M31" s="3"/>
      <c r="N31" s="2">
        <v>68657</v>
      </c>
      <c r="O31" s="3"/>
      <c r="P31" s="2">
        <v>51301.959300000002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/>
      <c r="F33" s="2"/>
      <c r="G33" s="3"/>
      <c r="H33" s="2"/>
      <c r="I33" s="3"/>
      <c r="J33" s="2"/>
      <c r="K33" s="3"/>
      <c r="L33" s="2">
        <v>-1220</v>
      </c>
      <c r="M33" s="3"/>
      <c r="N33" s="2">
        <v>-1647.01</v>
      </c>
      <c r="O33" s="3"/>
      <c r="P33" s="2">
        <v>158210</v>
      </c>
      <c r="Q33" s="3"/>
      <c r="R33" s="2">
        <v>107465.5062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1082.5</v>
      </c>
      <c r="F34" s="2"/>
      <c r="G34" s="3"/>
      <c r="H34" s="2">
        <v>22418.400000000001</v>
      </c>
      <c r="I34" s="3"/>
      <c r="J34" s="2">
        <v>28569.65</v>
      </c>
      <c r="K34" s="3"/>
      <c r="L34" s="2">
        <v>67656.740000000005</v>
      </c>
      <c r="M34" s="3"/>
      <c r="N34" s="2">
        <v>59852.88</v>
      </c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>
        <v>311.13</v>
      </c>
      <c r="F35" s="2"/>
      <c r="G35" s="3"/>
      <c r="H35" s="2">
        <v>5362.75</v>
      </c>
      <c r="I35" s="3"/>
      <c r="J35" s="2">
        <v>273</v>
      </c>
      <c r="K35" s="3"/>
      <c r="L35" s="2">
        <v>5238.96</v>
      </c>
      <c r="M35" s="3"/>
      <c r="N35" s="2">
        <v>11923.01</v>
      </c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8074</v>
      </c>
      <c r="F36" s="2">
        <v>12292.18</v>
      </c>
      <c r="G36" s="3"/>
      <c r="H36" s="2">
        <v>12844.04</v>
      </c>
      <c r="I36" s="3"/>
      <c r="J36" s="2">
        <v>16144.75</v>
      </c>
      <c r="K36" s="3"/>
      <c r="L36" s="2">
        <v>203710.57</v>
      </c>
      <c r="M36" s="3"/>
      <c r="N36" s="2">
        <v>159329.82</v>
      </c>
      <c r="O36" s="3"/>
      <c r="P36" s="2">
        <v>50072.36</v>
      </c>
      <c r="Q36" s="3"/>
      <c r="R36" s="2">
        <v>76614.696349999998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>
        <v>45</v>
      </c>
      <c r="F37" s="2"/>
      <c r="G37" s="3"/>
      <c r="H37" s="2"/>
      <c r="I37" s="3"/>
      <c r="J37" s="2"/>
      <c r="K37" s="3"/>
      <c r="L37" s="2">
        <v>7753.5</v>
      </c>
      <c r="M37" s="3"/>
      <c r="N37" s="2">
        <v>2267.7399999999998</v>
      </c>
      <c r="O37" s="3"/>
      <c r="P37" s="2">
        <v>202692.81</v>
      </c>
      <c r="Q37" s="3"/>
      <c r="R37" s="2">
        <v>317935.50377499999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51519.43</v>
      </c>
      <c r="E40" s="19"/>
      <c r="F40" s="1">
        <f>SUM(OSRRefF21_2x_0)</f>
        <v>39791.35</v>
      </c>
      <c r="G40" s="4"/>
      <c r="H40" s="1">
        <f>SUM(OSRRefH21_2x_0)</f>
        <v>52547.44</v>
      </c>
      <c r="I40" s="4"/>
      <c r="J40" s="1">
        <f>SUM(OSRRefJ21_2x_0)</f>
        <v>80665.63</v>
      </c>
      <c r="K40" s="4"/>
      <c r="L40" s="1">
        <f>SUM(OSRRefL21_2x_0)</f>
        <v>39873.949999999997</v>
      </c>
      <c r="M40" s="4"/>
      <c r="N40" s="1">
        <f>SUM(OSRRefN21_2x_0)</f>
        <v>11799.88</v>
      </c>
      <c r="O40" s="4"/>
      <c r="P40" s="1">
        <f>SUM(OSRRefP21_2x_0)</f>
        <v>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51519.43</v>
      </c>
      <c r="F41" s="2">
        <v>39791.35</v>
      </c>
      <c r="G41" s="3"/>
      <c r="H41" s="2">
        <v>52547.44</v>
      </c>
      <c r="I41" s="3"/>
      <c r="J41" s="2">
        <v>80665.63</v>
      </c>
      <c r="K41" s="3"/>
      <c r="L41" s="2">
        <v>39873.949999999997</v>
      </c>
      <c r="M41" s="3"/>
      <c r="N41" s="2">
        <v>11799.88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","Bad Debts/Over/Short                              ")</f>
        <v xml:space="preserve">     Bad Debts/Over/Short                              </v>
      </c>
      <c r="C42" s="7"/>
      <c r="D42" s="1">
        <f>SUM(OSRRefD21_3x_0)</f>
        <v>-37954.200000000004</v>
      </c>
      <c r="E42" s="19"/>
      <c r="F42" s="1">
        <f>SUM(OSRRefF21_3x_0)</f>
        <v>39603.070000000007</v>
      </c>
      <c r="G42" s="4"/>
      <c r="H42" s="1">
        <f>SUM(OSRRefH21_3x_0)</f>
        <v>38962.78</v>
      </c>
      <c r="I42" s="4"/>
      <c r="J42" s="1">
        <f>SUM(OSRRefJ21_3x_0)</f>
        <v>604.9</v>
      </c>
      <c r="K42" s="4"/>
      <c r="L42" s="1">
        <f>SUM(OSRRefL21_3x_0)</f>
        <v>148.52000000000001</v>
      </c>
      <c r="M42" s="4"/>
      <c r="N42" s="1">
        <f>SUM(OSRRefN21_3x_0)</f>
        <v>-22.010000000000005</v>
      </c>
      <c r="O42" s="4"/>
      <c r="P42" s="1">
        <f>SUM(OSRRefP21_3x_0)</f>
        <v>1200</v>
      </c>
      <c r="Q42" s="4"/>
      <c r="R42" s="1">
        <f>SUM(OSRRefR21_3x_0)</f>
        <v>2400</v>
      </c>
    </row>
    <row r="43" spans="1:18" s="16" customFormat="1" hidden="1" outlineLevel="2" x14ac:dyDescent="0.35">
      <c r="B43" s="11" t="str">
        <f>CONCATENATE("          ", "6272", " - ", "CASH (OVER/SHORT)")</f>
        <v xml:space="preserve">          6272 - CASH (OVER/SHORT)</v>
      </c>
      <c r="D43" s="2">
        <v>1969.35</v>
      </c>
      <c r="F43" s="2">
        <v>417.83</v>
      </c>
      <c r="G43" s="3"/>
      <c r="H43" s="2">
        <v>1263.33</v>
      </c>
      <c r="I43" s="3"/>
      <c r="J43" s="2">
        <v>187.7</v>
      </c>
      <c r="K43" s="3"/>
      <c r="L43" s="2">
        <v>148.52000000000001</v>
      </c>
      <c r="M43" s="3"/>
      <c r="N43" s="2">
        <v>-66.81</v>
      </c>
      <c r="O43" s="3"/>
      <c r="P43" s="2">
        <v>600</v>
      </c>
      <c r="Q43" s="3"/>
      <c r="R43" s="2">
        <v>2400</v>
      </c>
    </row>
    <row r="44" spans="1:18" s="16" customFormat="1" hidden="1" outlineLevel="2" x14ac:dyDescent="0.35">
      <c r="B44" s="11" t="str">
        <f>CONCATENATE("          ", "6342", " - ", "BAD DEBT")</f>
        <v xml:space="preserve">          6342 - BAD DEBT</v>
      </c>
      <c r="D44" s="2">
        <v>-39923.550000000003</v>
      </c>
      <c r="F44" s="2">
        <v>33276.9</v>
      </c>
      <c r="G44" s="3"/>
      <c r="H44" s="2">
        <v>37699.449999999997</v>
      </c>
      <c r="I44" s="3"/>
      <c r="J44" s="2">
        <v>417.2</v>
      </c>
      <c r="K44" s="3"/>
      <c r="L44" s="2"/>
      <c r="M44" s="3"/>
      <c r="N44" s="2">
        <v>44.8</v>
      </c>
      <c r="O44" s="3"/>
      <c r="P44" s="2">
        <v>600</v>
      </c>
      <c r="Q44" s="3"/>
      <c r="R44" s="2"/>
    </row>
    <row r="45" spans="1:18" s="16" customFormat="1" hidden="1" outlineLevel="2" x14ac:dyDescent="0.35">
      <c r="B45" s="11" t="str">
        <f>CONCATENATE("          ", "6344", " - ", "BAD DEBT-NSF")</f>
        <v xml:space="preserve">          6344 - BAD DEBT-NSF</v>
      </c>
      <c r="D45" s="2"/>
      <c r="F45" s="2">
        <v>5908.34</v>
      </c>
      <c r="G45" s="3"/>
      <c r="H45" s="2"/>
      <c r="I45" s="3"/>
      <c r="J45" s="2"/>
      <c r="K45" s="3"/>
      <c r="L45" s="2"/>
      <c r="M45" s="3"/>
      <c r="N45" s="2"/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","Bank/card Fees                                    ")</f>
        <v xml:space="preserve">     Bank/card Fees                                    </v>
      </c>
      <c r="C46" s="7"/>
      <c r="D46" s="1">
        <f>SUM(OSRRefD21_4x_0)</f>
        <v>162210.43</v>
      </c>
      <c r="E46" s="19"/>
      <c r="F46" s="1">
        <f>SUM(OSRRefF21_4x_0)</f>
        <v>172276.76</v>
      </c>
      <c r="G46" s="4"/>
      <c r="H46" s="1">
        <f>SUM(OSRRefH21_4x_0)</f>
        <v>182442.45</v>
      </c>
      <c r="I46" s="4"/>
      <c r="J46" s="1">
        <f>SUM(OSRRefJ21_4x_0)</f>
        <v>180805.5</v>
      </c>
      <c r="K46" s="4"/>
      <c r="L46" s="1">
        <f>SUM(OSRRefL21_4x_0)</f>
        <v>167749.4</v>
      </c>
      <c r="M46" s="4"/>
      <c r="N46" s="1">
        <f>SUM(OSRRefN21_4x_0)</f>
        <v>142763.71</v>
      </c>
      <c r="O46" s="4"/>
      <c r="P46" s="1">
        <f>SUM(OSRRefP21_4x_0)</f>
        <v>179000</v>
      </c>
      <c r="Q46" s="4"/>
      <c r="R46" s="1">
        <f>SUM(OSRRefR21_4x_0)</f>
        <v>167100</v>
      </c>
    </row>
    <row r="47" spans="1:18" s="16" customFormat="1" hidden="1" outlineLevel="2" x14ac:dyDescent="0.35">
      <c r="B47" s="11" t="str">
        <f>CONCATENATE("          ", "6381", " - ", "BANK/CREDIT CARD FEES")</f>
        <v xml:space="preserve">          6381 - BANK/CREDIT CARD FEES</v>
      </c>
      <c r="D47" s="2">
        <v>162210.43</v>
      </c>
      <c r="F47" s="2">
        <v>172276.76</v>
      </c>
      <c r="G47" s="3"/>
      <c r="H47" s="2">
        <v>182442.45</v>
      </c>
      <c r="I47" s="3"/>
      <c r="J47" s="2">
        <v>180805.5</v>
      </c>
      <c r="K47" s="3"/>
      <c r="L47" s="2">
        <v>167749.4</v>
      </c>
      <c r="M47" s="3"/>
      <c r="N47" s="2">
        <v>142763.71</v>
      </c>
      <c r="O47" s="3"/>
      <c r="P47" s="2">
        <v>179000</v>
      </c>
      <c r="Q47" s="3"/>
      <c r="R47" s="2">
        <v>167100</v>
      </c>
    </row>
    <row r="48" spans="1:18" s="15" customFormat="1" outlineLevel="1" collapsed="1" x14ac:dyDescent="0.35">
      <c r="A48" s="7"/>
      <c r="B48" s="20" t="str">
        <f>CONCATENATE("     ","Depreciation                                      ")</f>
        <v xml:space="preserve">     Depreciation                                      </v>
      </c>
      <c r="C48" s="7"/>
      <c r="D48" s="1">
        <f>SUM(OSRRefD21_5x_0)</f>
        <v>228655.55</v>
      </c>
      <c r="E48" s="19"/>
      <c r="F48" s="1">
        <f>SUM(OSRRefF21_5x_0)</f>
        <v>225008.81</v>
      </c>
      <c r="G48" s="4"/>
      <c r="H48" s="1">
        <f>SUM(OSRRefH21_5x_0)</f>
        <v>255576.06</v>
      </c>
      <c r="I48" s="4"/>
      <c r="J48" s="1">
        <f>SUM(OSRRefJ21_5x_0)</f>
        <v>354482.50999999995</v>
      </c>
      <c r="K48" s="4"/>
      <c r="L48" s="1">
        <f>SUM(OSRRefL21_5x_0)</f>
        <v>353174.27</v>
      </c>
      <c r="M48" s="4"/>
      <c r="N48" s="1">
        <f>SUM(OSRRefN21_5x_0)</f>
        <v>358192.45</v>
      </c>
      <c r="O48" s="4"/>
      <c r="P48" s="1">
        <f>SUM(OSRRefP21_5x_0)</f>
        <v>362079</v>
      </c>
      <c r="Q48" s="4"/>
      <c r="R48" s="1">
        <f>SUM(OSRRefR21_5x_0)</f>
        <v>313085</v>
      </c>
    </row>
    <row r="49" spans="1:18" s="16" customFormat="1" hidden="1" outlineLevel="2" x14ac:dyDescent="0.35">
      <c r="B49" s="11" t="str">
        <f>CONCATENATE("          ", "6321", " - ", "BUILDING DEPRECIATION")</f>
        <v xml:space="preserve">          6321 - BUILDING DEPRECIATION</v>
      </c>
      <c r="D49" s="2">
        <v>205572.02</v>
      </c>
      <c r="F49" s="2">
        <v>200807.62</v>
      </c>
      <c r="G49" s="3"/>
      <c r="H49" s="2">
        <v>199482.87</v>
      </c>
      <c r="I49" s="3"/>
      <c r="J49" s="2">
        <v>197440.25</v>
      </c>
      <c r="K49" s="3"/>
      <c r="L49" s="2">
        <v>197440.31</v>
      </c>
      <c r="M49" s="3"/>
      <c r="N49" s="2">
        <v>196757.97</v>
      </c>
      <c r="O49" s="3"/>
      <c r="P49" s="2"/>
      <c r="Q49" s="3"/>
      <c r="R49" s="2"/>
    </row>
    <row r="50" spans="1:18" s="16" customFormat="1" hidden="1" outlineLevel="2" x14ac:dyDescent="0.35">
      <c r="B50" s="11" t="str">
        <f>CONCATENATE("          ", "6322", " - ", "EQUIPMENT DEPRECIATION EXPENSE")</f>
        <v xml:space="preserve">          6322 - EQUIPMENT DEPRECIATION EXPENSE</v>
      </c>
      <c r="D50" s="2">
        <v>17279.53</v>
      </c>
      <c r="F50" s="2">
        <v>20391.8</v>
      </c>
      <c r="G50" s="3"/>
      <c r="H50" s="2">
        <v>52418.79</v>
      </c>
      <c r="I50" s="3"/>
      <c r="J50" s="2">
        <v>153639.35</v>
      </c>
      <c r="K50" s="3"/>
      <c r="L50" s="2">
        <v>155733.96</v>
      </c>
      <c r="M50" s="3"/>
      <c r="N50" s="2">
        <v>161434.48000000001</v>
      </c>
      <c r="O50" s="3"/>
      <c r="P50" s="2">
        <v>362079</v>
      </c>
      <c r="Q50" s="3"/>
      <c r="R50" s="2">
        <v>313085</v>
      </c>
    </row>
    <row r="51" spans="1:18" s="16" customFormat="1" hidden="1" outlineLevel="2" x14ac:dyDescent="0.35">
      <c r="B51" s="11" t="str">
        <f>CONCATENATE("          ", "6324", " - ", "FURNITURE + FIXT DEPRECIATION")</f>
        <v xml:space="preserve">          6324 - FURNITURE + FIXT DEPRECIATION</v>
      </c>
      <c r="D51" s="2">
        <v>3809.39</v>
      </c>
      <c r="F51" s="2">
        <v>3809.39</v>
      </c>
      <c r="G51" s="3"/>
      <c r="H51" s="2">
        <v>3674.4</v>
      </c>
      <c r="I51" s="3"/>
      <c r="J51" s="2">
        <v>3402.91</v>
      </c>
      <c r="K51" s="3"/>
      <c r="L51" s="2">
        <v>0</v>
      </c>
      <c r="M51" s="3"/>
      <c r="N51" s="2">
        <v>0</v>
      </c>
      <c r="O51" s="3"/>
      <c r="P51" s="2"/>
      <c r="Q51" s="3"/>
      <c r="R51" s="2"/>
    </row>
    <row r="52" spans="1:18" s="16" customFormat="1" hidden="1" outlineLevel="2" x14ac:dyDescent="0.35">
      <c r="B52" s="11" t="str">
        <f>CONCATENATE("          ", "6326", " - ", "VEHICLES DEPRECIATION EXPENSE")</f>
        <v xml:space="preserve">          6326 - VEHICLES DEPRECIATION EXPENSE</v>
      </c>
      <c r="D52" s="2">
        <v>1994.61</v>
      </c>
      <c r="F52" s="2"/>
      <c r="G52" s="3"/>
      <c r="H52" s="2"/>
      <c r="I52" s="3"/>
      <c r="J52" s="2"/>
      <c r="K52" s="3"/>
      <c r="L52" s="2"/>
      <c r="M52" s="3"/>
      <c r="N52" s="2"/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","Discounts and Markdowns                           ")</f>
        <v xml:space="preserve">     Discounts and Markdowns                           </v>
      </c>
      <c r="C53" s="7"/>
      <c r="D53" s="1">
        <f>SUM(OSRRefD21_6x_0)</f>
        <v>-11181.25</v>
      </c>
      <c r="E53" s="19"/>
      <c r="F53" s="1">
        <f>SUM(OSRRefF21_6x_0)</f>
        <v>-9196.2100000000009</v>
      </c>
      <c r="G53" s="4"/>
      <c r="H53" s="1">
        <f>SUM(OSRRefH21_6x_0)</f>
        <v>-7241.98</v>
      </c>
      <c r="I53" s="4"/>
      <c r="J53" s="1">
        <f>SUM(OSRRefJ21_6x_0)</f>
        <v>-6519.8</v>
      </c>
      <c r="K53" s="4"/>
      <c r="L53" s="1">
        <f>SUM(OSRRefL21_6x_0)</f>
        <v>-4723.87</v>
      </c>
      <c r="M53" s="4"/>
      <c r="N53" s="1">
        <f>SUM(OSRRefN21_6x_0)</f>
        <v>-2405.42</v>
      </c>
      <c r="O53" s="4"/>
      <c r="P53" s="1">
        <f>SUM(OSRRefP21_6x_0)</f>
        <v>0</v>
      </c>
      <c r="Q53" s="4"/>
      <c r="R53" s="1">
        <f>SUM(OSRRefR21_6x_0)</f>
        <v>0</v>
      </c>
    </row>
    <row r="54" spans="1:18" s="16" customFormat="1" hidden="1" outlineLevel="2" x14ac:dyDescent="0.35">
      <c r="B54" s="11" t="str">
        <f>CONCATENATE("          ", "6382", " - ", "DISCOUNTS/MARK DOWNS")</f>
        <v xml:space="preserve">          6382 - DISCOUNTS/MARK DOWNS</v>
      </c>
      <c r="D54" s="2"/>
      <c r="F54" s="2">
        <v>-7.37</v>
      </c>
      <c r="G54" s="3"/>
      <c r="H54" s="2">
        <v>6.35</v>
      </c>
      <c r="I54" s="3"/>
      <c r="J54" s="2"/>
      <c r="K54" s="3"/>
      <c r="L54" s="2">
        <v>249.09</v>
      </c>
      <c r="M54" s="3"/>
      <c r="N54" s="2">
        <v>357.4</v>
      </c>
      <c r="O54" s="3"/>
      <c r="P54" s="2"/>
      <c r="Q54" s="3"/>
      <c r="R54" s="2"/>
    </row>
    <row r="55" spans="1:18" s="16" customFormat="1" hidden="1" outlineLevel="2" x14ac:dyDescent="0.35">
      <c r="B55" s="11" t="str">
        <f>CONCATENATE("          ", "9175", " - ", "EARNED DISCOUNTS")</f>
        <v xml:space="preserve">          9175 - EARNED DISCOUNTS</v>
      </c>
      <c r="D55" s="2">
        <v>-11181.25</v>
      </c>
      <c r="F55" s="2">
        <v>-9188.84</v>
      </c>
      <c r="G55" s="3"/>
      <c r="H55" s="2">
        <v>-7248.33</v>
      </c>
      <c r="I55" s="3"/>
      <c r="J55" s="2">
        <v>-6519.8</v>
      </c>
      <c r="K55" s="3"/>
      <c r="L55" s="2">
        <v>-4972.96</v>
      </c>
      <c r="M55" s="3"/>
      <c r="N55" s="2">
        <v>-2762.82</v>
      </c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","Donations                                         ")</f>
        <v xml:space="preserve">     Donations                                         </v>
      </c>
      <c r="C56" s="7"/>
      <c r="D56" s="1">
        <f>SUM(OSRRefD21_7x_0)</f>
        <v>3941.65</v>
      </c>
      <c r="E56" s="19"/>
      <c r="F56" s="1">
        <f>SUM(OSRRefF21_7x_0)</f>
        <v>7807.94</v>
      </c>
      <c r="G56" s="4"/>
      <c r="H56" s="1">
        <f>SUM(OSRRefH21_7x_0)</f>
        <v>14799.11</v>
      </c>
      <c r="I56" s="4"/>
      <c r="J56" s="1">
        <f>SUM(OSRRefJ21_7x_0)</f>
        <v>4765.04</v>
      </c>
      <c r="K56" s="4"/>
      <c r="L56" s="1">
        <f>SUM(OSRRefL21_7x_0)</f>
        <v>9716.9599999999991</v>
      </c>
      <c r="M56" s="4"/>
      <c r="N56" s="1">
        <f>SUM(OSRRefN21_7x_0)</f>
        <v>10985.64</v>
      </c>
      <c r="O56" s="4"/>
      <c r="P56" s="1">
        <f>SUM(OSRRefP21_7x_0)</f>
        <v>12000</v>
      </c>
      <c r="Q56" s="4"/>
      <c r="R56" s="1">
        <f>SUM(OSRRefR21_7x_0)</f>
        <v>15000</v>
      </c>
    </row>
    <row r="57" spans="1:18" s="16" customFormat="1" hidden="1" outlineLevel="2" x14ac:dyDescent="0.35">
      <c r="B57" s="11" t="str">
        <f>CONCATENATE("          ", "6399", " - ", "DONATION-ON CAMPUS")</f>
        <v xml:space="preserve">          6399 - DONATION-ON CAMPUS</v>
      </c>
      <c r="D57" s="2">
        <v>3941.65</v>
      </c>
      <c r="F57" s="2">
        <v>7807.94</v>
      </c>
      <c r="G57" s="3"/>
      <c r="H57" s="2">
        <v>14799.11</v>
      </c>
      <c r="I57" s="3"/>
      <c r="J57" s="2">
        <v>4765.04</v>
      </c>
      <c r="K57" s="3"/>
      <c r="L57" s="2">
        <v>9716.9599999999991</v>
      </c>
      <c r="M57" s="3"/>
      <c r="N57" s="2">
        <v>10985.64</v>
      </c>
      <c r="O57" s="3"/>
      <c r="P57" s="2">
        <v>12000</v>
      </c>
      <c r="Q57" s="3"/>
      <c r="R57" s="2">
        <v>15000</v>
      </c>
    </row>
    <row r="58" spans="1:18" s="15" customFormat="1" outlineLevel="1" collapsed="1" x14ac:dyDescent="0.35">
      <c r="A58" s="7"/>
      <c r="B58" s="20" t="str">
        <f>CONCATENATE("     ","Employees' Appreciation                           ")</f>
        <v xml:space="preserve">     Employees' Appreciation                           </v>
      </c>
      <c r="C58" s="7"/>
      <c r="D58" s="1">
        <f>SUM(OSRRefD21_8x_0)</f>
        <v>1256.9000000000001</v>
      </c>
      <c r="E58" s="19"/>
      <c r="F58" s="1">
        <f>SUM(OSRRefF21_8x_0)</f>
        <v>2204.89</v>
      </c>
      <c r="G58" s="4"/>
      <c r="H58" s="1">
        <f>SUM(OSRRefH21_8x_0)</f>
        <v>1064.48</v>
      </c>
      <c r="I58" s="4"/>
      <c r="J58" s="1">
        <f>SUM(OSRRefJ21_8x_0)</f>
        <v>985.65</v>
      </c>
      <c r="K58" s="4"/>
      <c r="L58" s="1">
        <f>SUM(OSRRefL21_8x_0)</f>
        <v>2649.79</v>
      </c>
      <c r="M58" s="4"/>
      <c r="N58" s="1">
        <f>SUM(OSRRefN21_8x_0)</f>
        <v>1114.72</v>
      </c>
      <c r="O58" s="4"/>
      <c r="P58" s="1">
        <f>SUM(OSRRefP21_8x_0)</f>
        <v>1600</v>
      </c>
      <c r="Q58" s="4"/>
      <c r="R58" s="1">
        <f>SUM(OSRRefR21_8x_0)</f>
        <v>1200</v>
      </c>
    </row>
    <row r="59" spans="1:18" s="16" customFormat="1" hidden="1" outlineLevel="2" x14ac:dyDescent="0.35">
      <c r="B59" s="11" t="str">
        <f>CONCATENATE("          ", "6277", " - ", "EMPLOYEE APPRECIATION")</f>
        <v xml:space="preserve">          6277 - EMPLOYEE APPRECIATION</v>
      </c>
      <c r="D59" s="2">
        <v>1256.9000000000001</v>
      </c>
      <c r="F59" s="2">
        <v>2204.89</v>
      </c>
      <c r="G59" s="3"/>
      <c r="H59" s="2">
        <v>1064.48</v>
      </c>
      <c r="I59" s="3"/>
      <c r="J59" s="2">
        <v>985.65</v>
      </c>
      <c r="K59" s="3"/>
      <c r="L59" s="2">
        <v>2649.79</v>
      </c>
      <c r="M59" s="3"/>
      <c r="N59" s="2">
        <v>1114.72</v>
      </c>
      <c r="O59" s="3"/>
      <c r="P59" s="2">
        <v>1600</v>
      </c>
      <c r="Q59" s="3"/>
      <c r="R59" s="2">
        <v>1200</v>
      </c>
    </row>
    <row r="60" spans="1:18" s="15" customFormat="1" outlineLevel="1" collapsed="1" x14ac:dyDescent="0.35">
      <c r="A60" s="7"/>
      <c r="B60" s="20" t="str">
        <f>CONCATENATE("     ","Equipment Rental                                  ")</f>
        <v xml:space="preserve">     Equipment Rental                                  </v>
      </c>
      <c r="C60" s="7"/>
      <c r="D60" s="1">
        <f>SUM(OSRRefD21_9x_0)</f>
        <v>1245.55</v>
      </c>
      <c r="E60" s="19"/>
      <c r="F60" s="1">
        <f>SUM(OSRRefF21_9x_0)</f>
        <v>1245.74</v>
      </c>
      <c r="G60" s="4"/>
      <c r="H60" s="1">
        <f>SUM(OSRRefH21_9x_0)</f>
        <v>1108.1099999999999</v>
      </c>
      <c r="I60" s="4"/>
      <c r="J60" s="1">
        <f>SUM(OSRRefJ21_9x_0)</f>
        <v>0</v>
      </c>
      <c r="K60" s="4"/>
      <c r="L60" s="1">
        <f>SUM(OSRRefL21_9x_0)</f>
        <v>0</v>
      </c>
      <c r="M60" s="4"/>
      <c r="N60" s="1">
        <f>SUM(OSRRefN21_9x_0)</f>
        <v>299.33999999999997</v>
      </c>
      <c r="O60" s="4"/>
      <c r="P60" s="1">
        <f>SUM(OSRRefP21_9x_0)</f>
        <v>20400</v>
      </c>
      <c r="Q60" s="4"/>
      <c r="R60" s="1">
        <f>SUM(OSRRefR21_9x_0)</f>
        <v>3600</v>
      </c>
    </row>
    <row r="61" spans="1:18" s="16" customFormat="1" hidden="1" outlineLevel="2" x14ac:dyDescent="0.35">
      <c r="B61" s="11" t="str">
        <f>CONCATENATE("          ", "6351", " - ", "EQUIPMENT RENTAL")</f>
        <v xml:space="preserve">          6351 - EQUIPMENT RENTAL</v>
      </c>
      <c r="D61" s="2">
        <v>1245.55</v>
      </c>
      <c r="F61" s="2">
        <v>1245.74</v>
      </c>
      <c r="G61" s="3"/>
      <c r="H61" s="2">
        <v>1108.1099999999999</v>
      </c>
      <c r="I61" s="3"/>
      <c r="J61" s="2"/>
      <c r="K61" s="3"/>
      <c r="L61" s="2"/>
      <c r="M61" s="3"/>
      <c r="N61" s="2">
        <v>299.33999999999997</v>
      </c>
      <c r="O61" s="3"/>
      <c r="P61" s="2">
        <v>20400</v>
      </c>
      <c r="Q61" s="3"/>
      <c r="R61" s="2">
        <v>3600</v>
      </c>
    </row>
    <row r="62" spans="1:18" s="15" customFormat="1" outlineLevel="1" collapsed="1" x14ac:dyDescent="0.35">
      <c r="A62" s="7"/>
      <c r="B62" s="20" t="str">
        <f>CONCATENATE("     ","Freight out/Postage                               ")</f>
        <v xml:space="preserve">     Freight out/Postage                               </v>
      </c>
      <c r="C62" s="7"/>
      <c r="D62" s="1">
        <f>SUM(OSRRefD21_10x_0)</f>
        <v>-354.77</v>
      </c>
      <c r="E62" s="19"/>
      <c r="F62" s="1">
        <f>SUM(OSRRefF21_10x_0)</f>
        <v>1212.75</v>
      </c>
      <c r="G62" s="4"/>
      <c r="H62" s="1">
        <f>SUM(OSRRefH21_10x_0)</f>
        <v>1491.08</v>
      </c>
      <c r="I62" s="4"/>
      <c r="J62" s="1">
        <f>SUM(OSRRefJ21_10x_0)</f>
        <v>123.57</v>
      </c>
      <c r="K62" s="4"/>
      <c r="L62" s="1">
        <f>SUM(OSRRefL21_10x_0)</f>
        <v>34.85</v>
      </c>
      <c r="M62" s="4"/>
      <c r="N62" s="1">
        <f>SUM(OSRRefN21_10x_0)</f>
        <v>202.67</v>
      </c>
      <c r="O62" s="4"/>
      <c r="P62" s="1">
        <f>SUM(OSRRefP21_10x_0)</f>
        <v>120</v>
      </c>
      <c r="Q62" s="4"/>
      <c r="R62" s="1">
        <f>SUM(OSRRefR21_10x_0)</f>
        <v>1200</v>
      </c>
    </row>
    <row r="63" spans="1:18" s="16" customFormat="1" hidden="1" outlineLevel="2" x14ac:dyDescent="0.35">
      <c r="B63" s="11" t="str">
        <f>CONCATENATE("          ", "6307", " - ", "POSTAGE")</f>
        <v xml:space="preserve">          6307 - POSTAGE</v>
      </c>
      <c r="D63" s="2">
        <v>-354.77</v>
      </c>
      <c r="F63" s="2">
        <v>1212.75</v>
      </c>
      <c r="G63" s="3"/>
      <c r="H63" s="2">
        <v>1491.08</v>
      </c>
      <c r="I63" s="3"/>
      <c r="J63" s="2">
        <v>123.57</v>
      </c>
      <c r="K63" s="3"/>
      <c r="L63" s="2">
        <v>34.85</v>
      </c>
      <c r="M63" s="3"/>
      <c r="N63" s="2">
        <v>202.67</v>
      </c>
      <c r="O63" s="3"/>
      <c r="P63" s="2">
        <v>120</v>
      </c>
      <c r="Q63" s="3"/>
      <c r="R63" s="2">
        <v>1200</v>
      </c>
    </row>
    <row r="64" spans="1:18" s="15" customFormat="1" outlineLevel="1" collapsed="1" x14ac:dyDescent="0.35">
      <c r="A64" s="7"/>
      <c r="B64" s="20" t="str">
        <f>CONCATENATE("     ","General                                           ")</f>
        <v xml:space="preserve">     General                                           </v>
      </c>
      <c r="C64" s="7"/>
      <c r="D64" s="1">
        <f>SUM(OSRRefD21_11x_0)</f>
        <v>2294.12</v>
      </c>
      <c r="E64" s="19"/>
      <c r="F64" s="1">
        <f>SUM(OSRRefF21_11x_0)</f>
        <v>2037.3</v>
      </c>
      <c r="G64" s="4"/>
      <c r="H64" s="1">
        <f>SUM(OSRRefH21_11x_0)</f>
        <v>1670.43</v>
      </c>
      <c r="I64" s="4"/>
      <c r="J64" s="1">
        <f>SUM(OSRRefJ21_11x_0)</f>
        <v>805.93</v>
      </c>
      <c r="K64" s="4"/>
      <c r="L64" s="1">
        <f>SUM(OSRRefL21_11x_0)</f>
        <v>2191.85</v>
      </c>
      <c r="M64" s="4"/>
      <c r="N64" s="1">
        <f>SUM(OSRRefN21_11x_0)</f>
        <v>-11754.76</v>
      </c>
      <c r="O64" s="4"/>
      <c r="P64" s="1">
        <f>SUM(OSRRefP21_11x_0)</f>
        <v>6000</v>
      </c>
      <c r="Q64" s="4"/>
      <c r="R64" s="1">
        <f>SUM(OSRRefR21_11x_0)</f>
        <v>2400</v>
      </c>
    </row>
    <row r="65" spans="1:18" s="16" customFormat="1" hidden="1" outlineLevel="2" x14ac:dyDescent="0.35">
      <c r="B65" s="11" t="str">
        <f>CONCATENATE("          ", "6279", " - ", "GENERAL EXPENSE")</f>
        <v xml:space="preserve">          6279 - GENERAL EXPENSE</v>
      </c>
      <c r="D65" s="2">
        <v>2294.12</v>
      </c>
      <c r="F65" s="2">
        <v>2037.3</v>
      </c>
      <c r="G65" s="3"/>
      <c r="H65" s="2">
        <v>1670.43</v>
      </c>
      <c r="I65" s="3"/>
      <c r="J65" s="2">
        <v>805.93</v>
      </c>
      <c r="K65" s="3"/>
      <c r="L65" s="2">
        <v>2191.85</v>
      </c>
      <c r="M65" s="3"/>
      <c r="N65" s="2">
        <v>-11754.76</v>
      </c>
      <c r="O65" s="3"/>
      <c r="P65" s="2">
        <v>6000</v>
      </c>
      <c r="Q65" s="3"/>
      <c r="R65" s="2">
        <v>2400</v>
      </c>
    </row>
    <row r="66" spans="1:18" s="15" customFormat="1" outlineLevel="1" collapsed="1" x14ac:dyDescent="0.35">
      <c r="A66" s="7"/>
      <c r="B66" s="20" t="str">
        <f>CONCATENATE("     ","Insurance                                         ")</f>
        <v xml:space="preserve">     Insurance                                         </v>
      </c>
      <c r="C66" s="7"/>
      <c r="D66" s="1">
        <f>SUM(OSRRefD21_12x_0)</f>
        <v>31329.56</v>
      </c>
      <c r="E66" s="19"/>
      <c r="F66" s="1">
        <f>SUM(OSRRefF21_12x_0)</f>
        <v>37901.4</v>
      </c>
      <c r="G66" s="4"/>
      <c r="H66" s="1">
        <f>SUM(OSRRefH21_12x_0)</f>
        <v>34448.68</v>
      </c>
      <c r="I66" s="4"/>
      <c r="J66" s="1">
        <f>SUM(OSRRefJ21_12x_0)</f>
        <v>38480.25</v>
      </c>
      <c r="K66" s="4"/>
      <c r="L66" s="1">
        <f>SUM(OSRRefL21_12x_0)</f>
        <v>37379.620000000003</v>
      </c>
      <c r="M66" s="4"/>
      <c r="N66" s="1">
        <f>SUM(OSRRefN21_12x_0)</f>
        <v>46602.720000000001</v>
      </c>
      <c r="O66" s="4"/>
      <c r="P66" s="1">
        <f>SUM(OSRRefP21_12x_0)</f>
        <v>51240</v>
      </c>
      <c r="Q66" s="4"/>
      <c r="R66" s="1">
        <f>SUM(OSRRefR21_12x_0)</f>
        <v>62400</v>
      </c>
    </row>
    <row r="67" spans="1:18" s="16" customFormat="1" hidden="1" outlineLevel="2" x14ac:dyDescent="0.35">
      <c r="B67" s="11" t="str">
        <f>CONCATENATE("          ", "6314", " - ", "LIABILITY INSURANCE")</f>
        <v xml:space="preserve">          6314 - LIABILITY INSURANCE</v>
      </c>
      <c r="D67" s="2">
        <v>31329.56</v>
      </c>
      <c r="F67" s="2">
        <v>37901.4</v>
      </c>
      <c r="G67" s="3"/>
      <c r="H67" s="2">
        <v>34448.68</v>
      </c>
      <c r="I67" s="3"/>
      <c r="J67" s="2">
        <v>38480.25</v>
      </c>
      <c r="K67" s="3"/>
      <c r="L67" s="2">
        <v>37379.620000000003</v>
      </c>
      <c r="M67" s="3"/>
      <c r="N67" s="2">
        <v>46602.720000000001</v>
      </c>
      <c r="O67" s="3"/>
      <c r="P67" s="2">
        <v>51240</v>
      </c>
      <c r="Q67" s="3"/>
      <c r="R67" s="2">
        <v>62400</v>
      </c>
    </row>
    <row r="68" spans="1:18" s="15" customFormat="1" outlineLevel="1" collapsed="1" x14ac:dyDescent="0.35">
      <c r="A68" s="7"/>
      <c r="B68" s="20" t="str">
        <f>CONCATENATE("     ","Inventory Adjustment                              ")</f>
        <v xml:space="preserve">     Inventory Adjustment                              </v>
      </c>
      <c r="C68" s="7"/>
      <c r="D68" s="1">
        <f>SUM(OSRRefD21_13x_0)</f>
        <v>-100505</v>
      </c>
      <c r="E68" s="19"/>
      <c r="F68" s="1">
        <f>SUM(OSRRefF21_13x_0)</f>
        <v>51810</v>
      </c>
      <c r="G68" s="4"/>
      <c r="H68" s="1">
        <f>SUM(OSRRefH21_13x_0)</f>
        <v>-36650</v>
      </c>
      <c r="I68" s="4"/>
      <c r="J68" s="1">
        <f>SUM(OSRRefJ21_13x_0)</f>
        <v>110351</v>
      </c>
      <c r="K68" s="4"/>
      <c r="L68" s="1">
        <f>SUM(OSRRefL21_13x_0)</f>
        <v>166740</v>
      </c>
      <c r="M68" s="4"/>
      <c r="N68" s="1">
        <f>SUM(OSRRefN21_13x_0)</f>
        <v>-99781</v>
      </c>
      <c r="O68" s="4"/>
      <c r="P68" s="1">
        <f>SUM(OSRRefP21_13x_0)</f>
        <v>12000</v>
      </c>
      <c r="Q68" s="4"/>
      <c r="R68" s="1">
        <f>SUM(OSRRefR21_13x_0)</f>
        <v>0</v>
      </c>
    </row>
    <row r="69" spans="1:18" s="16" customFormat="1" hidden="1" outlineLevel="2" x14ac:dyDescent="0.35">
      <c r="B69" s="11" t="str">
        <f>CONCATENATE("          ", "6408", " - ", "INVENTORY ADJUSTMENT")</f>
        <v xml:space="preserve">          6408 - INVENTORY ADJUSTMENT</v>
      </c>
      <c r="D69" s="2"/>
      <c r="F69" s="2"/>
      <c r="G69" s="3"/>
      <c r="H69" s="2"/>
      <c r="I69" s="3"/>
      <c r="J69" s="2"/>
      <c r="K69" s="3"/>
      <c r="L69" s="2"/>
      <c r="M69" s="3"/>
      <c r="N69" s="2"/>
      <c r="O69" s="3"/>
      <c r="P69" s="2">
        <v>12000</v>
      </c>
      <c r="Q69" s="3"/>
      <c r="R69" s="2"/>
    </row>
    <row r="70" spans="1:18" s="16" customFormat="1" hidden="1" outlineLevel="2" x14ac:dyDescent="0.35">
      <c r="B70" s="11" t="str">
        <f>CONCATENATE("          ", "7700", " - ", "INV. SHRINKAGE @ RETAIL-CONTRA")</f>
        <v xml:space="preserve">          7700 - INV. SHRINKAGE @ RETAIL-CONTRA</v>
      </c>
      <c r="D70" s="2">
        <v>-100505</v>
      </c>
      <c r="F70" s="2">
        <v>51810</v>
      </c>
      <c r="G70" s="3"/>
      <c r="H70" s="2">
        <v>-36650</v>
      </c>
      <c r="I70" s="3"/>
      <c r="J70" s="2">
        <v>110351</v>
      </c>
      <c r="K70" s="3"/>
      <c r="L70" s="2">
        <v>166740</v>
      </c>
      <c r="M70" s="3"/>
      <c r="N70" s="2">
        <v>-99781</v>
      </c>
      <c r="O70" s="3"/>
      <c r="P70" s="2"/>
      <c r="Q70" s="3"/>
      <c r="R70" s="2"/>
    </row>
    <row r="71" spans="1:18" s="15" customFormat="1" outlineLevel="1" collapsed="1" x14ac:dyDescent="0.35">
      <c r="A71" s="7"/>
      <c r="B71" s="20" t="str">
        <f>CONCATENATE("     ","Professional Services                             ")</f>
        <v xml:space="preserve">     Professional Services                             </v>
      </c>
      <c r="C71" s="7"/>
      <c r="D71" s="1">
        <f>SUM(OSRRefD21_14x_0)</f>
        <v>35994.520000000004</v>
      </c>
      <c r="E71" s="19"/>
      <c r="F71" s="1">
        <f>SUM(OSRRefF21_14x_0)</f>
        <v>24022.54</v>
      </c>
      <c r="G71" s="4"/>
      <c r="H71" s="1">
        <f>SUM(OSRRefH21_14x_0)</f>
        <v>11041.64</v>
      </c>
      <c r="I71" s="4"/>
      <c r="J71" s="1">
        <f>SUM(OSRRefJ21_14x_0)</f>
        <v>8369.68</v>
      </c>
      <c r="K71" s="4"/>
      <c r="L71" s="1">
        <f>SUM(OSRRefL21_14x_0)</f>
        <v>6776.43</v>
      </c>
      <c r="M71" s="4"/>
      <c r="N71" s="1">
        <f>SUM(OSRRefN21_14x_0)</f>
        <v>11333.98</v>
      </c>
      <c r="O71" s="4"/>
      <c r="P71" s="1">
        <f>SUM(OSRRefP21_14x_0)</f>
        <v>0</v>
      </c>
      <c r="Q71" s="4"/>
      <c r="R71" s="1">
        <f>SUM(OSRRefR21_14x_0)</f>
        <v>0</v>
      </c>
    </row>
    <row r="72" spans="1:18" s="16" customFormat="1" hidden="1" outlineLevel="2" x14ac:dyDescent="0.35">
      <c r="B72" s="11" t="str">
        <f>CONCATENATE("          ", "6332", " - ", "CONSULTANT FEES")</f>
        <v xml:space="preserve">          6332 - CONSULTANT FEES</v>
      </c>
      <c r="D72" s="2">
        <v>27177.82</v>
      </c>
      <c r="F72" s="2">
        <v>24022.54</v>
      </c>
      <c r="G72" s="3"/>
      <c r="H72" s="2">
        <v>4355.7700000000004</v>
      </c>
      <c r="I72" s="3"/>
      <c r="J72" s="2">
        <v>2204.5</v>
      </c>
      <c r="K72" s="3"/>
      <c r="L72" s="2"/>
      <c r="M72" s="3"/>
      <c r="N72" s="2"/>
      <c r="O72" s="3"/>
      <c r="P72" s="2"/>
      <c r="Q72" s="3"/>
      <c r="R72" s="2"/>
    </row>
    <row r="73" spans="1:18" s="16" customFormat="1" hidden="1" outlineLevel="2" x14ac:dyDescent="0.35">
      <c r="B73" s="11" t="str">
        <f>CONCATENATE("          ", "6336", " - ", "PROFESSIONAL SERVICES")</f>
        <v xml:space="preserve">          6336 - PROFESSIONAL SERVICES</v>
      </c>
      <c r="D73" s="2">
        <v>8816.7000000000007</v>
      </c>
      <c r="F73" s="2"/>
      <c r="G73" s="3"/>
      <c r="H73" s="2">
        <v>6685.87</v>
      </c>
      <c r="I73" s="3"/>
      <c r="J73" s="2">
        <v>6165.18</v>
      </c>
      <c r="K73" s="3"/>
      <c r="L73" s="2">
        <v>6776.43</v>
      </c>
      <c r="M73" s="3"/>
      <c r="N73" s="2">
        <v>11333.98</v>
      </c>
      <c r="O73" s="3"/>
      <c r="P73" s="2"/>
      <c r="Q73" s="3"/>
      <c r="R73" s="2"/>
    </row>
    <row r="74" spans="1:18" s="15" customFormat="1" outlineLevel="1" collapsed="1" x14ac:dyDescent="0.35">
      <c r="A74" s="7"/>
      <c r="B74" s="20" t="str">
        <f>CONCATENATE("     ","Rent                                              ")</f>
        <v xml:space="preserve">     Rent                                              </v>
      </c>
      <c r="C74" s="7"/>
      <c r="D74" s="1">
        <f>SUM(OSRRefD21_15x_0)</f>
        <v>-9600</v>
      </c>
      <c r="E74" s="19"/>
      <c r="F74" s="1">
        <f>SUM(OSRRefF21_15x_0)</f>
        <v>-9600</v>
      </c>
      <c r="G74" s="4"/>
      <c r="H74" s="1">
        <f>SUM(OSRRefH21_15x_0)</f>
        <v>-7616</v>
      </c>
      <c r="I74" s="4"/>
      <c r="J74" s="1">
        <f>SUM(OSRRefJ21_15x_0)</f>
        <v>-9537.6200000000008</v>
      </c>
      <c r="K74" s="4"/>
      <c r="L74" s="1">
        <f>SUM(OSRRefL21_15x_0)</f>
        <v>-8698.92</v>
      </c>
      <c r="M74" s="4"/>
      <c r="N74" s="1">
        <f>SUM(OSRRefN21_15x_0)</f>
        <v>-8000</v>
      </c>
      <c r="O74" s="4"/>
      <c r="P74" s="1">
        <f>SUM(OSRRefP21_15x_0)</f>
        <v>-9600</v>
      </c>
      <c r="Q74" s="4"/>
      <c r="R74" s="1">
        <f>SUM(OSRRefR21_15x_0)</f>
        <v>-9600</v>
      </c>
    </row>
    <row r="75" spans="1:18" s="16" customFormat="1" hidden="1" outlineLevel="2" x14ac:dyDescent="0.35">
      <c r="B75" s="11" t="str">
        <f>CONCATENATE("          ", "6273", " - ", "RENT")</f>
        <v xml:space="preserve">          6273 - RENT</v>
      </c>
      <c r="D75" s="2">
        <v>-9600</v>
      </c>
      <c r="F75" s="2">
        <v>-9600</v>
      </c>
      <c r="G75" s="3"/>
      <c r="H75" s="2">
        <v>-7616</v>
      </c>
      <c r="I75" s="3"/>
      <c r="J75" s="2">
        <v>-9537.6200000000008</v>
      </c>
      <c r="K75" s="3"/>
      <c r="L75" s="2">
        <v>-8698.92</v>
      </c>
      <c r="M75" s="3"/>
      <c r="N75" s="2">
        <v>-8000</v>
      </c>
      <c r="O75" s="3"/>
      <c r="P75" s="2">
        <v>-9600</v>
      </c>
      <c r="Q75" s="3"/>
      <c r="R75" s="2">
        <v>-9600</v>
      </c>
    </row>
    <row r="76" spans="1:18" s="15" customFormat="1" outlineLevel="1" collapsed="1" x14ac:dyDescent="0.35">
      <c r="A76" s="7"/>
      <c r="B76" s="20" t="str">
        <f>CONCATENATE("     ","Repair and Maintenance                            ")</f>
        <v xml:space="preserve">     Repair and Maintenance                            </v>
      </c>
      <c r="C76" s="7"/>
      <c r="D76" s="1">
        <f>SUM(OSRRefD21_16x_0)</f>
        <v>94783.21</v>
      </c>
      <c r="E76" s="19"/>
      <c r="F76" s="1">
        <f>SUM(OSRRefF21_16x_0)</f>
        <v>97780.98000000001</v>
      </c>
      <c r="G76" s="4"/>
      <c r="H76" s="1">
        <f>SUM(OSRRefH21_16x_0)</f>
        <v>185848.32000000001</v>
      </c>
      <c r="I76" s="4"/>
      <c r="J76" s="1">
        <f>SUM(OSRRefJ21_16x_0)</f>
        <v>68783.75</v>
      </c>
      <c r="K76" s="4"/>
      <c r="L76" s="1">
        <f>SUM(OSRRefL21_16x_0)</f>
        <v>143178.41</v>
      </c>
      <c r="M76" s="4"/>
      <c r="N76" s="1">
        <f>SUM(OSRRefN21_16x_0)</f>
        <v>71633.09</v>
      </c>
      <c r="O76" s="4"/>
      <c r="P76" s="1">
        <f>SUM(OSRRefP21_16x_0)</f>
        <v>153000</v>
      </c>
      <c r="Q76" s="4"/>
      <c r="R76" s="1">
        <f>SUM(OSRRefR21_16x_0)</f>
        <v>110720</v>
      </c>
    </row>
    <row r="77" spans="1:18" s="16" customFormat="1" hidden="1" outlineLevel="2" x14ac:dyDescent="0.35">
      <c r="B77" s="11" t="str">
        <f>CONCATENATE("          ", "6371", " - ", "COMPUTER SOFTWARE MAINTENANCE")</f>
        <v xml:space="preserve">          6371 - COMPUTER SOFTWARE MAINTENANCE</v>
      </c>
      <c r="D77" s="2">
        <v>38603</v>
      </c>
      <c r="F77" s="2">
        <v>39271</v>
      </c>
      <c r="G77" s="3"/>
      <c r="H77" s="2">
        <v>86316.17</v>
      </c>
      <c r="I77" s="3"/>
      <c r="J77" s="2">
        <v>3000</v>
      </c>
      <c r="K77" s="3"/>
      <c r="L77" s="2">
        <v>95000.25</v>
      </c>
      <c r="M77" s="3"/>
      <c r="N77" s="2">
        <v>17048.55</v>
      </c>
      <c r="O77" s="3"/>
      <c r="P77" s="2">
        <v>45000</v>
      </c>
      <c r="Q77" s="3"/>
      <c r="R77" s="2">
        <v>51000</v>
      </c>
    </row>
    <row r="78" spans="1:18" s="16" customFormat="1" hidden="1" outlineLevel="2" x14ac:dyDescent="0.35">
      <c r="B78" s="11" t="str">
        <f>CONCATENATE("          ", "6372", " - ", "COMPUTER HARDWARE MAINTENANCE")</f>
        <v xml:space="preserve">          6372 - COMPUTER HARDWARE MAINTENANCE</v>
      </c>
      <c r="D78" s="2"/>
      <c r="F78" s="2"/>
      <c r="G78" s="3"/>
      <c r="H78" s="2">
        <v>-0.4</v>
      </c>
      <c r="I78" s="3"/>
      <c r="J78" s="2">
        <v>29.05</v>
      </c>
      <c r="K78" s="3"/>
      <c r="L78" s="2">
        <v>51.79</v>
      </c>
      <c r="M78" s="3"/>
      <c r="N78" s="2">
        <v>50.32</v>
      </c>
      <c r="O78" s="3"/>
      <c r="P78" s="2"/>
      <c r="Q78" s="3"/>
      <c r="R78" s="2">
        <v>41620</v>
      </c>
    </row>
    <row r="79" spans="1:18" s="16" customFormat="1" hidden="1" outlineLevel="2" x14ac:dyDescent="0.35">
      <c r="B79" s="11" t="str">
        <f>CONCATENATE("          ", "6373", " - ", "MAINTENANCE CONTRACTS")</f>
        <v xml:space="preserve">          6373 - MAINTENANCE CONTRACTS</v>
      </c>
      <c r="D79" s="2">
        <v>32292.29</v>
      </c>
      <c r="F79" s="2">
        <v>28832.38</v>
      </c>
      <c r="G79" s="3"/>
      <c r="H79" s="2">
        <v>21738.98</v>
      </c>
      <c r="I79" s="3"/>
      <c r="J79" s="2">
        <v>24213.599999999999</v>
      </c>
      <c r="K79" s="3"/>
      <c r="L79" s="2">
        <v>19275.39</v>
      </c>
      <c r="M79" s="3"/>
      <c r="N79" s="2">
        <v>16291.63</v>
      </c>
      <c r="O79" s="3"/>
      <c r="P79" s="2">
        <v>12000</v>
      </c>
      <c r="Q79" s="3"/>
      <c r="R79" s="2">
        <v>18100</v>
      </c>
    </row>
    <row r="80" spans="1:18" s="16" customFormat="1" hidden="1" outlineLevel="2" x14ac:dyDescent="0.35">
      <c r="B80" s="11" t="str">
        <f>CONCATENATE("          ", "6375", " - ", "OUTSIDE REPAIRS &amp; MAINTENANCE")</f>
        <v xml:space="preserve">          6375 - OUTSIDE REPAIRS &amp; MAINTENANCE</v>
      </c>
      <c r="D80" s="2">
        <v>23887.919999999998</v>
      </c>
      <c r="F80" s="2">
        <v>29677.599999999999</v>
      </c>
      <c r="G80" s="3"/>
      <c r="H80" s="2">
        <v>77793.570000000007</v>
      </c>
      <c r="I80" s="3"/>
      <c r="J80" s="2">
        <v>41541.1</v>
      </c>
      <c r="K80" s="3"/>
      <c r="L80" s="2">
        <v>28850.98</v>
      </c>
      <c r="M80" s="3"/>
      <c r="N80" s="2">
        <v>38242.589999999997</v>
      </c>
      <c r="O80" s="3"/>
      <c r="P80" s="2">
        <v>96000</v>
      </c>
      <c r="Q80" s="3"/>
      <c r="R80" s="2"/>
    </row>
    <row r="81" spans="1:18" s="15" customFormat="1" outlineLevel="1" collapsed="1" x14ac:dyDescent="0.35">
      <c r="A81" s="7"/>
      <c r="B81" s="20" t="str">
        <f>CONCATENATE("     ","Royalty &amp; Commissions                             ")</f>
        <v xml:space="preserve">     Royalty &amp; Commissions                             </v>
      </c>
      <c r="C81" s="7"/>
      <c r="D81" s="1">
        <f>SUM(OSRRefD21_17x_0)</f>
        <v>0</v>
      </c>
      <c r="E81" s="19"/>
      <c r="F81" s="1">
        <f>SUM(OSRRefF21_17x_0)</f>
        <v>0</v>
      </c>
      <c r="G81" s="4"/>
      <c r="H81" s="1">
        <f>SUM(OSRRefH21_17x_0)</f>
        <v>68.98</v>
      </c>
      <c r="I81" s="4"/>
      <c r="J81" s="1">
        <f>SUM(OSRRefJ21_17x_0)</f>
        <v>0</v>
      </c>
      <c r="K81" s="4"/>
      <c r="L81" s="1">
        <f>SUM(OSRRefL21_17x_0)</f>
        <v>61</v>
      </c>
      <c r="M81" s="4"/>
      <c r="N81" s="1">
        <f>SUM(OSRRefN21_17x_0)</f>
        <v>0</v>
      </c>
      <c r="O81" s="4"/>
      <c r="P81" s="1">
        <f>SUM(OSRRefP21_17x_0)</f>
        <v>0</v>
      </c>
      <c r="Q81" s="4"/>
      <c r="R81" s="1">
        <f>SUM(OSRRefR21_17x_0)</f>
        <v>0</v>
      </c>
    </row>
    <row r="82" spans="1:18" s="16" customFormat="1" hidden="1" outlineLevel="2" x14ac:dyDescent="0.35">
      <c r="B82" s="11" t="str">
        <f>CONCATENATE("          ", "6254", " - ", "ROYALTY &amp; COMMISSIONS")</f>
        <v xml:space="preserve">          6254 - ROYALTY &amp; COMMISSIONS</v>
      </c>
      <c r="D82" s="2"/>
      <c r="F82" s="2"/>
      <c r="G82" s="3"/>
      <c r="H82" s="2">
        <v>68.98</v>
      </c>
      <c r="I82" s="3"/>
      <c r="J82" s="2"/>
      <c r="K82" s="3"/>
      <c r="L82" s="2">
        <v>61</v>
      </c>
      <c r="M82" s="3"/>
      <c r="N82" s="2"/>
      <c r="O82" s="3"/>
      <c r="P82" s="2"/>
      <c r="Q82" s="3"/>
      <c r="R82" s="2"/>
    </row>
    <row r="83" spans="1:18" s="15" customFormat="1" outlineLevel="1" collapsed="1" x14ac:dyDescent="0.35">
      <c r="A83" s="7"/>
      <c r="B83" s="20" t="str">
        <f>CONCATENATE("     ","Services                                          ")</f>
        <v xml:space="preserve">     Services                                          </v>
      </c>
      <c r="C83" s="7"/>
      <c r="D83" s="1">
        <f>SUM(OSRRefD21_18x_0)</f>
        <v>45694.49</v>
      </c>
      <c r="E83" s="19"/>
      <c r="F83" s="1">
        <f>SUM(OSRRefF21_18x_0)</f>
        <v>47432.73</v>
      </c>
      <c r="G83" s="4"/>
      <c r="H83" s="1">
        <f>SUM(OSRRefH21_18x_0)</f>
        <v>51694.74</v>
      </c>
      <c r="I83" s="4"/>
      <c r="J83" s="1">
        <f>SUM(OSRRefJ21_18x_0)</f>
        <v>42237.549999999996</v>
      </c>
      <c r="K83" s="4"/>
      <c r="L83" s="1">
        <f>SUM(OSRRefL21_18x_0)</f>
        <v>48661.01</v>
      </c>
      <c r="M83" s="4"/>
      <c r="N83" s="1">
        <f>SUM(OSRRefN21_18x_0)</f>
        <v>52755.83</v>
      </c>
      <c r="O83" s="4"/>
      <c r="P83" s="1">
        <f>SUM(OSRRefP21_18x_0)</f>
        <v>51600</v>
      </c>
      <c r="Q83" s="4"/>
      <c r="R83" s="1">
        <f>SUM(OSRRefR21_18x_0)</f>
        <v>51600</v>
      </c>
    </row>
    <row r="84" spans="1:18" s="16" customFormat="1" hidden="1" outlineLevel="2" x14ac:dyDescent="0.35">
      <c r="B84" s="11" t="str">
        <f>CONCATENATE("          ", "6281", " - ", "STORAGE FEE")</f>
        <v xml:space="preserve">          6281 - STORAGE FEE</v>
      </c>
      <c r="D84" s="2"/>
      <c r="F84" s="2"/>
      <c r="G84" s="3"/>
      <c r="H84" s="2">
        <v>40</v>
      </c>
      <c r="I84" s="3"/>
      <c r="J84" s="2"/>
      <c r="K84" s="3"/>
      <c r="L84" s="2"/>
      <c r="M84" s="3"/>
      <c r="N84" s="2"/>
      <c r="O84" s="3"/>
      <c r="P84" s="2"/>
      <c r="Q84" s="3"/>
      <c r="R84" s="2"/>
    </row>
    <row r="85" spans="1:18" s="16" customFormat="1" hidden="1" outlineLevel="2" x14ac:dyDescent="0.35">
      <c r="B85" s="11" t="str">
        <f>CONCATENATE("          ", "6282", " - ", "JANITORIAL/EXTERMINATOR EXPENS")</f>
        <v xml:space="preserve">          6282 - JANITORIAL/EXTERMINATOR EXPENS</v>
      </c>
      <c r="D85" s="2">
        <v>2385.5</v>
      </c>
      <c r="F85" s="2">
        <v>2258.5</v>
      </c>
      <c r="G85" s="3"/>
      <c r="H85" s="2">
        <v>2334</v>
      </c>
      <c r="I85" s="3"/>
      <c r="J85" s="2">
        <v>2334</v>
      </c>
      <c r="K85" s="3"/>
      <c r="L85" s="2">
        <v>2419.5</v>
      </c>
      <c r="M85" s="3"/>
      <c r="N85" s="2">
        <v>2953.86</v>
      </c>
      <c r="O85" s="3"/>
      <c r="P85" s="2">
        <v>48000</v>
      </c>
      <c r="Q85" s="3"/>
      <c r="R85" s="2">
        <v>51600</v>
      </c>
    </row>
    <row r="86" spans="1:18" s="16" customFormat="1" hidden="1" outlineLevel="2" x14ac:dyDescent="0.35">
      <c r="B86" s="11" t="str">
        <f>CONCATENATE("          ", "6283", " - ", "PLANT SERVICE")</f>
        <v xml:space="preserve">          6283 - PLANT SERVICE</v>
      </c>
      <c r="D86" s="2">
        <v>1722.63</v>
      </c>
      <c r="F86" s="2">
        <v>1404</v>
      </c>
      <c r="G86" s="3"/>
      <c r="H86" s="2">
        <v>1404</v>
      </c>
      <c r="I86" s="3"/>
      <c r="J86" s="2">
        <v>1911.63</v>
      </c>
      <c r="K86" s="3"/>
      <c r="L86" s="2">
        <v>1530.61</v>
      </c>
      <c r="M86" s="3"/>
      <c r="N86" s="2">
        <v>363.33</v>
      </c>
      <c r="O86" s="3"/>
      <c r="P86" s="2"/>
      <c r="Q86" s="3"/>
      <c r="R86" s="2"/>
    </row>
    <row r="87" spans="1:18" s="16" customFormat="1" hidden="1" outlineLevel="2" x14ac:dyDescent="0.35">
      <c r="B87" s="11" t="str">
        <f>CONCATENATE("          ", "6285", " - ", "JANITORIAL SERVICES")</f>
        <v xml:space="preserve">          6285 - JANITORIAL SERVICES</v>
      </c>
      <c r="D87" s="2">
        <v>41586.36</v>
      </c>
      <c r="F87" s="2">
        <v>43770.23</v>
      </c>
      <c r="G87" s="3"/>
      <c r="H87" s="2">
        <v>47916.74</v>
      </c>
      <c r="I87" s="3"/>
      <c r="J87" s="2">
        <v>37991.919999999998</v>
      </c>
      <c r="K87" s="3"/>
      <c r="L87" s="2">
        <v>44710.9</v>
      </c>
      <c r="M87" s="3"/>
      <c r="N87" s="2">
        <v>49438.64</v>
      </c>
      <c r="O87" s="3"/>
      <c r="P87" s="2">
        <v>3600</v>
      </c>
      <c r="Q87" s="3"/>
      <c r="R87" s="2"/>
    </row>
    <row r="88" spans="1:18" s="15" customFormat="1" outlineLevel="1" collapsed="1" x14ac:dyDescent="0.35">
      <c r="A88" s="7"/>
      <c r="B88" s="20" t="str">
        <f>CONCATENATE("     ","Subscriptions &amp; Dues                              ")</f>
        <v xml:space="preserve">     Subscriptions &amp; Dues                              </v>
      </c>
      <c r="C88" s="7"/>
      <c r="D88" s="1">
        <f>SUM(OSRRefD21_19x_0)</f>
        <v>10239.34</v>
      </c>
      <c r="E88" s="19"/>
      <c r="F88" s="1">
        <f>SUM(OSRRefF21_19x_0)</f>
        <v>10190.5</v>
      </c>
      <c r="G88" s="4"/>
      <c r="H88" s="1">
        <f>SUM(OSRRefH21_19x_0)</f>
        <v>7032.6</v>
      </c>
      <c r="I88" s="4"/>
      <c r="J88" s="1">
        <f>SUM(OSRRefJ21_19x_0)</f>
        <v>4932.26</v>
      </c>
      <c r="K88" s="4"/>
      <c r="L88" s="1">
        <f>SUM(OSRRefL21_19x_0)</f>
        <v>13368.61</v>
      </c>
      <c r="M88" s="4"/>
      <c r="N88" s="1">
        <f>SUM(OSRRefN21_19x_0)</f>
        <v>1280.3</v>
      </c>
      <c r="O88" s="4"/>
      <c r="P88" s="1">
        <f>SUM(OSRRefP21_19x_0)</f>
        <v>9600</v>
      </c>
      <c r="Q88" s="4"/>
      <c r="R88" s="1">
        <f>SUM(OSRRefR21_19x_0)</f>
        <v>5000</v>
      </c>
    </row>
    <row r="89" spans="1:18" s="16" customFormat="1" hidden="1" outlineLevel="2" x14ac:dyDescent="0.35">
      <c r="B89" s="11" t="str">
        <f>CONCATENATE("          ", "6258", " - ", "MEMBERSHIP DUES")</f>
        <v xml:space="preserve">          6258 - MEMBERSHIP DUES</v>
      </c>
      <c r="D89" s="2">
        <v>9254</v>
      </c>
      <c r="F89" s="2">
        <v>8903.68</v>
      </c>
      <c r="G89" s="3"/>
      <c r="H89" s="2">
        <v>5340</v>
      </c>
      <c r="I89" s="3"/>
      <c r="J89" s="2">
        <v>3240</v>
      </c>
      <c r="K89" s="3"/>
      <c r="L89" s="2">
        <v>8039.85</v>
      </c>
      <c r="M89" s="3"/>
      <c r="N89" s="2">
        <v>875</v>
      </c>
      <c r="O89" s="3"/>
      <c r="P89" s="2">
        <v>9600</v>
      </c>
      <c r="Q89" s="3"/>
      <c r="R89" s="2">
        <v>5000</v>
      </c>
    </row>
    <row r="90" spans="1:18" s="16" customFormat="1" hidden="1" outlineLevel="2" x14ac:dyDescent="0.35">
      <c r="B90" s="11" t="str">
        <f>CONCATENATE("          ", "6275", " - ", "SUBSCRIPTIONS")</f>
        <v xml:space="preserve">          6275 - SUBSCRIPTIONS</v>
      </c>
      <c r="D90" s="2">
        <v>985.34</v>
      </c>
      <c r="F90" s="2">
        <v>1286.82</v>
      </c>
      <c r="G90" s="3"/>
      <c r="H90" s="2">
        <v>1692.6</v>
      </c>
      <c r="I90" s="3"/>
      <c r="J90" s="2">
        <v>1692.26</v>
      </c>
      <c r="K90" s="3"/>
      <c r="L90" s="2">
        <v>5328.76</v>
      </c>
      <c r="M90" s="3"/>
      <c r="N90" s="2">
        <v>405.3</v>
      </c>
      <c r="O90" s="3"/>
      <c r="P90" s="2"/>
      <c r="Q90" s="3"/>
      <c r="R90" s="2"/>
    </row>
    <row r="91" spans="1:18" s="15" customFormat="1" outlineLevel="1" collapsed="1" x14ac:dyDescent="0.35">
      <c r="A91" s="7"/>
      <c r="B91" s="20" t="str">
        <f>CONCATENATE("     ","Supplies                                          ")</f>
        <v xml:space="preserve">     Supplies                                          </v>
      </c>
      <c r="C91" s="7"/>
      <c r="D91" s="1">
        <f>SUM(OSRRefD21_20x_0)</f>
        <v>56465.770000000004</v>
      </c>
      <c r="E91" s="19"/>
      <c r="F91" s="1">
        <f>SUM(OSRRefF21_20x_0)</f>
        <v>45943.11</v>
      </c>
      <c r="G91" s="4"/>
      <c r="H91" s="1">
        <f>SUM(OSRRefH21_20x_0)</f>
        <v>43966.340000000004</v>
      </c>
      <c r="I91" s="4"/>
      <c r="J91" s="1">
        <f>SUM(OSRRefJ21_20x_0)</f>
        <v>25489.780000000002</v>
      </c>
      <c r="K91" s="4"/>
      <c r="L91" s="1">
        <f>SUM(OSRRefL21_20x_0)</f>
        <v>63161.350000000006</v>
      </c>
      <c r="M91" s="4"/>
      <c r="N91" s="1">
        <f>SUM(OSRRefN21_20x_0)</f>
        <v>22697.69</v>
      </c>
      <c r="O91" s="4"/>
      <c r="P91" s="1">
        <f>SUM(OSRRefP21_20x_0)</f>
        <v>106600</v>
      </c>
      <c r="Q91" s="4"/>
      <c r="R91" s="1">
        <f>SUM(OSRRefR21_20x_0)</f>
        <v>65400</v>
      </c>
    </row>
    <row r="92" spans="1:18" s="16" customFormat="1" hidden="1" outlineLevel="2" x14ac:dyDescent="0.35">
      <c r="B92" s="11" t="str">
        <f>CONCATENATE("          ", "6234", " - ", "EXPENDABLE SUPPLIES &amp; EQUIPMEN")</f>
        <v xml:space="preserve">          6234 - EXPENDABLE SUPPLIES &amp; EQUIPMEN</v>
      </c>
      <c r="D92" s="2">
        <v>17142.48</v>
      </c>
      <c r="F92" s="2">
        <v>6672.25</v>
      </c>
      <c r="G92" s="3"/>
      <c r="H92" s="2">
        <v>5925.03</v>
      </c>
      <c r="I92" s="3"/>
      <c r="J92" s="2">
        <v>620.96</v>
      </c>
      <c r="K92" s="3"/>
      <c r="L92" s="2">
        <v>1164.48</v>
      </c>
      <c r="M92" s="3"/>
      <c r="N92" s="2">
        <v>2149.0500000000002</v>
      </c>
      <c r="O92" s="3"/>
      <c r="P92" s="2">
        <v>1200</v>
      </c>
      <c r="Q92" s="3"/>
      <c r="R92" s="2">
        <v>3000</v>
      </c>
    </row>
    <row r="93" spans="1:18" s="16" customFormat="1" hidden="1" outlineLevel="2" x14ac:dyDescent="0.35">
      <c r="B93" s="11" t="str">
        <f>CONCATENATE("          ", "6235", " - ", "COVID-19 EXPENSES")</f>
        <v xml:space="preserve">          6235 - COVID-19 EXPENSES</v>
      </c>
      <c r="D93" s="2"/>
      <c r="F93" s="2"/>
      <c r="G93" s="3"/>
      <c r="H93" s="2"/>
      <c r="I93" s="3"/>
      <c r="J93" s="2"/>
      <c r="K93" s="3"/>
      <c r="L93" s="2"/>
      <c r="M93" s="3"/>
      <c r="N93" s="2">
        <v>5061.67</v>
      </c>
      <c r="O93" s="3"/>
      <c r="P93" s="2">
        <v>61000</v>
      </c>
      <c r="Q93" s="3"/>
      <c r="R93" s="2">
        <v>1200</v>
      </c>
    </row>
    <row r="94" spans="1:18" s="16" customFormat="1" hidden="1" outlineLevel="2" x14ac:dyDescent="0.35">
      <c r="B94" s="11" t="str">
        <f>CONCATENATE("          ", "6237", " - ", "JANITORIAL SUPPLIES")</f>
        <v xml:space="preserve">          6237 - JANITORIAL SUPPLIES</v>
      </c>
      <c r="D94" s="2">
        <v>6420.81</v>
      </c>
      <c r="F94" s="2">
        <v>3490</v>
      </c>
      <c r="G94" s="3"/>
      <c r="H94" s="2">
        <v>4884.22</v>
      </c>
      <c r="I94" s="3"/>
      <c r="J94" s="2">
        <v>6040.35</v>
      </c>
      <c r="K94" s="3"/>
      <c r="L94" s="2">
        <v>7104.67</v>
      </c>
      <c r="M94" s="3"/>
      <c r="N94" s="2">
        <v>6170.69</v>
      </c>
      <c r="O94" s="3"/>
      <c r="P94" s="2">
        <v>2400</v>
      </c>
      <c r="Q94" s="3"/>
      <c r="R94" s="2"/>
    </row>
    <row r="95" spans="1:18" s="16" customFormat="1" hidden="1" outlineLevel="2" x14ac:dyDescent="0.35">
      <c r="B95" s="11" t="str">
        <f>CONCATENATE("          ", "6241", " - ", "OFFICE EXPENSE")</f>
        <v xml:space="preserve">          6241 - OFFICE EXPENSE</v>
      </c>
      <c r="D95" s="2">
        <v>15210.06</v>
      </c>
      <c r="F95" s="2">
        <v>9832.4599999999991</v>
      </c>
      <c r="G95" s="3"/>
      <c r="H95" s="2">
        <v>7414.84</v>
      </c>
      <c r="I95" s="3"/>
      <c r="J95" s="2">
        <v>4293.29</v>
      </c>
      <c r="K95" s="3"/>
      <c r="L95" s="2">
        <v>18236.54</v>
      </c>
      <c r="M95" s="3"/>
      <c r="N95" s="2">
        <v>9744.1299999999992</v>
      </c>
      <c r="O95" s="3"/>
      <c r="P95" s="2"/>
      <c r="Q95" s="3"/>
      <c r="R95" s="2">
        <v>1200</v>
      </c>
    </row>
    <row r="96" spans="1:18" s="16" customFormat="1" hidden="1" outlineLevel="2" x14ac:dyDescent="0.35">
      <c r="B96" s="11" t="str">
        <f>CONCATENATE("          ", "6245", " - ", "PRINTING")</f>
        <v xml:space="preserve">          6245 - PRINTING</v>
      </c>
      <c r="D96" s="2">
        <v>2808.51</v>
      </c>
      <c r="F96" s="2">
        <v>1772.53</v>
      </c>
      <c r="G96" s="3"/>
      <c r="H96" s="2">
        <v>2384.81</v>
      </c>
      <c r="I96" s="3"/>
      <c r="J96" s="2">
        <v>2132.37</v>
      </c>
      <c r="K96" s="3"/>
      <c r="L96" s="2">
        <v>1984.47</v>
      </c>
      <c r="M96" s="3"/>
      <c r="N96" s="2">
        <v>19.73</v>
      </c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"6247", " - ", "STORE SUPPLIES")</f>
        <v xml:space="preserve">          6247 - STORE SUPPLIES</v>
      </c>
      <c r="D97" s="2">
        <v>11785.37</v>
      </c>
      <c r="F97" s="2">
        <v>22638.97</v>
      </c>
      <c r="G97" s="3"/>
      <c r="H97" s="2">
        <v>19371.37</v>
      </c>
      <c r="I97" s="3"/>
      <c r="J97" s="2">
        <v>10999.11</v>
      </c>
      <c r="K97" s="3"/>
      <c r="L97" s="2">
        <v>33269.69</v>
      </c>
      <c r="M97" s="3"/>
      <c r="N97" s="2">
        <v>-491.49</v>
      </c>
      <c r="O97" s="3"/>
      <c r="P97" s="2">
        <v>24000</v>
      </c>
      <c r="Q97" s="3"/>
      <c r="R97" s="2">
        <v>60000</v>
      </c>
    </row>
    <row r="98" spans="1:18" s="16" customFormat="1" hidden="1" outlineLevel="2" x14ac:dyDescent="0.35">
      <c r="B98" s="11" t="str">
        <f>CONCATENATE("          ", "6248", " - ", "UNIFORMS")</f>
        <v xml:space="preserve">          6248 - UNIFORMS</v>
      </c>
      <c r="D98" s="2">
        <v>3098.54</v>
      </c>
      <c r="F98" s="2">
        <v>1536.9</v>
      </c>
      <c r="G98" s="3"/>
      <c r="H98" s="2">
        <v>3986.07</v>
      </c>
      <c r="I98" s="3"/>
      <c r="J98" s="2">
        <v>1403.7</v>
      </c>
      <c r="K98" s="3"/>
      <c r="L98" s="2">
        <v>1401.5</v>
      </c>
      <c r="M98" s="3"/>
      <c r="N98" s="2">
        <v>43.91</v>
      </c>
      <c r="O98" s="3"/>
      <c r="P98" s="2">
        <v>18000</v>
      </c>
      <c r="Q98" s="3"/>
      <c r="R98" s="2"/>
    </row>
    <row r="99" spans="1:18" s="15" customFormat="1" outlineLevel="1" collapsed="1" x14ac:dyDescent="0.35">
      <c r="A99" s="7"/>
      <c r="B99" s="20" t="str">
        <f>CONCATENATE("     ","Telephone/Data Lines                              ")</f>
        <v xml:space="preserve">     Telephone/Data Lines                              </v>
      </c>
      <c r="C99" s="7"/>
      <c r="D99" s="1">
        <f>SUM(OSRRefD21_21x_0)</f>
        <v>5865.12</v>
      </c>
      <c r="E99" s="19"/>
      <c r="F99" s="1">
        <f>SUM(OSRRefF21_21x_0)</f>
        <v>4595.95</v>
      </c>
      <c r="G99" s="4"/>
      <c r="H99" s="1">
        <f>SUM(OSRRefH21_21x_0)</f>
        <v>4275.43</v>
      </c>
      <c r="I99" s="4"/>
      <c r="J99" s="1">
        <f>SUM(OSRRefJ21_21x_0)</f>
        <v>4896.74</v>
      </c>
      <c r="K99" s="4"/>
      <c r="L99" s="1">
        <f>SUM(OSRRefL21_21x_0)</f>
        <v>5843.02</v>
      </c>
      <c r="M99" s="4"/>
      <c r="N99" s="1">
        <f>SUM(OSRRefN21_21x_0)</f>
        <v>6086.13</v>
      </c>
      <c r="O99" s="4"/>
      <c r="P99" s="1">
        <f>SUM(OSRRefP21_21x_0)</f>
        <v>7200</v>
      </c>
      <c r="Q99" s="4"/>
      <c r="R99" s="1">
        <f>SUM(OSRRefR21_21x_0)</f>
        <v>7200</v>
      </c>
    </row>
    <row r="100" spans="1:18" s="16" customFormat="1" hidden="1" outlineLevel="2" x14ac:dyDescent="0.35">
      <c r="B100" s="11" t="str">
        <f>CONCATENATE("          ", "6303", " - ", "DATA PHONE LINES")</f>
        <v xml:space="preserve">          6303 - DATA PHONE LINES</v>
      </c>
      <c r="D100" s="2"/>
      <c r="F100" s="2">
        <v>128.71</v>
      </c>
      <c r="G100" s="3"/>
      <c r="H100" s="2"/>
      <c r="I100" s="3"/>
      <c r="J100" s="2"/>
      <c r="K100" s="3"/>
      <c r="L100" s="2"/>
      <c r="M100" s="3"/>
      <c r="N100" s="2"/>
      <c r="O100" s="3"/>
      <c r="P100" s="2"/>
      <c r="Q100" s="3"/>
      <c r="R100" s="2"/>
    </row>
    <row r="101" spans="1:18" s="16" customFormat="1" hidden="1" outlineLevel="2" x14ac:dyDescent="0.35">
      <c r="B101" s="11" t="str">
        <f>CONCATENATE("          ", "6309", " - ", "TELEPHONE")</f>
        <v xml:space="preserve">          6309 - TELEPHONE</v>
      </c>
      <c r="D101" s="2">
        <v>5865.12</v>
      </c>
      <c r="F101" s="2">
        <v>4467.24</v>
      </c>
      <c r="G101" s="3"/>
      <c r="H101" s="2">
        <v>4275.43</v>
      </c>
      <c r="I101" s="3"/>
      <c r="J101" s="2">
        <v>4896.74</v>
      </c>
      <c r="K101" s="3"/>
      <c r="L101" s="2">
        <v>5843.02</v>
      </c>
      <c r="M101" s="3"/>
      <c r="N101" s="2">
        <v>6086.13</v>
      </c>
      <c r="O101" s="3"/>
      <c r="P101" s="2">
        <v>7200</v>
      </c>
      <c r="Q101" s="3"/>
      <c r="R101" s="2">
        <v>7200</v>
      </c>
    </row>
    <row r="102" spans="1:18" s="15" customFormat="1" outlineLevel="1" collapsed="1" x14ac:dyDescent="0.35">
      <c r="A102" s="7"/>
      <c r="B102" s="20" t="str">
        <f>CONCATENATE("     ","Training                                          ")</f>
        <v xml:space="preserve">     Training                                          </v>
      </c>
      <c r="C102" s="7"/>
      <c r="D102" s="1">
        <f>SUM(OSRRefD21_22x_0)</f>
        <v>7435.02</v>
      </c>
      <c r="E102" s="19"/>
      <c r="F102" s="1">
        <f>SUM(OSRRefF21_22x_0)</f>
        <v>10559.64</v>
      </c>
      <c r="G102" s="4"/>
      <c r="H102" s="1">
        <f>SUM(OSRRefH21_22x_0)</f>
        <v>11064.48</v>
      </c>
      <c r="I102" s="4"/>
      <c r="J102" s="1">
        <f>SUM(OSRRefJ21_22x_0)</f>
        <v>9246.24</v>
      </c>
      <c r="K102" s="4"/>
      <c r="L102" s="1">
        <f>SUM(OSRRefL21_22x_0)</f>
        <v>13564.79</v>
      </c>
      <c r="M102" s="4"/>
      <c r="N102" s="1">
        <f>SUM(OSRRefN21_22x_0)</f>
        <v>13942.81</v>
      </c>
      <c r="O102" s="4"/>
      <c r="P102" s="1">
        <f>SUM(OSRRefP21_22x_0)</f>
        <v>3250</v>
      </c>
      <c r="Q102" s="4"/>
      <c r="R102" s="1">
        <f>SUM(OSRRefR21_22x_0)</f>
        <v>2000</v>
      </c>
    </row>
    <row r="103" spans="1:18" s="16" customFormat="1" hidden="1" outlineLevel="2" x14ac:dyDescent="0.35">
      <c r="B103" s="11" t="str">
        <f>CONCATENATE("          ", "6376", " - ", "TRAINING")</f>
        <v xml:space="preserve">          6376 - TRAINING</v>
      </c>
      <c r="D103" s="2">
        <v>7435.02</v>
      </c>
      <c r="F103" s="2">
        <v>10559.64</v>
      </c>
      <c r="G103" s="3"/>
      <c r="H103" s="2">
        <v>11064.48</v>
      </c>
      <c r="I103" s="3"/>
      <c r="J103" s="2">
        <v>9246.24</v>
      </c>
      <c r="K103" s="3"/>
      <c r="L103" s="2">
        <v>13564.79</v>
      </c>
      <c r="M103" s="3"/>
      <c r="N103" s="2">
        <v>13942.81</v>
      </c>
      <c r="O103" s="3"/>
      <c r="P103" s="2">
        <v>3250</v>
      </c>
      <c r="Q103" s="3"/>
      <c r="R103" s="2">
        <v>2000</v>
      </c>
    </row>
    <row r="104" spans="1:18" s="15" customFormat="1" outlineLevel="1" collapsed="1" x14ac:dyDescent="0.35">
      <c r="A104" s="7"/>
      <c r="B104" s="20" t="str">
        <f>CONCATENATE("     ","Travel                                            ")</f>
        <v xml:space="preserve">     Travel                                            </v>
      </c>
      <c r="C104" s="7"/>
      <c r="D104" s="1">
        <f>SUM(OSRRefD21_23x_0)</f>
        <v>2554.09</v>
      </c>
      <c r="E104" s="19"/>
      <c r="F104" s="1">
        <f>SUM(OSRRefF21_23x_0)</f>
        <v>2221.0700000000002</v>
      </c>
      <c r="G104" s="4"/>
      <c r="H104" s="1">
        <f>SUM(OSRRefH21_23x_0)</f>
        <v>2041.5100000000002</v>
      </c>
      <c r="I104" s="4"/>
      <c r="J104" s="1">
        <f>SUM(OSRRefJ21_23x_0)</f>
        <v>2019.29</v>
      </c>
      <c r="K104" s="4"/>
      <c r="L104" s="1">
        <f>SUM(OSRRefL21_23x_0)</f>
        <v>2276.34</v>
      </c>
      <c r="M104" s="4"/>
      <c r="N104" s="1">
        <f>SUM(OSRRefN21_23x_0)</f>
        <v>943.89</v>
      </c>
      <c r="O104" s="4"/>
      <c r="P104" s="1">
        <f>SUM(OSRRefP21_23x_0)</f>
        <v>0</v>
      </c>
      <c r="Q104" s="4"/>
      <c r="R104" s="1">
        <f>SUM(OSRRefR21_23x_0)</f>
        <v>1500</v>
      </c>
    </row>
    <row r="105" spans="1:18" s="16" customFormat="1" hidden="1" outlineLevel="2" x14ac:dyDescent="0.35">
      <c r="B105" s="11" t="str">
        <f>CONCATENATE("          ", "6292", " - ", "TRAVEL/CONFERENCE")</f>
        <v xml:space="preserve">          6292 - TRAVEL/CONFERENCE</v>
      </c>
      <c r="D105" s="2">
        <v>1101.1600000000001</v>
      </c>
      <c r="F105" s="2">
        <v>1785.74</v>
      </c>
      <c r="G105" s="3"/>
      <c r="H105" s="2">
        <v>1638.96</v>
      </c>
      <c r="I105" s="3"/>
      <c r="J105" s="2">
        <v>1323.17</v>
      </c>
      <c r="K105" s="3"/>
      <c r="L105" s="2">
        <v>1565.56</v>
      </c>
      <c r="M105" s="3"/>
      <c r="N105" s="2">
        <v>636.70000000000005</v>
      </c>
      <c r="O105" s="3"/>
      <c r="P105" s="2"/>
      <c r="Q105" s="3"/>
      <c r="R105" s="2">
        <v>1500</v>
      </c>
    </row>
    <row r="106" spans="1:18" s="16" customFormat="1" hidden="1" outlineLevel="2" x14ac:dyDescent="0.35">
      <c r="B106" s="11" t="str">
        <f>CONCATENATE("          ", "6294", " - ", "TRAVEL OPERATIONAL")</f>
        <v xml:space="preserve">          6294 - TRAVEL OPERATIONAL</v>
      </c>
      <c r="D106" s="2">
        <v>54.73</v>
      </c>
      <c r="F106" s="2"/>
      <c r="G106" s="3"/>
      <c r="H106" s="2">
        <v>48.4</v>
      </c>
      <c r="I106" s="3"/>
      <c r="J106" s="2"/>
      <c r="K106" s="3"/>
      <c r="L106" s="2">
        <v>43.19</v>
      </c>
      <c r="M106" s="3"/>
      <c r="N106" s="2">
        <v>-144.33000000000001</v>
      </c>
      <c r="O106" s="3"/>
      <c r="P106" s="2"/>
      <c r="Q106" s="3"/>
      <c r="R106" s="2"/>
    </row>
    <row r="107" spans="1:18" s="16" customFormat="1" hidden="1" outlineLevel="2" x14ac:dyDescent="0.35">
      <c r="B107" s="11" t="str">
        <f>CONCATENATE("          ", "6298", " - ", "VEHICLE MILEAGE")</f>
        <v xml:space="preserve">          6298 - VEHICLE MILEAGE</v>
      </c>
      <c r="D107" s="2">
        <v>1398.2</v>
      </c>
      <c r="F107" s="2">
        <v>435.33</v>
      </c>
      <c r="G107" s="3"/>
      <c r="H107" s="2">
        <v>354.15</v>
      </c>
      <c r="I107" s="3"/>
      <c r="J107" s="2">
        <v>696.12</v>
      </c>
      <c r="K107" s="3"/>
      <c r="L107" s="2">
        <v>667.59</v>
      </c>
      <c r="M107" s="3"/>
      <c r="N107" s="2">
        <v>451.52</v>
      </c>
      <c r="O107" s="3"/>
      <c r="P107" s="2"/>
      <c r="Q107" s="3"/>
      <c r="R107" s="2"/>
    </row>
    <row r="108" spans="1:18" s="15" customFormat="1" outlineLevel="1" collapsed="1" x14ac:dyDescent="0.35">
      <c r="A108" s="7"/>
      <c r="B108" s="20" t="str">
        <f>CONCATENATE("     ","Utilities                                         ")</f>
        <v xml:space="preserve">     Utilities                                         </v>
      </c>
      <c r="C108" s="7"/>
      <c r="D108" s="1">
        <f>SUM(OSRRefD21_24x_0)</f>
        <v>70925</v>
      </c>
      <c r="E108" s="19"/>
      <c r="F108" s="1">
        <f>SUM(OSRRefF21_24x_0)</f>
        <v>72410</v>
      </c>
      <c r="G108" s="4"/>
      <c r="H108" s="1">
        <f>SUM(OSRRefH21_24x_0)</f>
        <v>53103</v>
      </c>
      <c r="I108" s="4"/>
      <c r="J108" s="1">
        <f>SUM(OSRRefJ21_24x_0)</f>
        <v>77472</v>
      </c>
      <c r="K108" s="4"/>
      <c r="L108" s="1">
        <f>SUM(OSRRefL21_24x_0)</f>
        <v>54163</v>
      </c>
      <c r="M108" s="4"/>
      <c r="N108" s="1">
        <f>SUM(OSRRefN21_24x_0)</f>
        <v>75224</v>
      </c>
      <c r="O108" s="4"/>
      <c r="P108" s="1">
        <f>SUM(OSRRefP21_24x_0)</f>
        <v>72000</v>
      </c>
      <c r="Q108" s="4"/>
      <c r="R108" s="1">
        <f>SUM(OSRRefR21_24x_0)</f>
        <v>72000</v>
      </c>
    </row>
    <row r="109" spans="1:18" s="16" customFormat="1" hidden="1" outlineLevel="2" x14ac:dyDescent="0.35">
      <c r="B109" s="11" t="str">
        <f>CONCATENATE("          ", "6274", " - ", "UTILITIES")</f>
        <v xml:space="preserve">          6274 - UTILITIES</v>
      </c>
      <c r="D109" s="2">
        <v>70925</v>
      </c>
      <c r="F109" s="2">
        <v>72410</v>
      </c>
      <c r="G109" s="3"/>
      <c r="H109" s="2">
        <v>53103</v>
      </c>
      <c r="I109" s="3"/>
      <c r="J109" s="2">
        <v>77472</v>
      </c>
      <c r="K109" s="3"/>
      <c r="L109" s="2">
        <v>54163</v>
      </c>
      <c r="M109" s="3"/>
      <c r="N109" s="2">
        <v>75224</v>
      </c>
      <c r="O109" s="3"/>
      <c r="P109" s="2">
        <v>72000</v>
      </c>
      <c r="Q109" s="3"/>
      <c r="R109" s="2">
        <v>72000</v>
      </c>
    </row>
    <row r="110" spans="1:18" x14ac:dyDescent="0.35">
      <c r="A110" s="12"/>
      <c r="B110" s="12"/>
      <c r="C110" s="12"/>
      <c r="D110" s="1"/>
      <c r="F110" s="1"/>
      <c r="H110" s="1"/>
      <c r="J110" s="1"/>
      <c r="L110" s="1"/>
      <c r="N110" s="1"/>
      <c r="P110" s="1"/>
      <c r="R110" s="1"/>
    </row>
    <row r="111" spans="1:18" s="7" customFormat="1" collapsed="1" x14ac:dyDescent="0.35">
      <c r="A111" s="36"/>
      <c r="B111" s="34" t="s">
        <v>295</v>
      </c>
      <c r="D111" s="6">
        <f>SUM(OSRRefD24x_0)</f>
        <v>128155.55</v>
      </c>
      <c r="E111" s="12"/>
      <c r="F111" s="6">
        <f>SUM(OSRRefF24x_0)</f>
        <v>128651.01</v>
      </c>
      <c r="G111" s="5"/>
      <c r="H111" s="6">
        <f>SUM(OSRRefH24x_0)</f>
        <v>161169.46</v>
      </c>
      <c r="I111" s="5"/>
      <c r="J111" s="6">
        <f>SUM(OSRRefJ24x_0)</f>
        <v>362723.31</v>
      </c>
      <c r="K111" s="5"/>
      <c r="L111" s="6">
        <f>SUM(OSRRefL24x_0)</f>
        <v>304902.18</v>
      </c>
      <c r="M111" s="5"/>
      <c r="N111" s="6">
        <f>SUM(OSRRefN24x_0)</f>
        <v>269200.71000000002</v>
      </c>
      <c r="O111" s="5"/>
      <c r="P111" s="6">
        <f>SUM(OSRRefP24x_0)</f>
        <v>214300</v>
      </c>
      <c r="Q111" s="5"/>
      <c r="R111" s="6">
        <f>SUM(OSRRefR24x_0)</f>
        <v>199000</v>
      </c>
    </row>
    <row r="112" spans="1:18" s="7" customFormat="1" hidden="1" outlineLevel="1" x14ac:dyDescent="0.35">
      <c r="A112" s="36"/>
      <c r="B112" s="11" t="str">
        <f>CONCATENATE("          ", "9150", " - ", "MISC. INCOME")</f>
        <v xml:space="preserve">          9150 - MISC. INCOME</v>
      </c>
      <c r="D112" s="11">
        <f>--128155.55</f>
        <v>128155.55</v>
      </c>
      <c r="E112" s="16"/>
      <c r="F112" s="11">
        <f>--128651.01</f>
        <v>128651.01</v>
      </c>
      <c r="G112" s="3"/>
      <c r="H112" s="11">
        <f>--162800.6</f>
        <v>162800.6</v>
      </c>
      <c r="I112" s="3"/>
      <c r="J112" s="11">
        <f>--361827.3</f>
        <v>361827.3</v>
      </c>
      <c r="K112" s="3"/>
      <c r="L112" s="11">
        <f>--304223.92</f>
        <v>304223.92</v>
      </c>
      <c r="M112" s="3"/>
      <c r="N112" s="11">
        <f>--262102.31</f>
        <v>262102.31</v>
      </c>
      <c r="O112" s="3"/>
      <c r="P112" s="11">
        <v>30700</v>
      </c>
      <c r="Q112" s="3"/>
      <c r="R112" s="11">
        <v>27000</v>
      </c>
    </row>
    <row r="113" spans="1:18" s="7" customFormat="1" hidden="1" outlineLevel="1" x14ac:dyDescent="0.35">
      <c r="A113" s="36"/>
      <c r="B113" s="11" t="str">
        <f>CONCATENATE("          ", "9151", " - ", "MISC. INCOME")</f>
        <v xml:space="preserve">          9151 - MISC. INCOME</v>
      </c>
      <c r="D113" s="11">
        <f t="shared" ref="D113:D114" si="0">0</f>
        <v>0</v>
      </c>
      <c r="E113" s="16"/>
      <c r="F113" s="11">
        <f t="shared" ref="F113:F114" si="1">0</f>
        <v>0</v>
      </c>
      <c r="G113" s="3"/>
      <c r="H113" s="11">
        <f>-1631.14</f>
        <v>-1631.14</v>
      </c>
      <c r="I113" s="3"/>
      <c r="J113" s="11">
        <f>--896.01</f>
        <v>896.01</v>
      </c>
      <c r="K113" s="3"/>
      <c r="L113" s="11">
        <f>--498.26</f>
        <v>498.26</v>
      </c>
      <c r="M113" s="3"/>
      <c r="N113" s="11">
        <f>--6648.4</f>
        <v>6648.4</v>
      </c>
      <c r="O113" s="3"/>
      <c r="P113" s="11">
        <v>183600</v>
      </c>
      <c r="Q113" s="3"/>
      <c r="R113" s="11">
        <v>172000</v>
      </c>
    </row>
    <row r="114" spans="1:18" s="7" customFormat="1" hidden="1" outlineLevel="1" x14ac:dyDescent="0.35">
      <c r="A114" s="36"/>
      <c r="B114" s="11" t="str">
        <f>CONCATENATE("          ", "9153", " - ", "MISC. INCOME")</f>
        <v xml:space="preserve">          9153 - MISC. INCOME</v>
      </c>
      <c r="D114" s="11">
        <f t="shared" si="0"/>
        <v>0</v>
      </c>
      <c r="E114" s="16"/>
      <c r="F114" s="11">
        <f t="shared" si="1"/>
        <v>0</v>
      </c>
      <c r="G114" s="3"/>
      <c r="H114" s="11">
        <f>0</f>
        <v>0</v>
      </c>
      <c r="I114" s="3"/>
      <c r="J114" s="11">
        <f>0</f>
        <v>0</v>
      </c>
      <c r="K114" s="3"/>
      <c r="L114" s="11">
        <f>--180</f>
        <v>180</v>
      </c>
      <c r="M114" s="3"/>
      <c r="N114" s="11">
        <f>--450</f>
        <v>450</v>
      </c>
      <c r="O114" s="3"/>
      <c r="P114" s="11"/>
      <c r="Q114" s="3"/>
      <c r="R114" s="11"/>
    </row>
    <row r="115" spans="1:18" x14ac:dyDescent="0.35">
      <c r="A115" s="12"/>
      <c r="B115" s="7"/>
      <c r="C115" s="7"/>
      <c r="D115" s="6"/>
      <c r="F115" s="6"/>
      <c r="H115" s="6"/>
      <c r="J115" s="6"/>
      <c r="L115" s="6"/>
      <c r="N115" s="6"/>
      <c r="P115" s="6"/>
      <c r="R115" s="6"/>
    </row>
    <row r="116" spans="1:18" s="15" customFormat="1" x14ac:dyDescent="0.35">
      <c r="A116" s="7"/>
      <c r="B116" s="22" t="s">
        <v>279</v>
      </c>
      <c r="C116" s="22"/>
      <c r="D116" s="10">
        <f>+D15-D18+D111</f>
        <v>-643952.66000000015</v>
      </c>
      <c r="E116" s="12"/>
      <c r="F116" s="10">
        <f>+F15-F18+F111</f>
        <v>-967388.5</v>
      </c>
      <c r="G116" s="5"/>
      <c r="H116" s="10">
        <f>+H15-H18+H111</f>
        <v>-1050801.4000000004</v>
      </c>
      <c r="I116" s="5"/>
      <c r="J116" s="10">
        <f>+J15-J18+J111</f>
        <v>-961307.94000000018</v>
      </c>
      <c r="K116" s="5"/>
      <c r="L116" s="10">
        <f>+L15-L18+L111</f>
        <v>-1478852.9200000004</v>
      </c>
      <c r="M116" s="5"/>
      <c r="N116" s="10">
        <f>+N15-N18+N111</f>
        <v>-927189.47999999952</v>
      </c>
      <c r="O116" s="5"/>
      <c r="P116" s="10">
        <f>+P15-P18+P111</f>
        <v>-1441708.37156031</v>
      </c>
      <c r="Q116" s="5"/>
      <c r="R116" s="10">
        <f>+R15-R18+R111</f>
        <v>-1299625.2569776</v>
      </c>
    </row>
    <row r="117" spans="1:18" s="27" customFormat="1" x14ac:dyDescent="0.35">
      <c r="A117" s="18"/>
      <c r="B117" s="31"/>
      <c r="C117" s="18"/>
      <c r="D117" s="9">
        <f>IFERROR(D116/D10, 0)</f>
        <v>0</v>
      </c>
      <c r="E117" s="18"/>
      <c r="F117" s="9">
        <f>IFERROR(F116/F10, 0)</f>
        <v>0</v>
      </c>
      <c r="G117" s="14"/>
      <c r="H117" s="9">
        <f>IFERROR(H116/H10, 0)</f>
        <v>0</v>
      </c>
      <c r="I117" s="14"/>
      <c r="J117" s="9">
        <f>IFERROR(J116/J10, 0)</f>
        <v>0</v>
      </c>
      <c r="K117" s="14"/>
      <c r="L117" s="9">
        <f>IFERROR(L116/L10, 0)</f>
        <v>0</v>
      </c>
      <c r="M117" s="14"/>
      <c r="N117" s="9">
        <f>IFERROR(N116/N10, 0)</f>
        <v>0</v>
      </c>
      <c r="O117" s="14"/>
      <c r="P117" s="9">
        <f>IFERROR(P116/P10, 0)</f>
        <v>0</v>
      </c>
      <c r="Q117" s="14"/>
      <c r="R117" s="9">
        <f>IFERROR(R116/R10, 0)</f>
        <v>0</v>
      </c>
    </row>
    <row r="118" spans="1:18" s="27" customFormat="1" x14ac:dyDescent="0.35">
      <c r="A118" s="18"/>
      <c r="B118" s="31"/>
      <c r="C118" s="18"/>
      <c r="D118" s="13"/>
      <c r="E118" s="18"/>
      <c r="F118" s="13"/>
      <c r="G118" s="14"/>
      <c r="H118" s="13"/>
      <c r="I118" s="14"/>
      <c r="J118" s="13"/>
      <c r="K118" s="14"/>
      <c r="L118" s="13"/>
      <c r="M118" s="14"/>
      <c r="N118" s="13"/>
      <c r="O118" s="14"/>
      <c r="P118" s="13"/>
      <c r="Q118" s="14"/>
      <c r="R118" s="13"/>
    </row>
    <row r="119" spans="1:18" s="15" customFormat="1" x14ac:dyDescent="0.35">
      <c r="A119" s="37"/>
      <c r="B119" s="7" t="s">
        <v>127</v>
      </c>
      <c r="C119" s="7"/>
      <c r="D119" s="6"/>
      <c r="E119" s="12"/>
      <c r="F119" s="6"/>
      <c r="G119" s="5"/>
      <c r="H119" s="6"/>
      <c r="I119" s="5"/>
      <c r="J119" s="6"/>
      <c r="K119" s="5"/>
      <c r="L119" s="6"/>
      <c r="M119" s="5"/>
      <c r="N119" s="6"/>
      <c r="O119" s="5"/>
      <c r="P119" s="6"/>
      <c r="Q119" s="5"/>
      <c r="R119" s="6"/>
    </row>
    <row r="120" spans="1:18" x14ac:dyDescent="0.35">
      <c r="A120" s="12"/>
      <c r="B120" s="7"/>
      <c r="C120" s="7"/>
      <c r="D120" s="6"/>
      <c r="F120" s="6"/>
      <c r="H120" s="6"/>
      <c r="J120" s="6"/>
      <c r="L120" s="6"/>
      <c r="N120" s="6"/>
      <c r="P120" s="6"/>
      <c r="R120" s="6"/>
    </row>
    <row r="121" spans="1:18" s="15" customFormat="1" x14ac:dyDescent="0.35">
      <c r="A121" s="7"/>
      <c r="B121" s="22" t="s">
        <v>126</v>
      </c>
      <c r="C121" s="22"/>
      <c r="D121" s="10">
        <f>+D116-D119</f>
        <v>-643952.66000000015</v>
      </c>
      <c r="E121" s="12"/>
      <c r="F121" s="10">
        <f>+F116-F119</f>
        <v>-967388.5</v>
      </c>
      <c r="G121" s="5"/>
      <c r="H121" s="10">
        <f>+H116-H119</f>
        <v>-1050801.4000000004</v>
      </c>
      <c r="I121" s="5"/>
      <c r="J121" s="10">
        <f>+J116-J119</f>
        <v>-961307.94000000018</v>
      </c>
      <c r="K121" s="5"/>
      <c r="L121" s="10">
        <f>+L116-L119</f>
        <v>-1478852.9200000004</v>
      </c>
      <c r="M121" s="5"/>
      <c r="N121" s="10">
        <f>+N116-N119</f>
        <v>-927189.47999999952</v>
      </c>
      <c r="O121" s="5"/>
      <c r="P121" s="10">
        <f>+P116-P119</f>
        <v>-1441708.37156031</v>
      </c>
      <c r="Q121" s="5"/>
      <c r="R121" s="10">
        <f>+R116-R119</f>
        <v>-1299625.2569776</v>
      </c>
    </row>
    <row r="122" spans="1:18" s="27" customFormat="1" x14ac:dyDescent="0.35">
      <c r="A122" s="18"/>
      <c r="B122" s="18"/>
      <c r="C122" s="18"/>
      <c r="D122" s="9">
        <f>IFERROR(D121/D10, 0)</f>
        <v>0</v>
      </c>
      <c r="E122" s="18"/>
      <c r="F122" s="9">
        <f>IFERROR(F121/F10, 0)</f>
        <v>0</v>
      </c>
      <c r="G122" s="14"/>
      <c r="H122" s="9">
        <f>IFERROR(H121/H10, 0)</f>
        <v>0</v>
      </c>
      <c r="I122" s="14"/>
      <c r="J122" s="9">
        <f>IFERROR(J121/J10, 0)</f>
        <v>0</v>
      </c>
      <c r="K122" s="14"/>
      <c r="L122" s="9">
        <f>IFERROR(L121/L10, 0)</f>
        <v>0</v>
      </c>
      <c r="M122" s="14"/>
      <c r="N122" s="9">
        <f>IFERROR(N121/N10, 0)</f>
        <v>0</v>
      </c>
      <c r="O122" s="14"/>
      <c r="P122" s="9">
        <f>IFERROR(P121/P10, 0)</f>
        <v>0</v>
      </c>
      <c r="Q122" s="14"/>
      <c r="R122" s="9">
        <f>IFERROR(R121/R10, 0)</f>
        <v>0</v>
      </c>
    </row>
    <row r="123" spans="1:18" s="27" customFormat="1" x14ac:dyDescent="0.35">
      <c r="A123" s="18"/>
      <c r="B123" s="18"/>
      <c r="C123" s="18"/>
      <c r="D123" s="13"/>
      <c r="E123" s="18"/>
      <c r="F123" s="13"/>
      <c r="G123" s="14"/>
      <c r="H123" s="13"/>
      <c r="I123" s="14"/>
      <c r="J123" s="13"/>
      <c r="K123" s="14"/>
      <c r="L123" s="13"/>
      <c r="M123" s="14"/>
      <c r="N123" s="13"/>
      <c r="O123" s="14"/>
      <c r="P123" s="13"/>
      <c r="Q123" s="14"/>
      <c r="R123" s="13"/>
    </row>
    <row r="124" spans="1:18" x14ac:dyDescent="0.35">
      <c r="A124" s="12"/>
      <c r="B124" s="12"/>
      <c r="C124" s="12"/>
      <c r="D124" s="6"/>
      <c r="F124" s="6"/>
      <c r="H124" s="6"/>
      <c r="J124" s="6"/>
      <c r="L124" s="6"/>
      <c r="N124" s="6"/>
      <c r="P124" s="6"/>
      <c r="R124" s="6"/>
    </row>
    <row r="125" spans="1:18" s="15" customFormat="1" x14ac:dyDescent="0.35">
      <c r="A125" s="7"/>
      <c r="B125" s="22" t="s">
        <v>296</v>
      </c>
      <c r="C125" s="22"/>
      <c r="D125" s="10">
        <f>SUM(D121:D124)</f>
        <v>-643952.66000000015</v>
      </c>
      <c r="E125" s="12"/>
      <c r="F125" s="10">
        <f>SUM(F121:F124)</f>
        <v>-967388.5</v>
      </c>
      <c r="G125" s="5"/>
      <c r="H125" s="10">
        <f>SUM(H121:H124)</f>
        <v>-1050801.4000000004</v>
      </c>
      <c r="I125" s="5"/>
      <c r="J125" s="10">
        <f>SUM(J121:J124)</f>
        <v>-961307.94000000018</v>
      </c>
      <c r="K125" s="5"/>
      <c r="L125" s="10">
        <f>SUM(L121:L124)</f>
        <v>-1478852.9200000004</v>
      </c>
      <c r="M125" s="5"/>
      <c r="N125" s="10">
        <f>SUM(N121:N124)</f>
        <v>-927189.47999999952</v>
      </c>
      <c r="O125" s="5"/>
      <c r="P125" s="10">
        <f>SUM(P121:P124)</f>
        <v>-1441708.37156031</v>
      </c>
      <c r="Q125" s="5"/>
      <c r="R125" s="10">
        <f>SUM(R121:R124)</f>
        <v>-1299625.2569776</v>
      </c>
    </row>
    <row r="126" spans="1:18" s="27" customFormat="1" x14ac:dyDescent="0.35">
      <c r="A126" s="18"/>
      <c r="B126" s="41"/>
      <c r="C126" s="18"/>
      <c r="D126" s="9">
        <f>IFERROR(D125/D10, 0)</f>
        <v>0</v>
      </c>
      <c r="E126" s="18"/>
      <c r="F126" s="9">
        <f>IFERROR(F125/F10, 0)</f>
        <v>0</v>
      </c>
      <c r="G126" s="14"/>
      <c r="H126" s="9">
        <f>IFERROR(H125/H10, 0)</f>
        <v>0</v>
      </c>
      <c r="I126" s="14"/>
      <c r="J126" s="9">
        <f>IFERROR(J125/J10, 0)</f>
        <v>0</v>
      </c>
      <c r="K126" s="14"/>
      <c r="L126" s="9">
        <f>IFERROR(L125/L10, 0)</f>
        <v>0</v>
      </c>
      <c r="M126" s="14"/>
      <c r="N126" s="9">
        <f>IFERROR(N125/N10, 0)</f>
        <v>0</v>
      </c>
      <c r="O126" s="14"/>
      <c r="P126" s="9">
        <f>IFERROR(P125/P10, 0)</f>
        <v>0</v>
      </c>
      <c r="Q126" s="14"/>
      <c r="R126" s="9">
        <f>IFERROR(R125/R10, 0)</f>
        <v>0</v>
      </c>
    </row>
    <row r="127" spans="1:18" x14ac:dyDescent="0.35">
      <c r="A127" s="12"/>
      <c r="B127" s="40">
        <v>44319.883572604165</v>
      </c>
      <c r="D127" s="24"/>
      <c r="F127" s="24"/>
      <c r="H127" s="24"/>
      <c r="J127" s="24"/>
      <c r="L127" s="24"/>
      <c r="N127" s="24"/>
      <c r="P127" s="24"/>
      <c r="R127" s="24"/>
    </row>
    <row r="128" spans="1:18" x14ac:dyDescent="0.35">
      <c r="A128" s="12"/>
      <c r="B128" s="39" t="s">
        <v>23</v>
      </c>
      <c r="D128" s="24"/>
      <c r="F128" s="24"/>
      <c r="H128" s="24"/>
      <c r="J128" s="24"/>
      <c r="L128" s="24"/>
      <c r="N128" s="24"/>
      <c r="P128" s="24"/>
      <c r="R128" s="24"/>
    </row>
    <row r="129" spans="1:18" x14ac:dyDescent="0.35">
      <c r="A129" s="12"/>
      <c r="D129" s="24"/>
      <c r="F129" s="24"/>
      <c r="H129" s="24"/>
      <c r="J129" s="24"/>
      <c r="L129" s="24"/>
      <c r="N129" s="24"/>
      <c r="P129" s="24"/>
      <c r="R129" s="24"/>
    </row>
    <row r="130" spans="1:18" x14ac:dyDescent="0.35">
      <c r="D130" s="24"/>
      <c r="F130" s="24"/>
      <c r="H130" s="24"/>
      <c r="J130" s="24"/>
      <c r="L130" s="24"/>
      <c r="N130" s="24"/>
      <c r="P130" s="24"/>
      <c r="R130" s="24"/>
    </row>
  </sheetData>
  <pageMargins left="0.5" right="0.5" top="0.5" bottom="0.5" header="0.3" footer="0.3"/>
  <pageSetup scale="59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8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","306", " - ", "Warehouse")</f>
        <v>Department 306 - Warehouse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494142.77000000008</v>
      </c>
      <c r="E17" s="19"/>
      <c r="F17" s="8">
        <f>SUM(OSRRefF21x_0)</f>
        <v>376790.08000000007</v>
      </c>
      <c r="G17" s="4"/>
      <c r="H17" s="8">
        <f>SUM(OSRRefH21x_0)</f>
        <v>464796.19999999984</v>
      </c>
      <c r="I17" s="4"/>
      <c r="J17" s="8">
        <f>SUM(OSRRefJ21x_0)</f>
        <v>493870.35000000003</v>
      </c>
      <c r="K17" s="4"/>
      <c r="L17" s="8">
        <f>SUM(OSRRefL21x_0)</f>
        <v>511766.62</v>
      </c>
      <c r="M17" s="4"/>
      <c r="N17" s="8">
        <f>SUM(OSRRefN21x_0)</f>
        <v>519485.78</v>
      </c>
      <c r="O17" s="4"/>
      <c r="P17" s="8">
        <f>SUM(OSRRefP21x_0)</f>
        <v>0</v>
      </c>
      <c r="Q17" s="4"/>
      <c r="R17" s="8">
        <f>SUM(OSRRefR21x_0)</f>
        <v>0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93239.27</v>
      </c>
      <c r="E18" s="19"/>
      <c r="F18" s="1">
        <f>SUM(OSRRefF21_0x_0)</f>
        <v>66779.24000000002</v>
      </c>
      <c r="G18" s="4"/>
      <c r="H18" s="1">
        <f>SUM(OSRRefH21_0x_0)</f>
        <v>62331.479999999989</v>
      </c>
      <c r="I18" s="4"/>
      <c r="J18" s="1">
        <f>SUM(OSRRefJ21_0x_0)</f>
        <v>69114.149999999994</v>
      </c>
      <c r="K18" s="4"/>
      <c r="L18" s="1">
        <f>SUM(OSRRefL21_0x_0)</f>
        <v>73797.509999999995</v>
      </c>
      <c r="M18" s="4"/>
      <c r="N18" s="1">
        <f>SUM(OSRRefN21_0x_0)</f>
        <v>53527.070000000007</v>
      </c>
      <c r="O18" s="4"/>
      <c r="P18" s="1">
        <f>SUM(OSRRefP21_0x_0)</f>
        <v>0</v>
      </c>
      <c r="Q18" s="4"/>
      <c r="R18" s="1">
        <f>SUM(OSRRefR21_0x_0)</f>
        <v>0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17831.669999999998</v>
      </c>
      <c r="F19" s="2">
        <v>12206.52</v>
      </c>
      <c r="G19" s="3"/>
      <c r="H19" s="2">
        <v>15879.45</v>
      </c>
      <c r="I19" s="3"/>
      <c r="J19" s="2">
        <v>19276.400000000001</v>
      </c>
      <c r="K19" s="3"/>
      <c r="L19" s="2">
        <v>19123.11</v>
      </c>
      <c r="M19" s="3"/>
      <c r="N19" s="2">
        <v>19409.29</v>
      </c>
      <c r="O19" s="3"/>
      <c r="P19" s="2">
        <v>0</v>
      </c>
      <c r="Q19" s="3"/>
      <c r="R19" s="2"/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5181.37</v>
      </c>
      <c r="F20" s="2">
        <v>5425.06</v>
      </c>
      <c r="G20" s="3"/>
      <c r="H20" s="2">
        <v>5549.34</v>
      </c>
      <c r="I20" s="3"/>
      <c r="J20" s="2">
        <v>3514.33</v>
      </c>
      <c r="K20" s="3"/>
      <c r="L20" s="2">
        <v>4879.92</v>
      </c>
      <c r="M20" s="3"/>
      <c r="N20" s="2">
        <v>8372.41</v>
      </c>
      <c r="O20" s="3"/>
      <c r="P20" s="2">
        <v>0</v>
      </c>
      <c r="Q20" s="3"/>
      <c r="R20" s="2"/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39578.54</v>
      </c>
      <c r="F21" s="2">
        <v>20552.88</v>
      </c>
      <c r="G21" s="3"/>
      <c r="H21" s="2">
        <v>23789.19</v>
      </c>
      <c r="I21" s="3"/>
      <c r="J21" s="2">
        <v>24202.05</v>
      </c>
      <c r="K21" s="3"/>
      <c r="L21" s="2">
        <v>23007.59</v>
      </c>
      <c r="M21" s="3"/>
      <c r="N21" s="2">
        <v>19979.009999999998</v>
      </c>
      <c r="O21" s="3"/>
      <c r="P21" s="2">
        <v>0</v>
      </c>
      <c r="Q21" s="3"/>
      <c r="R21" s="2"/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2372.7600000000002</v>
      </c>
      <c r="F22" s="2">
        <v>1811.8</v>
      </c>
      <c r="G22" s="3"/>
      <c r="H22" s="2">
        <v>1141.3800000000001</v>
      </c>
      <c r="I22" s="3"/>
      <c r="J22" s="2">
        <v>1291.3699999999999</v>
      </c>
      <c r="K22" s="3"/>
      <c r="L22" s="2">
        <v>1238.25</v>
      </c>
      <c r="M22" s="3"/>
      <c r="N22" s="2">
        <v>0</v>
      </c>
      <c r="O22" s="3"/>
      <c r="P22" s="2">
        <v>0</v>
      </c>
      <c r="Q22" s="3"/>
      <c r="R22" s="2"/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8864.7099999999991</v>
      </c>
      <c r="F23" s="2">
        <v>6506.94</v>
      </c>
      <c r="G23" s="3"/>
      <c r="H23" s="2">
        <v>4376.2</v>
      </c>
      <c r="I23" s="3"/>
      <c r="J23" s="2">
        <v>6432.49</v>
      </c>
      <c r="K23" s="3"/>
      <c r="L23" s="2">
        <v>7846.26</v>
      </c>
      <c r="M23" s="3"/>
      <c r="N23" s="2">
        <v>7876.9</v>
      </c>
      <c r="O23" s="3"/>
      <c r="P23" s="2">
        <v>0</v>
      </c>
      <c r="Q23" s="3"/>
      <c r="R23" s="2"/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/>
      <c r="G24" s="3"/>
      <c r="H24" s="2"/>
      <c r="I24" s="3"/>
      <c r="J24" s="2"/>
      <c r="K24" s="3"/>
      <c r="L24" s="2"/>
      <c r="M24" s="3"/>
      <c r="N24" s="2"/>
      <c r="O24" s="3"/>
      <c r="P24" s="2">
        <v>0</v>
      </c>
      <c r="Q24" s="3"/>
      <c r="R24" s="2"/>
    </row>
    <row r="25" spans="1:18" s="16" customFormat="1" hidden="1" outlineLevel="2" x14ac:dyDescent="0.35">
      <c r="B25" s="11" t="str">
        <f>CONCATENATE("          ", "6117", " - ", "RETIREMENT STAFF HOURLY")</f>
        <v xml:space="preserve">          6117 - RETIREMENT STAFF HOURLY</v>
      </c>
      <c r="D25" s="2">
        <v>1651.73</v>
      </c>
      <c r="F25" s="2"/>
      <c r="G25" s="3"/>
      <c r="H25" s="2"/>
      <c r="I25" s="3"/>
      <c r="J25" s="2">
        <v>579.98</v>
      </c>
      <c r="K25" s="3"/>
      <c r="L25" s="2">
        <v>302.08</v>
      </c>
      <c r="M25" s="3"/>
      <c r="N25" s="2"/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6596.82</v>
      </c>
      <c r="F26" s="2">
        <v>6867.9</v>
      </c>
      <c r="G26" s="3"/>
      <c r="H26" s="2">
        <v>3507.92</v>
      </c>
      <c r="I26" s="3"/>
      <c r="J26" s="2">
        <v>5081.6400000000003</v>
      </c>
      <c r="K26" s="3"/>
      <c r="L26" s="2">
        <v>6688.68</v>
      </c>
      <c r="M26" s="3"/>
      <c r="N26" s="2">
        <v>4661.3</v>
      </c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6259.79</v>
      </c>
      <c r="F27" s="2">
        <v>8539.4</v>
      </c>
      <c r="G27" s="3"/>
      <c r="H27" s="2">
        <v>4495.74</v>
      </c>
      <c r="I27" s="3"/>
      <c r="J27" s="2">
        <v>5413.96</v>
      </c>
      <c r="K27" s="3"/>
      <c r="L27" s="2">
        <v>7591.06</v>
      </c>
      <c r="M27" s="3"/>
      <c r="N27" s="2">
        <v>-9617.31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4901.88</v>
      </c>
      <c r="F28" s="2">
        <v>4868.74</v>
      </c>
      <c r="G28" s="3"/>
      <c r="H28" s="2">
        <v>3592.26</v>
      </c>
      <c r="I28" s="3"/>
      <c r="J28" s="2">
        <v>3321.93</v>
      </c>
      <c r="K28" s="3"/>
      <c r="L28" s="2">
        <v>3120.56</v>
      </c>
      <c r="M28" s="3"/>
      <c r="N28" s="2">
        <v>2845.47</v>
      </c>
      <c r="O28" s="3"/>
      <c r="P28" s="2">
        <v>0</v>
      </c>
      <c r="Q28" s="3"/>
      <c r="R28" s="2"/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384706.04000000004</v>
      </c>
      <c r="E29" s="19"/>
      <c r="F29" s="1">
        <f>SUM(OSRRefF21_1x_0)</f>
        <v>297161.78999999998</v>
      </c>
      <c r="G29" s="4"/>
      <c r="H29" s="1">
        <f>SUM(OSRRefH21_1x_0)</f>
        <v>389608.72</v>
      </c>
      <c r="I29" s="4"/>
      <c r="J29" s="1">
        <f>SUM(OSRRefJ21_1x_0)</f>
        <v>416560.66000000003</v>
      </c>
      <c r="K29" s="4"/>
      <c r="L29" s="1">
        <f>SUM(OSRRefL21_1x_0)</f>
        <v>424909.3</v>
      </c>
      <c r="M29" s="4"/>
      <c r="N29" s="1">
        <f>SUM(OSRRefN21_1x_0)</f>
        <v>452215.37999999995</v>
      </c>
      <c r="O29" s="4"/>
      <c r="P29" s="1">
        <f>SUM(OSRRefP21_1x_0)</f>
        <v>0</v>
      </c>
      <c r="Q29" s="4"/>
      <c r="R29" s="1">
        <f>SUM(OSRRefR21_1x_0)</f>
        <v>0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>
        <v>89753.14</v>
      </c>
      <c r="F31" s="2">
        <v>91258.12</v>
      </c>
      <c r="G31" s="3"/>
      <c r="H31" s="2">
        <v>88835.839999999997</v>
      </c>
      <c r="I31" s="3"/>
      <c r="J31" s="2">
        <v>92459.18</v>
      </c>
      <c r="K31" s="3"/>
      <c r="L31" s="2">
        <v>96687.97</v>
      </c>
      <c r="M31" s="3"/>
      <c r="N31" s="2">
        <v>94654.399999999994</v>
      </c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>
        <v>36060.050000000003</v>
      </c>
      <c r="F33" s="2"/>
      <c r="G33" s="3"/>
      <c r="H33" s="2"/>
      <c r="I33" s="3"/>
      <c r="J33" s="2"/>
      <c r="K33" s="3"/>
      <c r="L33" s="2"/>
      <c r="M33" s="3"/>
      <c r="N33" s="2">
        <v>10606.15</v>
      </c>
      <c r="O33" s="3"/>
      <c r="P33" s="2">
        <v>0</v>
      </c>
      <c r="Q33" s="3"/>
      <c r="R33" s="2"/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40837.5</v>
      </c>
      <c r="F34" s="2">
        <v>26819.01</v>
      </c>
      <c r="G34" s="3"/>
      <c r="H34" s="2">
        <v>35113.53</v>
      </c>
      <c r="I34" s="3"/>
      <c r="J34" s="2">
        <v>37606.5</v>
      </c>
      <c r="K34" s="3"/>
      <c r="L34" s="2">
        <v>39718.25</v>
      </c>
      <c r="M34" s="3"/>
      <c r="N34" s="2">
        <v>46909.49</v>
      </c>
      <c r="O34" s="3"/>
      <c r="P34" s="2">
        <v>0</v>
      </c>
      <c r="Q34" s="3"/>
      <c r="R34" s="2"/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>
        <v>15048.78</v>
      </c>
      <c r="F35" s="2">
        <v>7960.88</v>
      </c>
      <c r="G35" s="3"/>
      <c r="H35" s="2">
        <v>29877.11</v>
      </c>
      <c r="I35" s="3"/>
      <c r="J35" s="2">
        <v>38859.25</v>
      </c>
      <c r="K35" s="3"/>
      <c r="L35" s="2">
        <v>27739.05</v>
      </c>
      <c r="M35" s="3"/>
      <c r="N35" s="2">
        <v>15402.92</v>
      </c>
      <c r="O35" s="3"/>
      <c r="P35" s="2">
        <v>0</v>
      </c>
      <c r="Q35" s="3"/>
      <c r="R35" s="2"/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202122.32</v>
      </c>
      <c r="F36" s="2">
        <v>168694.03</v>
      </c>
      <c r="G36" s="3"/>
      <c r="H36" s="2">
        <v>227369.72</v>
      </c>
      <c r="I36" s="3"/>
      <c r="J36" s="2">
        <v>237962.73</v>
      </c>
      <c r="K36" s="3"/>
      <c r="L36" s="2">
        <v>243640.83</v>
      </c>
      <c r="M36" s="3"/>
      <c r="N36" s="2">
        <v>271625.24</v>
      </c>
      <c r="O36" s="3"/>
      <c r="P36" s="2">
        <v>0</v>
      </c>
      <c r="Q36" s="3"/>
      <c r="R36" s="2"/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>
        <v>884.25</v>
      </c>
      <c r="F37" s="2">
        <v>2429.75</v>
      </c>
      <c r="G37" s="3"/>
      <c r="H37" s="2">
        <v>8412.52</v>
      </c>
      <c r="I37" s="3"/>
      <c r="J37" s="2">
        <v>9673</v>
      </c>
      <c r="K37" s="3"/>
      <c r="L37" s="2">
        <v>17123.2</v>
      </c>
      <c r="M37" s="3"/>
      <c r="N37" s="2">
        <v>13017.18</v>
      </c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/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184</v>
      </c>
      <c r="E40" s="19"/>
      <c r="F40" s="1">
        <f>SUM(OSRRefF21_2x_0)</f>
        <v>175.09</v>
      </c>
      <c r="G40" s="4"/>
      <c r="H40" s="1">
        <f>SUM(OSRRefH21_2x_0)</f>
        <v>0</v>
      </c>
      <c r="I40" s="4"/>
      <c r="J40" s="1">
        <f>SUM(OSRRefJ21_2x_0)</f>
        <v>606</v>
      </c>
      <c r="K40" s="4"/>
      <c r="L40" s="1">
        <f>SUM(OSRRefL21_2x_0)</f>
        <v>834</v>
      </c>
      <c r="M40" s="4"/>
      <c r="N40" s="1">
        <f>SUM(OSRRefN21_2x_0)</f>
        <v>360</v>
      </c>
      <c r="O40" s="4"/>
      <c r="P40" s="1">
        <f>SUM(OSRRefP21_2x_0)</f>
        <v>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184</v>
      </c>
      <c r="F41" s="2">
        <v>175.09</v>
      </c>
      <c r="G41" s="3"/>
      <c r="H41" s="2"/>
      <c r="I41" s="3"/>
      <c r="J41" s="2">
        <v>606</v>
      </c>
      <c r="K41" s="3"/>
      <c r="L41" s="2">
        <v>834</v>
      </c>
      <c r="M41" s="3"/>
      <c r="N41" s="2">
        <v>360</v>
      </c>
      <c r="O41" s="3"/>
      <c r="P41" s="2">
        <v>0</v>
      </c>
      <c r="Q41" s="3"/>
      <c r="R41" s="2"/>
    </row>
    <row r="42" spans="1:18" s="15" customFormat="1" outlineLevel="1" collapsed="1" x14ac:dyDescent="0.35">
      <c r="A42" s="7"/>
      <c r="B42" s="20" t="str">
        <f>CONCATENATE("     ","Employees' Appreciation                           ")</f>
        <v xml:space="preserve">     Employees' Appreciation                           </v>
      </c>
      <c r="C42" s="7"/>
      <c r="D42" s="1">
        <f>SUM(OSRRefD21_3x_0)</f>
        <v>255.87</v>
      </c>
      <c r="E42" s="19"/>
      <c r="F42" s="1">
        <f>SUM(OSRRefF21_3x_0)</f>
        <v>156.99</v>
      </c>
      <c r="G42" s="4"/>
      <c r="H42" s="1">
        <f>SUM(OSRRefH21_3x_0)</f>
        <v>0</v>
      </c>
      <c r="I42" s="4"/>
      <c r="J42" s="1">
        <f>SUM(OSRRefJ21_3x_0)</f>
        <v>0</v>
      </c>
      <c r="K42" s="4"/>
      <c r="L42" s="1">
        <f>SUM(OSRRefL21_3x_0)</f>
        <v>19.07</v>
      </c>
      <c r="M42" s="4"/>
      <c r="N42" s="1">
        <f>SUM(OSRRefN21_3x_0)</f>
        <v>0</v>
      </c>
      <c r="O42" s="4"/>
      <c r="P42" s="1">
        <f>SUM(OSRRefP21_3x_0)</f>
        <v>0</v>
      </c>
      <c r="Q42" s="4"/>
      <c r="R42" s="1">
        <f>SUM(OSRRefR21_3x_0)</f>
        <v>0</v>
      </c>
    </row>
    <row r="43" spans="1:18" s="16" customFormat="1" hidden="1" outlineLevel="2" x14ac:dyDescent="0.35">
      <c r="B43" s="11" t="str">
        <f>CONCATENATE("          ", "6277", " - ", "EMPLOYEE APPRECIATION")</f>
        <v xml:space="preserve">          6277 - EMPLOYEE APPRECIATION</v>
      </c>
      <c r="D43" s="2">
        <v>255.87</v>
      </c>
      <c r="F43" s="2">
        <v>156.99</v>
      </c>
      <c r="G43" s="3"/>
      <c r="H43" s="2"/>
      <c r="I43" s="3"/>
      <c r="J43" s="2"/>
      <c r="K43" s="3"/>
      <c r="L43" s="2">
        <v>19.07</v>
      </c>
      <c r="M43" s="3"/>
      <c r="N43" s="2"/>
      <c r="O43" s="3"/>
      <c r="P43" s="2">
        <v>0</v>
      </c>
      <c r="Q43" s="3"/>
      <c r="R43" s="2"/>
    </row>
    <row r="44" spans="1:18" s="15" customFormat="1" outlineLevel="1" collapsed="1" x14ac:dyDescent="0.35">
      <c r="A44" s="7"/>
      <c r="B44" s="20" t="str">
        <f>CONCATENATE("     ","Equipment Rental                                  ")</f>
        <v xml:space="preserve">     Equipment Rental                                  </v>
      </c>
      <c r="C44" s="7"/>
      <c r="D44" s="1">
        <f>SUM(OSRRefD21_4x_0)</f>
        <v>5097.83</v>
      </c>
      <c r="E44" s="19"/>
      <c r="F44" s="1">
        <f>SUM(OSRRefF21_4x_0)</f>
        <v>3437.8</v>
      </c>
      <c r="G44" s="4"/>
      <c r="H44" s="1">
        <f>SUM(OSRRefH21_4x_0)</f>
        <v>1570.74</v>
      </c>
      <c r="I44" s="4"/>
      <c r="J44" s="1">
        <f>SUM(OSRRefJ21_4x_0)</f>
        <v>1314.73</v>
      </c>
      <c r="K44" s="4"/>
      <c r="L44" s="1">
        <f>SUM(OSRRefL21_4x_0)</f>
        <v>1329.16</v>
      </c>
      <c r="M44" s="4"/>
      <c r="N44" s="1">
        <f>SUM(OSRRefN21_4x_0)</f>
        <v>1157.98</v>
      </c>
      <c r="O44" s="4"/>
      <c r="P44" s="1">
        <f>SUM(OSRRefP21_4x_0)</f>
        <v>0</v>
      </c>
      <c r="Q44" s="4"/>
      <c r="R44" s="1">
        <f>SUM(OSRRefR21_4x_0)</f>
        <v>0</v>
      </c>
    </row>
    <row r="45" spans="1:18" s="16" customFormat="1" hidden="1" outlineLevel="2" x14ac:dyDescent="0.35">
      <c r="B45" s="11" t="str">
        <f>CONCATENATE("          ", "6351", " - ", "EQUIPMENT RENTAL")</f>
        <v xml:space="preserve">          6351 - EQUIPMENT RENTAL</v>
      </c>
      <c r="D45" s="2">
        <v>5097.83</v>
      </c>
      <c r="F45" s="2">
        <v>3437.8</v>
      </c>
      <c r="G45" s="3"/>
      <c r="H45" s="2">
        <v>1570.74</v>
      </c>
      <c r="I45" s="3"/>
      <c r="J45" s="2">
        <v>1314.73</v>
      </c>
      <c r="K45" s="3"/>
      <c r="L45" s="2">
        <v>1329.16</v>
      </c>
      <c r="M45" s="3"/>
      <c r="N45" s="2">
        <v>1157.98</v>
      </c>
      <c r="O45" s="3"/>
      <c r="P45" s="2">
        <v>0</v>
      </c>
      <c r="Q45" s="3"/>
      <c r="R45" s="2"/>
    </row>
    <row r="46" spans="1:18" s="15" customFormat="1" outlineLevel="1" collapsed="1" x14ac:dyDescent="0.35">
      <c r="A46" s="7"/>
      <c r="B46" s="20" t="str">
        <f>CONCATENATE("     ","Freight out/Postage                               ")</f>
        <v xml:space="preserve">     Freight out/Postage                               </v>
      </c>
      <c r="C46" s="7"/>
      <c r="D46" s="1">
        <f>SUM(OSRRefD21_5x_0)</f>
        <v>125.57</v>
      </c>
      <c r="E46" s="19"/>
      <c r="F46" s="1">
        <f>SUM(OSRRefF21_5x_0)</f>
        <v>184.57</v>
      </c>
      <c r="G46" s="4"/>
      <c r="H46" s="1">
        <f>SUM(OSRRefH21_5x_0)</f>
        <v>281.48</v>
      </c>
      <c r="I46" s="4"/>
      <c r="J46" s="1">
        <f>SUM(OSRRefJ21_5x_0)</f>
        <v>238.12</v>
      </c>
      <c r="K46" s="4"/>
      <c r="L46" s="1">
        <f>SUM(OSRRefL21_5x_0)</f>
        <v>62.63</v>
      </c>
      <c r="M46" s="4"/>
      <c r="N46" s="1">
        <f>SUM(OSRRefN21_5x_0)</f>
        <v>4545.7</v>
      </c>
      <c r="O46" s="4"/>
      <c r="P46" s="1">
        <f>SUM(OSRRefP21_5x_0)</f>
        <v>0</v>
      </c>
      <c r="Q46" s="4"/>
      <c r="R46" s="1">
        <f>SUM(OSRRefR21_5x_0)</f>
        <v>0</v>
      </c>
    </row>
    <row r="47" spans="1:18" s="16" customFormat="1" hidden="1" outlineLevel="2" x14ac:dyDescent="0.35">
      <c r="B47" s="11" t="str">
        <f>CONCATENATE("          ", "6305", " - ", "FREIGHT OUT")</f>
        <v xml:space="preserve">          6305 - FREIGHT OUT</v>
      </c>
      <c r="D47" s="2"/>
      <c r="F47" s="2"/>
      <c r="G47" s="3"/>
      <c r="H47" s="2">
        <v>5.07</v>
      </c>
      <c r="I47" s="3"/>
      <c r="J47" s="2">
        <v>74.62</v>
      </c>
      <c r="K47" s="3"/>
      <c r="L47" s="2"/>
      <c r="M47" s="3"/>
      <c r="N47" s="2"/>
      <c r="O47" s="3"/>
      <c r="P47" s="2"/>
      <c r="Q47" s="3"/>
      <c r="R47" s="2"/>
    </row>
    <row r="48" spans="1:18" s="16" customFormat="1" hidden="1" outlineLevel="2" x14ac:dyDescent="0.35">
      <c r="B48" s="11" t="str">
        <f>CONCATENATE("          ", "6307", " - ", "POSTAGE")</f>
        <v xml:space="preserve">          6307 - POSTAGE</v>
      </c>
      <c r="D48" s="2">
        <v>125.57</v>
      </c>
      <c r="F48" s="2">
        <v>184.57</v>
      </c>
      <c r="G48" s="3"/>
      <c r="H48" s="2">
        <v>276.41000000000003</v>
      </c>
      <c r="I48" s="3"/>
      <c r="J48" s="2">
        <v>163.5</v>
      </c>
      <c r="K48" s="3"/>
      <c r="L48" s="2">
        <v>62.63</v>
      </c>
      <c r="M48" s="3"/>
      <c r="N48" s="2">
        <v>4545.7</v>
      </c>
      <c r="O48" s="3"/>
      <c r="P48" s="2">
        <v>0</v>
      </c>
      <c r="Q48" s="3"/>
      <c r="R48" s="2"/>
    </row>
    <row r="49" spans="1:18" s="15" customFormat="1" outlineLevel="1" collapsed="1" x14ac:dyDescent="0.35">
      <c r="A49" s="7"/>
      <c r="B49" s="20" t="str">
        <f>CONCATENATE("     ","General                                           ")</f>
        <v xml:space="preserve">     General                                           </v>
      </c>
      <c r="C49" s="7"/>
      <c r="D49" s="1">
        <f>SUM(OSRRefD21_6x_0)</f>
        <v>0</v>
      </c>
      <c r="E49" s="19"/>
      <c r="F49" s="1">
        <f>SUM(OSRRefF21_6x_0)</f>
        <v>0</v>
      </c>
      <c r="G49" s="4"/>
      <c r="H49" s="1">
        <f>SUM(OSRRefH21_6x_0)</f>
        <v>0</v>
      </c>
      <c r="I49" s="4"/>
      <c r="J49" s="1">
        <f>SUM(OSRRefJ21_6x_0)</f>
        <v>0</v>
      </c>
      <c r="K49" s="4"/>
      <c r="L49" s="1">
        <f>SUM(OSRRefL21_6x_0)</f>
        <v>0</v>
      </c>
      <c r="M49" s="4"/>
      <c r="N49" s="1">
        <f>SUM(OSRRefN21_6x_0)</f>
        <v>89.45</v>
      </c>
      <c r="O49" s="4"/>
      <c r="P49" s="1">
        <f>SUM(OSRRefP21_6x_0)</f>
        <v>0</v>
      </c>
      <c r="Q49" s="4"/>
      <c r="R49" s="1">
        <f>SUM(OSRRefR21_6x_0)</f>
        <v>0</v>
      </c>
    </row>
    <row r="50" spans="1:18" s="16" customFormat="1" hidden="1" outlineLevel="2" x14ac:dyDescent="0.35">
      <c r="B50" s="11" t="str">
        <f>CONCATENATE("          ", "6279", " - ", "GENERAL EXPENSE")</f>
        <v xml:space="preserve">          6279 - GENERAL EXPENSE</v>
      </c>
      <c r="D50" s="2"/>
      <c r="F50" s="2"/>
      <c r="G50" s="3"/>
      <c r="H50" s="2"/>
      <c r="I50" s="3"/>
      <c r="J50" s="2"/>
      <c r="K50" s="3"/>
      <c r="L50" s="2"/>
      <c r="M50" s="3"/>
      <c r="N50" s="2">
        <v>89.45</v>
      </c>
      <c r="O50" s="3"/>
      <c r="P50" s="2"/>
      <c r="Q50" s="3"/>
      <c r="R50" s="2"/>
    </row>
    <row r="51" spans="1:18" s="15" customFormat="1" outlineLevel="1" collapsed="1" x14ac:dyDescent="0.35">
      <c r="A51" s="7"/>
      <c r="B51" s="20" t="str">
        <f>CONCATENATE("     ","Repair and Maintenance                            ")</f>
        <v xml:space="preserve">     Repair and Maintenance                            </v>
      </c>
      <c r="C51" s="7"/>
      <c r="D51" s="1">
        <f>SUM(OSRRefD21_7x_0)</f>
        <v>2815.0299999999997</v>
      </c>
      <c r="E51" s="19"/>
      <c r="F51" s="1">
        <f>SUM(OSRRefF21_7x_0)</f>
        <v>1149.02</v>
      </c>
      <c r="G51" s="4"/>
      <c r="H51" s="1">
        <f>SUM(OSRRefH21_7x_0)</f>
        <v>708.66</v>
      </c>
      <c r="I51" s="4"/>
      <c r="J51" s="1">
        <f>SUM(OSRRefJ21_7x_0)</f>
        <v>813.77</v>
      </c>
      <c r="K51" s="4"/>
      <c r="L51" s="1">
        <f>SUM(OSRRefL21_7x_0)</f>
        <v>638.14</v>
      </c>
      <c r="M51" s="4"/>
      <c r="N51" s="1">
        <f>SUM(OSRRefN21_7x_0)</f>
        <v>533.03</v>
      </c>
      <c r="O51" s="4"/>
      <c r="P51" s="1">
        <f>SUM(OSRRefP21_7x_0)</f>
        <v>0</v>
      </c>
      <c r="Q51" s="4"/>
      <c r="R51" s="1">
        <f>SUM(OSRRefR21_7x_0)</f>
        <v>0</v>
      </c>
    </row>
    <row r="52" spans="1:18" s="16" customFormat="1" hidden="1" outlineLevel="2" x14ac:dyDescent="0.35">
      <c r="B52" s="11" t="str">
        <f>CONCATENATE("          ", "6373", " - ", "MAINTENANCE CONTRACTS")</f>
        <v xml:space="preserve">          6373 - MAINTENANCE CONTRACTS</v>
      </c>
      <c r="D52" s="2">
        <v>1480.46</v>
      </c>
      <c r="F52" s="2">
        <v>954.02</v>
      </c>
      <c r="G52" s="3"/>
      <c r="H52" s="2">
        <v>648.66</v>
      </c>
      <c r="I52" s="3"/>
      <c r="J52" s="2">
        <v>813.77</v>
      </c>
      <c r="K52" s="3"/>
      <c r="L52" s="2">
        <v>638.14</v>
      </c>
      <c r="M52" s="3"/>
      <c r="N52" s="2">
        <v>220.7</v>
      </c>
      <c r="O52" s="3"/>
      <c r="P52" s="2">
        <v>0</v>
      </c>
      <c r="Q52" s="3"/>
      <c r="R52" s="2"/>
    </row>
    <row r="53" spans="1:18" s="16" customFormat="1" hidden="1" outlineLevel="2" x14ac:dyDescent="0.35">
      <c r="B53" s="11" t="str">
        <f>CONCATENATE("          ", "6375", " - ", "OUTSIDE REPAIRS &amp; MAINTENANCE")</f>
        <v xml:space="preserve">          6375 - OUTSIDE REPAIRS &amp; MAINTENANCE</v>
      </c>
      <c r="D53" s="2">
        <v>1334.57</v>
      </c>
      <c r="F53" s="2">
        <v>195</v>
      </c>
      <c r="G53" s="3"/>
      <c r="H53" s="2">
        <v>60</v>
      </c>
      <c r="I53" s="3"/>
      <c r="J53" s="2"/>
      <c r="K53" s="3"/>
      <c r="L53" s="2"/>
      <c r="M53" s="3"/>
      <c r="N53" s="2">
        <v>312.33</v>
      </c>
      <c r="O53" s="3"/>
      <c r="P53" s="2">
        <v>0</v>
      </c>
      <c r="Q53" s="3"/>
      <c r="R53" s="2"/>
    </row>
    <row r="54" spans="1:18" s="15" customFormat="1" outlineLevel="1" collapsed="1" x14ac:dyDescent="0.35">
      <c r="A54" s="7"/>
      <c r="B54" s="20" t="str">
        <f>CONCATENATE("     ","Supplies                                          ")</f>
        <v xml:space="preserve">     Supplies                                          </v>
      </c>
      <c r="C54" s="7"/>
      <c r="D54" s="1">
        <f>SUM(OSRRefD21_8x_0)</f>
        <v>3889.68</v>
      </c>
      <c r="E54" s="19"/>
      <c r="F54" s="1">
        <f>SUM(OSRRefF21_8x_0)</f>
        <v>4767.0200000000004</v>
      </c>
      <c r="G54" s="4"/>
      <c r="H54" s="1">
        <f>SUM(OSRRefH21_8x_0)</f>
        <v>7482.9</v>
      </c>
      <c r="I54" s="4"/>
      <c r="J54" s="1">
        <f>SUM(OSRRefJ21_8x_0)</f>
        <v>3112.62</v>
      </c>
      <c r="K54" s="4"/>
      <c r="L54" s="1">
        <f>SUM(OSRRefL21_8x_0)</f>
        <v>7307.09</v>
      </c>
      <c r="M54" s="4"/>
      <c r="N54" s="1">
        <f>SUM(OSRRefN21_8x_0)</f>
        <v>5208.9699999999993</v>
      </c>
      <c r="O54" s="4"/>
      <c r="P54" s="1">
        <f>SUM(OSRRefP21_8x_0)</f>
        <v>0</v>
      </c>
      <c r="Q54" s="4"/>
      <c r="R54" s="1">
        <f>SUM(OSRRefR21_8x_0)</f>
        <v>0</v>
      </c>
    </row>
    <row r="55" spans="1:18" s="16" customFormat="1" hidden="1" outlineLevel="2" x14ac:dyDescent="0.35">
      <c r="B55" s="11" t="str">
        <f>CONCATENATE("          ", "6234", " - ", "EXPENDABLE SUPPLIES &amp; EQUIPMEN")</f>
        <v xml:space="preserve">          6234 - EXPENDABLE SUPPLIES &amp; EQUIPMEN</v>
      </c>
      <c r="D55" s="2"/>
      <c r="F55" s="2"/>
      <c r="G55" s="3"/>
      <c r="H55" s="2">
        <v>367.5</v>
      </c>
      <c r="I55" s="3"/>
      <c r="J55" s="2"/>
      <c r="K55" s="3"/>
      <c r="L55" s="2">
        <v>858</v>
      </c>
      <c r="M55" s="3"/>
      <c r="N55" s="2"/>
      <c r="O55" s="3"/>
      <c r="P55" s="2"/>
      <c r="Q55" s="3"/>
      <c r="R55" s="2"/>
    </row>
    <row r="56" spans="1:18" s="16" customFormat="1" hidden="1" outlineLevel="2" x14ac:dyDescent="0.35">
      <c r="B56" s="11" t="str">
        <f>CONCATENATE("          ", "6237", " - ", "JANITORIAL SUPPLIES")</f>
        <v xml:space="preserve">          6237 - JANITORIAL SUPPLIES</v>
      </c>
      <c r="D56" s="2"/>
      <c r="F56" s="2">
        <v>24.87</v>
      </c>
      <c r="G56" s="3"/>
      <c r="H56" s="2"/>
      <c r="I56" s="3"/>
      <c r="J56" s="2"/>
      <c r="K56" s="3"/>
      <c r="L56" s="2"/>
      <c r="M56" s="3"/>
      <c r="N56" s="2">
        <v>226.95</v>
      </c>
      <c r="O56" s="3"/>
      <c r="P56" s="2"/>
      <c r="Q56" s="3"/>
      <c r="R56" s="2"/>
    </row>
    <row r="57" spans="1:18" s="16" customFormat="1" hidden="1" outlineLevel="2" x14ac:dyDescent="0.35">
      <c r="B57" s="11" t="str">
        <f>CONCATENATE("          ", "6241", " - ", "OFFICE EXPENSE")</f>
        <v xml:space="preserve">          6241 - OFFICE EXPENSE</v>
      </c>
      <c r="D57" s="2">
        <v>2993.17</v>
      </c>
      <c r="F57" s="2">
        <v>1532.77</v>
      </c>
      <c r="G57" s="3"/>
      <c r="H57" s="2">
        <v>6293.91</v>
      </c>
      <c r="I57" s="3"/>
      <c r="J57" s="2">
        <v>2974.64</v>
      </c>
      <c r="K57" s="3"/>
      <c r="L57" s="2">
        <v>4399.88</v>
      </c>
      <c r="M57" s="3"/>
      <c r="N57" s="2">
        <v>2500.04</v>
      </c>
      <c r="O57" s="3"/>
      <c r="P57" s="2">
        <v>0</v>
      </c>
      <c r="Q57" s="3"/>
      <c r="R57" s="2"/>
    </row>
    <row r="58" spans="1:18" s="16" customFormat="1" hidden="1" outlineLevel="2" x14ac:dyDescent="0.35">
      <c r="B58" s="11" t="str">
        <f>CONCATENATE("          ", "6245", " - ", "PRINTING")</f>
        <v xml:space="preserve">          6245 - PRINTING</v>
      </c>
      <c r="D58" s="2">
        <v>184.58</v>
      </c>
      <c r="F58" s="2">
        <v>2085.63</v>
      </c>
      <c r="G58" s="3"/>
      <c r="H58" s="2">
        <v>345.76</v>
      </c>
      <c r="I58" s="3"/>
      <c r="J58" s="2">
        <v>60.07</v>
      </c>
      <c r="K58" s="3"/>
      <c r="L58" s="2">
        <v>98.66</v>
      </c>
      <c r="M58" s="3"/>
      <c r="N58" s="2"/>
      <c r="O58" s="3"/>
      <c r="P58" s="2"/>
      <c r="Q58" s="3"/>
      <c r="R58" s="2"/>
    </row>
    <row r="59" spans="1:18" s="16" customFormat="1" hidden="1" outlineLevel="2" x14ac:dyDescent="0.35">
      <c r="B59" s="11" t="str">
        <f>CONCATENATE("          ", "6247", " - ", "STORE SUPPLIES")</f>
        <v xml:space="preserve">          6247 - STORE SUPPLIES</v>
      </c>
      <c r="D59" s="2">
        <v>711.93</v>
      </c>
      <c r="F59" s="2">
        <v>1123.75</v>
      </c>
      <c r="G59" s="3"/>
      <c r="H59" s="2">
        <v>475.73</v>
      </c>
      <c r="I59" s="3"/>
      <c r="J59" s="2">
        <v>77.91</v>
      </c>
      <c r="K59" s="3"/>
      <c r="L59" s="2">
        <v>1950.55</v>
      </c>
      <c r="M59" s="3"/>
      <c r="N59" s="2">
        <v>2481.98</v>
      </c>
      <c r="O59" s="3"/>
      <c r="P59" s="2">
        <v>0</v>
      </c>
      <c r="Q59" s="3"/>
      <c r="R59" s="2"/>
    </row>
    <row r="60" spans="1:18" s="15" customFormat="1" outlineLevel="1" collapsed="1" x14ac:dyDescent="0.35">
      <c r="A60" s="7"/>
      <c r="B60" s="20" t="str">
        <f>CONCATENATE("     ","Telephone/Data Lines                              ")</f>
        <v xml:space="preserve">     Telephone/Data Lines                              </v>
      </c>
      <c r="C60" s="7"/>
      <c r="D60" s="1">
        <f>SUM(OSRRefD21_9x_0)</f>
        <v>2449.2399999999998</v>
      </c>
      <c r="E60" s="19"/>
      <c r="F60" s="1">
        <f>SUM(OSRRefF21_9x_0)</f>
        <v>2246.44</v>
      </c>
      <c r="G60" s="4"/>
      <c r="H60" s="1">
        <f>SUM(OSRRefH21_9x_0)</f>
        <v>1606.7</v>
      </c>
      <c r="I60" s="4"/>
      <c r="J60" s="1">
        <f>SUM(OSRRefJ21_9x_0)</f>
        <v>1997.9</v>
      </c>
      <c r="K60" s="4"/>
      <c r="L60" s="1">
        <f>SUM(OSRRefL21_9x_0)</f>
        <v>1871.63</v>
      </c>
      <c r="M60" s="4"/>
      <c r="N60" s="1">
        <f>SUM(OSRRefN21_9x_0)</f>
        <v>1768.2</v>
      </c>
      <c r="O60" s="4"/>
      <c r="P60" s="1">
        <f>SUM(OSRRefP21_9x_0)</f>
        <v>0</v>
      </c>
      <c r="Q60" s="4"/>
      <c r="R60" s="1">
        <f>SUM(OSRRefR21_9x_0)</f>
        <v>0</v>
      </c>
    </row>
    <row r="61" spans="1:18" s="16" customFormat="1" hidden="1" outlineLevel="2" x14ac:dyDescent="0.35">
      <c r="B61" s="11" t="str">
        <f>CONCATENATE("          ", "6309", " - ", "TELEPHONE")</f>
        <v xml:space="preserve">          6309 - TELEPHONE</v>
      </c>
      <c r="D61" s="2">
        <v>2449.2399999999998</v>
      </c>
      <c r="F61" s="2">
        <v>2246.44</v>
      </c>
      <c r="G61" s="3"/>
      <c r="H61" s="2">
        <v>1606.7</v>
      </c>
      <c r="I61" s="3"/>
      <c r="J61" s="2">
        <v>1997.9</v>
      </c>
      <c r="K61" s="3"/>
      <c r="L61" s="2">
        <v>1871.63</v>
      </c>
      <c r="M61" s="3"/>
      <c r="N61" s="2">
        <v>1768.2</v>
      </c>
      <c r="O61" s="3"/>
      <c r="P61" s="2">
        <v>0</v>
      </c>
      <c r="Q61" s="3"/>
      <c r="R61" s="2"/>
    </row>
    <row r="62" spans="1:18" s="15" customFormat="1" outlineLevel="1" collapsed="1" x14ac:dyDescent="0.35">
      <c r="A62" s="7"/>
      <c r="B62" s="20" t="str">
        <f>CONCATENATE("     ","Training                                          ")</f>
        <v xml:space="preserve">     Training                                          </v>
      </c>
      <c r="C62" s="7"/>
      <c r="D62" s="1">
        <f>SUM(OSRRefD21_10x_0)</f>
        <v>1380.24</v>
      </c>
      <c r="E62" s="19"/>
      <c r="F62" s="1">
        <f>SUM(OSRRefF21_10x_0)</f>
        <v>732.12</v>
      </c>
      <c r="G62" s="4"/>
      <c r="H62" s="1">
        <f>SUM(OSRRefH21_10x_0)</f>
        <v>969.8</v>
      </c>
      <c r="I62" s="4"/>
      <c r="J62" s="1">
        <f>SUM(OSRRefJ21_10x_0)</f>
        <v>112.4</v>
      </c>
      <c r="K62" s="4"/>
      <c r="L62" s="1">
        <f>SUM(OSRRefL21_10x_0)</f>
        <v>998.09</v>
      </c>
      <c r="M62" s="4"/>
      <c r="N62" s="1">
        <f>SUM(OSRRefN21_10x_0)</f>
        <v>80</v>
      </c>
      <c r="O62" s="4"/>
      <c r="P62" s="1">
        <f>SUM(OSRRefP21_10x_0)</f>
        <v>0</v>
      </c>
      <c r="Q62" s="4"/>
      <c r="R62" s="1">
        <f>SUM(OSRRefR21_10x_0)</f>
        <v>0</v>
      </c>
    </row>
    <row r="63" spans="1:18" s="16" customFormat="1" hidden="1" outlineLevel="2" x14ac:dyDescent="0.35">
      <c r="B63" s="11" t="str">
        <f>CONCATENATE("          ", "6376", " - ", "TRAINING")</f>
        <v xml:space="preserve">          6376 - TRAINING</v>
      </c>
      <c r="D63" s="2">
        <v>1380.24</v>
      </c>
      <c r="F63" s="2">
        <v>732.12</v>
      </c>
      <c r="G63" s="3"/>
      <c r="H63" s="2">
        <v>969.8</v>
      </c>
      <c r="I63" s="3"/>
      <c r="J63" s="2">
        <v>112.4</v>
      </c>
      <c r="K63" s="3"/>
      <c r="L63" s="2">
        <v>998.09</v>
      </c>
      <c r="M63" s="3"/>
      <c r="N63" s="2">
        <v>80</v>
      </c>
      <c r="O63" s="3"/>
      <c r="P63" s="2"/>
      <c r="Q63" s="3"/>
      <c r="R63" s="2"/>
    </row>
    <row r="64" spans="1:18" s="15" customFormat="1" outlineLevel="1" collapsed="1" x14ac:dyDescent="0.35">
      <c r="A64" s="7"/>
      <c r="B64" s="20" t="str">
        <f>CONCATENATE("     ","Travel                                            ")</f>
        <v xml:space="preserve">     Travel                                            </v>
      </c>
      <c r="C64" s="7"/>
      <c r="D64" s="1">
        <f>SUM(OSRRefD21_11x_0)</f>
        <v>0</v>
      </c>
      <c r="E64" s="19"/>
      <c r="F64" s="1">
        <f>SUM(OSRRefF21_11x_0)</f>
        <v>0</v>
      </c>
      <c r="G64" s="4"/>
      <c r="H64" s="1">
        <f>SUM(OSRRefH21_11x_0)</f>
        <v>235.72</v>
      </c>
      <c r="I64" s="4"/>
      <c r="J64" s="1">
        <f>SUM(OSRRefJ21_11x_0)</f>
        <v>0</v>
      </c>
      <c r="K64" s="4"/>
      <c r="L64" s="1">
        <f>SUM(OSRRefL21_11x_0)</f>
        <v>0</v>
      </c>
      <c r="M64" s="4"/>
      <c r="N64" s="1">
        <f>SUM(OSRRefN21_11x_0)</f>
        <v>0</v>
      </c>
      <c r="O64" s="4"/>
      <c r="P64" s="1">
        <f>SUM(OSRRefP21_11x_0)</f>
        <v>0</v>
      </c>
      <c r="Q64" s="4"/>
      <c r="R64" s="1">
        <f>SUM(OSRRefR21_11x_0)</f>
        <v>0</v>
      </c>
    </row>
    <row r="65" spans="1:18" s="16" customFormat="1" hidden="1" outlineLevel="2" x14ac:dyDescent="0.35">
      <c r="B65" s="11" t="str">
        <f>CONCATENATE("          ", "6292", " - ", "TRAVEL/CONFERENCE")</f>
        <v xml:space="preserve">          6292 - TRAVEL/CONFERENCE</v>
      </c>
      <c r="D65" s="2"/>
      <c r="F65" s="2"/>
      <c r="G65" s="3"/>
      <c r="H65" s="2">
        <v>235.72</v>
      </c>
      <c r="I65" s="3"/>
      <c r="J65" s="2"/>
      <c r="K65" s="3"/>
      <c r="L65" s="2"/>
      <c r="M65" s="3"/>
      <c r="N65" s="2"/>
      <c r="O65" s="3"/>
      <c r="P65" s="2">
        <v>0</v>
      </c>
      <c r="Q65" s="3"/>
      <c r="R65" s="2"/>
    </row>
    <row r="66" spans="1:18" s="15" customFormat="1" outlineLevel="1" collapsed="1" x14ac:dyDescent="0.35">
      <c r="A66" s="7"/>
      <c r="B66" s="20" t="str">
        <f>CONCATENATE("     ","Utilities                                         ")</f>
        <v xml:space="preserve">     Utilities                                         </v>
      </c>
      <c r="C66" s="7"/>
      <c r="D66" s="1">
        <f>SUM(OSRRefD21_12x_0)</f>
        <v>0</v>
      </c>
      <c r="E66" s="19"/>
      <c r="F66" s="1">
        <f>SUM(OSRRefF21_12x_0)</f>
        <v>0</v>
      </c>
      <c r="G66" s="4"/>
      <c r="H66" s="1">
        <f>SUM(OSRRefH21_12x_0)</f>
        <v>0</v>
      </c>
      <c r="I66" s="4"/>
      <c r="J66" s="1">
        <f>SUM(OSRRefJ21_12x_0)</f>
        <v>0</v>
      </c>
      <c r="K66" s="4"/>
      <c r="L66" s="1">
        <f>SUM(OSRRefL21_12x_0)</f>
        <v>0</v>
      </c>
      <c r="M66" s="4"/>
      <c r="N66" s="1">
        <f>SUM(OSRRefN21_12x_0)</f>
        <v>0</v>
      </c>
      <c r="O66" s="4"/>
      <c r="P66" s="1">
        <f>SUM(OSRRefP21_12x_0)</f>
        <v>0</v>
      </c>
      <c r="Q66" s="4"/>
      <c r="R66" s="1">
        <f>SUM(OSRRefR21_12x_0)</f>
        <v>0</v>
      </c>
    </row>
    <row r="67" spans="1:18" s="16" customFormat="1" hidden="1" outlineLevel="2" x14ac:dyDescent="0.35">
      <c r="B67" s="11" t="str">
        <f>CONCATENATE("          ", "6274", " - ", "UTILITIES")</f>
        <v xml:space="preserve">          6274 - UTILITIES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>
        <v>0</v>
      </c>
      <c r="Q67" s="3"/>
      <c r="R67" s="2"/>
    </row>
    <row r="68" spans="1:18" x14ac:dyDescent="0.35">
      <c r="A68" s="12"/>
      <c r="B68" s="12"/>
      <c r="C68" s="12"/>
      <c r="D68" s="1"/>
      <c r="F68" s="1"/>
      <c r="H68" s="1"/>
      <c r="J68" s="1"/>
      <c r="L68" s="1"/>
      <c r="N68" s="1"/>
      <c r="P68" s="1"/>
      <c r="R68" s="1"/>
    </row>
    <row r="69" spans="1:18" s="7" customFormat="1" x14ac:dyDescent="0.35">
      <c r="A69" s="36"/>
      <c r="B69" s="34" t="s">
        <v>295</v>
      </c>
      <c r="D69" s="6">
        <f>SUM(0)</f>
        <v>0</v>
      </c>
      <c r="E69" s="12"/>
      <c r="F69" s="6">
        <f>SUM(0)</f>
        <v>0</v>
      </c>
      <c r="G69" s="5"/>
      <c r="H69" s="6">
        <f>SUM(0)</f>
        <v>0</v>
      </c>
      <c r="I69" s="5"/>
      <c r="J69" s="6">
        <f>SUM(0)</f>
        <v>0</v>
      </c>
      <c r="K69" s="5"/>
      <c r="L69" s="6">
        <f>SUM(0)</f>
        <v>0</v>
      </c>
      <c r="M69" s="5"/>
      <c r="N69" s="6">
        <f>SUM(0)</f>
        <v>0</v>
      </c>
      <c r="O69" s="5"/>
      <c r="P69" s="6">
        <f>SUM(0)</f>
        <v>0</v>
      </c>
      <c r="Q69" s="5"/>
      <c r="R69" s="6">
        <f>SUM(0)</f>
        <v>0</v>
      </c>
    </row>
    <row r="70" spans="1:18" x14ac:dyDescent="0.35">
      <c r="A70" s="12"/>
      <c r="B70" s="7"/>
      <c r="C70" s="7"/>
      <c r="D70" s="6"/>
      <c r="F70" s="6"/>
      <c r="H70" s="6"/>
      <c r="J70" s="6"/>
      <c r="L70" s="6"/>
      <c r="N70" s="6"/>
      <c r="P70" s="6"/>
      <c r="R70" s="6"/>
    </row>
    <row r="71" spans="1:18" s="15" customFormat="1" x14ac:dyDescent="0.35">
      <c r="A71" s="7"/>
      <c r="B71" s="22" t="s">
        <v>279</v>
      </c>
      <c r="C71" s="22"/>
      <c r="D71" s="10">
        <f>+D14-D17+D69</f>
        <v>-494142.77000000008</v>
      </c>
      <c r="E71" s="12"/>
      <c r="F71" s="10">
        <f>+F14-F17+F69</f>
        <v>-376790.08000000007</v>
      </c>
      <c r="G71" s="5"/>
      <c r="H71" s="10">
        <f>+H14-H17+H69</f>
        <v>-464796.19999999984</v>
      </c>
      <c r="I71" s="5"/>
      <c r="J71" s="10">
        <f>+J14-J17+J69</f>
        <v>-493870.35000000003</v>
      </c>
      <c r="K71" s="5"/>
      <c r="L71" s="10">
        <f>+L14-L17+L69</f>
        <v>-511766.62</v>
      </c>
      <c r="M71" s="5"/>
      <c r="N71" s="10">
        <f>+N14-N17+N69</f>
        <v>-519485.78</v>
      </c>
      <c r="O71" s="5"/>
      <c r="P71" s="10">
        <f>+P14-P17+P69</f>
        <v>0</v>
      </c>
      <c r="Q71" s="5"/>
      <c r="R71" s="10">
        <f>+R14-R17+R69</f>
        <v>0</v>
      </c>
    </row>
    <row r="72" spans="1:18" s="27" customFormat="1" x14ac:dyDescent="0.35">
      <c r="A72" s="18"/>
      <c r="B72" s="31"/>
      <c r="C72" s="18"/>
      <c r="D72" s="9">
        <f>IFERROR(D71/D10, 0)</f>
        <v>0</v>
      </c>
      <c r="E72" s="18"/>
      <c r="F72" s="9">
        <f>IFERROR(F71/F10, 0)</f>
        <v>0</v>
      </c>
      <c r="G72" s="14"/>
      <c r="H72" s="9">
        <f>IFERROR(H71/H10, 0)</f>
        <v>0</v>
      </c>
      <c r="I72" s="14"/>
      <c r="J72" s="9">
        <f>IFERROR(J71/J10, 0)</f>
        <v>0</v>
      </c>
      <c r="K72" s="14"/>
      <c r="L72" s="9">
        <f>IFERROR(L71/L10, 0)</f>
        <v>0</v>
      </c>
      <c r="M72" s="14"/>
      <c r="N72" s="9">
        <f>IFERROR(N71/N10, 0)</f>
        <v>0</v>
      </c>
      <c r="O72" s="14"/>
      <c r="P72" s="9">
        <f>IFERROR(P71/P10, 0)</f>
        <v>0</v>
      </c>
      <c r="Q72" s="14"/>
      <c r="R72" s="9">
        <f>IFERROR(R71/R10, 0)</f>
        <v>0</v>
      </c>
    </row>
    <row r="73" spans="1:18" s="27" customFormat="1" x14ac:dyDescent="0.35">
      <c r="A73" s="18"/>
      <c r="B73" s="31"/>
      <c r="C73" s="18"/>
      <c r="D73" s="13"/>
      <c r="E73" s="18"/>
      <c r="F73" s="13"/>
      <c r="G73" s="14"/>
      <c r="H73" s="13"/>
      <c r="I73" s="14"/>
      <c r="J73" s="13"/>
      <c r="K73" s="14"/>
      <c r="L73" s="13"/>
      <c r="M73" s="14"/>
      <c r="N73" s="13"/>
      <c r="O73" s="14"/>
      <c r="P73" s="13"/>
      <c r="Q73" s="14"/>
      <c r="R73" s="13"/>
    </row>
    <row r="74" spans="1:18" s="15" customFormat="1" x14ac:dyDescent="0.35">
      <c r="A74" s="37"/>
      <c r="B74" s="7" t="s">
        <v>127</v>
      </c>
      <c r="C74" s="7"/>
      <c r="D74" s="6"/>
      <c r="E74" s="12"/>
      <c r="F74" s="6"/>
      <c r="G74" s="5"/>
      <c r="H74" s="6"/>
      <c r="I74" s="5"/>
      <c r="J74" s="6"/>
      <c r="K74" s="5"/>
      <c r="L74" s="6"/>
      <c r="M74" s="5"/>
      <c r="N74" s="6"/>
      <c r="O74" s="5"/>
      <c r="P74" s="6"/>
      <c r="Q74" s="5"/>
      <c r="R74" s="6"/>
    </row>
    <row r="75" spans="1:18" x14ac:dyDescent="0.35">
      <c r="A75" s="12"/>
      <c r="B75" s="7"/>
      <c r="C75" s="7"/>
      <c r="D75" s="6"/>
      <c r="F75" s="6"/>
      <c r="H75" s="6"/>
      <c r="J75" s="6"/>
      <c r="L75" s="6"/>
      <c r="N75" s="6"/>
      <c r="P75" s="6"/>
      <c r="R75" s="6"/>
    </row>
    <row r="76" spans="1:18" s="15" customFormat="1" x14ac:dyDescent="0.35">
      <c r="A76" s="7"/>
      <c r="B76" s="22" t="s">
        <v>126</v>
      </c>
      <c r="C76" s="22"/>
      <c r="D76" s="10">
        <f>+D71-D74</f>
        <v>-494142.77000000008</v>
      </c>
      <c r="E76" s="12"/>
      <c r="F76" s="10">
        <f>+F71-F74</f>
        <v>-376790.08000000007</v>
      </c>
      <c r="G76" s="5"/>
      <c r="H76" s="10">
        <f>+H71-H74</f>
        <v>-464796.19999999984</v>
      </c>
      <c r="I76" s="5"/>
      <c r="J76" s="10">
        <f>+J71-J74</f>
        <v>-493870.35000000003</v>
      </c>
      <c r="K76" s="5"/>
      <c r="L76" s="10">
        <f>+L71-L74</f>
        <v>-511766.62</v>
      </c>
      <c r="M76" s="5"/>
      <c r="N76" s="10">
        <f>+N71-N74</f>
        <v>-519485.78</v>
      </c>
      <c r="O76" s="5"/>
      <c r="P76" s="10">
        <f>+P71-P74</f>
        <v>0</v>
      </c>
      <c r="Q76" s="5"/>
      <c r="R76" s="10">
        <f>+R71-R74</f>
        <v>0</v>
      </c>
    </row>
    <row r="77" spans="1:18" s="27" customFormat="1" x14ac:dyDescent="0.35">
      <c r="A77" s="18"/>
      <c r="B77" s="18"/>
      <c r="C77" s="18"/>
      <c r="D77" s="9">
        <f>IFERROR(D76/D10, 0)</f>
        <v>0</v>
      </c>
      <c r="E77" s="18"/>
      <c r="F77" s="9">
        <f>IFERROR(F76/F10, 0)</f>
        <v>0</v>
      </c>
      <c r="G77" s="14"/>
      <c r="H77" s="9">
        <f>IFERROR(H76/H10, 0)</f>
        <v>0</v>
      </c>
      <c r="I77" s="14"/>
      <c r="J77" s="9">
        <f>IFERROR(J76/J10, 0)</f>
        <v>0</v>
      </c>
      <c r="K77" s="14"/>
      <c r="L77" s="9">
        <f>IFERROR(L76/L10, 0)</f>
        <v>0</v>
      </c>
      <c r="M77" s="14"/>
      <c r="N77" s="9">
        <f>IFERROR(N76/N10, 0)</f>
        <v>0</v>
      </c>
      <c r="O77" s="14"/>
      <c r="P77" s="9">
        <f>IFERROR(P76/P10, 0)</f>
        <v>0</v>
      </c>
      <c r="Q77" s="14"/>
      <c r="R77" s="9">
        <f>IFERROR(R76/R10, 0)</f>
        <v>0</v>
      </c>
    </row>
    <row r="78" spans="1:18" s="27" customFormat="1" x14ac:dyDescent="0.35">
      <c r="A78" s="18"/>
      <c r="B78" s="18"/>
      <c r="C78" s="18"/>
      <c r="D78" s="13"/>
      <c r="E78" s="18"/>
      <c r="F78" s="13"/>
      <c r="G78" s="14"/>
      <c r="H78" s="13"/>
      <c r="I78" s="14"/>
      <c r="J78" s="13"/>
      <c r="K78" s="14"/>
      <c r="L78" s="13"/>
      <c r="M78" s="14"/>
      <c r="N78" s="13"/>
      <c r="O78" s="14"/>
      <c r="P78" s="13"/>
      <c r="Q78" s="14"/>
      <c r="R78" s="13"/>
    </row>
    <row r="79" spans="1:18" x14ac:dyDescent="0.35">
      <c r="A79" s="12"/>
      <c r="B79" s="12"/>
      <c r="C79" s="12"/>
      <c r="D79" s="6"/>
      <c r="F79" s="6"/>
      <c r="H79" s="6"/>
      <c r="J79" s="6"/>
      <c r="L79" s="6"/>
      <c r="N79" s="6"/>
      <c r="P79" s="6"/>
      <c r="R79" s="6"/>
    </row>
    <row r="80" spans="1:18" s="15" customFormat="1" x14ac:dyDescent="0.35">
      <c r="A80" s="7"/>
      <c r="B80" s="22" t="s">
        <v>296</v>
      </c>
      <c r="C80" s="22"/>
      <c r="D80" s="10">
        <f>SUM(D76:D79)</f>
        <v>-494142.77000000008</v>
      </c>
      <c r="E80" s="12"/>
      <c r="F80" s="10">
        <f>SUM(F76:F79)</f>
        <v>-376790.08000000007</v>
      </c>
      <c r="G80" s="5"/>
      <c r="H80" s="10">
        <f>SUM(H76:H79)</f>
        <v>-464796.19999999984</v>
      </c>
      <c r="I80" s="5"/>
      <c r="J80" s="10">
        <f>SUM(J76:J79)</f>
        <v>-493870.35000000003</v>
      </c>
      <c r="K80" s="5"/>
      <c r="L80" s="10">
        <f>SUM(L76:L79)</f>
        <v>-511766.62</v>
      </c>
      <c r="M80" s="5"/>
      <c r="N80" s="10">
        <f>SUM(N76:N79)</f>
        <v>-519485.78</v>
      </c>
      <c r="O80" s="5"/>
      <c r="P80" s="10">
        <f>SUM(P76:P79)</f>
        <v>0</v>
      </c>
      <c r="Q80" s="5"/>
      <c r="R80" s="10">
        <f>SUM(R76:R79)</f>
        <v>0</v>
      </c>
    </row>
    <row r="81" spans="1:18" s="27" customFormat="1" x14ac:dyDescent="0.35">
      <c r="A81" s="18"/>
      <c r="B81" s="41"/>
      <c r="C81" s="18"/>
      <c r="D81" s="9">
        <f>IFERROR(D80/D10, 0)</f>
        <v>0</v>
      </c>
      <c r="E81" s="18"/>
      <c r="F81" s="9">
        <f>IFERROR(F80/F10, 0)</f>
        <v>0</v>
      </c>
      <c r="G81" s="14"/>
      <c r="H81" s="9">
        <f>IFERROR(H80/H10, 0)</f>
        <v>0</v>
      </c>
      <c r="I81" s="14"/>
      <c r="J81" s="9">
        <f>IFERROR(J80/J10, 0)</f>
        <v>0</v>
      </c>
      <c r="K81" s="14"/>
      <c r="L81" s="9">
        <f>IFERROR(L80/L10, 0)</f>
        <v>0</v>
      </c>
      <c r="M81" s="14"/>
      <c r="N81" s="9">
        <f>IFERROR(N80/N10, 0)</f>
        <v>0</v>
      </c>
      <c r="O81" s="14"/>
      <c r="P81" s="9">
        <f>IFERROR(P80/P10, 0)</f>
        <v>0</v>
      </c>
      <c r="Q81" s="14"/>
      <c r="R81" s="9">
        <f>IFERROR(R80/R10, 0)</f>
        <v>0</v>
      </c>
    </row>
    <row r="82" spans="1:18" x14ac:dyDescent="0.35">
      <c r="A82" s="12"/>
      <c r="B82" s="40">
        <v>44319.883572604165</v>
      </c>
      <c r="D82" s="24"/>
      <c r="F82" s="24"/>
      <c r="H82" s="24"/>
      <c r="J82" s="24"/>
      <c r="L82" s="24"/>
      <c r="N82" s="24"/>
      <c r="P82" s="24"/>
      <c r="R82" s="24"/>
    </row>
    <row r="83" spans="1:18" x14ac:dyDescent="0.35">
      <c r="A83" s="12"/>
      <c r="B83" s="39" t="s">
        <v>23</v>
      </c>
      <c r="D83" s="24"/>
      <c r="F83" s="24"/>
      <c r="H83" s="24"/>
      <c r="J83" s="24"/>
      <c r="L83" s="24"/>
      <c r="N83" s="24"/>
      <c r="P83" s="24"/>
      <c r="R83" s="24"/>
    </row>
    <row r="84" spans="1:18" x14ac:dyDescent="0.35">
      <c r="A84" s="12"/>
      <c r="D84" s="24"/>
      <c r="F84" s="24"/>
      <c r="H84" s="24"/>
      <c r="J84" s="24"/>
      <c r="L84" s="24"/>
      <c r="N84" s="24"/>
      <c r="P84" s="24"/>
      <c r="R84" s="24"/>
    </row>
    <row r="85" spans="1:18" x14ac:dyDescent="0.35">
      <c r="D85" s="24"/>
      <c r="F85" s="24"/>
      <c r="H85" s="24"/>
      <c r="J85" s="24"/>
      <c r="L85" s="24"/>
      <c r="N85" s="24"/>
      <c r="P85" s="24"/>
      <c r="R85" s="24"/>
    </row>
  </sheetData>
  <pageMargins left="0.5" right="0.5" top="0.5" bottom="0.5" header="0.3" footer="0.3"/>
  <pageSetup scale="5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20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","307", " - ", "Art Store")</f>
        <v>Department 307 - Art Store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478991.76000000013</v>
      </c>
      <c r="F10" s="8">
        <f>SUM(OSRRefF11x_0)</f>
        <v>517004.17999999988</v>
      </c>
      <c r="G10" s="8"/>
      <c r="H10" s="8">
        <f>SUM(OSRRefH11x_0)</f>
        <v>515484.93000000017</v>
      </c>
      <c r="I10" s="8"/>
      <c r="J10" s="8">
        <f>SUM(OSRRefJ11x_0)</f>
        <v>497943.97000000003</v>
      </c>
      <c r="K10" s="8"/>
      <c r="L10" s="8">
        <f>SUM(OSRRefL11x_0)</f>
        <v>480500.56999999995</v>
      </c>
      <c r="M10" s="8"/>
      <c r="N10" s="8">
        <f>SUM(OSRRefN11x_0)</f>
        <v>410549.44000000024</v>
      </c>
      <c r="O10" s="8"/>
      <c r="P10" s="8">
        <f>SUM(OSRRefP11x_0)</f>
        <v>161549</v>
      </c>
      <c r="Q10" s="8"/>
      <c r="R10" s="8">
        <f>SUM(OSRRefR11x_0)</f>
        <v>477817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 t="shared" ref="D11:D12" si="0">0*-1</f>
        <v>0</v>
      </c>
      <c r="F11" s="11">
        <f>0*-1</f>
        <v>0</v>
      </c>
      <c r="G11" s="3"/>
      <c r="H11" s="11">
        <f>0*-1</f>
        <v>0</v>
      </c>
      <c r="I11" s="3"/>
      <c r="J11" s="11">
        <f t="shared" ref="J11:J12" si="1">0</f>
        <v>0</v>
      </c>
      <c r="K11" s="3"/>
      <c r="L11" s="11">
        <f t="shared" ref="L11:L12" si="2">0</f>
        <v>0</v>
      </c>
      <c r="M11" s="3"/>
      <c r="N11" s="11">
        <f t="shared" ref="N11:N14" si="3">0</f>
        <v>0</v>
      </c>
      <c r="O11" s="3"/>
      <c r="P11" s="11"/>
      <c r="Q11" s="3"/>
      <c r="R11" s="11">
        <v>308717</v>
      </c>
    </row>
    <row r="12" spans="1:18" s="16" customFormat="1" hidden="1" outlineLevel="1" x14ac:dyDescent="0.35">
      <c r="B12" s="35" t="str">
        <f>CONCATENATE("          ", "4012", " - ", "TAXABLE SALES-MAGAZINES")</f>
        <v xml:space="preserve">          4012 - TAXABLE SALES-MAGAZINES</v>
      </c>
      <c r="D12" s="11">
        <f t="shared" si="0"/>
        <v>0</v>
      </c>
      <c r="F12" s="11">
        <f>-114.3*-1</f>
        <v>114.3</v>
      </c>
      <c r="G12" s="3"/>
      <c r="H12" s="11">
        <f>-8.95*-1</f>
        <v>8.9499999999999993</v>
      </c>
      <c r="I12" s="3"/>
      <c r="J12" s="11">
        <f t="shared" si="1"/>
        <v>0</v>
      </c>
      <c r="K12" s="3"/>
      <c r="L12" s="11">
        <f t="shared" si="2"/>
        <v>0</v>
      </c>
      <c r="M12" s="3"/>
      <c r="N12" s="11">
        <f t="shared" si="3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"4013", " - ", "TAXABLE SALES-TRADE BOOKS")</f>
        <v xml:space="preserve">          4013 - TAXABLE SALES-TRADE BOOKS</v>
      </c>
      <c r="D13" s="11">
        <f>-3084.56*-1</f>
        <v>3084.56</v>
      </c>
      <c r="F13" s="11">
        <f>-1273.17*-1</f>
        <v>1273.17</v>
      </c>
      <c r="G13" s="3"/>
      <c r="H13" s="11">
        <f>-734.76*-1</f>
        <v>734.76</v>
      </c>
      <c r="I13" s="3"/>
      <c r="J13" s="11">
        <f>--148.93</f>
        <v>148.93</v>
      </c>
      <c r="K13" s="3"/>
      <c r="L13" s="11">
        <f>--109.2</f>
        <v>109.2</v>
      </c>
      <c r="M13" s="3"/>
      <c r="N13" s="11">
        <f t="shared" si="3"/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"4014", " - ", "TAXABLE SALES-REMAINDERS")</f>
        <v xml:space="preserve">          4014 - TAXABLE SALES-REMAINDERS</v>
      </c>
      <c r="D14" s="11">
        <f>0*-1</f>
        <v>0</v>
      </c>
      <c r="F14" s="11">
        <f>-35.92*-1</f>
        <v>35.92</v>
      </c>
      <c r="G14" s="3"/>
      <c r="H14" s="11">
        <f>-17.48*-1</f>
        <v>17.48</v>
      </c>
      <c r="I14" s="3"/>
      <c r="J14" s="11">
        <f t="shared" ref="J14:J15" si="4">0</f>
        <v>0</v>
      </c>
      <c r="K14" s="3"/>
      <c r="L14" s="11">
        <f t="shared" ref="L14:L15" si="5">0</f>
        <v>0</v>
      </c>
      <c r="M14" s="3"/>
      <c r="N14" s="11">
        <f t="shared" si="3"/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"4017", " - ", "TAXABLE SALES-DORM/HOUSEWARES")</f>
        <v xml:space="preserve">          4017 - TAXABLE SALES-DORM/HOUSEWARES</v>
      </c>
      <c r="D15" s="11">
        <f>-28.98*-1</f>
        <v>28.98</v>
      </c>
      <c r="F15" s="11">
        <f>0*-1</f>
        <v>0</v>
      </c>
      <c r="G15" s="3"/>
      <c r="H15" s="11">
        <f>0*-1</f>
        <v>0</v>
      </c>
      <c r="I15" s="3"/>
      <c r="J15" s="11">
        <f t="shared" si="4"/>
        <v>0</v>
      </c>
      <c r="K15" s="3"/>
      <c r="L15" s="11">
        <f t="shared" si="5"/>
        <v>0</v>
      </c>
      <c r="M15" s="3"/>
      <c r="N15" s="11">
        <f>--71.37</f>
        <v>71.37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"4019", " - ", "TAXABLE SALES-BOOK RELATED")</f>
        <v xml:space="preserve">          4019 - TAXABLE SALES-BOOK RELATED</v>
      </c>
      <c r="D16" s="11">
        <f>0*-1</f>
        <v>0</v>
      </c>
      <c r="F16" s="11">
        <f>-277.11*-1</f>
        <v>277.11</v>
      </c>
      <c r="G16" s="3"/>
      <c r="H16" s="11">
        <f>-811.14*-1</f>
        <v>811.14</v>
      </c>
      <c r="I16" s="3"/>
      <c r="J16" s="11">
        <f>--370.85</f>
        <v>370.85</v>
      </c>
      <c r="K16" s="3"/>
      <c r="L16" s="11">
        <f>--46.39</f>
        <v>46.39</v>
      </c>
      <c r="M16" s="3"/>
      <c r="N16" s="11">
        <f>0</f>
        <v>0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"4025", " - ", "TAXABLE SALES-TEST FORMS")</f>
        <v xml:space="preserve">          4025 - TAXABLE SALES-TEST FORMS</v>
      </c>
      <c r="D17" s="11">
        <f>-1509.65*-1</f>
        <v>1509.65</v>
      </c>
      <c r="F17" s="11">
        <f>-1779.53*-1</f>
        <v>1779.53</v>
      </c>
      <c r="G17" s="3"/>
      <c r="H17" s="11">
        <f>-1770.41*-1</f>
        <v>1770.41</v>
      </c>
      <c r="I17" s="3"/>
      <c r="J17" s="11">
        <f>--2579.42</f>
        <v>2579.42</v>
      </c>
      <c r="K17" s="3"/>
      <c r="L17" s="11">
        <f>--2917.5</f>
        <v>2917.5</v>
      </c>
      <c r="M17" s="3"/>
      <c r="N17" s="11">
        <f>--2262.94</f>
        <v>2262.94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"4026", " - ", "TAXABLE SALES-WRITING INSTRUME")</f>
        <v xml:space="preserve">          4026 - TAXABLE SALES-WRITING INSTRUME</v>
      </c>
      <c r="D18" s="11">
        <f>-7069.24*-1</f>
        <v>7069.24</v>
      </c>
      <c r="F18" s="11">
        <f>-7688*-1</f>
        <v>7688</v>
      </c>
      <c r="G18" s="3"/>
      <c r="H18" s="11">
        <f>-7822.5*-1</f>
        <v>7822.5</v>
      </c>
      <c r="I18" s="3"/>
      <c r="J18" s="11">
        <f>--7412.85</f>
        <v>7412.85</v>
      </c>
      <c r="K18" s="3"/>
      <c r="L18" s="11">
        <f>--6194.55</f>
        <v>6194.55</v>
      </c>
      <c r="M18" s="3"/>
      <c r="N18" s="11">
        <f>--6663.38</f>
        <v>6663.38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"4027", " - ", "TAXABLE SALES-SCHOOL SUPPLIES")</f>
        <v xml:space="preserve">          4027 - TAXABLE SALES-SCHOOL SUPPLIES</v>
      </c>
      <c r="D19" s="11">
        <f>-14923.41*-1</f>
        <v>14923.41</v>
      </c>
      <c r="F19" s="11">
        <f>-15654.74*-1</f>
        <v>15654.74</v>
      </c>
      <c r="G19" s="3"/>
      <c r="H19" s="11">
        <f>-14259.6*-1</f>
        <v>14259.6</v>
      </c>
      <c r="I19" s="3"/>
      <c r="J19" s="11">
        <f>--11647.2</f>
        <v>11647.2</v>
      </c>
      <c r="K19" s="3"/>
      <c r="L19" s="11">
        <f>--6503.67</f>
        <v>6503.67</v>
      </c>
      <c r="M19" s="3"/>
      <c r="N19" s="11">
        <f>--9231.13</f>
        <v>9231.1299999999992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"4028", " - ", "TAXABLE SALES-ART/TECH")</f>
        <v xml:space="preserve">          4028 - TAXABLE SALES-ART/TECH</v>
      </c>
      <c r="D20" s="11">
        <f>-327639.3*-1</f>
        <v>327639.3</v>
      </c>
      <c r="F20" s="11">
        <f>-347839.18*-1</f>
        <v>347839.18</v>
      </c>
      <c r="G20" s="3"/>
      <c r="H20" s="11">
        <f>-340872.72*-1</f>
        <v>340872.72</v>
      </c>
      <c r="I20" s="3"/>
      <c r="J20" s="11">
        <f>--329427.57</f>
        <v>329427.57</v>
      </c>
      <c r="K20" s="3"/>
      <c r="L20" s="11">
        <f>--330431.42</f>
        <v>330431.42</v>
      </c>
      <c r="M20" s="3"/>
      <c r="N20" s="11">
        <f>--280493.72</f>
        <v>280493.71999999997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"4031", " - ", "TAXABLE SALES-FOOD")</f>
        <v xml:space="preserve">          4031 - TAXABLE SALES-FOOD</v>
      </c>
      <c r="D21" s="11">
        <f>-1019.28*-1</f>
        <v>1019.28</v>
      </c>
      <c r="F21" s="11">
        <f>-2622.63*-1</f>
        <v>2622.63</v>
      </c>
      <c r="G21" s="3"/>
      <c r="H21" s="11">
        <f>-1003.58*-1</f>
        <v>1003.58</v>
      </c>
      <c r="I21" s="3"/>
      <c r="J21" s="11">
        <f>--992.43</f>
        <v>992.43</v>
      </c>
      <c r="K21" s="3"/>
      <c r="L21" s="11">
        <f>--834.06</f>
        <v>834.06</v>
      </c>
      <c r="M21" s="3"/>
      <c r="N21" s="11">
        <f>--486.34</f>
        <v>486.34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"4032", " - ", "TAXABLE SALES-JUICE")</f>
        <v xml:space="preserve">          4032 - TAXABLE SALES-JUICE</v>
      </c>
      <c r="D22" s="11">
        <f>-4149.87*-1</f>
        <v>4149.87</v>
      </c>
      <c r="F22" s="11">
        <f>-2826.33*-1</f>
        <v>2826.33</v>
      </c>
      <c r="G22" s="3"/>
      <c r="H22" s="11">
        <f>-207.03*-1</f>
        <v>207.03</v>
      </c>
      <c r="I22" s="3"/>
      <c r="J22" s="11">
        <f>--151.11</f>
        <v>151.11000000000001</v>
      </c>
      <c r="K22" s="3"/>
      <c r="L22" s="11">
        <f>--498.84</f>
        <v>498.84</v>
      </c>
      <c r="M22" s="3"/>
      <c r="N22" s="11">
        <f>--1905.06</f>
        <v>1905.06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"4033", " - ", "TAXABLE SALES-CANDY")</f>
        <v xml:space="preserve">          4033 - TAXABLE SALES-CANDY</v>
      </c>
      <c r="D23" s="11">
        <f>-0.89*-1</f>
        <v>0.89</v>
      </c>
      <c r="F23" s="11">
        <f>-140.65*-1</f>
        <v>140.65</v>
      </c>
      <c r="G23" s="3"/>
      <c r="H23" s="11">
        <f>-208.91*-1</f>
        <v>208.91</v>
      </c>
      <c r="I23" s="3"/>
      <c r="J23" s="11">
        <f>--202.55</f>
        <v>202.55</v>
      </c>
      <c r="K23" s="3"/>
      <c r="L23" s="11">
        <f>--264.15</f>
        <v>264.14999999999998</v>
      </c>
      <c r="M23" s="3"/>
      <c r="N23" s="11">
        <f>--205.53</f>
        <v>205.53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"4034", " - ", "TAXABLE SALES-SODA")</f>
        <v xml:space="preserve">          4034 - TAXABLE SALES-SODA</v>
      </c>
      <c r="D24" s="11">
        <f>-7787.4*-1</f>
        <v>7787.4</v>
      </c>
      <c r="F24" s="11">
        <f>-5835.87*-1</f>
        <v>5835.87</v>
      </c>
      <c r="G24" s="3"/>
      <c r="H24" s="11">
        <f>-9518.75*-1</f>
        <v>9518.75</v>
      </c>
      <c r="I24" s="3"/>
      <c r="J24" s="11">
        <f>--9826.08</f>
        <v>9826.08</v>
      </c>
      <c r="K24" s="3"/>
      <c r="L24" s="11">
        <f>--9229.07</f>
        <v>9229.07</v>
      </c>
      <c r="M24" s="3"/>
      <c r="N24" s="11">
        <f>--7803.51</f>
        <v>7803.51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"4035", " - ", "TAXABLE SALES-HEALTH &amp; BEAUTY")</f>
        <v xml:space="preserve">          4035 - TAXABLE SALES-HEALTH &amp; BEAUTY</v>
      </c>
      <c r="D25" s="11">
        <f>-1445.9*-1</f>
        <v>1445.9</v>
      </c>
      <c r="F25" s="11">
        <f>-2162.84*-1</f>
        <v>2162.84</v>
      </c>
      <c r="G25" s="3"/>
      <c r="H25" s="11">
        <f>-2349.17*-1</f>
        <v>2349.17</v>
      </c>
      <c r="I25" s="3"/>
      <c r="J25" s="11">
        <f>--2314.43</f>
        <v>2314.4299999999998</v>
      </c>
      <c r="K25" s="3"/>
      <c r="L25" s="11">
        <f>--2250.35</f>
        <v>2250.35</v>
      </c>
      <c r="M25" s="3"/>
      <c r="N25" s="11">
        <f>--1961.69</f>
        <v>1961.69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"4037", " - ", "TAXABLE SALES-WATER")</f>
        <v xml:space="preserve">          4037 - TAXABLE SALES-WATER</v>
      </c>
      <c r="D26" s="11">
        <f t="shared" ref="D26:D29" si="6">0*-1</f>
        <v>0</v>
      </c>
      <c r="F26" s="11">
        <f>-165.87*-1</f>
        <v>165.87</v>
      </c>
      <c r="G26" s="3"/>
      <c r="H26" s="11">
        <f>-797.05*-1</f>
        <v>797.05</v>
      </c>
      <c r="I26" s="3"/>
      <c r="J26" s="11">
        <f>--705.4</f>
        <v>705.4</v>
      </c>
      <c r="K26" s="3"/>
      <c r="L26" s="11">
        <f>--881.19</f>
        <v>881.19</v>
      </c>
      <c r="M26" s="3"/>
      <c r="N26" s="11">
        <f>--513.51</f>
        <v>513.51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"4041", " - ", "TAXABLE SALES-LOGO GIFTS")</f>
        <v xml:space="preserve">          4041 - TAXABLE SALES-LOGO GIFTS</v>
      </c>
      <c r="D27" s="11">
        <f t="shared" si="6"/>
        <v>0</v>
      </c>
      <c r="F27" s="11">
        <f t="shared" ref="F27:F29" si="7">0*-1</f>
        <v>0</v>
      </c>
      <c r="G27" s="3"/>
      <c r="H27" s="11">
        <f>-283.19*-1</f>
        <v>283.19</v>
      </c>
      <c r="I27" s="3"/>
      <c r="J27" s="11">
        <f>0</f>
        <v>0</v>
      </c>
      <c r="K27" s="3"/>
      <c r="L27" s="11">
        <f>0</f>
        <v>0</v>
      </c>
      <c r="M27" s="3"/>
      <c r="N27" s="11">
        <f>--494.2</f>
        <v>494.2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"4042", " - ", "TAXABLE SALES-EVERYDAY GIFTS")</f>
        <v xml:space="preserve">          4042 - TAXABLE SALES-EVERYDAY GIFTS</v>
      </c>
      <c r="D28" s="11">
        <f t="shared" si="6"/>
        <v>0</v>
      </c>
      <c r="F28" s="11">
        <f t="shared" si="7"/>
        <v>0</v>
      </c>
      <c r="G28" s="3"/>
      <c r="H28" s="11">
        <f>0*-1</f>
        <v>0</v>
      </c>
      <c r="I28" s="3"/>
      <c r="J28" s="11">
        <f>--1358.1</f>
        <v>1358.1</v>
      </c>
      <c r="K28" s="3"/>
      <c r="L28" s="11">
        <f>--736.93</f>
        <v>736.93</v>
      </c>
      <c r="M28" s="3"/>
      <c r="N28" s="11">
        <f>--583.7</f>
        <v>583.70000000000005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"4044", " - ", "TAXABLE SALES-ACCESSORIES")</f>
        <v xml:space="preserve">          4044 - TAXABLE SALES-ACCESSORIES</v>
      </c>
      <c r="D29" s="11">
        <f t="shared" si="6"/>
        <v>0</v>
      </c>
      <c r="F29" s="11">
        <f t="shared" si="7"/>
        <v>0</v>
      </c>
      <c r="G29" s="3"/>
      <c r="H29" s="11">
        <f>-116.55*-1</f>
        <v>116.55</v>
      </c>
      <c r="I29" s="3"/>
      <c r="J29" s="11">
        <f>--12.95</f>
        <v>12.95</v>
      </c>
      <c r="K29" s="3"/>
      <c r="L29" s="11">
        <f>0</f>
        <v>0</v>
      </c>
      <c r="M29" s="3"/>
      <c r="N29" s="11">
        <f>--179.5</f>
        <v>179.5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"4081", " - ", "TAXABLE SALES-ELECTRONICS")</f>
        <v xml:space="preserve">          4081 - TAXABLE SALES-ELECTRONICS</v>
      </c>
      <c r="D30" s="11">
        <f>-1300.97*-1</f>
        <v>1300.97</v>
      </c>
      <c r="F30" s="11">
        <f>-1294.61*-1</f>
        <v>1294.6099999999999</v>
      </c>
      <c r="G30" s="3"/>
      <c r="H30" s="11">
        <f>-3498.1*-1</f>
        <v>3498.1</v>
      </c>
      <c r="I30" s="3"/>
      <c r="J30" s="11">
        <f>--5235.06</f>
        <v>5235.0600000000004</v>
      </c>
      <c r="K30" s="3"/>
      <c r="L30" s="11">
        <f>--4426.51</f>
        <v>4426.51</v>
      </c>
      <c r="M30" s="3"/>
      <c r="N30" s="11">
        <f>--3174.93</f>
        <v>3174.93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"4082", " - ", "TAXABLE SALES-COMPUTER HARDWAR")</f>
        <v xml:space="preserve">          4082 - TAXABLE SALES-COMPUTER HARDWAR</v>
      </c>
      <c r="D31" s="11">
        <f>0*-1</f>
        <v>0</v>
      </c>
      <c r="F31" s="11">
        <f>0*-1</f>
        <v>0</v>
      </c>
      <c r="G31" s="3"/>
      <c r="H31" s="11">
        <f>-775.83*-1</f>
        <v>775.83</v>
      </c>
      <c r="I31" s="3"/>
      <c r="J31" s="11">
        <f>--1439.96</f>
        <v>1439.96</v>
      </c>
      <c r="K31" s="3"/>
      <c r="L31" s="11">
        <f>--1650</f>
        <v>1650</v>
      </c>
      <c r="M31" s="3"/>
      <c r="N31" s="11">
        <f>--363.94</f>
        <v>363.94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"4083", " - ", "TAXABLE SALES-COMPUTER EQUIPME")</f>
        <v xml:space="preserve">          4083 - TAXABLE SALES-COMPUTER EQUIPME</v>
      </c>
      <c r="D32" s="11">
        <f>-357.65*-1</f>
        <v>357.65</v>
      </c>
      <c r="F32" s="11">
        <f>-810.29*-1</f>
        <v>810.29</v>
      </c>
      <c r="G32" s="3"/>
      <c r="H32" s="11">
        <f>-987.12*-1</f>
        <v>987.12</v>
      </c>
      <c r="I32" s="3"/>
      <c r="J32" s="11">
        <f>--1491.86</f>
        <v>1491.86</v>
      </c>
      <c r="K32" s="3"/>
      <c r="L32" s="11">
        <f>--1403.83</f>
        <v>1403.83</v>
      </c>
      <c r="M32" s="3"/>
      <c r="N32" s="11">
        <f>--914.33</f>
        <v>914.33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"4086", " - ", "TAXABLE SALES-COMPUTER SUPPLIE")</f>
        <v xml:space="preserve">          4086 - TAXABLE SALES-COMPUTER SUPPLIE</v>
      </c>
      <c r="D33" s="11">
        <f>-178.09*-1</f>
        <v>178.09</v>
      </c>
      <c r="F33" s="11">
        <f>-419.92*-1</f>
        <v>419.92</v>
      </c>
      <c r="G33" s="3"/>
      <c r="H33" s="11">
        <f>-1488.26*-1</f>
        <v>1488.26</v>
      </c>
      <c r="I33" s="3"/>
      <c r="J33" s="11">
        <f>--2714.01</f>
        <v>2714.01</v>
      </c>
      <c r="K33" s="3"/>
      <c r="L33" s="11">
        <f>--2115.11</f>
        <v>2115.11</v>
      </c>
      <c r="M33" s="3"/>
      <c r="N33" s="11">
        <f>--813.74</f>
        <v>813.74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"4092", " - ", "TAXABLE SALES-GRAD MERCH")</f>
        <v xml:space="preserve">          4092 - TAXABLE SALES-GRAD MERCH</v>
      </c>
      <c r="D34" s="11">
        <f>0*-1</f>
        <v>0</v>
      </c>
      <c r="F34" s="11">
        <f>0*-1</f>
        <v>0</v>
      </c>
      <c r="G34" s="3"/>
      <c r="H34" s="11">
        <f>-36.95*-1</f>
        <v>36.950000000000003</v>
      </c>
      <c r="I34" s="3"/>
      <c r="J34" s="11">
        <f t="shared" ref="J34:J38" si="8">0</f>
        <v>0</v>
      </c>
      <c r="K34" s="3"/>
      <c r="L34" s="11">
        <f t="shared" ref="L34:L36" si="9">0</f>
        <v>0</v>
      </c>
      <c r="M34" s="3"/>
      <c r="N34" s="11">
        <f t="shared" ref="N34:N36" si="10">0</f>
        <v>0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"4095", " - ", "TAXABLE SALES-CUSTOMER SERVICE")</f>
        <v xml:space="preserve">          4095 - TAXABLE SALES-CUSTOMER SERVICE</v>
      </c>
      <c r="D35" s="11">
        <f>-127.41*-1</f>
        <v>127.41</v>
      </c>
      <c r="F35" s="11">
        <f>-68.88*-1</f>
        <v>68.88</v>
      </c>
      <c r="G35" s="3"/>
      <c r="H35" s="11">
        <f>-67.36*-1</f>
        <v>67.36</v>
      </c>
      <c r="I35" s="3"/>
      <c r="J35" s="11">
        <f t="shared" si="8"/>
        <v>0</v>
      </c>
      <c r="K35" s="3"/>
      <c r="L35" s="11">
        <f t="shared" si="9"/>
        <v>0</v>
      </c>
      <c r="M35" s="3"/>
      <c r="N35" s="11">
        <f t="shared" si="10"/>
        <v>0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"4100", " - ", "NON-TAXABLE SALES")</f>
        <v xml:space="preserve">          4100 - NON-TAXABLE SALES</v>
      </c>
      <c r="D36" s="11">
        <f>0*-1</f>
        <v>0</v>
      </c>
      <c r="F36" s="11">
        <f>0*-1</f>
        <v>0</v>
      </c>
      <c r="G36" s="3"/>
      <c r="H36" s="11">
        <f>0*-1</f>
        <v>0</v>
      </c>
      <c r="I36" s="3"/>
      <c r="J36" s="11">
        <f t="shared" si="8"/>
        <v>0</v>
      </c>
      <c r="K36" s="3"/>
      <c r="L36" s="11">
        <f t="shared" si="9"/>
        <v>0</v>
      </c>
      <c r="M36" s="3"/>
      <c r="N36" s="11">
        <f t="shared" si="10"/>
        <v>0</v>
      </c>
      <c r="O36" s="3"/>
      <c r="P36" s="11">
        <v>161549</v>
      </c>
      <c r="Q36" s="3"/>
      <c r="R36" s="11">
        <v>169100</v>
      </c>
    </row>
    <row r="37" spans="2:18" s="16" customFormat="1" hidden="1" outlineLevel="1" x14ac:dyDescent="0.35">
      <c r="B37" s="35" t="str">
        <f>CONCATENATE("          ", "4126", " - ", "NON-TAXABLE SALES-WRITING INST")</f>
        <v xml:space="preserve">          4126 - NON-TAXABLE SALES-WRITING INST</v>
      </c>
      <c r="D37" s="11">
        <f>-103*-1</f>
        <v>103</v>
      </c>
      <c r="F37" s="11">
        <f>-34.06*-1</f>
        <v>34.06</v>
      </c>
      <c r="G37" s="3"/>
      <c r="H37" s="11">
        <f>-38.18*-1</f>
        <v>38.18</v>
      </c>
      <c r="I37" s="3"/>
      <c r="J37" s="11">
        <f t="shared" si="8"/>
        <v>0</v>
      </c>
      <c r="K37" s="3"/>
      <c r="L37" s="11">
        <f>--8.56</f>
        <v>8.56</v>
      </c>
      <c r="M37" s="3"/>
      <c r="N37" s="11">
        <f>--2.49</f>
        <v>2.4900000000000002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"4127", " - ", "NON-TAXABLE SALES-SCHOOL SUPPL")</f>
        <v xml:space="preserve">          4127 - NON-TAXABLE SALES-SCHOOL SUPPL</v>
      </c>
      <c r="D38" s="11">
        <f>-63.62*-1</f>
        <v>63.62</v>
      </c>
      <c r="F38" s="11">
        <f>-34.47*-1</f>
        <v>34.47</v>
      </c>
      <c r="G38" s="3"/>
      <c r="H38" s="11">
        <f>-16.13*-1</f>
        <v>16.13</v>
      </c>
      <c r="I38" s="3"/>
      <c r="J38" s="11">
        <f t="shared" si="8"/>
        <v>0</v>
      </c>
      <c r="K38" s="3"/>
      <c r="L38" s="11">
        <f>--25.6</f>
        <v>25.6</v>
      </c>
      <c r="M38" s="3"/>
      <c r="N38" s="11">
        <f>--16.45</f>
        <v>16.45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"4128", " - ", "NON-TAXABLE SALES-ART/TECH")</f>
        <v xml:space="preserve">          4128 - NON-TAXABLE SALES-ART/TECH</v>
      </c>
      <c r="D39" s="11">
        <f>-1703.96*-1</f>
        <v>1703.96</v>
      </c>
      <c r="F39" s="11">
        <f>-791.16*-1</f>
        <v>791.16</v>
      </c>
      <c r="G39" s="3"/>
      <c r="H39" s="11">
        <f>-1054.37*-1</f>
        <v>1054.3699999999999</v>
      </c>
      <c r="I39" s="3"/>
      <c r="J39" s="11">
        <f>--320.51</f>
        <v>320.51</v>
      </c>
      <c r="K39" s="3"/>
      <c r="L39" s="11">
        <f>--311.86</f>
        <v>311.86</v>
      </c>
      <c r="M39" s="3"/>
      <c r="N39" s="11">
        <f>--242.09</f>
        <v>242.09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"4131", " - ", "NON-TAXABLE SALES-FOOD")</f>
        <v xml:space="preserve">          4131 - NON-TAXABLE SALES-FOOD</v>
      </c>
      <c r="D40" s="11">
        <f>-50207.84*-1</f>
        <v>50207.839999999997</v>
      </c>
      <c r="F40" s="11">
        <f>-63237.13*-1</f>
        <v>63237.13</v>
      </c>
      <c r="G40" s="3"/>
      <c r="H40" s="11">
        <f>-81075.56*-1</f>
        <v>81075.56</v>
      </c>
      <c r="I40" s="3"/>
      <c r="J40" s="11">
        <f>--80254.22</f>
        <v>80254.22</v>
      </c>
      <c r="K40" s="3"/>
      <c r="L40" s="11">
        <f>--72400.49</f>
        <v>72400.490000000005</v>
      </c>
      <c r="M40" s="3"/>
      <c r="N40" s="11">
        <f>--56310.14</f>
        <v>56310.14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"4132", " - ", "NON-TAXABLE SALES-JUICE")</f>
        <v xml:space="preserve">          4132 - NON-TAXABLE SALES-JUICE</v>
      </c>
      <c r="D41" s="11">
        <f>-17244.1*-1</f>
        <v>17244.099999999999</v>
      </c>
      <c r="F41" s="11">
        <f>-20468.27*-1</f>
        <v>20468.27</v>
      </c>
      <c r="G41" s="3"/>
      <c r="H41" s="11">
        <f>-22043.96*-1</f>
        <v>22043.96</v>
      </c>
      <c r="I41" s="3"/>
      <c r="J41" s="11">
        <f>--19560.69</f>
        <v>19560.689999999999</v>
      </c>
      <c r="K41" s="3"/>
      <c r="L41" s="11">
        <f>--18307.55</f>
        <v>18307.55</v>
      </c>
      <c r="M41" s="3"/>
      <c r="N41" s="11">
        <f>--16199.63</f>
        <v>16199.63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"4133", " - ", "NON-TAXABLE SALES-CANDY")</f>
        <v xml:space="preserve">          4133 - NON-TAXABLE SALES-CANDY</v>
      </c>
      <c r="D42" s="11">
        <f>-32529.65*-1</f>
        <v>32529.65</v>
      </c>
      <c r="F42" s="11">
        <f>-35804.71*-1</f>
        <v>35804.71</v>
      </c>
      <c r="G42" s="3"/>
      <c r="H42" s="11">
        <f>-21610.71*-1</f>
        <v>21610.71</v>
      </c>
      <c r="I42" s="3"/>
      <c r="J42" s="11">
        <f>--16442.72</f>
        <v>16442.72</v>
      </c>
      <c r="K42" s="3"/>
      <c r="L42" s="11">
        <f>--17710.35</f>
        <v>17710.349999999999</v>
      </c>
      <c r="M42" s="3"/>
      <c r="N42" s="11">
        <f>--15823.84</f>
        <v>15823.84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"4134", " - ", "NON-TAXABLE SALES-SODA")</f>
        <v xml:space="preserve">          4134 - NON-TAXABLE SALES-SODA</v>
      </c>
      <c r="D43" s="11">
        <f>-786.93*-1</f>
        <v>786.93</v>
      </c>
      <c r="F43" s="11">
        <f>-2400.56*-1</f>
        <v>2400.56</v>
      </c>
      <c r="G43" s="3"/>
      <c r="H43" s="11">
        <f>-293.45*-1</f>
        <v>293.45</v>
      </c>
      <c r="I43" s="3"/>
      <c r="J43" s="11">
        <f>--698.84</f>
        <v>698.84</v>
      </c>
      <c r="K43" s="3"/>
      <c r="L43" s="11">
        <f>--111.36</f>
        <v>111.36</v>
      </c>
      <c r="M43" s="3"/>
      <c r="N43" s="11">
        <f>--1.89</f>
        <v>1.89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"4135", " - ", "NON-TAXABLE SALES")</f>
        <v xml:space="preserve">          4135 - NON-TAXABLE SALES</v>
      </c>
      <c r="D44" s="11">
        <f>0*-1</f>
        <v>0</v>
      </c>
      <c r="F44" s="11">
        <f>0*-1</f>
        <v>0</v>
      </c>
      <c r="G44" s="3"/>
      <c r="H44" s="11">
        <f>-50.34*-1</f>
        <v>50.34</v>
      </c>
      <c r="I44" s="3"/>
      <c r="J44" s="11">
        <f>--225.61</f>
        <v>225.61</v>
      </c>
      <c r="K44" s="3"/>
      <c r="L44" s="11">
        <f>--183.39</f>
        <v>183.39</v>
      </c>
      <c r="M44" s="3"/>
      <c r="N44" s="11">
        <f>--111.24</f>
        <v>111.24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"4137", " - ", "NON-TAXABLE SALES-WATER")</f>
        <v xml:space="preserve">          4137 - NON-TAXABLE SALES-WATER</v>
      </c>
      <c r="D45" s="11">
        <f>-13255.47*-1</f>
        <v>13255.47</v>
      </c>
      <c r="F45" s="11">
        <f>-13435.8*-1</f>
        <v>13435.8</v>
      </c>
      <c r="G45" s="3"/>
      <c r="H45" s="11">
        <f>-11805.07*-1</f>
        <v>11805.07</v>
      </c>
      <c r="I45" s="3"/>
      <c r="J45" s="11">
        <f>--10396.6</f>
        <v>10396.6</v>
      </c>
      <c r="K45" s="3"/>
      <c r="L45" s="11">
        <f>--10056.76</f>
        <v>10056.76</v>
      </c>
      <c r="M45" s="3"/>
      <c r="N45" s="11">
        <f>--8396.06</f>
        <v>8396.06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"4186", " - ", "NON-TAXABLE SALES-COMPUTER SUP")</f>
        <v xml:space="preserve">          4186 - NON-TAXABLE SALES-COMPUTER SUP</v>
      </c>
      <c r="D46" s="11">
        <f t="shared" ref="D46:D47" si="11">0*-1</f>
        <v>0</v>
      </c>
      <c r="F46" s="11">
        <f t="shared" ref="F46:F47" si="12">0*-1</f>
        <v>0</v>
      </c>
      <c r="G46" s="3"/>
      <c r="H46" s="11">
        <f>-4.99*-1</f>
        <v>4.99</v>
      </c>
      <c r="I46" s="3"/>
      <c r="J46" s="11">
        <f>-52.98</f>
        <v>-52.98</v>
      </c>
      <c r="K46" s="3"/>
      <c r="L46" s="11">
        <f>-174.68</f>
        <v>-174.68</v>
      </c>
      <c r="M46" s="3"/>
      <c r="N46" s="11">
        <f>-30.97</f>
        <v>-30.97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"4212", " - ", "SALES RETURN TAXABLE-MAGAZINES")</f>
        <v xml:space="preserve">          4212 - SALES RETURN TAXABLE-MAGAZINES</v>
      </c>
      <c r="D47" s="11">
        <f t="shared" si="11"/>
        <v>0</v>
      </c>
      <c r="F47" s="11">
        <f t="shared" si="12"/>
        <v>0</v>
      </c>
      <c r="G47" s="3"/>
      <c r="H47" s="11">
        <f>8.95*-1</f>
        <v>-8.9499999999999993</v>
      </c>
      <c r="I47" s="3"/>
      <c r="J47" s="11">
        <f t="shared" ref="J47:J48" si="13">0</f>
        <v>0</v>
      </c>
      <c r="K47" s="3"/>
      <c r="L47" s="11">
        <f t="shared" ref="L47:L50" si="14">0</f>
        <v>0</v>
      </c>
      <c r="M47" s="3"/>
      <c r="N47" s="11">
        <f t="shared" ref="N47:N49" si="15">0</f>
        <v>0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"4213", " - ", "NON-TAXABLE SALES-TRADE BOOKS")</f>
        <v xml:space="preserve">          4213 - NON-TAXABLE SALES-TRADE BOOKS</v>
      </c>
      <c r="D48" s="11">
        <f>191.73*-1</f>
        <v>-191.73</v>
      </c>
      <c r="F48" s="11">
        <f>74.93*-1</f>
        <v>-74.930000000000007</v>
      </c>
      <c r="G48" s="3"/>
      <c r="H48" s="11">
        <f>24.99*-1</f>
        <v>-24.99</v>
      </c>
      <c r="I48" s="3"/>
      <c r="J48" s="11">
        <f t="shared" si="13"/>
        <v>0</v>
      </c>
      <c r="K48" s="3"/>
      <c r="L48" s="11">
        <f t="shared" si="14"/>
        <v>0</v>
      </c>
      <c r="M48" s="3"/>
      <c r="N48" s="11">
        <f t="shared" si="15"/>
        <v>0</v>
      </c>
      <c r="O48" s="3"/>
      <c r="P48" s="11"/>
      <c r="Q48" s="3"/>
      <c r="R48" s="11"/>
    </row>
    <row r="49" spans="1:18" s="16" customFormat="1" hidden="1" outlineLevel="1" x14ac:dyDescent="0.35">
      <c r="B49" s="35" t="str">
        <f>CONCATENATE("          ", "4219", " - ", "SALES RETURN TAXABLE-BOOK RELA")</f>
        <v xml:space="preserve">          4219 - SALES RETURN TAXABLE-BOOK RELA</v>
      </c>
      <c r="D49" s="11">
        <f>0*-1</f>
        <v>0</v>
      </c>
      <c r="F49" s="11">
        <f>0*-1</f>
        <v>0</v>
      </c>
      <c r="G49" s="3"/>
      <c r="H49" s="11">
        <f>55.86*-1</f>
        <v>-55.86</v>
      </c>
      <c r="I49" s="3"/>
      <c r="J49" s="11">
        <f>-29.9</f>
        <v>-29.9</v>
      </c>
      <c r="K49" s="3"/>
      <c r="L49" s="11">
        <f t="shared" si="14"/>
        <v>0</v>
      </c>
      <c r="M49" s="3"/>
      <c r="N49" s="11">
        <f t="shared" si="15"/>
        <v>0</v>
      </c>
      <c r="O49" s="3"/>
      <c r="P49" s="11"/>
      <c r="Q49" s="3"/>
      <c r="R49" s="11"/>
    </row>
    <row r="50" spans="1:18" s="16" customFormat="1" hidden="1" outlineLevel="1" x14ac:dyDescent="0.35">
      <c r="B50" s="35" t="str">
        <f>CONCATENATE("          ", "4225", " - ", "SALES RETURN TAXABLE-TEST FORM")</f>
        <v xml:space="preserve">          4225 - SALES RETURN TAXABLE-TEST FORM</v>
      </c>
      <c r="D50" s="11">
        <f>0.32*-1</f>
        <v>-0.32</v>
      </c>
      <c r="F50" s="11">
        <f>276.66*-1</f>
        <v>-276.66000000000003</v>
      </c>
      <c r="G50" s="3"/>
      <c r="H50" s="11">
        <f>134.37*-1</f>
        <v>-134.37</v>
      </c>
      <c r="I50" s="3"/>
      <c r="J50" s="11">
        <f>-232.15</f>
        <v>-232.15</v>
      </c>
      <c r="K50" s="3"/>
      <c r="L50" s="11">
        <f t="shared" si="14"/>
        <v>0</v>
      </c>
      <c r="M50" s="3"/>
      <c r="N50" s="11">
        <f>-35.13</f>
        <v>-35.130000000000003</v>
      </c>
      <c r="O50" s="3"/>
      <c r="P50" s="11"/>
      <c r="Q50" s="3"/>
      <c r="R50" s="11"/>
    </row>
    <row r="51" spans="1:18" s="16" customFormat="1" hidden="1" outlineLevel="1" x14ac:dyDescent="0.35">
      <c r="B51" s="35" t="str">
        <f>CONCATENATE("          ", "4226", " - ", "SALES RETURN TAXABLE-WRITING I")</f>
        <v xml:space="preserve">          4226 - SALES RETURN TAXABLE-WRITING I</v>
      </c>
      <c r="D51" s="11">
        <f>80.16*-1</f>
        <v>-80.16</v>
      </c>
      <c r="F51" s="11">
        <f>47.53*-1</f>
        <v>-47.53</v>
      </c>
      <c r="G51" s="3"/>
      <c r="H51" s="11">
        <f>37.46*-1</f>
        <v>-37.46</v>
      </c>
      <c r="I51" s="3"/>
      <c r="J51" s="11">
        <f>-43.32</f>
        <v>-43.32</v>
      </c>
      <c r="K51" s="3"/>
      <c r="L51" s="11">
        <f>-73.21</f>
        <v>-73.209999999999994</v>
      </c>
      <c r="M51" s="3"/>
      <c r="N51" s="11">
        <f>-11.05</f>
        <v>-11.05</v>
      </c>
      <c r="O51" s="3"/>
      <c r="P51" s="11"/>
      <c r="Q51" s="3"/>
      <c r="R51" s="11"/>
    </row>
    <row r="52" spans="1:18" s="16" customFormat="1" hidden="1" outlineLevel="1" x14ac:dyDescent="0.35">
      <c r="B52" s="35" t="str">
        <f>CONCATENATE("          ", "4227", " - ", "SALES RETURN TAXABLE-SCHOOL SU")</f>
        <v xml:space="preserve">          4227 - SALES RETURN TAXABLE-SCHOOL SU</v>
      </c>
      <c r="D52" s="11">
        <f>247.28*-1</f>
        <v>-247.28</v>
      </c>
      <c r="F52" s="11">
        <f>302.9*-1</f>
        <v>-302.89999999999998</v>
      </c>
      <c r="G52" s="3"/>
      <c r="H52" s="11">
        <f>363.72*-1</f>
        <v>-363.72</v>
      </c>
      <c r="I52" s="3"/>
      <c r="J52" s="11">
        <f>-107.85</f>
        <v>-107.85</v>
      </c>
      <c r="K52" s="3"/>
      <c r="L52" s="11">
        <f>-68.16</f>
        <v>-68.16</v>
      </c>
      <c r="M52" s="3"/>
      <c r="N52" s="11">
        <f>-42.06</f>
        <v>-42.06</v>
      </c>
      <c r="O52" s="3"/>
      <c r="P52" s="11"/>
      <c r="Q52" s="3"/>
      <c r="R52" s="11"/>
    </row>
    <row r="53" spans="1:18" s="16" customFormat="1" hidden="1" outlineLevel="1" x14ac:dyDescent="0.35">
      <c r="B53" s="35" t="str">
        <f>CONCATENATE("          ", "4228", " - ", "SALES RETURN TAXABLE-ART/TECH")</f>
        <v xml:space="preserve">          4228 - SALES RETURN TAXABLE-ART/TECH</v>
      </c>
      <c r="D53" s="11">
        <f>6889.84*-1</f>
        <v>-6889.84</v>
      </c>
      <c r="F53" s="11">
        <f>9294.74*-1</f>
        <v>-9294.74</v>
      </c>
      <c r="G53" s="3"/>
      <c r="H53" s="11">
        <f>9418.21*-1</f>
        <v>-9418.2099999999991</v>
      </c>
      <c r="I53" s="3"/>
      <c r="J53" s="11">
        <f>-7418.91</f>
        <v>-7418.91</v>
      </c>
      <c r="K53" s="3"/>
      <c r="L53" s="11">
        <f>-8215.46</f>
        <v>-8215.4599999999991</v>
      </c>
      <c r="M53" s="3"/>
      <c r="N53" s="11">
        <f>-4479.12</f>
        <v>-4479.12</v>
      </c>
      <c r="O53" s="3"/>
      <c r="P53" s="11"/>
      <c r="Q53" s="3"/>
      <c r="R53" s="11"/>
    </row>
    <row r="54" spans="1:18" s="16" customFormat="1" hidden="1" outlineLevel="1" x14ac:dyDescent="0.35">
      <c r="B54" s="35" t="str">
        <f>CONCATENATE("          ", "4233", " - ", "SALES RETURN TAXABLE-CANDY")</f>
        <v xml:space="preserve">          4233 - SALES RETURN TAXABLE-CANDY</v>
      </c>
      <c r="D54" s="11">
        <f>4.97*-1</f>
        <v>-4.97</v>
      </c>
      <c r="F54" s="11">
        <f>71.15*-1</f>
        <v>-71.150000000000006</v>
      </c>
      <c r="G54" s="3"/>
      <c r="H54" s="11">
        <f>56.39*-1</f>
        <v>-56.39</v>
      </c>
      <c r="I54" s="3"/>
      <c r="J54" s="11">
        <f>-2.91</f>
        <v>-2.91</v>
      </c>
      <c r="K54" s="3"/>
      <c r="L54" s="11">
        <f>-143.5</f>
        <v>-143.5</v>
      </c>
      <c r="M54" s="3"/>
      <c r="N54" s="11">
        <f>-8.25</f>
        <v>-8.25</v>
      </c>
      <c r="O54" s="3"/>
      <c r="P54" s="11"/>
      <c r="Q54" s="3"/>
      <c r="R54" s="11"/>
    </row>
    <row r="55" spans="1:18" s="16" customFormat="1" hidden="1" outlineLevel="1" x14ac:dyDescent="0.35">
      <c r="B55" s="35" t="str">
        <f>CONCATENATE("          ", "4234", " - ", "SALES RETURN TAXABLE-SODA")</f>
        <v xml:space="preserve">          4234 - SALES RETURN TAXABLE-SODA</v>
      </c>
      <c r="D55" s="11">
        <f>5.25*-1</f>
        <v>-5.25</v>
      </c>
      <c r="F55" s="11">
        <f>10.78*-1</f>
        <v>-10.78</v>
      </c>
      <c r="G55" s="3"/>
      <c r="H55" s="11">
        <f>21*-1</f>
        <v>-21</v>
      </c>
      <c r="I55" s="3"/>
      <c r="J55" s="11">
        <f>0</f>
        <v>0</v>
      </c>
      <c r="K55" s="3"/>
      <c r="L55" s="11">
        <f>-368.16</f>
        <v>-368.16</v>
      </c>
      <c r="M55" s="3"/>
      <c r="N55" s="11">
        <f>0</f>
        <v>0</v>
      </c>
      <c r="O55" s="3"/>
      <c r="P55" s="11"/>
      <c r="Q55" s="3"/>
      <c r="R55" s="11"/>
    </row>
    <row r="56" spans="1:18" s="16" customFormat="1" hidden="1" outlineLevel="1" x14ac:dyDescent="0.35">
      <c r="B56" s="35" t="str">
        <f>CONCATENATE("          ", "4281", " - ", "SALES RETURN TAXABLE-ELECTRONI")</f>
        <v xml:space="preserve">          4281 - SALES RETURN TAXABLE-ELECTRONI</v>
      </c>
      <c r="D56" s="11">
        <f>19.98*-1</f>
        <v>-19.98</v>
      </c>
      <c r="F56" s="11">
        <f>14.99*-1</f>
        <v>-14.99</v>
      </c>
      <c r="G56" s="3"/>
      <c r="H56" s="11">
        <f>19.99*-1</f>
        <v>-19.989999999999998</v>
      </c>
      <c r="I56" s="3"/>
      <c r="J56" s="11">
        <f>-97.96</f>
        <v>-97.96</v>
      </c>
      <c r="K56" s="3"/>
      <c r="L56" s="11">
        <f>-64.95</f>
        <v>-64.95</v>
      </c>
      <c r="M56" s="3"/>
      <c r="N56" s="11">
        <f>-54.97</f>
        <v>-54.97</v>
      </c>
      <c r="O56" s="3"/>
      <c r="P56" s="11"/>
      <c r="Q56" s="3"/>
      <c r="R56" s="11"/>
    </row>
    <row r="57" spans="1:18" s="16" customFormat="1" hidden="1" outlineLevel="1" x14ac:dyDescent="0.35">
      <c r="B57" s="35" t="str">
        <f>CONCATENATE("          ", "4331", " - ", "SALES RETURN NON TAXABLE-FOOD")</f>
        <v xml:space="preserve">          4331 - SALES RETURN NON TAXABLE-FOOD</v>
      </c>
      <c r="D57" s="11">
        <f>40.61*-1</f>
        <v>-40.61</v>
      </c>
      <c r="F57" s="11">
        <f>57.11*-1</f>
        <v>-57.11</v>
      </c>
      <c r="G57" s="3"/>
      <c r="H57" s="11">
        <f>0*-1</f>
        <v>0</v>
      </c>
      <c r="I57" s="3"/>
      <c r="J57" s="11">
        <f t="shared" ref="J57:J60" si="16">0</f>
        <v>0</v>
      </c>
      <c r="K57" s="3"/>
      <c r="L57" s="11">
        <f t="shared" ref="L57:L60" si="17">0</f>
        <v>0</v>
      </c>
      <c r="M57" s="3"/>
      <c r="N57" s="11">
        <f>-12.57</f>
        <v>-12.57</v>
      </c>
      <c r="O57" s="3"/>
      <c r="P57" s="11"/>
      <c r="Q57" s="3"/>
      <c r="R57" s="11"/>
    </row>
    <row r="58" spans="1:18" s="16" customFormat="1" hidden="1" outlineLevel="1" x14ac:dyDescent="0.35">
      <c r="B58" s="35" t="str">
        <f>CONCATENATE("          ", "4332", " - ", "SALES RETURN NON TAXABLE-JUICE")</f>
        <v xml:space="preserve">          4332 - SALES RETURN NON TAXABLE-JUICE</v>
      </c>
      <c r="D58" s="11">
        <f>4.29*-1</f>
        <v>-4.29</v>
      </c>
      <c r="F58" s="11">
        <f>47.49*-1</f>
        <v>-47.49</v>
      </c>
      <c r="G58" s="3"/>
      <c r="H58" s="11">
        <f>2.3*-1</f>
        <v>-2.2999999999999998</v>
      </c>
      <c r="I58" s="3"/>
      <c r="J58" s="11">
        <f t="shared" si="16"/>
        <v>0</v>
      </c>
      <c r="K58" s="3"/>
      <c r="L58" s="11">
        <f t="shared" si="17"/>
        <v>0</v>
      </c>
      <c r="M58" s="3"/>
      <c r="N58" s="11">
        <f>-2.79</f>
        <v>-2.79</v>
      </c>
      <c r="O58" s="3"/>
      <c r="P58" s="11"/>
      <c r="Q58" s="3"/>
      <c r="R58" s="11"/>
    </row>
    <row r="59" spans="1:18" s="16" customFormat="1" hidden="1" outlineLevel="1" x14ac:dyDescent="0.35">
      <c r="B59" s="35" t="str">
        <f>CONCATENATE("          ", "4333", " - ", "SALES RETURN NON TAXABLE-CANDY")</f>
        <v xml:space="preserve">          4333 - SALES RETURN NON TAXABLE-CANDY</v>
      </c>
      <c r="D59" s="11">
        <f>19.2*-1</f>
        <v>-19.2</v>
      </c>
      <c r="F59" s="11">
        <f>13.54*-1</f>
        <v>-13.54</v>
      </c>
      <c r="G59" s="3"/>
      <c r="H59" s="11">
        <f t="shared" ref="H59:H60" si="18">0*-1</f>
        <v>0</v>
      </c>
      <c r="I59" s="3"/>
      <c r="J59" s="11">
        <f t="shared" si="16"/>
        <v>0</v>
      </c>
      <c r="K59" s="3"/>
      <c r="L59" s="11">
        <f t="shared" si="17"/>
        <v>0</v>
      </c>
      <c r="M59" s="3"/>
      <c r="N59" s="11">
        <f t="shared" ref="N59:N60" si="19">0</f>
        <v>0</v>
      </c>
      <c r="O59" s="3"/>
      <c r="P59" s="11"/>
      <c r="Q59" s="3"/>
      <c r="R59" s="11"/>
    </row>
    <row r="60" spans="1:18" s="16" customFormat="1" hidden="1" outlineLevel="1" x14ac:dyDescent="0.35">
      <c r="B60" s="35" t="str">
        <f>CONCATENATE("          ", "4337", " - ", "SALES RETURN NON TAXABLE-WATER")</f>
        <v xml:space="preserve">          4337 - SALES RETURN NON TAXABLE-WATER</v>
      </c>
      <c r="D60" s="11">
        <f>21.78*-1</f>
        <v>-21.78</v>
      </c>
      <c r="F60" s="11">
        <f>0*-1</f>
        <v>0</v>
      </c>
      <c r="G60" s="3"/>
      <c r="H60" s="11">
        <f t="shared" si="18"/>
        <v>0</v>
      </c>
      <c r="I60" s="3"/>
      <c r="J60" s="11">
        <f t="shared" si="16"/>
        <v>0</v>
      </c>
      <c r="K60" s="3"/>
      <c r="L60" s="11">
        <f t="shared" si="17"/>
        <v>0</v>
      </c>
      <c r="M60" s="3"/>
      <c r="N60" s="11">
        <f t="shared" si="19"/>
        <v>0</v>
      </c>
      <c r="O60" s="3"/>
      <c r="P60" s="11"/>
      <c r="Q60" s="3"/>
      <c r="R60" s="11"/>
    </row>
    <row r="61" spans="1:18" s="12" customFormat="1" x14ac:dyDescent="0.35">
      <c r="B61" s="7"/>
      <c r="D61" s="6"/>
      <c r="F61" s="6"/>
      <c r="G61" s="5"/>
      <c r="H61" s="6"/>
      <c r="I61" s="5"/>
      <c r="J61" s="6"/>
      <c r="K61" s="5"/>
      <c r="L61" s="6"/>
      <c r="M61" s="5"/>
      <c r="N61" s="6"/>
      <c r="O61" s="5"/>
      <c r="P61" s="6"/>
      <c r="Q61" s="5"/>
      <c r="R61" s="6"/>
    </row>
    <row r="62" spans="1:18" s="12" customFormat="1" collapsed="1" x14ac:dyDescent="0.35">
      <c r="B62" s="7" t="s">
        <v>278</v>
      </c>
      <c r="D62" s="8">
        <f>SUM(OSRRefD14x_0)</f>
        <v>257362.64000000004</v>
      </c>
      <c r="E62" s="8"/>
      <c r="F62" s="8">
        <f>SUM(OSRRefF14x_0)</f>
        <v>275361.02</v>
      </c>
      <c r="G62" s="8"/>
      <c r="H62" s="8">
        <f>SUM(OSRRefH14x_0)</f>
        <v>286009.10000000009</v>
      </c>
      <c r="I62" s="8"/>
      <c r="J62" s="8">
        <f>SUM(OSRRefJ14x_0)</f>
        <v>261729.26</v>
      </c>
      <c r="K62" s="8"/>
      <c r="L62" s="8">
        <f>SUM(OSRRefL14x_0)</f>
        <v>262826.79000000004</v>
      </c>
      <c r="M62" s="8"/>
      <c r="N62" s="8">
        <f>SUM(OSRRefN14x_0)</f>
        <v>228933.56</v>
      </c>
      <c r="O62" s="8"/>
      <c r="P62" s="8">
        <f>SUM(OSRRefP14x_0)</f>
        <v>82136</v>
      </c>
      <c r="Q62" s="8"/>
      <c r="R62" s="8">
        <f>SUM(OSRRefR14x_0)</f>
        <v>266313</v>
      </c>
    </row>
    <row r="63" spans="1:18" s="44" customFormat="1" hidden="1" outlineLevel="1" x14ac:dyDescent="0.35">
      <c r="A63" s="16"/>
      <c r="B63" s="35" t="str">
        <f>CONCATENATE("          ", "5000", " - ", "PURCHASES @ COST")</f>
        <v xml:space="preserve">          5000 - PURCHASES @ COST</v>
      </c>
      <c r="C63" s="16"/>
      <c r="D63" s="11"/>
      <c r="E63" s="16"/>
      <c r="F63" s="11"/>
      <c r="G63" s="3"/>
      <c r="H63" s="11"/>
      <c r="I63" s="3"/>
      <c r="J63" s="11"/>
      <c r="K63" s="3"/>
      <c r="L63" s="11"/>
      <c r="M63" s="3"/>
      <c r="N63" s="11">
        <v>0</v>
      </c>
      <c r="O63" s="3"/>
      <c r="P63" s="11">
        <v>82136</v>
      </c>
      <c r="Q63" s="3"/>
      <c r="R63" s="11">
        <v>266313</v>
      </c>
    </row>
    <row r="64" spans="1:18" s="44" customFormat="1" hidden="1" outlineLevel="1" x14ac:dyDescent="0.35">
      <c r="A64" s="16"/>
      <c r="B64" s="35" t="str">
        <f>CONCATENATE("          ", "5012", " - ", "PURCHASES @ COST-MAGAZINES")</f>
        <v xml:space="preserve">          5012 - PURCHASES @ COST-MAGAZINES</v>
      </c>
      <c r="C64" s="16"/>
      <c r="D64" s="11"/>
      <c r="E64" s="16"/>
      <c r="F64" s="11">
        <v>48.61</v>
      </c>
      <c r="G64" s="3"/>
      <c r="H64" s="11"/>
      <c r="I64" s="3"/>
      <c r="J64" s="11"/>
      <c r="K64" s="3"/>
      <c r="L64" s="11"/>
      <c r="M64" s="3"/>
      <c r="N64" s="11"/>
      <c r="O64" s="3"/>
      <c r="P64" s="11"/>
      <c r="Q64" s="3"/>
      <c r="R64" s="11"/>
    </row>
    <row r="65" spans="1:18" s="44" customFormat="1" hidden="1" outlineLevel="1" x14ac:dyDescent="0.35">
      <c r="A65" s="16"/>
      <c r="B65" s="35" t="str">
        <f>CONCATENATE("          ", "5013", " - ", "PURCHASES @ COST-TRADE BOOKS")</f>
        <v xml:space="preserve">          5013 - PURCHASES @ COST-TRADE BOOKS</v>
      </c>
      <c r="C65" s="16"/>
      <c r="D65" s="11">
        <v>998.63</v>
      </c>
      <c r="E65" s="16"/>
      <c r="F65" s="11">
        <v>132.18</v>
      </c>
      <c r="G65" s="3"/>
      <c r="H65" s="11">
        <v>92.28</v>
      </c>
      <c r="I65" s="3"/>
      <c r="J65" s="11"/>
      <c r="K65" s="3"/>
      <c r="L65" s="11"/>
      <c r="M65" s="3"/>
      <c r="N65" s="11"/>
      <c r="O65" s="3"/>
      <c r="P65" s="11"/>
      <c r="Q65" s="3"/>
      <c r="R65" s="11"/>
    </row>
    <row r="66" spans="1:18" s="44" customFormat="1" hidden="1" outlineLevel="1" x14ac:dyDescent="0.35">
      <c r="A66" s="16"/>
      <c r="B66" s="35" t="str">
        <f>CONCATENATE("          ", "5014", " - ", "PURCHASES @ COST-REMAINDERS")</f>
        <v xml:space="preserve">          5014 - PURCHASES @ COST-REMAINDERS</v>
      </c>
      <c r="C66" s="16"/>
      <c r="D66" s="11"/>
      <c r="E66" s="16"/>
      <c r="F66" s="11">
        <v>25.55</v>
      </c>
      <c r="G66" s="3"/>
      <c r="H66" s="11"/>
      <c r="I66" s="3"/>
      <c r="J66" s="11"/>
      <c r="K66" s="3"/>
      <c r="L66" s="11"/>
      <c r="M66" s="3"/>
      <c r="N66" s="11">
        <v>14.46</v>
      </c>
      <c r="O66" s="3"/>
      <c r="P66" s="11"/>
      <c r="Q66" s="3"/>
      <c r="R66" s="11"/>
    </row>
    <row r="67" spans="1:18" s="44" customFormat="1" hidden="1" outlineLevel="1" x14ac:dyDescent="0.35">
      <c r="A67" s="16"/>
      <c r="B67" s="35" t="str">
        <f>CONCATENATE("          ", "5017", " - ", "PURCHASES @ COST-DORM/HOUSEWAR")</f>
        <v xml:space="preserve">          5017 - PURCHASES @ COST-DORM/HOUSEWAR</v>
      </c>
      <c r="C67" s="16"/>
      <c r="D67" s="11">
        <v>15.7</v>
      </c>
      <c r="E67" s="16"/>
      <c r="F67" s="11"/>
      <c r="G67" s="3"/>
      <c r="H67" s="11"/>
      <c r="I67" s="3"/>
      <c r="J67" s="11"/>
      <c r="K67" s="3"/>
      <c r="L67" s="11"/>
      <c r="M67" s="3"/>
      <c r="N67" s="11"/>
      <c r="O67" s="3"/>
      <c r="P67" s="11"/>
      <c r="Q67" s="3"/>
      <c r="R67" s="11"/>
    </row>
    <row r="68" spans="1:18" s="44" customFormat="1" hidden="1" outlineLevel="1" x14ac:dyDescent="0.35">
      <c r="A68" s="16"/>
      <c r="B68" s="35" t="str">
        <f>CONCATENATE("          ", "5019", " - ", "PURCHASES @ COST-BOOK RELATED")</f>
        <v xml:space="preserve">          5019 - PURCHASES @ COST-BOOK RELATED</v>
      </c>
      <c r="C68" s="16"/>
      <c r="D68" s="11"/>
      <c r="E68" s="16"/>
      <c r="F68" s="11">
        <v>0</v>
      </c>
      <c r="G68" s="3"/>
      <c r="H68" s="11">
        <v>330.18</v>
      </c>
      <c r="I68" s="3"/>
      <c r="J68" s="11"/>
      <c r="K68" s="3"/>
      <c r="L68" s="11"/>
      <c r="M68" s="3"/>
      <c r="N68" s="11"/>
      <c r="O68" s="3"/>
      <c r="P68" s="11"/>
      <c r="Q68" s="3"/>
      <c r="R68" s="11"/>
    </row>
    <row r="69" spans="1:18" s="44" customFormat="1" hidden="1" outlineLevel="1" x14ac:dyDescent="0.35">
      <c r="A69" s="16"/>
      <c r="B69" s="35" t="str">
        <f>CONCATENATE("          ", "5025", " - ", "PURCHASES @ COST-TEST FORMS")</f>
        <v xml:space="preserve">          5025 - PURCHASES @ COST-TEST FORMS</v>
      </c>
      <c r="C69" s="16"/>
      <c r="D69" s="11">
        <v>862.62</v>
      </c>
      <c r="E69" s="16"/>
      <c r="F69" s="11">
        <v>696.11</v>
      </c>
      <c r="G69" s="3"/>
      <c r="H69" s="11">
        <v>1000.91</v>
      </c>
      <c r="I69" s="3"/>
      <c r="J69" s="11">
        <v>-6.73</v>
      </c>
      <c r="K69" s="3"/>
      <c r="L69" s="11">
        <v>1052.8800000000001</v>
      </c>
      <c r="M69" s="3"/>
      <c r="N69" s="11">
        <v>688.18</v>
      </c>
      <c r="O69" s="3"/>
      <c r="P69" s="11"/>
      <c r="Q69" s="3"/>
      <c r="R69" s="11"/>
    </row>
    <row r="70" spans="1:18" s="44" customFormat="1" hidden="1" outlineLevel="1" x14ac:dyDescent="0.35">
      <c r="A70" s="16"/>
      <c r="B70" s="35" t="str">
        <f>CONCATENATE("          ", "5026", " - ", "PURCHASES @ COST-WRITING INSTR")</f>
        <v xml:space="preserve">          5026 - PURCHASES @ COST-WRITING INSTR</v>
      </c>
      <c r="C70" s="16"/>
      <c r="D70" s="11">
        <v>4060.61</v>
      </c>
      <c r="E70" s="16"/>
      <c r="F70" s="11">
        <v>4826.63</v>
      </c>
      <c r="G70" s="3"/>
      <c r="H70" s="11">
        <v>3604.5</v>
      </c>
      <c r="I70" s="3"/>
      <c r="J70" s="11">
        <v>4583.2700000000004</v>
      </c>
      <c r="K70" s="3"/>
      <c r="L70" s="11">
        <v>2775.75</v>
      </c>
      <c r="M70" s="3"/>
      <c r="N70" s="11">
        <v>3365.91</v>
      </c>
      <c r="O70" s="3"/>
      <c r="P70" s="11"/>
      <c r="Q70" s="3"/>
      <c r="R70" s="11"/>
    </row>
    <row r="71" spans="1:18" s="44" customFormat="1" hidden="1" outlineLevel="1" x14ac:dyDescent="0.35">
      <c r="A71" s="16"/>
      <c r="B71" s="35" t="str">
        <f>CONCATENATE("          ", "5027", " - ", "PURCHASES @ COST-SCHOOL SUPPLI")</f>
        <v xml:space="preserve">          5027 - PURCHASES @ COST-SCHOOL SUPPLI</v>
      </c>
      <c r="C71" s="16"/>
      <c r="D71" s="11">
        <v>9031.19</v>
      </c>
      <c r="E71" s="16"/>
      <c r="F71" s="11">
        <v>11712.01</v>
      </c>
      <c r="G71" s="3"/>
      <c r="H71" s="11">
        <v>11182.54</v>
      </c>
      <c r="I71" s="3"/>
      <c r="J71" s="11">
        <v>4718.75</v>
      </c>
      <c r="K71" s="3"/>
      <c r="L71" s="11">
        <v>3452.02</v>
      </c>
      <c r="M71" s="3"/>
      <c r="N71" s="11">
        <v>3855.85</v>
      </c>
      <c r="O71" s="3"/>
      <c r="P71" s="11"/>
      <c r="Q71" s="3"/>
      <c r="R71" s="11"/>
    </row>
    <row r="72" spans="1:18" s="44" customFormat="1" hidden="1" outlineLevel="1" x14ac:dyDescent="0.35">
      <c r="A72" s="16"/>
      <c r="B72" s="35" t="str">
        <f>CONCATENATE("          ", "5028", " - ", "PURCHASES @ COST-ART/TECH")</f>
        <v xml:space="preserve">          5028 - PURCHASES @ COST-ART/TECH</v>
      </c>
      <c r="C72" s="16"/>
      <c r="D72" s="11">
        <v>179260.61</v>
      </c>
      <c r="E72" s="16"/>
      <c r="F72" s="11">
        <v>188096.54</v>
      </c>
      <c r="G72" s="3"/>
      <c r="H72" s="11">
        <v>180169.61</v>
      </c>
      <c r="I72" s="3"/>
      <c r="J72" s="11">
        <v>183096.51</v>
      </c>
      <c r="K72" s="3"/>
      <c r="L72" s="11">
        <v>172229.15</v>
      </c>
      <c r="M72" s="3"/>
      <c r="N72" s="11">
        <v>153156.18</v>
      </c>
      <c r="O72" s="3"/>
      <c r="P72" s="11"/>
      <c r="Q72" s="3"/>
      <c r="R72" s="11"/>
    </row>
    <row r="73" spans="1:18" s="44" customFormat="1" hidden="1" outlineLevel="1" x14ac:dyDescent="0.35">
      <c r="A73" s="16"/>
      <c r="B73" s="35" t="str">
        <f>CONCATENATE("          ", "5031", " - ", "PURCHASES @ COST-FOOD")</f>
        <v xml:space="preserve">          5031 - PURCHASES @ COST-FOOD</v>
      </c>
      <c r="C73" s="16"/>
      <c r="D73" s="11">
        <v>27168.41</v>
      </c>
      <c r="E73" s="16"/>
      <c r="F73" s="11">
        <v>33416.9</v>
      </c>
      <c r="G73" s="3"/>
      <c r="H73" s="11">
        <v>43078.53</v>
      </c>
      <c r="I73" s="3"/>
      <c r="J73" s="11">
        <v>40714.06</v>
      </c>
      <c r="K73" s="3"/>
      <c r="L73" s="11">
        <v>37254.410000000003</v>
      </c>
      <c r="M73" s="3"/>
      <c r="N73" s="11">
        <v>32459.35</v>
      </c>
      <c r="O73" s="3"/>
      <c r="P73" s="11"/>
      <c r="Q73" s="3"/>
      <c r="R73" s="11"/>
    </row>
    <row r="74" spans="1:18" s="44" customFormat="1" hidden="1" outlineLevel="1" x14ac:dyDescent="0.35">
      <c r="A74" s="16"/>
      <c r="B74" s="35" t="str">
        <f>CONCATENATE("          ", "5032", " - ", "PURCHASES @ COST-JUICE")</f>
        <v xml:space="preserve">          5032 - PURCHASES @ COST-JUICE</v>
      </c>
      <c r="C74" s="16"/>
      <c r="D74" s="11">
        <v>11186.97</v>
      </c>
      <c r="E74" s="16"/>
      <c r="F74" s="11">
        <v>12546.04</v>
      </c>
      <c r="G74" s="3"/>
      <c r="H74" s="11">
        <v>12180.65</v>
      </c>
      <c r="I74" s="3"/>
      <c r="J74" s="11">
        <v>10408.11</v>
      </c>
      <c r="K74" s="3"/>
      <c r="L74" s="11">
        <v>10038.59</v>
      </c>
      <c r="M74" s="3"/>
      <c r="N74" s="11">
        <v>7802.45</v>
      </c>
      <c r="O74" s="3"/>
      <c r="P74" s="11"/>
      <c r="Q74" s="3"/>
      <c r="R74" s="11"/>
    </row>
    <row r="75" spans="1:18" s="44" customFormat="1" hidden="1" outlineLevel="1" x14ac:dyDescent="0.35">
      <c r="A75" s="16"/>
      <c r="B75" s="35" t="str">
        <f>CONCATENATE("          ", "5033", " - ", "PURCHASES @ COST-CANDY")</f>
        <v xml:space="preserve">          5033 - PURCHASES @ COST-CANDY</v>
      </c>
      <c r="C75" s="16"/>
      <c r="D75" s="11">
        <v>15938.62</v>
      </c>
      <c r="E75" s="16"/>
      <c r="F75" s="11">
        <v>19101.07</v>
      </c>
      <c r="G75" s="3"/>
      <c r="H75" s="11">
        <v>11503.17</v>
      </c>
      <c r="I75" s="3"/>
      <c r="J75" s="11">
        <v>7968.34</v>
      </c>
      <c r="K75" s="3"/>
      <c r="L75" s="11">
        <v>8680.2199999999993</v>
      </c>
      <c r="M75" s="3"/>
      <c r="N75" s="11">
        <v>8879.33</v>
      </c>
      <c r="O75" s="3"/>
      <c r="P75" s="11"/>
      <c r="Q75" s="3"/>
      <c r="R75" s="11"/>
    </row>
    <row r="76" spans="1:18" s="44" customFormat="1" hidden="1" outlineLevel="1" x14ac:dyDescent="0.35">
      <c r="A76" s="16"/>
      <c r="B76" s="35" t="str">
        <f>CONCATENATE("          ", "5034", " - ", "PURCHASES @ COST-SODA")</f>
        <v xml:space="preserve">          5034 - PURCHASES @ COST-SODA</v>
      </c>
      <c r="C76" s="16"/>
      <c r="D76" s="11">
        <v>3990.6</v>
      </c>
      <c r="E76" s="16"/>
      <c r="F76" s="11">
        <v>3831.77</v>
      </c>
      <c r="G76" s="3"/>
      <c r="H76" s="11">
        <v>5050.7</v>
      </c>
      <c r="I76" s="3"/>
      <c r="J76" s="11">
        <v>5363.78</v>
      </c>
      <c r="K76" s="3"/>
      <c r="L76" s="11">
        <v>3978.33</v>
      </c>
      <c r="M76" s="3"/>
      <c r="N76" s="11">
        <v>4033.88</v>
      </c>
      <c r="O76" s="3"/>
      <c r="P76" s="11"/>
      <c r="Q76" s="3"/>
      <c r="R76" s="11"/>
    </row>
    <row r="77" spans="1:18" s="44" customFormat="1" hidden="1" outlineLevel="1" x14ac:dyDescent="0.35">
      <c r="A77" s="16"/>
      <c r="B77" s="35" t="str">
        <f>CONCATENATE("          ", "5035", " - ", "PURCHASES @ COST-HEALTH &amp; BEAU")</f>
        <v xml:space="preserve">          5035 - PURCHASES @ COST-HEALTH &amp; BEAU</v>
      </c>
      <c r="C77" s="16"/>
      <c r="D77" s="11">
        <v>792.67</v>
      </c>
      <c r="E77" s="16"/>
      <c r="F77" s="11">
        <v>1167.97</v>
      </c>
      <c r="G77" s="3"/>
      <c r="H77" s="11">
        <v>1211.95</v>
      </c>
      <c r="I77" s="3"/>
      <c r="J77" s="11">
        <v>1349.05</v>
      </c>
      <c r="K77" s="3"/>
      <c r="L77" s="11">
        <v>1140.8900000000001</v>
      </c>
      <c r="M77" s="3"/>
      <c r="N77" s="11">
        <v>1081.4000000000001</v>
      </c>
      <c r="O77" s="3"/>
      <c r="P77" s="11"/>
      <c r="Q77" s="3"/>
      <c r="R77" s="11"/>
    </row>
    <row r="78" spans="1:18" s="44" customFormat="1" hidden="1" outlineLevel="1" x14ac:dyDescent="0.35">
      <c r="A78" s="16"/>
      <c r="B78" s="35" t="str">
        <f>CONCATENATE("          ", "5037", " - ", "PURCHASES @ COST-WATER")</f>
        <v xml:space="preserve">          5037 - PURCHASES @ COST-WATER</v>
      </c>
      <c r="C78" s="16"/>
      <c r="D78" s="11">
        <v>6123.42</v>
      </c>
      <c r="E78" s="16"/>
      <c r="F78" s="11">
        <v>6132.7</v>
      </c>
      <c r="G78" s="3"/>
      <c r="H78" s="11">
        <v>5203.34</v>
      </c>
      <c r="I78" s="3"/>
      <c r="J78" s="11">
        <v>5640.1</v>
      </c>
      <c r="K78" s="3"/>
      <c r="L78" s="11">
        <v>6222.5</v>
      </c>
      <c r="M78" s="3"/>
      <c r="N78" s="11">
        <v>5663.81</v>
      </c>
      <c r="O78" s="3"/>
      <c r="P78" s="11"/>
      <c r="Q78" s="3"/>
      <c r="R78" s="11"/>
    </row>
    <row r="79" spans="1:18" s="44" customFormat="1" hidden="1" outlineLevel="1" x14ac:dyDescent="0.35">
      <c r="A79" s="16"/>
      <c r="B79" s="35" t="str">
        <f>CONCATENATE("          ", "5041", " - ", "PURCHASES @ COST-LOGO GIFTS")</f>
        <v xml:space="preserve">          5041 - PURCHASES @ COST-LOGO GIFTS</v>
      </c>
      <c r="C79" s="16"/>
      <c r="D79" s="11"/>
      <c r="E79" s="16"/>
      <c r="F79" s="11"/>
      <c r="G79" s="3"/>
      <c r="H79" s="11">
        <v>466.9</v>
      </c>
      <c r="I79" s="3"/>
      <c r="J79" s="11"/>
      <c r="K79" s="3"/>
      <c r="L79" s="11"/>
      <c r="M79" s="3"/>
      <c r="N79" s="11"/>
      <c r="O79" s="3"/>
      <c r="P79" s="11"/>
      <c r="Q79" s="3"/>
      <c r="R79" s="11"/>
    </row>
    <row r="80" spans="1:18" s="44" customFormat="1" hidden="1" outlineLevel="1" x14ac:dyDescent="0.35">
      <c r="A80" s="16"/>
      <c r="B80" s="35" t="str">
        <f>CONCATENATE("          ", "5042", " - ", "PURCHASES @ COST-EVERYDAY GIFT")</f>
        <v xml:space="preserve">          5042 - PURCHASES @ COST-EVERYDAY GIFT</v>
      </c>
      <c r="C80" s="16"/>
      <c r="D80" s="11"/>
      <c r="E80" s="16"/>
      <c r="F80" s="11"/>
      <c r="G80" s="3"/>
      <c r="H80" s="11"/>
      <c r="I80" s="3"/>
      <c r="J80" s="11">
        <v>997.5</v>
      </c>
      <c r="K80" s="3"/>
      <c r="L80" s="11">
        <v>-126</v>
      </c>
      <c r="M80" s="3"/>
      <c r="N80" s="11"/>
      <c r="O80" s="3"/>
      <c r="P80" s="11"/>
      <c r="Q80" s="3"/>
      <c r="R80" s="11"/>
    </row>
    <row r="81" spans="1:18" s="44" customFormat="1" hidden="1" outlineLevel="1" x14ac:dyDescent="0.35">
      <c r="A81" s="16"/>
      <c r="B81" s="35" t="str">
        <f>CONCATENATE("          ", "5044", " - ", "PURCHASES @ COST-ACCESSORIES")</f>
        <v xml:space="preserve">          5044 - PURCHASES @ COST-ACCESSORIES</v>
      </c>
      <c r="C81" s="16"/>
      <c r="D81" s="11"/>
      <c r="E81" s="16"/>
      <c r="F81" s="11"/>
      <c r="G81" s="3"/>
      <c r="H81" s="11">
        <v>115.5</v>
      </c>
      <c r="I81" s="3"/>
      <c r="J81" s="11">
        <v>-32.5</v>
      </c>
      <c r="K81" s="3"/>
      <c r="L81" s="11"/>
      <c r="M81" s="3"/>
      <c r="N81" s="11"/>
      <c r="O81" s="3"/>
      <c r="P81" s="11"/>
      <c r="Q81" s="3"/>
      <c r="R81" s="11"/>
    </row>
    <row r="82" spans="1:18" s="44" customFormat="1" hidden="1" outlineLevel="1" x14ac:dyDescent="0.35">
      <c r="A82" s="16"/>
      <c r="B82" s="35" t="str">
        <f>CONCATENATE("          ", "5081", " - ", "PURCHASES @ COST-ELECTRONICS")</f>
        <v xml:space="preserve">          5081 - PURCHASES @ COST-ELECTRONICS</v>
      </c>
      <c r="C82" s="16"/>
      <c r="D82" s="11">
        <v>740.2</v>
      </c>
      <c r="E82" s="16"/>
      <c r="F82" s="11">
        <v>471.97</v>
      </c>
      <c r="G82" s="3"/>
      <c r="H82" s="11">
        <v>2684.99</v>
      </c>
      <c r="I82" s="3"/>
      <c r="J82" s="11">
        <v>2043.38</v>
      </c>
      <c r="K82" s="3"/>
      <c r="L82" s="11">
        <v>2676.75</v>
      </c>
      <c r="M82" s="3"/>
      <c r="N82" s="11">
        <v>2008.03</v>
      </c>
      <c r="O82" s="3"/>
      <c r="P82" s="11"/>
      <c r="Q82" s="3"/>
      <c r="R82" s="11"/>
    </row>
    <row r="83" spans="1:18" s="44" customFormat="1" hidden="1" outlineLevel="1" x14ac:dyDescent="0.35">
      <c r="A83" s="16"/>
      <c r="B83" s="35" t="str">
        <f>CONCATENATE("          ", "5082", " - ", "PURCHASES @ COST-COMPUTER HARD")</f>
        <v xml:space="preserve">          5082 - PURCHASES @ COST-COMPUTER HARD</v>
      </c>
      <c r="C83" s="16"/>
      <c r="D83" s="11"/>
      <c r="E83" s="16"/>
      <c r="F83" s="11"/>
      <c r="G83" s="3"/>
      <c r="H83" s="11">
        <v>962</v>
      </c>
      <c r="I83" s="3"/>
      <c r="J83" s="11">
        <v>1428.18</v>
      </c>
      <c r="K83" s="3"/>
      <c r="L83" s="11">
        <v>1118</v>
      </c>
      <c r="M83" s="3"/>
      <c r="N83" s="11">
        <v>349.6</v>
      </c>
      <c r="O83" s="3"/>
      <c r="P83" s="11"/>
      <c r="Q83" s="3"/>
      <c r="R83" s="11"/>
    </row>
    <row r="84" spans="1:18" s="44" customFormat="1" hidden="1" outlineLevel="1" x14ac:dyDescent="0.35">
      <c r="A84" s="16"/>
      <c r="B84" s="35" t="str">
        <f>CONCATENATE("          ", "5083", " - ", "PURCHASES @ COST-COMPUTER EQUI")</f>
        <v xml:space="preserve">          5083 - PURCHASES @ COST-COMPUTER EQUI</v>
      </c>
      <c r="C84" s="16"/>
      <c r="D84" s="11">
        <v>160.22999999999999</v>
      </c>
      <c r="E84" s="16"/>
      <c r="F84" s="11">
        <v>283.38</v>
      </c>
      <c r="G84" s="3"/>
      <c r="H84" s="11">
        <v>848.26</v>
      </c>
      <c r="I84" s="3"/>
      <c r="J84" s="11">
        <v>961.12</v>
      </c>
      <c r="K84" s="3"/>
      <c r="L84" s="11">
        <v>637.39</v>
      </c>
      <c r="M84" s="3"/>
      <c r="N84" s="11">
        <v>304.70999999999998</v>
      </c>
      <c r="O84" s="3"/>
      <c r="P84" s="11"/>
      <c r="Q84" s="3"/>
      <c r="R84" s="11"/>
    </row>
    <row r="85" spans="1:18" s="44" customFormat="1" hidden="1" outlineLevel="1" x14ac:dyDescent="0.35">
      <c r="A85" s="16"/>
      <c r="B85" s="35" t="str">
        <f>CONCATENATE("          ", "5086", " - ", "PURCHASES @ COST-COMPUTER SUPP")</f>
        <v xml:space="preserve">          5086 - PURCHASES @ COST-COMPUTER SUPP</v>
      </c>
      <c r="C85" s="16"/>
      <c r="D85" s="11">
        <v>118.65</v>
      </c>
      <c r="E85" s="16"/>
      <c r="F85" s="11">
        <v>371.27</v>
      </c>
      <c r="G85" s="3"/>
      <c r="H85" s="11">
        <v>842.13</v>
      </c>
      <c r="I85" s="3"/>
      <c r="J85" s="11">
        <v>583.21</v>
      </c>
      <c r="K85" s="3"/>
      <c r="L85" s="11">
        <v>971.76</v>
      </c>
      <c r="M85" s="3"/>
      <c r="N85" s="11">
        <v>426.22</v>
      </c>
      <c r="O85" s="3"/>
      <c r="P85" s="11"/>
      <c r="Q85" s="3"/>
      <c r="R85" s="11"/>
    </row>
    <row r="86" spans="1:18" s="44" customFormat="1" hidden="1" outlineLevel="1" x14ac:dyDescent="0.35">
      <c r="A86" s="16"/>
      <c r="B86" s="35" t="str">
        <f>CONCATENATE("          ", "5092", " - ", "PURCHASES @ COST-GRAD MERCH")</f>
        <v xml:space="preserve">          5092 - PURCHASES @ COST-GRAD MERCH</v>
      </c>
      <c r="C86" s="16"/>
      <c r="D86" s="11"/>
      <c r="E86" s="16"/>
      <c r="F86" s="11"/>
      <c r="G86" s="3"/>
      <c r="H86" s="11">
        <v>90.65</v>
      </c>
      <c r="I86" s="3"/>
      <c r="J86" s="11"/>
      <c r="K86" s="3"/>
      <c r="L86" s="11"/>
      <c r="M86" s="3"/>
      <c r="N86" s="11"/>
      <c r="O86" s="3"/>
      <c r="P86" s="11"/>
      <c r="Q86" s="3"/>
      <c r="R86" s="11"/>
    </row>
    <row r="87" spans="1:18" s="44" customFormat="1" hidden="1" outlineLevel="1" x14ac:dyDescent="0.35">
      <c r="A87" s="16"/>
      <c r="B87" s="35" t="str">
        <f>CONCATENATE("          ", "5095", " - ", "PURCHASES @ COST-CUSTOMER SERV")</f>
        <v xml:space="preserve">          5095 - PURCHASES @ COST-CUSTOMER SERV</v>
      </c>
      <c r="C87" s="16"/>
      <c r="D87" s="11">
        <v>55</v>
      </c>
      <c r="E87" s="16"/>
      <c r="F87" s="11">
        <v>-15.12</v>
      </c>
      <c r="G87" s="3"/>
      <c r="H87" s="11"/>
      <c r="I87" s="3"/>
      <c r="J87" s="11"/>
      <c r="K87" s="3"/>
      <c r="L87" s="11"/>
      <c r="M87" s="3"/>
      <c r="N87" s="11"/>
      <c r="O87" s="3"/>
      <c r="P87" s="11"/>
      <c r="Q87" s="3"/>
      <c r="R87" s="11"/>
    </row>
    <row r="88" spans="1:18" s="44" customFormat="1" hidden="1" outlineLevel="1" x14ac:dyDescent="0.35">
      <c r="A88" s="16"/>
      <c r="B88" s="35" t="str">
        <f>CONCATENATE("          ", "5200", " - ", "PURCHASES OFFSET")</f>
        <v xml:space="preserve">          5200 - PURCHASES OFFSET</v>
      </c>
      <c r="C88" s="16"/>
      <c r="D88" s="11">
        <v>-261801</v>
      </c>
      <c r="E88" s="16"/>
      <c r="F88" s="11">
        <v>-284685</v>
      </c>
      <c r="G88" s="3"/>
      <c r="H88" s="11">
        <v>-283156</v>
      </c>
      <c r="I88" s="3"/>
      <c r="J88" s="11">
        <v>-271953</v>
      </c>
      <c r="K88" s="3"/>
      <c r="L88" s="11">
        <v>-259790</v>
      </c>
      <c r="M88" s="3"/>
      <c r="N88" s="11">
        <v>-227198</v>
      </c>
      <c r="O88" s="3"/>
      <c r="P88" s="11"/>
      <c r="Q88" s="3"/>
      <c r="R88" s="11"/>
    </row>
    <row r="89" spans="1:18" s="44" customFormat="1" hidden="1" outlineLevel="1" x14ac:dyDescent="0.35">
      <c r="A89" s="16"/>
      <c r="B89" s="35" t="str">
        <f>CONCATENATE("          ", "5300", " - ", "COG$ OFFSET")</f>
        <v xml:space="preserve">          5300 - COG$ OFFSET</v>
      </c>
      <c r="C89" s="16"/>
      <c r="D89" s="11">
        <v>257366</v>
      </c>
      <c r="E89" s="16"/>
      <c r="F89" s="11">
        <v>275364</v>
      </c>
      <c r="G89" s="3"/>
      <c r="H89" s="11">
        <v>286007</v>
      </c>
      <c r="I89" s="3"/>
      <c r="J89" s="11">
        <v>261540</v>
      </c>
      <c r="K89" s="3"/>
      <c r="L89" s="11">
        <v>262823</v>
      </c>
      <c r="M89" s="3"/>
      <c r="N89" s="11">
        <v>228840</v>
      </c>
      <c r="O89" s="3"/>
      <c r="P89" s="11"/>
      <c r="Q89" s="3"/>
      <c r="R89" s="11"/>
    </row>
    <row r="90" spans="1:18" s="44" customFormat="1" hidden="1" outlineLevel="1" x14ac:dyDescent="0.35">
      <c r="A90" s="16"/>
      <c r="B90" s="35" t="str">
        <f>CONCATENATE("          ", "5500", " - ", "FREIGHT-IN")</f>
        <v xml:space="preserve">          5500 - FREIGHT-IN</v>
      </c>
      <c r="C90" s="16"/>
      <c r="D90" s="11"/>
      <c r="E90" s="16"/>
      <c r="F90" s="11"/>
      <c r="G90" s="3"/>
      <c r="H90" s="11"/>
      <c r="I90" s="3"/>
      <c r="J90" s="11">
        <v>189.78</v>
      </c>
      <c r="K90" s="3"/>
      <c r="L90" s="11"/>
      <c r="M90" s="3"/>
      <c r="N90" s="11">
        <v>96</v>
      </c>
      <c r="O90" s="3"/>
      <c r="P90" s="11"/>
      <c r="Q90" s="3"/>
      <c r="R90" s="11"/>
    </row>
    <row r="91" spans="1:18" s="44" customFormat="1" hidden="1" outlineLevel="1" x14ac:dyDescent="0.35">
      <c r="A91" s="16"/>
      <c r="B91" s="35" t="str">
        <f>CONCATENATE("          ", "5526", " - ", "FREIGHT-IN-WRITING INSTRUMENTS")</f>
        <v xml:space="preserve">          5526 - FREIGHT-IN-WRITING INSTRUMENTS</v>
      </c>
      <c r="C91" s="16"/>
      <c r="D91" s="11"/>
      <c r="E91" s="16"/>
      <c r="F91" s="11">
        <v>3.65</v>
      </c>
      <c r="G91" s="3"/>
      <c r="H91" s="11">
        <v>124.84</v>
      </c>
      <c r="I91" s="3"/>
      <c r="J91" s="11">
        <v>4.7699999999999996</v>
      </c>
      <c r="K91" s="3"/>
      <c r="L91" s="11"/>
      <c r="M91" s="3"/>
      <c r="N91" s="11"/>
      <c r="O91" s="3"/>
      <c r="P91" s="11"/>
      <c r="Q91" s="3"/>
      <c r="R91" s="11"/>
    </row>
    <row r="92" spans="1:18" s="44" customFormat="1" hidden="1" outlineLevel="1" x14ac:dyDescent="0.35">
      <c r="A92" s="16"/>
      <c r="B92" s="35" t="str">
        <f>CONCATENATE("          ", "5527", " - ", "FREIGHT-IN-SCHOOL SUPPLIES")</f>
        <v xml:space="preserve">          5527 - FREIGHT-IN-SCHOOL SUPPLIES</v>
      </c>
      <c r="C92" s="16"/>
      <c r="D92" s="11">
        <v>214.69</v>
      </c>
      <c r="E92" s="16"/>
      <c r="F92" s="11">
        <v>234.41</v>
      </c>
      <c r="G92" s="3"/>
      <c r="H92" s="11">
        <v>582.54</v>
      </c>
      <c r="I92" s="3"/>
      <c r="J92" s="11">
        <v>335.16</v>
      </c>
      <c r="K92" s="3"/>
      <c r="L92" s="11">
        <v>116.26</v>
      </c>
      <c r="M92" s="3"/>
      <c r="N92" s="11">
        <v>369.28</v>
      </c>
      <c r="O92" s="3"/>
      <c r="P92" s="11"/>
      <c r="Q92" s="3"/>
      <c r="R92" s="11"/>
    </row>
    <row r="93" spans="1:18" s="44" customFormat="1" hidden="1" outlineLevel="1" x14ac:dyDescent="0.35">
      <c r="A93" s="16"/>
      <c r="B93" s="35" t="str">
        <f>CONCATENATE("          ", "5528", " - ", "FREIGHT-IN-ART/TECH")</f>
        <v xml:space="preserve">          5528 - FREIGHT-IN-ART/TECH</v>
      </c>
      <c r="C93" s="16"/>
      <c r="D93" s="11">
        <v>1078.82</v>
      </c>
      <c r="E93" s="16"/>
      <c r="F93" s="11">
        <v>1598.38</v>
      </c>
      <c r="G93" s="3"/>
      <c r="H93" s="11">
        <v>1831.93</v>
      </c>
      <c r="I93" s="3"/>
      <c r="J93" s="11">
        <v>1796.42</v>
      </c>
      <c r="K93" s="3"/>
      <c r="L93" s="11">
        <v>7574.89</v>
      </c>
      <c r="M93" s="3"/>
      <c r="N93" s="11">
        <v>2736.92</v>
      </c>
      <c r="O93" s="3"/>
      <c r="P93" s="11"/>
      <c r="Q93" s="3"/>
      <c r="R93" s="11"/>
    </row>
    <row r="94" spans="1:18" x14ac:dyDescent="0.35">
      <c r="A94" s="12"/>
      <c r="B94" s="7"/>
      <c r="C94" s="7"/>
      <c r="D94" s="6"/>
      <c r="F94" s="6"/>
      <c r="H94" s="6"/>
      <c r="J94" s="6"/>
      <c r="L94" s="6"/>
      <c r="N94" s="6"/>
      <c r="P94" s="6"/>
      <c r="R94" s="6"/>
    </row>
    <row r="95" spans="1:18" s="15" customFormat="1" x14ac:dyDescent="0.35">
      <c r="A95" s="7"/>
      <c r="B95" s="22" t="s">
        <v>107</v>
      </c>
      <c r="C95" s="22"/>
      <c r="D95" s="10">
        <f>+D10-D62</f>
        <v>221629.12000000008</v>
      </c>
      <c r="E95" s="12"/>
      <c r="F95" s="10">
        <f>+F10-F62</f>
        <v>241643.15999999986</v>
      </c>
      <c r="G95" s="5"/>
      <c r="H95" s="10">
        <f>+H10-H62</f>
        <v>229475.83000000007</v>
      </c>
      <c r="I95" s="5"/>
      <c r="J95" s="10">
        <f>+J10-J62</f>
        <v>236214.71000000002</v>
      </c>
      <c r="K95" s="5"/>
      <c r="L95" s="10">
        <f>+L10-L62</f>
        <v>217673.77999999991</v>
      </c>
      <c r="M95" s="5"/>
      <c r="N95" s="10">
        <f>+N10-N62</f>
        <v>181615.88000000024</v>
      </c>
      <c r="O95" s="5"/>
      <c r="P95" s="10">
        <f>+P10-P62</f>
        <v>79413</v>
      </c>
      <c r="Q95" s="5"/>
      <c r="R95" s="10">
        <f>+R10-R62</f>
        <v>211504</v>
      </c>
    </row>
    <row r="96" spans="1:18" s="27" customFormat="1" x14ac:dyDescent="0.35">
      <c r="A96" s="18"/>
      <c r="B96" s="31"/>
      <c r="C96" s="18"/>
      <c r="D96" s="9">
        <f>IFERROR(D95/D10, 0)</f>
        <v>0.46269923307240196</v>
      </c>
      <c r="E96" s="13"/>
      <c r="F96" s="9">
        <f>IFERROR(F95/F10, 0)</f>
        <v>0.46739111471013622</v>
      </c>
      <c r="G96" s="26"/>
      <c r="H96" s="9">
        <f>IFERROR(H95/H10, 0)</f>
        <v>0.44516496340639872</v>
      </c>
      <c r="I96" s="26"/>
      <c r="J96" s="9">
        <f>IFERROR(J95/J10, 0)</f>
        <v>0.47438009943166898</v>
      </c>
      <c r="K96" s="26"/>
      <c r="L96" s="9">
        <f>IFERROR(L95/L10, 0)</f>
        <v>0.45301461348942818</v>
      </c>
      <c r="M96" s="26"/>
      <c r="N96" s="9">
        <f>IFERROR(N95/N10, 0)</f>
        <v>0.44237273834790797</v>
      </c>
      <c r="O96" s="26"/>
      <c r="P96" s="9">
        <f>IFERROR(P95/P10, 0)</f>
        <v>0.49157221647921062</v>
      </c>
      <c r="Q96" s="26"/>
      <c r="R96" s="9">
        <f>IFERROR(R95/R10, 0)</f>
        <v>0.44264645251215423</v>
      </c>
    </row>
    <row r="97" spans="1:18" s="27" customFormat="1" x14ac:dyDescent="0.35">
      <c r="A97" s="18"/>
      <c r="B97" s="31"/>
      <c r="C97" s="18"/>
      <c r="D97" s="13"/>
      <c r="E97" s="13"/>
      <c r="F97" s="13"/>
      <c r="G97" s="26"/>
      <c r="H97" s="13"/>
      <c r="I97" s="26"/>
      <c r="J97" s="13"/>
      <c r="K97" s="26"/>
      <c r="L97" s="13"/>
      <c r="M97" s="26"/>
      <c r="N97" s="13"/>
      <c r="O97" s="26"/>
      <c r="P97" s="13"/>
      <c r="Q97" s="26"/>
      <c r="R97" s="13"/>
    </row>
    <row r="98" spans="1:18" s="15" customFormat="1" x14ac:dyDescent="0.35">
      <c r="A98" s="7"/>
      <c r="B98" s="34" t="s">
        <v>314</v>
      </c>
      <c r="C98" s="7"/>
      <c r="D98" s="8">
        <f>SUM(OSRRefD21x_0)</f>
        <v>163922.72</v>
      </c>
      <c r="E98" s="19"/>
      <c r="F98" s="8">
        <f>SUM(OSRRefF21x_0)</f>
        <v>170751.31</v>
      </c>
      <c r="G98" s="4"/>
      <c r="H98" s="8">
        <f>SUM(OSRRefH21x_0)</f>
        <v>157925.67000000004</v>
      </c>
      <c r="I98" s="4"/>
      <c r="J98" s="8">
        <f>SUM(OSRRefJ21x_0)</f>
        <v>132352.13000000003</v>
      </c>
      <c r="K98" s="4"/>
      <c r="L98" s="8">
        <f>SUM(OSRRefL21x_0)</f>
        <v>132891.29999999996</v>
      </c>
      <c r="M98" s="4"/>
      <c r="N98" s="8">
        <f>SUM(OSRRefN21x_0)</f>
        <v>128257.76000000001</v>
      </c>
      <c r="O98" s="4"/>
      <c r="P98" s="8">
        <f>SUM(OSRRefP21x_0)</f>
        <v>153498.4052867</v>
      </c>
      <c r="Q98" s="4"/>
      <c r="R98" s="8">
        <f>SUM(OSRRefR21x_0)</f>
        <v>136719.39301</v>
      </c>
    </row>
    <row r="99" spans="1:18" s="15" customFormat="1" outlineLevel="1" collapsed="1" x14ac:dyDescent="0.35">
      <c r="A99" s="7"/>
      <c r="B99" s="20" t="str">
        <f>CONCATENATE("     ","*Benefits                                         ")</f>
        <v xml:space="preserve">     *Benefits                                         </v>
      </c>
      <c r="C99" s="7"/>
      <c r="D99" s="1">
        <f>SUM(OSRRefD21_0x_0)</f>
        <v>18535.419999999998</v>
      </c>
      <c r="E99" s="19"/>
      <c r="F99" s="1">
        <f>SUM(OSRRefF21_0x_0)</f>
        <v>20660.73</v>
      </c>
      <c r="G99" s="4"/>
      <c r="H99" s="1">
        <f>SUM(OSRRefH21_0x_0)</f>
        <v>12881.900000000001</v>
      </c>
      <c r="I99" s="4"/>
      <c r="J99" s="1">
        <f>SUM(OSRRefJ21_0x_0)</f>
        <v>15025.170000000002</v>
      </c>
      <c r="K99" s="4"/>
      <c r="L99" s="1">
        <f>SUM(OSRRefL21_0x_0)</f>
        <v>19975.560000000001</v>
      </c>
      <c r="M99" s="4"/>
      <c r="N99" s="1">
        <f>SUM(OSRRefN21_0x_0)</f>
        <v>17456.48</v>
      </c>
      <c r="O99" s="4"/>
      <c r="P99" s="1">
        <f>SUM(OSRRefP21_0x_0)</f>
        <v>24460.185286700002</v>
      </c>
      <c r="Q99" s="4"/>
      <c r="R99" s="1">
        <f>SUM(OSRRefR21_0x_0)</f>
        <v>9298.3730099999993</v>
      </c>
    </row>
    <row r="100" spans="1:18" s="16" customFormat="1" hidden="1" outlineLevel="2" x14ac:dyDescent="0.35">
      <c r="B100" s="11" t="str">
        <f>CONCATENATE("          ", "6111", " - ", "F.I.C.A.")</f>
        <v xml:space="preserve">          6111 - F.I.C.A.</v>
      </c>
      <c r="D100" s="2">
        <v>4295.59</v>
      </c>
      <c r="F100" s="2">
        <v>5248.07</v>
      </c>
      <c r="G100" s="3"/>
      <c r="H100" s="2">
        <v>4217.13</v>
      </c>
      <c r="I100" s="3"/>
      <c r="J100" s="2">
        <v>5082.5200000000004</v>
      </c>
      <c r="K100" s="3"/>
      <c r="L100" s="2">
        <v>4007.77</v>
      </c>
      <c r="M100" s="3"/>
      <c r="N100" s="2">
        <v>2534.9299999999998</v>
      </c>
      <c r="O100" s="3"/>
      <c r="P100" s="2">
        <v>5500.7460447000003</v>
      </c>
      <c r="Q100" s="3"/>
      <c r="R100" s="2">
        <v>3557.4205200000001</v>
      </c>
    </row>
    <row r="101" spans="1:18" s="16" customFormat="1" hidden="1" outlineLevel="2" x14ac:dyDescent="0.35">
      <c r="B101" s="11" t="str">
        <f>CONCATENATE("          ", "6112", " - ", "COMPENSATION INSURANCE")</f>
        <v xml:space="preserve">          6112 - COMPENSATION INSURANCE</v>
      </c>
      <c r="D101" s="2">
        <v>1489.8</v>
      </c>
      <c r="F101" s="2">
        <v>2765.03</v>
      </c>
      <c r="G101" s="3"/>
      <c r="H101" s="2">
        <v>1494.13</v>
      </c>
      <c r="I101" s="3"/>
      <c r="J101" s="2">
        <v>929.79</v>
      </c>
      <c r="K101" s="3"/>
      <c r="L101" s="2">
        <v>1031.3</v>
      </c>
      <c r="M101" s="3"/>
      <c r="N101" s="2">
        <v>1326.62</v>
      </c>
      <c r="O101" s="3"/>
      <c r="P101" s="2">
        <v>1899.5840700000001</v>
      </c>
      <c r="Q101" s="3"/>
      <c r="R101" s="2">
        <v>1708.56972</v>
      </c>
    </row>
    <row r="102" spans="1:18" s="16" customFormat="1" hidden="1" outlineLevel="2" x14ac:dyDescent="0.35">
      <c r="B102" s="11" t="str">
        <f>CONCATENATE("          ", "6113", " - ", "GROUP INSURANCE")</f>
        <v xml:space="preserve">          6113 - GROUP INSURANCE</v>
      </c>
      <c r="D102" s="2">
        <v>3135.24</v>
      </c>
      <c r="F102" s="2">
        <v>3455.49</v>
      </c>
      <c r="G102" s="3"/>
      <c r="H102" s="2">
        <v>318.37</v>
      </c>
      <c r="I102" s="3"/>
      <c r="J102" s="2">
        <v>331.18</v>
      </c>
      <c r="K102" s="3"/>
      <c r="L102" s="2">
        <v>6087.36</v>
      </c>
      <c r="M102" s="3"/>
      <c r="N102" s="2">
        <v>8133.54</v>
      </c>
      <c r="O102" s="3"/>
      <c r="P102" s="2">
        <v>7980</v>
      </c>
      <c r="Q102" s="3"/>
      <c r="R102" s="2">
        <v>0</v>
      </c>
    </row>
    <row r="103" spans="1:18" s="16" customFormat="1" hidden="1" outlineLevel="2" x14ac:dyDescent="0.35">
      <c r="B103" s="11" t="str">
        <f>CONCATENATE("          ", "6114", " - ", "STATE UNEMPLOYMENT INSURANCE")</f>
        <v xml:space="preserve">          6114 - STATE UNEMPLOYMENT INSURANCE</v>
      </c>
      <c r="D103" s="2">
        <v>602.32000000000005</v>
      </c>
      <c r="F103" s="2">
        <v>715.74</v>
      </c>
      <c r="G103" s="3"/>
      <c r="H103" s="2">
        <v>284.83999999999997</v>
      </c>
      <c r="I103" s="3"/>
      <c r="J103" s="2">
        <v>309.70999999999998</v>
      </c>
      <c r="K103" s="3"/>
      <c r="L103" s="2">
        <v>252.04</v>
      </c>
      <c r="M103" s="3"/>
      <c r="N103" s="2">
        <v>0</v>
      </c>
      <c r="O103" s="3"/>
      <c r="P103" s="2">
        <v>266.96857199999999</v>
      </c>
      <c r="Q103" s="3"/>
      <c r="R103" s="2">
        <v>229.99977000000001</v>
      </c>
    </row>
    <row r="104" spans="1:18" s="16" customFormat="1" hidden="1" outlineLevel="2" x14ac:dyDescent="0.35">
      <c r="B104" s="11" t="str">
        <f>CONCATENATE("          ", "6115", " - ", "P.E.R.S.")</f>
        <v xml:space="preserve">          6115 - P.E.R.S.</v>
      </c>
      <c r="D104" s="2">
        <v>4337.28</v>
      </c>
      <c r="F104" s="2">
        <v>3574.38</v>
      </c>
      <c r="G104" s="3"/>
      <c r="H104" s="2">
        <v>2833.85</v>
      </c>
      <c r="I104" s="3"/>
      <c r="J104" s="2">
        <v>2949.28</v>
      </c>
      <c r="K104" s="3"/>
      <c r="L104" s="2">
        <v>2578.23</v>
      </c>
      <c r="M104" s="3"/>
      <c r="N104" s="2">
        <v>1788.49</v>
      </c>
      <c r="O104" s="3"/>
      <c r="P104" s="2">
        <v>4650.88</v>
      </c>
      <c r="Q104" s="3"/>
      <c r="R104" s="2">
        <v>0</v>
      </c>
    </row>
    <row r="105" spans="1:18" s="16" customFormat="1" hidden="1" outlineLevel="2" x14ac:dyDescent="0.35">
      <c r="B105" s="11" t="str">
        <f>CONCATENATE("          ", "6116", " - ", "EDUCATIONAL BENEFITS")</f>
        <v xml:space="preserve">          6116 - EDUCATIONAL BENEFITS</v>
      </c>
      <c r="D105" s="2"/>
      <c r="F105" s="2"/>
      <c r="G105" s="3"/>
      <c r="H105" s="2"/>
      <c r="I105" s="3"/>
      <c r="J105" s="2"/>
      <c r="K105" s="3"/>
      <c r="L105" s="2"/>
      <c r="M105" s="3"/>
      <c r="N105" s="2"/>
      <c r="O105" s="3"/>
      <c r="P105" s="2">
        <v>0</v>
      </c>
      <c r="Q105" s="3"/>
      <c r="R105" s="2">
        <v>0</v>
      </c>
    </row>
    <row r="106" spans="1:18" s="16" customFormat="1" hidden="1" outlineLevel="2" x14ac:dyDescent="0.35">
      <c r="B106" s="11" t="str">
        <f>CONCATENATE("          ", "6118", " - ", "VACATION")</f>
        <v xml:space="preserve">          6118 - VACATION</v>
      </c>
      <c r="D106" s="2">
        <v>3118.18</v>
      </c>
      <c r="F106" s="2">
        <v>3624.37</v>
      </c>
      <c r="G106" s="3"/>
      <c r="H106" s="2">
        <v>1693.29</v>
      </c>
      <c r="I106" s="3"/>
      <c r="J106" s="2">
        <v>1911.84</v>
      </c>
      <c r="K106" s="3"/>
      <c r="L106" s="2">
        <v>1989.19</v>
      </c>
      <c r="M106" s="3"/>
      <c r="N106" s="2">
        <v>1686.84</v>
      </c>
      <c r="O106" s="3"/>
      <c r="P106" s="2">
        <v>1622.4</v>
      </c>
      <c r="Q106" s="3"/>
      <c r="R106" s="2">
        <v>0</v>
      </c>
    </row>
    <row r="107" spans="1:18" s="16" customFormat="1" hidden="1" outlineLevel="2" x14ac:dyDescent="0.35">
      <c r="B107" s="11" t="str">
        <f>CONCATENATE("          ", "6119", " - ", "SICK LEAVE")</f>
        <v xml:space="preserve">          6119 - SICK LEAVE</v>
      </c>
      <c r="D107" s="2">
        <v>1557.01</v>
      </c>
      <c r="F107" s="2">
        <v>1277.6500000000001</v>
      </c>
      <c r="G107" s="3"/>
      <c r="H107" s="2">
        <v>2040.29</v>
      </c>
      <c r="I107" s="3"/>
      <c r="J107" s="2">
        <v>2344.8200000000002</v>
      </c>
      <c r="K107" s="3"/>
      <c r="L107" s="2">
        <v>2264.4</v>
      </c>
      <c r="M107" s="3"/>
      <c r="N107" s="2">
        <v>684.81</v>
      </c>
      <c r="O107" s="3"/>
      <c r="P107" s="2">
        <v>2539.6066000000001</v>
      </c>
      <c r="Q107" s="3"/>
      <c r="R107" s="2">
        <v>3802.3829999999998</v>
      </c>
    </row>
    <row r="108" spans="1:18" s="16" customFormat="1" hidden="1" outlineLevel="2" x14ac:dyDescent="0.35">
      <c r="B108" s="11" t="str">
        <f>CONCATENATE("          ", "6156", " - ", "EMPLOYEE MEALS")</f>
        <v xml:space="preserve">          6156 - EMPLOYEE MEALS</v>
      </c>
      <c r="D108" s="2"/>
      <c r="F108" s="2"/>
      <c r="G108" s="3"/>
      <c r="H108" s="2"/>
      <c r="I108" s="3"/>
      <c r="J108" s="2">
        <v>1166.03</v>
      </c>
      <c r="K108" s="3"/>
      <c r="L108" s="2">
        <v>1765.27</v>
      </c>
      <c r="M108" s="3"/>
      <c r="N108" s="2">
        <v>1301.25</v>
      </c>
      <c r="O108" s="3"/>
      <c r="P108" s="2"/>
      <c r="Q108" s="3"/>
      <c r="R108" s="2"/>
    </row>
    <row r="109" spans="1:18" s="15" customFormat="1" outlineLevel="1" collapsed="1" x14ac:dyDescent="0.35">
      <c r="A109" s="7"/>
      <c r="B109" s="20" t="str">
        <f>CONCATENATE("     ","*Payroll                                          ")</f>
        <v xml:space="preserve">     *Payroll                                          </v>
      </c>
      <c r="C109" s="7"/>
      <c r="D109" s="1">
        <f>SUM(OSRRefD21_1x_0)</f>
        <v>95441.790000000008</v>
      </c>
      <c r="E109" s="19"/>
      <c r="F109" s="1">
        <f>SUM(OSRRefF21_1x_0)</f>
        <v>104486.04000000001</v>
      </c>
      <c r="G109" s="4"/>
      <c r="H109" s="1">
        <f>SUM(OSRRefH21_1x_0)</f>
        <v>93327.61</v>
      </c>
      <c r="I109" s="4"/>
      <c r="J109" s="1">
        <f>SUM(OSRRefJ21_1x_0)</f>
        <v>96600.18</v>
      </c>
      <c r="K109" s="4"/>
      <c r="L109" s="1">
        <f>SUM(OSRRefL21_1x_0)</f>
        <v>85354.81</v>
      </c>
      <c r="M109" s="4"/>
      <c r="N109" s="1">
        <f>SUM(OSRRefN21_1x_0)</f>
        <v>74046.41</v>
      </c>
      <c r="O109" s="4"/>
      <c r="P109" s="1">
        <f>SUM(OSRRefP21_1x_0)</f>
        <v>99976.219999999987</v>
      </c>
      <c r="Q109" s="4"/>
      <c r="R109" s="1">
        <f>SUM(OSRRefR21_1x_0)</f>
        <v>108232.01999999999</v>
      </c>
    </row>
    <row r="110" spans="1:18" s="16" customFormat="1" hidden="1" outlineLevel="2" x14ac:dyDescent="0.35">
      <c r="B110" s="11" t="str">
        <f>CONCATENATE("          ", "6001", " - ", "ADMINISTRATIVE SALARIES")</f>
        <v xml:space="preserve">          6001 - ADMINISTRATIVE SALARIES</v>
      </c>
      <c r="D110" s="2"/>
      <c r="F110" s="2"/>
      <c r="G110" s="3"/>
      <c r="H110" s="2"/>
      <c r="I110" s="3"/>
      <c r="J110" s="2"/>
      <c r="K110" s="3"/>
      <c r="L110" s="2"/>
      <c r="M110" s="3"/>
      <c r="N110" s="2"/>
      <c r="O110" s="3"/>
      <c r="P110" s="2">
        <v>51376</v>
      </c>
      <c r="Q110" s="3"/>
      <c r="R110" s="2">
        <v>0</v>
      </c>
    </row>
    <row r="111" spans="1:18" s="16" customFormat="1" hidden="1" outlineLevel="2" x14ac:dyDescent="0.35">
      <c r="B111" s="11" t="str">
        <f>CONCATENATE("          ", "6002", " - ", "STAFF SALARIES")</f>
        <v xml:space="preserve">          6002 - STAFF SALARIES</v>
      </c>
      <c r="D111" s="2">
        <v>30250.49</v>
      </c>
      <c r="F111" s="2">
        <v>48130</v>
      </c>
      <c r="G111" s="3"/>
      <c r="H111" s="2">
        <v>44211.09</v>
      </c>
      <c r="I111" s="3"/>
      <c r="J111" s="2">
        <v>45286.85</v>
      </c>
      <c r="K111" s="3"/>
      <c r="L111" s="2">
        <v>34371.5</v>
      </c>
      <c r="M111" s="3"/>
      <c r="N111" s="2">
        <v>20966.810000000001</v>
      </c>
      <c r="O111" s="3"/>
      <c r="P111" s="2">
        <v>0</v>
      </c>
      <c r="Q111" s="3"/>
      <c r="R111" s="2">
        <v>0</v>
      </c>
    </row>
    <row r="112" spans="1:18" s="16" customFormat="1" hidden="1" outlineLevel="2" x14ac:dyDescent="0.35">
      <c r="B112" s="11" t="str">
        <f>CONCATENATE("          ", "6003", " - ", "STAFF HOURLY-9 MONTH")</f>
        <v xml:space="preserve">          6003 - STAFF HOURLY-9 MONTH</v>
      </c>
      <c r="D112" s="2"/>
      <c r="F112" s="2"/>
      <c r="G112" s="3"/>
      <c r="H112" s="2"/>
      <c r="I112" s="3"/>
      <c r="J112" s="2"/>
      <c r="K112" s="3"/>
      <c r="L112" s="2"/>
      <c r="M112" s="3"/>
      <c r="N112" s="2"/>
      <c r="O112" s="3"/>
      <c r="P112" s="2">
        <v>0</v>
      </c>
      <c r="Q112" s="3"/>
      <c r="R112" s="2">
        <v>0</v>
      </c>
    </row>
    <row r="113" spans="1:18" s="16" customFormat="1" hidden="1" outlineLevel="2" x14ac:dyDescent="0.35">
      <c r="B113" s="11" t="str">
        <f>CONCATENATE("          ", "6004", " - ", "STAFF HOURLY")</f>
        <v xml:space="preserve">          6004 - STAFF HOURLY</v>
      </c>
      <c r="D113" s="2"/>
      <c r="F113" s="2"/>
      <c r="G113" s="3"/>
      <c r="H113" s="2"/>
      <c r="I113" s="3"/>
      <c r="J113" s="2"/>
      <c r="K113" s="3"/>
      <c r="L113" s="2"/>
      <c r="M113" s="3"/>
      <c r="N113" s="2"/>
      <c r="O113" s="3"/>
      <c r="P113" s="2">
        <v>17258.400000000001</v>
      </c>
      <c r="Q113" s="3"/>
      <c r="R113" s="2">
        <v>24541.919999999998</v>
      </c>
    </row>
    <row r="114" spans="1:18" s="16" customFormat="1" hidden="1" outlineLevel="2" x14ac:dyDescent="0.35">
      <c r="B114" s="11" t="str">
        <f>CONCATENATE("          ", "6005", " - ", "TEMPORARY WAGES-HOURLY")</f>
        <v xml:space="preserve">          6005 - TEMPORARY WAGES-HOURLY</v>
      </c>
      <c r="D114" s="2">
        <v>6862.79</v>
      </c>
      <c r="F114" s="2"/>
      <c r="G114" s="3"/>
      <c r="H114" s="2"/>
      <c r="I114" s="3"/>
      <c r="J114" s="2"/>
      <c r="K114" s="3"/>
      <c r="L114" s="2"/>
      <c r="M114" s="3"/>
      <c r="N114" s="2">
        <v>7121.65</v>
      </c>
      <c r="O114" s="3"/>
      <c r="P114" s="2">
        <v>11704</v>
      </c>
      <c r="Q114" s="3"/>
      <c r="R114" s="2">
        <v>0</v>
      </c>
    </row>
    <row r="115" spans="1:18" s="16" customFormat="1" hidden="1" outlineLevel="2" x14ac:dyDescent="0.35">
      <c r="B115" s="11" t="str">
        <f>CONCATENATE("          ", "6006", " - ", "TEMPORARY PART TIME")</f>
        <v xml:space="preserve">          6006 - TEMPORARY PART TIME</v>
      </c>
      <c r="D115" s="2">
        <v>8904.18</v>
      </c>
      <c r="F115" s="2">
        <v>11204.89</v>
      </c>
      <c r="G115" s="3"/>
      <c r="H115" s="2">
        <v>6256.26</v>
      </c>
      <c r="I115" s="3"/>
      <c r="J115" s="2">
        <v>9626.7900000000009</v>
      </c>
      <c r="K115" s="3"/>
      <c r="L115" s="2">
        <v>4261.5</v>
      </c>
      <c r="M115" s="3"/>
      <c r="N115" s="2">
        <v>25.5</v>
      </c>
      <c r="O115" s="3"/>
      <c r="P115" s="2">
        <v>0</v>
      </c>
      <c r="Q115" s="3"/>
      <c r="R115" s="2">
        <v>0</v>
      </c>
    </row>
    <row r="116" spans="1:18" s="16" customFormat="1" hidden="1" outlineLevel="2" x14ac:dyDescent="0.35">
      <c r="B116" s="11" t="str">
        <f>CONCATENATE("          ", "6007", " - ", "STUDENT HOURLY")</f>
        <v xml:space="preserve">          6007 - STUDENT HOURLY</v>
      </c>
      <c r="D116" s="2">
        <v>49424.33</v>
      </c>
      <c r="F116" s="2">
        <v>45151.15</v>
      </c>
      <c r="G116" s="3"/>
      <c r="H116" s="2">
        <v>42860.26</v>
      </c>
      <c r="I116" s="3"/>
      <c r="J116" s="2">
        <v>41686.54</v>
      </c>
      <c r="K116" s="3"/>
      <c r="L116" s="2">
        <v>46721.81</v>
      </c>
      <c r="M116" s="3"/>
      <c r="N116" s="2">
        <v>45932.45</v>
      </c>
      <c r="O116" s="3"/>
      <c r="P116" s="2">
        <v>538.59</v>
      </c>
      <c r="Q116" s="3"/>
      <c r="R116" s="2">
        <v>20650.400000000001</v>
      </c>
    </row>
    <row r="117" spans="1:18" s="16" customFormat="1" hidden="1" outlineLevel="2" x14ac:dyDescent="0.35">
      <c r="B117" s="11" t="str">
        <f>CONCATENATE("          ", "6008", " - ", "STUDENT HOURLY-FICA EXEMPT")</f>
        <v xml:space="preserve">          6008 - STUDENT HOURLY-FICA EXEMPT</v>
      </c>
      <c r="D117" s="2"/>
      <c r="F117" s="2"/>
      <c r="G117" s="3"/>
      <c r="H117" s="2"/>
      <c r="I117" s="3"/>
      <c r="J117" s="2"/>
      <c r="K117" s="3"/>
      <c r="L117" s="2"/>
      <c r="M117" s="3"/>
      <c r="N117" s="2"/>
      <c r="O117" s="3"/>
      <c r="P117" s="2">
        <v>19099.23</v>
      </c>
      <c r="Q117" s="3"/>
      <c r="R117" s="2">
        <v>63039.7</v>
      </c>
    </row>
    <row r="118" spans="1:18" s="16" customFormat="1" hidden="1" outlineLevel="2" x14ac:dyDescent="0.35">
      <c r="B118" s="11" t="str">
        <f>CONCATENATE("          ", "6009", " - ", "TEMPORARY-SEASONAL")</f>
        <v xml:space="preserve">          6009 - TEMPORARY-SEASONAL</v>
      </c>
      <c r="D118" s="2"/>
      <c r="F118" s="2"/>
      <c r="G118" s="3"/>
      <c r="H118" s="2"/>
      <c r="I118" s="3"/>
      <c r="J118" s="2"/>
      <c r="K118" s="3"/>
      <c r="L118" s="2"/>
      <c r="M118" s="3"/>
      <c r="N118" s="2"/>
      <c r="O118" s="3"/>
      <c r="P118" s="2">
        <v>0</v>
      </c>
      <c r="Q118" s="3"/>
      <c r="R118" s="2">
        <v>0</v>
      </c>
    </row>
    <row r="119" spans="1:18" s="16" customFormat="1" hidden="1" outlineLevel="2" x14ac:dyDescent="0.35">
      <c r="B119" s="11" t="str">
        <f>CONCATENATE("          ", "6010", " - ", "GRATUITY")</f>
        <v xml:space="preserve">          6010 - GRATUITY</v>
      </c>
      <c r="D119" s="2"/>
      <c r="F119" s="2"/>
      <c r="G119" s="3"/>
      <c r="H119" s="2"/>
      <c r="I119" s="3"/>
      <c r="J119" s="2"/>
      <c r="K119" s="3"/>
      <c r="L119" s="2"/>
      <c r="M119" s="3"/>
      <c r="N119" s="2"/>
      <c r="O119" s="3"/>
      <c r="P119" s="2">
        <v>0</v>
      </c>
      <c r="Q119" s="3"/>
      <c r="R119" s="2">
        <v>0</v>
      </c>
    </row>
    <row r="120" spans="1:18" s="15" customFormat="1" outlineLevel="1" collapsed="1" x14ac:dyDescent="0.35">
      <c r="A120" s="7"/>
      <c r="B120" s="20" t="str">
        <f>CONCATENATE("     ","Advertising/Promo                                 ")</f>
        <v xml:space="preserve">     Advertising/Promo                                 </v>
      </c>
      <c r="C120" s="7"/>
      <c r="D120" s="1">
        <f>SUM(OSRRefD21_2x_0)</f>
        <v>359.46</v>
      </c>
      <c r="E120" s="19"/>
      <c r="F120" s="1">
        <f>SUM(OSRRefF21_2x_0)</f>
        <v>441.25</v>
      </c>
      <c r="G120" s="4"/>
      <c r="H120" s="1">
        <f>SUM(OSRRefH21_2x_0)</f>
        <v>517.77</v>
      </c>
      <c r="I120" s="4"/>
      <c r="J120" s="1">
        <f>SUM(OSRRefJ21_2x_0)</f>
        <v>485.25</v>
      </c>
      <c r="K120" s="4"/>
      <c r="L120" s="1">
        <f>SUM(OSRRefL21_2x_0)</f>
        <v>27</v>
      </c>
      <c r="M120" s="4"/>
      <c r="N120" s="1">
        <f>SUM(OSRRefN21_2x_0)</f>
        <v>963.62</v>
      </c>
      <c r="O120" s="4"/>
      <c r="P120" s="1">
        <f>SUM(OSRRefP21_2x_0)</f>
        <v>1100</v>
      </c>
      <c r="Q120" s="4"/>
      <c r="R120" s="1">
        <f>SUM(OSRRefR21_2x_0)</f>
        <v>600</v>
      </c>
    </row>
    <row r="121" spans="1:18" s="16" customFormat="1" hidden="1" outlineLevel="2" x14ac:dyDescent="0.35">
      <c r="B121" s="11" t="str">
        <f>CONCATENATE("          ", "6362", " - ", "ADVERTISING EXPENSE")</f>
        <v xml:space="preserve">          6362 - ADVERTISING EXPENSE</v>
      </c>
      <c r="D121" s="2">
        <v>359.46</v>
      </c>
      <c r="F121" s="2">
        <v>441.25</v>
      </c>
      <c r="G121" s="3"/>
      <c r="H121" s="2">
        <v>517.77</v>
      </c>
      <c r="I121" s="3"/>
      <c r="J121" s="2">
        <v>485.25</v>
      </c>
      <c r="K121" s="3"/>
      <c r="L121" s="2">
        <v>27</v>
      </c>
      <c r="M121" s="3"/>
      <c r="N121" s="2">
        <v>963.62</v>
      </c>
      <c r="O121" s="3"/>
      <c r="P121" s="2">
        <v>1100</v>
      </c>
      <c r="Q121" s="3"/>
      <c r="R121" s="2">
        <v>600</v>
      </c>
    </row>
    <row r="122" spans="1:18" s="15" customFormat="1" outlineLevel="1" collapsed="1" x14ac:dyDescent="0.35">
      <c r="A122" s="7"/>
      <c r="B122" s="20" t="str">
        <f>CONCATENATE("     ","Bad Debts/Over/Short                              ")</f>
        <v xml:space="preserve">     Bad Debts/Over/Short                              </v>
      </c>
      <c r="C122" s="7"/>
      <c r="D122" s="1">
        <f>SUM(OSRRefD21_3x_0)</f>
        <v>20.7</v>
      </c>
      <c r="E122" s="19"/>
      <c r="F122" s="1">
        <f>SUM(OSRRefF21_3x_0)</f>
        <v>-26.8</v>
      </c>
      <c r="G122" s="4"/>
      <c r="H122" s="1">
        <f>SUM(OSRRefH21_3x_0)</f>
        <v>257.24</v>
      </c>
      <c r="I122" s="4"/>
      <c r="J122" s="1">
        <f>SUM(OSRRefJ21_3x_0)</f>
        <v>-29.99</v>
      </c>
      <c r="K122" s="4"/>
      <c r="L122" s="1">
        <f>SUM(OSRRefL21_3x_0)</f>
        <v>11.22</v>
      </c>
      <c r="M122" s="4"/>
      <c r="N122" s="1">
        <f>SUM(OSRRefN21_3x_0)</f>
        <v>-55.84</v>
      </c>
      <c r="O122" s="4"/>
      <c r="P122" s="1">
        <f>SUM(OSRRefP21_3x_0)</f>
        <v>0</v>
      </c>
      <c r="Q122" s="4"/>
      <c r="R122" s="1">
        <f>SUM(OSRRefR21_3x_0)</f>
        <v>300</v>
      </c>
    </row>
    <row r="123" spans="1:18" s="16" customFormat="1" hidden="1" outlineLevel="2" x14ac:dyDescent="0.35">
      <c r="B123" s="11" t="str">
        <f>CONCATENATE("          ", "6272", " - ", "CASH (OVER/SHORT)")</f>
        <v xml:space="preserve">          6272 - CASH (OVER/SHORT)</v>
      </c>
      <c r="D123" s="2">
        <v>20.7</v>
      </c>
      <c r="F123" s="2">
        <v>-26.8</v>
      </c>
      <c r="G123" s="3"/>
      <c r="H123" s="2">
        <v>257.24</v>
      </c>
      <c r="I123" s="3"/>
      <c r="J123" s="2">
        <v>-29.99</v>
      </c>
      <c r="K123" s="3"/>
      <c r="L123" s="2">
        <v>11.22</v>
      </c>
      <c r="M123" s="3"/>
      <c r="N123" s="2">
        <v>-55.84</v>
      </c>
      <c r="O123" s="3"/>
      <c r="P123" s="2"/>
      <c r="Q123" s="3"/>
      <c r="R123" s="2">
        <v>300</v>
      </c>
    </row>
    <row r="124" spans="1:18" s="15" customFormat="1" outlineLevel="1" collapsed="1" x14ac:dyDescent="0.35">
      <c r="A124" s="7"/>
      <c r="B124" s="20" t="str">
        <f>CONCATENATE("     ","Bank/card Fees                                    ")</f>
        <v xml:space="preserve">     Bank/card Fees                                    </v>
      </c>
      <c r="C124" s="7"/>
      <c r="D124" s="1">
        <f>SUM(OSRRefD21_4x_0)</f>
        <v>0</v>
      </c>
      <c r="E124" s="19"/>
      <c r="F124" s="1">
        <f>SUM(OSRRefF21_4x_0)</f>
        <v>0</v>
      </c>
      <c r="G124" s="4"/>
      <c r="H124" s="1">
        <f>SUM(OSRRefH21_4x_0)</f>
        <v>0</v>
      </c>
      <c r="I124" s="4"/>
      <c r="J124" s="1">
        <f>SUM(OSRRefJ21_4x_0)</f>
        <v>0</v>
      </c>
      <c r="K124" s="4"/>
      <c r="L124" s="1">
        <f>SUM(OSRRefL21_4x_0)</f>
        <v>0</v>
      </c>
      <c r="M124" s="4"/>
      <c r="N124" s="1">
        <f>SUM(OSRRefN21_4x_0)</f>
        <v>0</v>
      </c>
      <c r="O124" s="4"/>
      <c r="P124" s="1">
        <f>SUM(OSRRefP21_4x_0)</f>
        <v>10617</v>
      </c>
      <c r="Q124" s="4"/>
      <c r="R124" s="1">
        <f>SUM(OSRRefR21_4x_0)</f>
        <v>8869</v>
      </c>
    </row>
    <row r="125" spans="1:18" s="16" customFormat="1" hidden="1" outlineLevel="2" x14ac:dyDescent="0.35">
      <c r="B125" s="11" t="str">
        <f>CONCATENATE("          ", "6381", " - ", "BANK/CREDIT CARD FEES")</f>
        <v xml:space="preserve">          6381 - BANK/CREDIT CARD FEES</v>
      </c>
      <c r="D125" s="2"/>
      <c r="F125" s="2"/>
      <c r="G125" s="3"/>
      <c r="H125" s="2"/>
      <c r="I125" s="3"/>
      <c r="J125" s="2"/>
      <c r="K125" s="3"/>
      <c r="L125" s="2"/>
      <c r="M125" s="3"/>
      <c r="N125" s="2"/>
      <c r="O125" s="3"/>
      <c r="P125" s="2">
        <v>10617</v>
      </c>
      <c r="Q125" s="3"/>
      <c r="R125" s="2">
        <v>8869</v>
      </c>
    </row>
    <row r="126" spans="1:18" s="15" customFormat="1" outlineLevel="1" collapsed="1" x14ac:dyDescent="0.35">
      <c r="A126" s="7"/>
      <c r="B126" s="20" t="str">
        <f>CONCATENATE("     ","Discounts and Markdowns                           ")</f>
        <v xml:space="preserve">     Discounts and Markdowns                           </v>
      </c>
      <c r="C126" s="7"/>
      <c r="D126" s="1">
        <f>SUM(OSRRefD21_5x_0)</f>
        <v>16675.009999999998</v>
      </c>
      <c r="E126" s="19"/>
      <c r="F126" s="1">
        <f>SUM(OSRRefF21_5x_0)</f>
        <v>15528.97</v>
      </c>
      <c r="G126" s="4"/>
      <c r="H126" s="1">
        <f>SUM(OSRRefH21_5x_0)</f>
        <v>21369.72</v>
      </c>
      <c r="I126" s="4"/>
      <c r="J126" s="1">
        <f>SUM(OSRRefJ21_5x_0)</f>
        <v>8918.6</v>
      </c>
      <c r="K126" s="4"/>
      <c r="L126" s="1">
        <f>SUM(OSRRefL21_5x_0)</f>
        <v>8799.0800000000017</v>
      </c>
      <c r="M126" s="4"/>
      <c r="N126" s="1">
        <f>SUM(OSRRefN21_5x_0)</f>
        <v>8936.44</v>
      </c>
      <c r="O126" s="4"/>
      <c r="P126" s="1">
        <f>SUM(OSRRefP21_5x_0)</f>
        <v>3536</v>
      </c>
      <c r="Q126" s="4"/>
      <c r="R126" s="1">
        <f>SUM(OSRRefR21_5x_0)</f>
        <v>0</v>
      </c>
    </row>
    <row r="127" spans="1:18" s="16" customFormat="1" hidden="1" outlineLevel="2" x14ac:dyDescent="0.35">
      <c r="B127" s="11" t="str">
        <f>CONCATENATE("          ", "6382", " - ", "DISCOUNTS/MARK DOWNS")</f>
        <v xml:space="preserve">          6382 - DISCOUNTS/MARK DOWNS</v>
      </c>
      <c r="D127" s="2">
        <v>16675.009999999998</v>
      </c>
      <c r="F127" s="2">
        <v>15528.97</v>
      </c>
      <c r="G127" s="3"/>
      <c r="H127" s="2">
        <v>21369.72</v>
      </c>
      <c r="I127" s="3"/>
      <c r="J127" s="2">
        <v>8927.75</v>
      </c>
      <c r="K127" s="3"/>
      <c r="L127" s="2">
        <v>8868.0400000000009</v>
      </c>
      <c r="M127" s="3"/>
      <c r="N127" s="2">
        <v>8936.44</v>
      </c>
      <c r="O127" s="3"/>
      <c r="P127" s="2">
        <v>3536</v>
      </c>
      <c r="Q127" s="3"/>
      <c r="R127" s="2">
        <v>0</v>
      </c>
    </row>
    <row r="128" spans="1:18" s="16" customFormat="1" hidden="1" outlineLevel="2" x14ac:dyDescent="0.35">
      <c r="B128" s="11" t="str">
        <f>CONCATENATE("          ", "9175", " - ", "EARNED DISCOUNTS")</f>
        <v xml:space="preserve">          9175 - EARNED DISCOUNTS</v>
      </c>
      <c r="D128" s="2"/>
      <c r="F128" s="2"/>
      <c r="G128" s="3"/>
      <c r="H128" s="2"/>
      <c r="I128" s="3"/>
      <c r="J128" s="2">
        <v>-9.15</v>
      </c>
      <c r="K128" s="3"/>
      <c r="L128" s="2">
        <v>-68.959999999999994</v>
      </c>
      <c r="M128" s="3"/>
      <c r="N128" s="2">
        <v>0</v>
      </c>
      <c r="O128" s="3"/>
      <c r="P128" s="2"/>
      <c r="Q128" s="3"/>
      <c r="R128" s="2"/>
    </row>
    <row r="129" spans="1:18" s="15" customFormat="1" outlineLevel="1" collapsed="1" x14ac:dyDescent="0.35">
      <c r="A129" s="7"/>
      <c r="B129" s="20" t="str">
        <f>CONCATENATE("     ","Employees' Appreciation                           ")</f>
        <v xml:space="preserve">     Employees' Appreciation                           </v>
      </c>
      <c r="C129" s="7"/>
      <c r="D129" s="1">
        <f>SUM(OSRRefD21_6x_0)</f>
        <v>207.12</v>
      </c>
      <c r="E129" s="19"/>
      <c r="F129" s="1">
        <f>SUM(OSRRefF21_6x_0)</f>
        <v>155.38999999999999</v>
      </c>
      <c r="G129" s="4"/>
      <c r="H129" s="1">
        <f>SUM(OSRRefH21_6x_0)</f>
        <v>28.05</v>
      </c>
      <c r="I129" s="4"/>
      <c r="J129" s="1">
        <f>SUM(OSRRefJ21_6x_0)</f>
        <v>0</v>
      </c>
      <c r="K129" s="4"/>
      <c r="L129" s="1">
        <f>SUM(OSRRefL21_6x_0)</f>
        <v>0</v>
      </c>
      <c r="M129" s="4"/>
      <c r="N129" s="1">
        <f>SUM(OSRRefN21_6x_0)</f>
        <v>0</v>
      </c>
      <c r="O129" s="4"/>
      <c r="P129" s="1">
        <f>SUM(OSRRefP21_6x_0)</f>
        <v>0</v>
      </c>
      <c r="Q129" s="4"/>
      <c r="R129" s="1">
        <f>SUM(OSRRefR21_6x_0)</f>
        <v>0</v>
      </c>
    </row>
    <row r="130" spans="1:18" s="16" customFormat="1" hidden="1" outlineLevel="2" x14ac:dyDescent="0.35">
      <c r="B130" s="11" t="str">
        <f>CONCATENATE("          ", "6277", " - ", "EMPLOYEE APPRECIATION")</f>
        <v xml:space="preserve">          6277 - EMPLOYEE APPRECIATION</v>
      </c>
      <c r="D130" s="2">
        <v>207.12</v>
      </c>
      <c r="F130" s="2">
        <v>155.38999999999999</v>
      </c>
      <c r="G130" s="3"/>
      <c r="H130" s="2">
        <v>28.05</v>
      </c>
      <c r="I130" s="3"/>
      <c r="J130" s="2"/>
      <c r="K130" s="3"/>
      <c r="L130" s="2"/>
      <c r="M130" s="3"/>
      <c r="N130" s="2"/>
      <c r="O130" s="3"/>
      <c r="P130" s="2"/>
      <c r="Q130" s="3"/>
      <c r="R130" s="2"/>
    </row>
    <row r="131" spans="1:18" s="15" customFormat="1" outlineLevel="1" collapsed="1" x14ac:dyDescent="0.35">
      <c r="A131" s="7"/>
      <c r="B131" s="20" t="str">
        <f>CONCATENATE("     ","Freight out/Postage                               ")</f>
        <v xml:space="preserve">     Freight out/Postage                               </v>
      </c>
      <c r="C131" s="7"/>
      <c r="D131" s="1">
        <f>SUM(OSRRefD21_7x_0)</f>
        <v>0</v>
      </c>
      <c r="E131" s="19"/>
      <c r="F131" s="1">
        <f>SUM(OSRRefF21_7x_0)</f>
        <v>0</v>
      </c>
      <c r="G131" s="4"/>
      <c r="H131" s="1">
        <f>SUM(OSRRefH21_7x_0)</f>
        <v>4.71</v>
      </c>
      <c r="I131" s="4"/>
      <c r="J131" s="1">
        <f>SUM(OSRRefJ21_7x_0)</f>
        <v>0.13</v>
      </c>
      <c r="K131" s="4"/>
      <c r="L131" s="1">
        <f>SUM(OSRRefL21_7x_0)</f>
        <v>0</v>
      </c>
      <c r="M131" s="4"/>
      <c r="N131" s="1">
        <f>SUM(OSRRefN21_7x_0)</f>
        <v>0</v>
      </c>
      <c r="O131" s="4"/>
      <c r="P131" s="1">
        <f>SUM(OSRRefP21_7x_0)</f>
        <v>2975</v>
      </c>
      <c r="Q131" s="4"/>
      <c r="R131" s="1">
        <f>SUM(OSRRefR21_7x_0)</f>
        <v>0</v>
      </c>
    </row>
    <row r="132" spans="1:18" s="16" customFormat="1" hidden="1" outlineLevel="2" x14ac:dyDescent="0.35">
      <c r="B132" s="11" t="str">
        <f>CONCATENATE("          ", "6305", " - ", "FREIGHT OUT")</f>
        <v xml:space="preserve">          6305 - FREIGHT OUT</v>
      </c>
      <c r="D132" s="2"/>
      <c r="F132" s="2"/>
      <c r="G132" s="3"/>
      <c r="H132" s="2">
        <v>5.2</v>
      </c>
      <c r="I132" s="3"/>
      <c r="J132" s="2"/>
      <c r="K132" s="3"/>
      <c r="L132" s="2"/>
      <c r="M132" s="3"/>
      <c r="N132" s="2"/>
      <c r="O132" s="3"/>
      <c r="P132" s="2">
        <v>2975</v>
      </c>
      <c r="Q132" s="3"/>
      <c r="R132" s="2"/>
    </row>
    <row r="133" spans="1:18" s="16" customFormat="1" hidden="1" outlineLevel="2" x14ac:dyDescent="0.35">
      <c r="B133" s="11" t="str">
        <f>CONCATENATE("          ", "6307", " - ", "POSTAGE")</f>
        <v xml:space="preserve">          6307 - POSTAGE</v>
      </c>
      <c r="D133" s="2"/>
      <c r="F133" s="2"/>
      <c r="G133" s="3"/>
      <c r="H133" s="2">
        <v>-0.49</v>
      </c>
      <c r="I133" s="3"/>
      <c r="J133" s="2">
        <v>0.13</v>
      </c>
      <c r="K133" s="3"/>
      <c r="L133" s="2"/>
      <c r="M133" s="3"/>
      <c r="N133" s="2"/>
      <c r="O133" s="3"/>
      <c r="P133" s="2"/>
      <c r="Q133" s="3"/>
      <c r="R133" s="2"/>
    </row>
    <row r="134" spans="1:18" s="15" customFormat="1" outlineLevel="1" collapsed="1" x14ac:dyDescent="0.35">
      <c r="A134" s="7"/>
      <c r="B134" s="20" t="str">
        <f>CONCATENATE("     ","General                                           ")</f>
        <v xml:space="preserve">     General                                           </v>
      </c>
      <c r="C134" s="7"/>
      <c r="D134" s="1">
        <f>SUM(OSRRefD21_8x_0)</f>
        <v>783.8</v>
      </c>
      <c r="E134" s="19"/>
      <c r="F134" s="1">
        <f>SUM(OSRRefF21_8x_0)</f>
        <v>798.8</v>
      </c>
      <c r="G134" s="4"/>
      <c r="H134" s="1">
        <f>SUM(OSRRefH21_8x_0)</f>
        <v>833.6</v>
      </c>
      <c r="I134" s="4"/>
      <c r="J134" s="1">
        <f>SUM(OSRRefJ21_8x_0)</f>
        <v>814</v>
      </c>
      <c r="K134" s="4"/>
      <c r="L134" s="1">
        <f>SUM(OSRRefL21_8x_0)</f>
        <v>829.2</v>
      </c>
      <c r="M134" s="4"/>
      <c r="N134" s="1">
        <f>SUM(OSRRefN21_8x_0)</f>
        <v>954.05</v>
      </c>
      <c r="O134" s="4"/>
      <c r="P134" s="1">
        <f>SUM(OSRRefP21_8x_0)</f>
        <v>1000</v>
      </c>
      <c r="Q134" s="4"/>
      <c r="R134" s="1">
        <f>SUM(OSRRefR21_8x_0)</f>
        <v>0</v>
      </c>
    </row>
    <row r="135" spans="1:18" s="16" customFormat="1" hidden="1" outlineLevel="2" x14ac:dyDescent="0.35">
      <c r="B135" s="11" t="str">
        <f>CONCATENATE("          ", "6279", " - ", "GENERAL EXPENSE")</f>
        <v xml:space="preserve">          6279 - GENERAL EXPENSE</v>
      </c>
      <c r="D135" s="2">
        <v>783.8</v>
      </c>
      <c r="F135" s="2">
        <v>798.8</v>
      </c>
      <c r="G135" s="3"/>
      <c r="H135" s="2">
        <v>833.6</v>
      </c>
      <c r="I135" s="3"/>
      <c r="J135" s="2">
        <v>814</v>
      </c>
      <c r="K135" s="3"/>
      <c r="L135" s="2">
        <v>829.2</v>
      </c>
      <c r="M135" s="3"/>
      <c r="N135" s="2">
        <v>954.05</v>
      </c>
      <c r="O135" s="3"/>
      <c r="P135" s="2">
        <v>1000</v>
      </c>
      <c r="Q135" s="3"/>
      <c r="R135" s="2">
        <v>0</v>
      </c>
    </row>
    <row r="136" spans="1:18" s="15" customFormat="1" outlineLevel="1" collapsed="1" x14ac:dyDescent="0.35">
      <c r="A136" s="7"/>
      <c r="B136" s="20" t="str">
        <f>CONCATENATE("     ","Inventory Adjustment                              ")</f>
        <v xml:space="preserve">     Inventory Adjustment                              </v>
      </c>
      <c r="C136" s="7"/>
      <c r="D136" s="1">
        <f>SUM(OSRRefD21_9x_0)</f>
        <v>4529</v>
      </c>
      <c r="E136" s="19"/>
      <c r="F136" s="1">
        <f>SUM(OSRRefF21_9x_0)</f>
        <v>-4559</v>
      </c>
      <c r="G136" s="4"/>
      <c r="H136" s="1">
        <f>SUM(OSRRefH21_9x_0)</f>
        <v>2280</v>
      </c>
      <c r="I136" s="4"/>
      <c r="J136" s="1">
        <f>SUM(OSRRefJ21_9x_0)</f>
        <v>-14569</v>
      </c>
      <c r="K136" s="4"/>
      <c r="L136" s="1">
        <f>SUM(OSRRefL21_9x_0)</f>
        <v>9519</v>
      </c>
      <c r="M136" s="4"/>
      <c r="N136" s="1">
        <f>SUM(OSRRefN21_9x_0)</f>
        <v>17378</v>
      </c>
      <c r="O136" s="4"/>
      <c r="P136" s="1">
        <f>SUM(OSRRefP21_9x_0)</f>
        <v>0</v>
      </c>
      <c r="Q136" s="4"/>
      <c r="R136" s="1">
        <f>SUM(OSRRefR21_9x_0)</f>
        <v>7800</v>
      </c>
    </row>
    <row r="137" spans="1:18" s="16" customFormat="1" hidden="1" outlineLevel="2" x14ac:dyDescent="0.35">
      <c r="B137" s="11" t="str">
        <f>CONCATENATE("          ", "6408", " - ", "INVENTORY ADJUSTMENT")</f>
        <v xml:space="preserve">          6408 - INVENTORY ADJUSTMENT</v>
      </c>
      <c r="D137" s="2">
        <v>0</v>
      </c>
      <c r="F137" s="2">
        <v>0</v>
      </c>
      <c r="G137" s="3"/>
      <c r="H137" s="2">
        <v>0</v>
      </c>
      <c r="I137" s="3"/>
      <c r="J137" s="2"/>
      <c r="K137" s="3"/>
      <c r="L137" s="2">
        <v>0</v>
      </c>
      <c r="M137" s="3"/>
      <c r="N137" s="2"/>
      <c r="O137" s="3"/>
      <c r="P137" s="2"/>
      <c r="Q137" s="3"/>
      <c r="R137" s="2">
        <v>7800</v>
      </c>
    </row>
    <row r="138" spans="1:18" s="16" customFormat="1" hidden="1" outlineLevel="2" x14ac:dyDescent="0.35">
      <c r="B138" s="11" t="str">
        <f>CONCATENATE("          ", "7713", " - ", "INV. SHRINKAGE-TRADE BOOKS")</f>
        <v xml:space="preserve">          7713 - INV. SHRINKAGE-TRADE BOOKS</v>
      </c>
      <c r="D138" s="2">
        <v>-358</v>
      </c>
      <c r="F138" s="2">
        <v>-54</v>
      </c>
      <c r="G138" s="3"/>
      <c r="H138" s="2">
        <v>222</v>
      </c>
      <c r="I138" s="3"/>
      <c r="J138" s="2">
        <v>-314</v>
      </c>
      <c r="K138" s="3"/>
      <c r="L138" s="2">
        <v>17</v>
      </c>
      <c r="M138" s="3"/>
      <c r="N138" s="2">
        <v>37</v>
      </c>
      <c r="O138" s="3"/>
      <c r="P138" s="2"/>
      <c r="Q138" s="3"/>
      <c r="R138" s="2"/>
    </row>
    <row r="139" spans="1:18" s="16" customFormat="1" hidden="1" outlineLevel="2" x14ac:dyDescent="0.35">
      <c r="B139" s="11" t="str">
        <f>CONCATENATE("          ", "7714", " - ", "INV. SHRINKAGE-REMAINDERS")</f>
        <v xml:space="preserve">          7714 - INV. SHRINKAGE-REMAINDERS</v>
      </c>
      <c r="D139" s="2"/>
      <c r="F139" s="2"/>
      <c r="G139" s="3"/>
      <c r="H139" s="2">
        <v>3</v>
      </c>
      <c r="I139" s="3"/>
      <c r="J139" s="2"/>
      <c r="K139" s="3"/>
      <c r="L139" s="2"/>
      <c r="M139" s="3"/>
      <c r="N139" s="2">
        <v>33</v>
      </c>
      <c r="O139" s="3"/>
      <c r="P139" s="2"/>
      <c r="Q139" s="3"/>
      <c r="R139" s="2"/>
    </row>
    <row r="140" spans="1:18" s="16" customFormat="1" hidden="1" outlineLevel="2" x14ac:dyDescent="0.35">
      <c r="B140" s="11" t="str">
        <f>CONCATENATE("          ", "7717", " - ", "INV. SHRINKAGE-DORM/HOUSEWARES")</f>
        <v xml:space="preserve">          7717 - INV. SHRINKAGE-DORM/HOUSEWARES</v>
      </c>
      <c r="D140" s="2"/>
      <c r="F140" s="2"/>
      <c r="G140" s="3"/>
      <c r="H140" s="2"/>
      <c r="I140" s="3"/>
      <c r="J140" s="2"/>
      <c r="K140" s="3"/>
      <c r="L140" s="2"/>
      <c r="M140" s="3"/>
      <c r="N140" s="2">
        <v>-104</v>
      </c>
      <c r="O140" s="3"/>
      <c r="P140" s="2"/>
      <c r="Q140" s="3"/>
      <c r="R140" s="2"/>
    </row>
    <row r="141" spans="1:18" s="16" customFormat="1" hidden="1" outlineLevel="2" x14ac:dyDescent="0.35">
      <c r="B141" s="11" t="str">
        <f>CONCATENATE("          ", "7719", " - ", "INV. SHRINKAGE-BOOK RELATED")</f>
        <v xml:space="preserve">          7719 - INV. SHRINKAGE-BOOK RELATED</v>
      </c>
      <c r="D141" s="2">
        <v>-155</v>
      </c>
      <c r="F141" s="2">
        <v>-525</v>
      </c>
      <c r="G141" s="3"/>
      <c r="H141" s="2">
        <v>11</v>
      </c>
      <c r="I141" s="3"/>
      <c r="J141" s="2">
        <v>-248</v>
      </c>
      <c r="K141" s="3"/>
      <c r="L141" s="2">
        <v>-7</v>
      </c>
      <c r="M141" s="3"/>
      <c r="N141" s="2"/>
      <c r="O141" s="3"/>
      <c r="P141" s="2"/>
      <c r="Q141" s="3"/>
      <c r="R141" s="2"/>
    </row>
    <row r="142" spans="1:18" s="16" customFormat="1" hidden="1" outlineLevel="2" x14ac:dyDescent="0.35">
      <c r="B142" s="11" t="str">
        <f>CONCATENATE("          ", "7725", " - ", "INV. SHRINKAGE-TEST FORMS")</f>
        <v xml:space="preserve">          7725 - INV. SHRINKAGE-TEST FORMS</v>
      </c>
      <c r="D142" s="2">
        <v>419</v>
      </c>
      <c r="F142" s="2">
        <v>648</v>
      </c>
      <c r="G142" s="3"/>
      <c r="H142" s="2">
        <v>530</v>
      </c>
      <c r="I142" s="3"/>
      <c r="J142" s="2">
        <v>-2237</v>
      </c>
      <c r="K142" s="3"/>
      <c r="L142" s="2">
        <v>-17</v>
      </c>
      <c r="M142" s="3"/>
      <c r="N142" s="2">
        <v>-320</v>
      </c>
      <c r="O142" s="3"/>
      <c r="P142" s="2"/>
      <c r="Q142" s="3"/>
      <c r="R142" s="2"/>
    </row>
    <row r="143" spans="1:18" s="16" customFormat="1" hidden="1" outlineLevel="2" x14ac:dyDescent="0.35">
      <c r="B143" s="11" t="str">
        <f>CONCATENATE("          ", "7726", " - ", "INV. SHRINKAGE-WRITING INSTRUM")</f>
        <v xml:space="preserve">          7726 - INV. SHRINKAGE-WRITING INSTRUM</v>
      </c>
      <c r="D143" s="2">
        <v>732</v>
      </c>
      <c r="F143" s="2">
        <v>-169</v>
      </c>
      <c r="G143" s="3"/>
      <c r="H143" s="2">
        <v>1210</v>
      </c>
      <c r="I143" s="3"/>
      <c r="J143" s="2">
        <v>1367</v>
      </c>
      <c r="K143" s="3"/>
      <c r="L143" s="2">
        <v>510</v>
      </c>
      <c r="M143" s="3"/>
      <c r="N143" s="2">
        <v>-1120</v>
      </c>
      <c r="O143" s="3"/>
      <c r="P143" s="2"/>
      <c r="Q143" s="3"/>
      <c r="R143" s="2"/>
    </row>
    <row r="144" spans="1:18" s="16" customFormat="1" hidden="1" outlineLevel="2" x14ac:dyDescent="0.35">
      <c r="B144" s="11" t="str">
        <f>CONCATENATE("          ", "7727", " - ", "INV. SHRINKAGE-SCHOOL SUPPLIES")</f>
        <v xml:space="preserve">          7727 - INV. SHRINKAGE-SCHOOL SUPPLIES</v>
      </c>
      <c r="D144" s="2">
        <v>1111</v>
      </c>
      <c r="F144" s="2">
        <v>6149</v>
      </c>
      <c r="G144" s="3"/>
      <c r="H144" s="2">
        <v>6966</v>
      </c>
      <c r="I144" s="3"/>
      <c r="J144" s="2">
        <v>-1798</v>
      </c>
      <c r="K144" s="3"/>
      <c r="L144" s="2">
        <v>1782</v>
      </c>
      <c r="M144" s="3"/>
      <c r="N144" s="2">
        <v>-3269</v>
      </c>
      <c r="O144" s="3"/>
      <c r="P144" s="2"/>
      <c r="Q144" s="3"/>
      <c r="R144" s="2"/>
    </row>
    <row r="145" spans="2:18" s="16" customFormat="1" hidden="1" outlineLevel="2" x14ac:dyDescent="0.35">
      <c r="B145" s="11" t="str">
        <f>CONCATENATE("          ", "7728", " - ", "INV. SHRINKAGE-ART/TECH")</f>
        <v xml:space="preserve">          7728 - INV. SHRINKAGE-ART/TECH</v>
      </c>
      <c r="D145" s="2">
        <v>2688</v>
      </c>
      <c r="F145" s="2">
        <v>-8793</v>
      </c>
      <c r="G145" s="3"/>
      <c r="H145" s="2">
        <v>-6467</v>
      </c>
      <c r="I145" s="3"/>
      <c r="J145" s="2">
        <v>-8861</v>
      </c>
      <c r="K145" s="3"/>
      <c r="L145" s="2">
        <v>8698</v>
      </c>
      <c r="M145" s="3"/>
      <c r="N145" s="2">
        <v>13544</v>
      </c>
      <c r="O145" s="3"/>
      <c r="P145" s="2"/>
      <c r="Q145" s="3"/>
      <c r="R145" s="2"/>
    </row>
    <row r="146" spans="2:18" s="16" customFormat="1" hidden="1" outlineLevel="2" x14ac:dyDescent="0.35">
      <c r="B146" s="11" t="str">
        <f>CONCATENATE("          ", "7731", " - ", "INV. SHRINKAGE-FOOD")</f>
        <v xml:space="preserve">          7731 - INV. SHRINKAGE-FOOD</v>
      </c>
      <c r="D146" s="2">
        <v>397</v>
      </c>
      <c r="F146" s="2">
        <v>-1970</v>
      </c>
      <c r="G146" s="3"/>
      <c r="H146" s="2">
        <v>1038</v>
      </c>
      <c r="I146" s="3"/>
      <c r="J146" s="2">
        <v>2892</v>
      </c>
      <c r="K146" s="3"/>
      <c r="L146" s="2">
        <v>-1521</v>
      </c>
      <c r="M146" s="3"/>
      <c r="N146" s="2">
        <v>7157</v>
      </c>
      <c r="O146" s="3"/>
      <c r="P146" s="2"/>
      <c r="Q146" s="3"/>
      <c r="R146" s="2"/>
    </row>
    <row r="147" spans="2:18" s="16" customFormat="1" hidden="1" outlineLevel="2" x14ac:dyDescent="0.35">
      <c r="B147" s="11" t="str">
        <f>CONCATENATE("          ", "7732", " - ", "INV. SHRINKAGE-JUICE")</f>
        <v xml:space="preserve">          7732 - INV. SHRINKAGE-JUICE</v>
      </c>
      <c r="D147" s="2">
        <v>-1072</v>
      </c>
      <c r="F147" s="2">
        <v>-548</v>
      </c>
      <c r="G147" s="3"/>
      <c r="H147" s="2">
        <v>-360</v>
      </c>
      <c r="I147" s="3"/>
      <c r="J147" s="2">
        <v>-806</v>
      </c>
      <c r="K147" s="3"/>
      <c r="L147" s="2">
        <v>-181</v>
      </c>
      <c r="M147" s="3"/>
      <c r="N147" s="2">
        <v>-1942</v>
      </c>
      <c r="O147" s="3"/>
      <c r="P147" s="2"/>
      <c r="Q147" s="3"/>
      <c r="R147" s="2"/>
    </row>
    <row r="148" spans="2:18" s="16" customFormat="1" hidden="1" outlineLevel="2" x14ac:dyDescent="0.35">
      <c r="B148" s="11" t="str">
        <f>CONCATENATE("          ", "7733", " - ", "INV. SHRINKAGE-CANDY")</f>
        <v xml:space="preserve">          7733 - INV. SHRINKAGE-CANDY</v>
      </c>
      <c r="D148" s="2">
        <v>971</v>
      </c>
      <c r="F148" s="2">
        <v>1694</v>
      </c>
      <c r="G148" s="3"/>
      <c r="H148" s="2">
        <v>81</v>
      </c>
      <c r="I148" s="3"/>
      <c r="J148" s="2">
        <v>-18</v>
      </c>
      <c r="K148" s="3"/>
      <c r="L148" s="2">
        <v>1571</v>
      </c>
      <c r="M148" s="3"/>
      <c r="N148" s="2">
        <v>2289</v>
      </c>
      <c r="O148" s="3"/>
      <c r="P148" s="2"/>
      <c r="Q148" s="3"/>
      <c r="R148" s="2"/>
    </row>
    <row r="149" spans="2:18" s="16" customFormat="1" hidden="1" outlineLevel="2" x14ac:dyDescent="0.35">
      <c r="B149" s="11" t="str">
        <f>CONCATENATE("          ", "7734", " - ", "INV. SHRINKAGE-SODA")</f>
        <v xml:space="preserve">          7734 - INV. SHRINKAGE-SODA</v>
      </c>
      <c r="D149" s="2">
        <v>13</v>
      </c>
      <c r="F149" s="2">
        <v>-109</v>
      </c>
      <c r="G149" s="3"/>
      <c r="H149" s="2">
        <v>-367</v>
      </c>
      <c r="I149" s="3"/>
      <c r="J149" s="2">
        <v>-330</v>
      </c>
      <c r="K149" s="3"/>
      <c r="L149" s="2">
        <v>474</v>
      </c>
      <c r="M149" s="3"/>
      <c r="N149" s="2">
        <v>1253</v>
      </c>
      <c r="O149" s="3"/>
      <c r="P149" s="2"/>
      <c r="Q149" s="3"/>
      <c r="R149" s="2"/>
    </row>
    <row r="150" spans="2:18" s="16" customFormat="1" hidden="1" outlineLevel="2" x14ac:dyDescent="0.35">
      <c r="B150" s="11" t="str">
        <f>CONCATENATE("          ", "7735", " - ", "INV. SHRINKAGE-HEALTH/BEAUTY")</f>
        <v xml:space="preserve">          7735 - INV. SHRINKAGE-HEALTH/BEAUTY</v>
      </c>
      <c r="D150" s="2">
        <v>-87</v>
      </c>
      <c r="F150" s="2">
        <v>-265</v>
      </c>
      <c r="G150" s="3"/>
      <c r="H150" s="2">
        <v>-169</v>
      </c>
      <c r="I150" s="3"/>
      <c r="J150" s="2">
        <v>99</v>
      </c>
      <c r="K150" s="3"/>
      <c r="L150" s="2">
        <v>-110</v>
      </c>
      <c r="M150" s="3"/>
      <c r="N150" s="2">
        <v>46</v>
      </c>
      <c r="O150" s="3"/>
      <c r="P150" s="2"/>
      <c r="Q150" s="3"/>
      <c r="R150" s="2"/>
    </row>
    <row r="151" spans="2:18" s="16" customFormat="1" hidden="1" outlineLevel="2" x14ac:dyDescent="0.35">
      <c r="B151" s="11" t="str">
        <f>CONCATENATE("          ", "7737", " - ", "INV. SHRINKAGE-WATER")</f>
        <v xml:space="preserve">          7737 - INV. SHRINKAGE-WATER</v>
      </c>
      <c r="D151" s="2">
        <v>-148</v>
      </c>
      <c r="F151" s="2">
        <v>199</v>
      </c>
      <c r="G151" s="3"/>
      <c r="H151" s="2">
        <v>-2670</v>
      </c>
      <c r="I151" s="3"/>
      <c r="J151" s="2">
        <v>-112</v>
      </c>
      <c r="K151" s="3"/>
      <c r="L151" s="2">
        <v>-161</v>
      </c>
      <c r="M151" s="3"/>
      <c r="N151" s="2">
        <v>832</v>
      </c>
      <c r="O151" s="3"/>
      <c r="P151" s="2"/>
      <c r="Q151" s="3"/>
      <c r="R151" s="2"/>
    </row>
    <row r="152" spans="2:18" s="16" customFormat="1" hidden="1" outlineLevel="2" x14ac:dyDescent="0.35">
      <c r="B152" s="11" t="str">
        <f>CONCATENATE("          ", "7741", " - ", "INV. SHRINKAGE-LOGO GIFTS")</f>
        <v xml:space="preserve">          7741 - INV. SHRINKAGE-LOGO GIFTS</v>
      </c>
      <c r="D152" s="2"/>
      <c r="F152" s="2"/>
      <c r="G152" s="3"/>
      <c r="H152" s="2">
        <v>844</v>
      </c>
      <c r="I152" s="3"/>
      <c r="J152" s="2"/>
      <c r="K152" s="3"/>
      <c r="L152" s="2"/>
      <c r="M152" s="3"/>
      <c r="N152" s="2">
        <v>-494</v>
      </c>
      <c r="O152" s="3"/>
      <c r="P152" s="2"/>
      <c r="Q152" s="3"/>
      <c r="R152" s="2"/>
    </row>
    <row r="153" spans="2:18" s="16" customFormat="1" hidden="1" outlineLevel="2" x14ac:dyDescent="0.35">
      <c r="B153" s="11" t="str">
        <f>CONCATENATE("          ", "7742", " - ", "INV. SHRINKAGE-EVERYDAY GIFTS")</f>
        <v xml:space="preserve">          7742 - INV. SHRINKAGE-EVERYDAY GIFTS</v>
      </c>
      <c r="D153" s="2"/>
      <c r="F153" s="2"/>
      <c r="G153" s="3"/>
      <c r="H153" s="2"/>
      <c r="I153" s="3"/>
      <c r="J153" s="2">
        <v>-577</v>
      </c>
      <c r="K153" s="3"/>
      <c r="L153" s="2">
        <v>-57</v>
      </c>
      <c r="M153" s="3"/>
      <c r="N153" s="2">
        <v>-553</v>
      </c>
      <c r="O153" s="3"/>
      <c r="P153" s="2"/>
      <c r="Q153" s="3"/>
      <c r="R153" s="2"/>
    </row>
    <row r="154" spans="2:18" s="16" customFormat="1" hidden="1" outlineLevel="2" x14ac:dyDescent="0.35">
      <c r="B154" s="11" t="str">
        <f>CONCATENATE("          ", "7744", " - ", "INV. SHRINKAGE-ACCESSORIES")</f>
        <v xml:space="preserve">          7744 - INV. SHRINKAGE-ACCESSORIES</v>
      </c>
      <c r="D154" s="2"/>
      <c r="F154" s="2"/>
      <c r="G154" s="3"/>
      <c r="H154" s="2">
        <v>102</v>
      </c>
      <c r="I154" s="3"/>
      <c r="J154" s="2">
        <v>-78</v>
      </c>
      <c r="K154" s="3"/>
      <c r="L154" s="2"/>
      <c r="M154" s="3"/>
      <c r="N154" s="2">
        <v>-180</v>
      </c>
      <c r="O154" s="3"/>
      <c r="P154" s="2"/>
      <c r="Q154" s="3"/>
      <c r="R154" s="2"/>
    </row>
    <row r="155" spans="2:18" s="16" customFormat="1" hidden="1" outlineLevel="2" x14ac:dyDescent="0.35">
      <c r="B155" s="11" t="str">
        <f>CONCATENATE("          ", "7781", " - ", "INV. SHRINKAGE-ELECTRONICS")</f>
        <v xml:space="preserve">          7781 - INV. SHRINKAGE-ELECTRONICS</v>
      </c>
      <c r="D155" s="2"/>
      <c r="F155" s="2">
        <v>-342</v>
      </c>
      <c r="G155" s="3"/>
      <c r="H155" s="2">
        <v>713</v>
      </c>
      <c r="I155" s="3"/>
      <c r="J155" s="2">
        <v>-1405</v>
      </c>
      <c r="K155" s="3"/>
      <c r="L155" s="2">
        <v>98</v>
      </c>
      <c r="M155" s="3"/>
      <c r="N155" s="2">
        <v>-28</v>
      </c>
      <c r="O155" s="3"/>
      <c r="P155" s="2"/>
      <c r="Q155" s="3"/>
      <c r="R155" s="2"/>
    </row>
    <row r="156" spans="2:18" s="16" customFormat="1" hidden="1" outlineLevel="2" x14ac:dyDescent="0.35">
      <c r="B156" s="11" t="str">
        <f>CONCATENATE("          ", "7782", " - ", "INV. SHRINKAGE-COMPUTER HARDWA")</f>
        <v xml:space="preserve">          7782 - INV. SHRINKAGE-COMPUTER HARDWA</v>
      </c>
      <c r="D156" s="2"/>
      <c r="F156" s="2"/>
      <c r="G156" s="3"/>
      <c r="H156" s="2">
        <v>128</v>
      </c>
      <c r="I156" s="3"/>
      <c r="J156" s="2">
        <v>-520</v>
      </c>
      <c r="K156" s="3"/>
      <c r="L156" s="2">
        <v>-1237</v>
      </c>
      <c r="M156" s="3"/>
      <c r="N156" s="2">
        <v>69</v>
      </c>
      <c r="O156" s="3"/>
      <c r="P156" s="2"/>
      <c r="Q156" s="3"/>
      <c r="R156" s="2"/>
    </row>
    <row r="157" spans="2:18" s="16" customFormat="1" hidden="1" outlineLevel="2" x14ac:dyDescent="0.35">
      <c r="B157" s="11" t="str">
        <f>CONCATENATE("          ", "7783", " - ", "INV. SHRINKAGE-COMPUTER EQUIPM")</f>
        <v xml:space="preserve">          7783 - INV. SHRINKAGE-COMPUTER EQUIPM</v>
      </c>
      <c r="D157" s="2"/>
      <c r="F157" s="2">
        <v>-331</v>
      </c>
      <c r="G157" s="3"/>
      <c r="H157" s="2">
        <v>52</v>
      </c>
      <c r="I157" s="3"/>
      <c r="J157" s="2">
        <v>-153</v>
      </c>
      <c r="K157" s="3"/>
      <c r="L157" s="2">
        <v>-104</v>
      </c>
      <c r="M157" s="3"/>
      <c r="N157" s="2">
        <v>90</v>
      </c>
      <c r="O157" s="3"/>
      <c r="P157" s="2"/>
      <c r="Q157" s="3"/>
      <c r="R157" s="2"/>
    </row>
    <row r="158" spans="2:18" s="16" customFormat="1" hidden="1" outlineLevel="2" x14ac:dyDescent="0.35">
      <c r="B158" s="11" t="str">
        <f>CONCATENATE("          ", "7786", " - ", "INV. SHRINKAGE-COMPUTER SUPPLI")</f>
        <v xml:space="preserve">          7786 - INV. SHRINKAGE-COMPUTER SUPPLI</v>
      </c>
      <c r="D158" s="2">
        <v>6</v>
      </c>
      <c r="F158" s="2">
        <v>-154</v>
      </c>
      <c r="G158" s="3"/>
      <c r="H158" s="2">
        <v>195</v>
      </c>
      <c r="I158" s="3"/>
      <c r="J158" s="2">
        <v>-1470</v>
      </c>
      <c r="K158" s="3"/>
      <c r="L158" s="2">
        <v>-236</v>
      </c>
      <c r="M158" s="3"/>
      <c r="N158" s="2">
        <v>38</v>
      </c>
      <c r="O158" s="3"/>
      <c r="P158" s="2"/>
      <c r="Q158" s="3"/>
      <c r="R158" s="2"/>
    </row>
    <row r="159" spans="2:18" s="16" customFormat="1" hidden="1" outlineLevel="2" x14ac:dyDescent="0.35">
      <c r="B159" s="11" t="str">
        <f>CONCATENATE("          ", "7792", " - ", "INV. SHRINKAGE-GRAD MERCH")</f>
        <v xml:space="preserve">          7792 - INV. SHRINKAGE-GRAD MERCH</v>
      </c>
      <c r="D159" s="2"/>
      <c r="F159" s="2"/>
      <c r="G159" s="3"/>
      <c r="H159" s="2">
        <v>222</v>
      </c>
      <c r="I159" s="3"/>
      <c r="J159" s="2"/>
      <c r="K159" s="3"/>
      <c r="L159" s="2"/>
      <c r="M159" s="3"/>
      <c r="N159" s="2"/>
      <c r="O159" s="3"/>
      <c r="P159" s="2"/>
      <c r="Q159" s="3"/>
      <c r="R159" s="2"/>
    </row>
    <row r="160" spans="2:18" s="16" customFormat="1" hidden="1" outlineLevel="2" x14ac:dyDescent="0.35">
      <c r="B160" s="11" t="str">
        <f>CONCATENATE("          ", "7795", " - ", "INV. SHRINKAGE-CUSTOMER SERVIC")</f>
        <v xml:space="preserve">          7795 - INV. SHRINKAGE-CUSTOMER SERVIC</v>
      </c>
      <c r="D160" s="2">
        <v>12</v>
      </c>
      <c r="F160" s="2">
        <v>11</v>
      </c>
      <c r="G160" s="3"/>
      <c r="H160" s="2">
        <v>-4</v>
      </c>
      <c r="I160" s="3"/>
      <c r="J160" s="2"/>
      <c r="K160" s="3"/>
      <c r="L160" s="2"/>
      <c r="M160" s="3"/>
      <c r="N160" s="2"/>
      <c r="O160" s="3"/>
      <c r="P160" s="2"/>
      <c r="Q160" s="3"/>
      <c r="R160" s="2"/>
    </row>
    <row r="161" spans="1:18" s="15" customFormat="1" outlineLevel="1" collapsed="1" x14ac:dyDescent="0.35">
      <c r="A161" s="7"/>
      <c r="B161" s="20" t="str">
        <f>CONCATENATE("     ","Professional Services                             ")</f>
        <v xml:space="preserve">     Professional Services                             </v>
      </c>
      <c r="C161" s="7"/>
      <c r="D161" s="1">
        <f>SUM(OSRRefD21_10x_0)</f>
        <v>2251.2600000000002</v>
      </c>
      <c r="E161" s="19"/>
      <c r="F161" s="1">
        <f>SUM(OSRRefF21_10x_0)</f>
        <v>0</v>
      </c>
      <c r="G161" s="4"/>
      <c r="H161" s="1">
        <f>SUM(OSRRefH21_10x_0)</f>
        <v>750</v>
      </c>
      <c r="I161" s="4"/>
      <c r="J161" s="1">
        <f>SUM(OSRRefJ21_10x_0)</f>
        <v>750</v>
      </c>
      <c r="K161" s="4"/>
      <c r="L161" s="1">
        <f>SUM(OSRRefL21_10x_0)</f>
        <v>750</v>
      </c>
      <c r="M161" s="4"/>
      <c r="N161" s="1">
        <f>SUM(OSRRefN21_10x_0)</f>
        <v>2173.59</v>
      </c>
      <c r="O161" s="4"/>
      <c r="P161" s="1">
        <f>SUM(OSRRefP21_10x_0)</f>
        <v>800</v>
      </c>
      <c r="Q161" s="4"/>
      <c r="R161" s="1">
        <f>SUM(OSRRefR21_10x_0)</f>
        <v>0</v>
      </c>
    </row>
    <row r="162" spans="1:18" s="16" customFormat="1" hidden="1" outlineLevel="2" x14ac:dyDescent="0.35">
      <c r="B162" s="11" t="str">
        <f>CONCATENATE("          ", "6336", " - ", "PROFESSIONAL SERVICES")</f>
        <v xml:space="preserve">          6336 - PROFESSIONAL SERVICES</v>
      </c>
      <c r="D162" s="2">
        <v>2251.2600000000002</v>
      </c>
      <c r="F162" s="2"/>
      <c r="G162" s="3"/>
      <c r="H162" s="2">
        <v>750</v>
      </c>
      <c r="I162" s="3"/>
      <c r="J162" s="2">
        <v>750</v>
      </c>
      <c r="K162" s="3"/>
      <c r="L162" s="2">
        <v>750</v>
      </c>
      <c r="M162" s="3"/>
      <c r="N162" s="2">
        <v>2173.59</v>
      </c>
      <c r="O162" s="3"/>
      <c r="P162" s="2">
        <v>800</v>
      </c>
      <c r="Q162" s="3"/>
      <c r="R162" s="2"/>
    </row>
    <row r="163" spans="1:18" s="15" customFormat="1" outlineLevel="1" collapsed="1" x14ac:dyDescent="0.35">
      <c r="A163" s="7"/>
      <c r="B163" s="20" t="str">
        <f>CONCATENATE("     ","Rent                                              ")</f>
        <v xml:space="preserve">     Rent                                              </v>
      </c>
      <c r="C163" s="7"/>
      <c r="D163" s="1">
        <f>SUM(OSRRefD21_11x_0)</f>
        <v>18000</v>
      </c>
      <c r="E163" s="19"/>
      <c r="F163" s="1">
        <f>SUM(OSRRefF21_11x_0)</f>
        <v>18000</v>
      </c>
      <c r="G163" s="4"/>
      <c r="H163" s="1">
        <f>SUM(OSRRefH21_11x_0)</f>
        <v>16500</v>
      </c>
      <c r="I163" s="4"/>
      <c r="J163" s="1">
        <f>SUM(OSRRefJ21_11x_0)</f>
        <v>16500</v>
      </c>
      <c r="K163" s="4"/>
      <c r="L163" s="1">
        <f>SUM(OSRRefL21_11x_0)</f>
        <v>0</v>
      </c>
      <c r="M163" s="4"/>
      <c r="N163" s="1">
        <f>SUM(OSRRefN21_11x_0)</f>
        <v>0</v>
      </c>
      <c r="O163" s="4"/>
      <c r="P163" s="1">
        <f>SUM(OSRRefP21_11x_0)</f>
        <v>0</v>
      </c>
      <c r="Q163" s="4"/>
      <c r="R163" s="1">
        <f>SUM(OSRRefR21_11x_0)</f>
        <v>0</v>
      </c>
    </row>
    <row r="164" spans="1:18" s="16" customFormat="1" hidden="1" outlineLevel="2" x14ac:dyDescent="0.35">
      <c r="B164" s="11" t="str">
        <f>CONCATENATE("          ", "6273", " - ", "RENT")</f>
        <v xml:space="preserve">          6273 - RENT</v>
      </c>
      <c r="D164" s="2">
        <v>18000</v>
      </c>
      <c r="F164" s="2">
        <v>18000</v>
      </c>
      <c r="G164" s="3"/>
      <c r="H164" s="2">
        <v>16500</v>
      </c>
      <c r="I164" s="3"/>
      <c r="J164" s="2">
        <v>16500</v>
      </c>
      <c r="K164" s="3"/>
      <c r="L164" s="2">
        <v>0</v>
      </c>
      <c r="M164" s="3"/>
      <c r="N164" s="2"/>
      <c r="O164" s="3"/>
      <c r="P164" s="2"/>
      <c r="Q164" s="3"/>
      <c r="R164" s="2"/>
    </row>
    <row r="165" spans="1:18" s="15" customFormat="1" outlineLevel="1" collapsed="1" x14ac:dyDescent="0.35">
      <c r="A165" s="7"/>
      <c r="B165" s="20" t="str">
        <f>CONCATENATE("     ","Repair and Maintenance                            ")</f>
        <v xml:space="preserve">     Repair and Maintenance                            </v>
      </c>
      <c r="C165" s="7"/>
      <c r="D165" s="1">
        <f>SUM(OSRRefD21_12x_0)</f>
        <v>238.46</v>
      </c>
      <c r="E165" s="19"/>
      <c r="F165" s="1">
        <f>SUM(OSRRefF21_12x_0)</f>
        <v>7225.9</v>
      </c>
      <c r="G165" s="4"/>
      <c r="H165" s="1">
        <f>SUM(OSRRefH21_12x_0)</f>
        <v>2227.9</v>
      </c>
      <c r="I165" s="4"/>
      <c r="J165" s="1">
        <f>SUM(OSRRefJ21_12x_0)</f>
        <v>2151.8199999999997</v>
      </c>
      <c r="K165" s="4"/>
      <c r="L165" s="1">
        <f>SUM(OSRRefL21_12x_0)</f>
        <v>1795.35</v>
      </c>
      <c r="M165" s="4"/>
      <c r="N165" s="1">
        <f>SUM(OSRRefN21_12x_0)</f>
        <v>251.75</v>
      </c>
      <c r="O165" s="4"/>
      <c r="P165" s="1">
        <f>SUM(OSRRefP21_12x_0)</f>
        <v>1200</v>
      </c>
      <c r="Q165" s="4"/>
      <c r="R165" s="1">
        <f>SUM(OSRRefR21_12x_0)</f>
        <v>0</v>
      </c>
    </row>
    <row r="166" spans="1:18" s="16" customFormat="1" hidden="1" outlineLevel="2" x14ac:dyDescent="0.35">
      <c r="B166" s="11" t="str">
        <f>CONCATENATE("          ", "6373", " - ", "MAINTENANCE CONTRACTS")</f>
        <v xml:space="preserve">          6373 - MAINTENANCE CONTRACTS</v>
      </c>
      <c r="D166" s="2">
        <v>180</v>
      </c>
      <c r="F166" s="2">
        <v>231.75</v>
      </c>
      <c r="G166" s="3"/>
      <c r="H166" s="2">
        <v>1114.75</v>
      </c>
      <c r="I166" s="3"/>
      <c r="J166" s="2">
        <v>1743.36</v>
      </c>
      <c r="K166" s="3"/>
      <c r="L166" s="2">
        <v>216.48</v>
      </c>
      <c r="M166" s="3"/>
      <c r="N166" s="2">
        <v>241.95</v>
      </c>
      <c r="O166" s="3"/>
      <c r="P166" s="2"/>
      <c r="Q166" s="3"/>
      <c r="R166" s="2"/>
    </row>
    <row r="167" spans="1:18" s="16" customFormat="1" hidden="1" outlineLevel="2" x14ac:dyDescent="0.35">
      <c r="B167" s="11" t="str">
        <f>CONCATENATE("          ", "6375", " - ", "OUTSIDE REPAIRS &amp; MAINTENANCE")</f>
        <v xml:space="preserve">          6375 - OUTSIDE REPAIRS &amp; MAINTENANCE</v>
      </c>
      <c r="D167" s="2">
        <v>58.46</v>
      </c>
      <c r="F167" s="2">
        <v>6994.15</v>
      </c>
      <c r="G167" s="3"/>
      <c r="H167" s="2">
        <v>1113.1500000000001</v>
      </c>
      <c r="I167" s="3"/>
      <c r="J167" s="2">
        <v>408.46</v>
      </c>
      <c r="K167" s="3"/>
      <c r="L167" s="2">
        <v>1578.87</v>
      </c>
      <c r="M167" s="3"/>
      <c r="N167" s="2">
        <v>9.8000000000000007</v>
      </c>
      <c r="O167" s="3"/>
      <c r="P167" s="2">
        <v>1200</v>
      </c>
      <c r="Q167" s="3"/>
      <c r="R167" s="2"/>
    </row>
    <row r="168" spans="1:18" s="15" customFormat="1" outlineLevel="1" collapsed="1" x14ac:dyDescent="0.35">
      <c r="A168" s="7"/>
      <c r="B168" s="20" t="str">
        <f>CONCATENATE("     ","Services                                          ")</f>
        <v xml:space="preserve">     Services                                          </v>
      </c>
      <c r="C168" s="7"/>
      <c r="D168" s="1">
        <f>SUM(OSRRefD21_13x_0)</f>
        <v>4197.5300000000007</v>
      </c>
      <c r="E168" s="19"/>
      <c r="F168" s="1">
        <f>SUM(OSRRefF21_13x_0)</f>
        <v>4034.76</v>
      </c>
      <c r="G168" s="4"/>
      <c r="H168" s="1">
        <f>SUM(OSRRefH21_13x_0)</f>
        <v>1789.32</v>
      </c>
      <c r="I168" s="4"/>
      <c r="J168" s="1">
        <f>SUM(OSRRefJ21_13x_0)</f>
        <v>2091.65</v>
      </c>
      <c r="K168" s="4"/>
      <c r="L168" s="1">
        <f>SUM(OSRRefL21_13x_0)</f>
        <v>2544.69</v>
      </c>
      <c r="M168" s="4"/>
      <c r="N168" s="1">
        <f>SUM(OSRRefN21_13x_0)</f>
        <v>3111.27</v>
      </c>
      <c r="O168" s="4"/>
      <c r="P168" s="1">
        <f>SUM(OSRRefP21_13x_0)</f>
        <v>3014</v>
      </c>
      <c r="Q168" s="4"/>
      <c r="R168" s="1">
        <f>SUM(OSRRefR21_13x_0)</f>
        <v>0</v>
      </c>
    </row>
    <row r="169" spans="1:18" s="16" customFormat="1" hidden="1" outlineLevel="2" x14ac:dyDescent="0.35">
      <c r="B169" s="11" t="str">
        <f>CONCATENATE("          ", "6282", " - ", "JANITORIAL/EXTERMINATOR EXPENS")</f>
        <v xml:space="preserve">          6282 - JANITORIAL/EXTERMINATOR EXPENS</v>
      </c>
      <c r="D169" s="2">
        <v>351</v>
      </c>
      <c r="F169" s="2">
        <v>156</v>
      </c>
      <c r="G169" s="3"/>
      <c r="H169" s="2">
        <v>415</v>
      </c>
      <c r="I169" s="3"/>
      <c r="J169" s="2">
        <v>554.16</v>
      </c>
      <c r="K169" s="3"/>
      <c r="L169" s="2">
        <v>449.79</v>
      </c>
      <c r="M169" s="3"/>
      <c r="N169" s="2">
        <v>549.02</v>
      </c>
      <c r="O169" s="3"/>
      <c r="P169" s="2"/>
      <c r="Q169" s="3"/>
      <c r="R169" s="2"/>
    </row>
    <row r="170" spans="1:18" s="16" customFormat="1" hidden="1" outlineLevel="2" x14ac:dyDescent="0.35">
      <c r="B170" s="11" t="str">
        <f>CONCATENATE("          ", "6285", " - ", "JANITORIAL SERVICES")</f>
        <v xml:space="preserve">          6285 - JANITORIAL SERVICES</v>
      </c>
      <c r="D170" s="2">
        <v>3846.53</v>
      </c>
      <c r="F170" s="2">
        <v>3878.76</v>
      </c>
      <c r="G170" s="3"/>
      <c r="H170" s="2">
        <v>1374.32</v>
      </c>
      <c r="I170" s="3"/>
      <c r="J170" s="2">
        <v>1537.49</v>
      </c>
      <c r="K170" s="3"/>
      <c r="L170" s="2">
        <v>2094.9</v>
      </c>
      <c r="M170" s="3"/>
      <c r="N170" s="2">
        <v>2562.25</v>
      </c>
      <c r="O170" s="3"/>
      <c r="P170" s="2">
        <v>3014</v>
      </c>
      <c r="Q170" s="3"/>
      <c r="R170" s="2"/>
    </row>
    <row r="171" spans="1:18" s="15" customFormat="1" outlineLevel="1" collapsed="1" x14ac:dyDescent="0.35">
      <c r="A171" s="7"/>
      <c r="B171" s="20" t="str">
        <f>CONCATENATE("     ","Subscriptions &amp; Dues                              ")</f>
        <v xml:space="preserve">     Subscriptions &amp; Dues                              </v>
      </c>
      <c r="C171" s="7"/>
      <c r="D171" s="1">
        <f>SUM(OSRRefD21_14x_0)</f>
        <v>0</v>
      </c>
      <c r="E171" s="19"/>
      <c r="F171" s="1">
        <f>SUM(OSRRefF21_14x_0)</f>
        <v>15</v>
      </c>
      <c r="G171" s="4"/>
      <c r="H171" s="1">
        <f>SUM(OSRRefH21_14x_0)</f>
        <v>0</v>
      </c>
      <c r="I171" s="4"/>
      <c r="J171" s="1">
        <f>SUM(OSRRefJ21_14x_0)</f>
        <v>0</v>
      </c>
      <c r="K171" s="4"/>
      <c r="L171" s="1">
        <f>SUM(OSRRefL21_14x_0)</f>
        <v>0</v>
      </c>
      <c r="M171" s="4"/>
      <c r="N171" s="1">
        <f>SUM(OSRRefN21_14x_0)</f>
        <v>0</v>
      </c>
      <c r="O171" s="4"/>
      <c r="P171" s="1">
        <f>SUM(OSRRefP21_14x_0)</f>
        <v>0</v>
      </c>
      <c r="Q171" s="4"/>
      <c r="R171" s="1">
        <f>SUM(OSRRefR21_14x_0)</f>
        <v>0</v>
      </c>
    </row>
    <row r="172" spans="1:18" s="16" customFormat="1" hidden="1" outlineLevel="2" x14ac:dyDescent="0.35">
      <c r="B172" s="11" t="str">
        <f>CONCATENATE("          ", "6258", " - ", "MEMBERSHIP DUES")</f>
        <v xml:space="preserve">          6258 - MEMBERSHIP DUES</v>
      </c>
      <c r="D172" s="2"/>
      <c r="F172" s="2">
        <v>15</v>
      </c>
      <c r="G172" s="3"/>
      <c r="H172" s="2"/>
      <c r="I172" s="3"/>
      <c r="J172" s="2"/>
      <c r="K172" s="3"/>
      <c r="L172" s="2"/>
      <c r="M172" s="3"/>
      <c r="N172" s="2"/>
      <c r="O172" s="3"/>
      <c r="P172" s="2"/>
      <c r="Q172" s="3"/>
      <c r="R172" s="2"/>
    </row>
    <row r="173" spans="1:18" s="15" customFormat="1" outlineLevel="1" collapsed="1" x14ac:dyDescent="0.35">
      <c r="A173" s="7"/>
      <c r="B173" s="20" t="str">
        <f>CONCATENATE("     ","Supplies                                          ")</f>
        <v xml:space="preserve">     Supplies                                          </v>
      </c>
      <c r="C173" s="7"/>
      <c r="D173" s="1">
        <f>SUM(OSRRefD21_15x_0)</f>
        <v>769.7</v>
      </c>
      <c r="E173" s="19"/>
      <c r="F173" s="1">
        <f>SUM(OSRRefF21_15x_0)</f>
        <v>1821.1699999999998</v>
      </c>
      <c r="G173" s="4"/>
      <c r="H173" s="1">
        <f>SUM(OSRRefH21_15x_0)</f>
        <v>1870.33</v>
      </c>
      <c r="I173" s="4"/>
      <c r="J173" s="1">
        <f>SUM(OSRRefJ21_15x_0)</f>
        <v>1306.43</v>
      </c>
      <c r="K173" s="4"/>
      <c r="L173" s="1">
        <f>SUM(OSRRefL21_15x_0)</f>
        <v>959.32999999999993</v>
      </c>
      <c r="M173" s="4"/>
      <c r="N173" s="1">
        <f>SUM(OSRRefN21_15x_0)</f>
        <v>1612.07</v>
      </c>
      <c r="O173" s="4"/>
      <c r="P173" s="1">
        <f>SUM(OSRRefP21_15x_0)</f>
        <v>3500</v>
      </c>
      <c r="Q173" s="4"/>
      <c r="R173" s="1">
        <f>SUM(OSRRefR21_15x_0)</f>
        <v>900</v>
      </c>
    </row>
    <row r="174" spans="1:18" s="16" customFormat="1" hidden="1" outlineLevel="2" x14ac:dyDescent="0.35">
      <c r="B174" s="11" t="str">
        <f>CONCATENATE("          ", "6235", " - ", "COVID-19 EXPENSES")</f>
        <v xml:space="preserve">          6235 - COVID-19 EXPENSES</v>
      </c>
      <c r="D174" s="2"/>
      <c r="F174" s="2"/>
      <c r="G174" s="3"/>
      <c r="H174" s="2"/>
      <c r="I174" s="3"/>
      <c r="J174" s="2"/>
      <c r="K174" s="3"/>
      <c r="L174" s="2"/>
      <c r="M174" s="3"/>
      <c r="N174" s="2"/>
      <c r="O174" s="3"/>
      <c r="P174" s="2">
        <v>2200</v>
      </c>
      <c r="Q174" s="3"/>
      <c r="R174" s="2">
        <v>300</v>
      </c>
    </row>
    <row r="175" spans="1:18" s="16" customFormat="1" hidden="1" outlineLevel="2" x14ac:dyDescent="0.35">
      <c r="B175" s="11" t="str">
        <f>CONCATENATE("          ", "6241", " - ", "OFFICE EXPENSE")</f>
        <v xml:space="preserve">          6241 - OFFICE EXPENSE</v>
      </c>
      <c r="D175" s="2">
        <v>272.87</v>
      </c>
      <c r="F175" s="2">
        <v>1558.35</v>
      </c>
      <c r="G175" s="3"/>
      <c r="H175" s="2">
        <v>545.22</v>
      </c>
      <c r="I175" s="3"/>
      <c r="J175" s="2">
        <v>888.07</v>
      </c>
      <c r="K175" s="3"/>
      <c r="L175" s="2">
        <v>960.93</v>
      </c>
      <c r="M175" s="3"/>
      <c r="N175" s="2">
        <v>1421.17</v>
      </c>
      <c r="O175" s="3"/>
      <c r="P175" s="2"/>
      <c r="Q175" s="3"/>
      <c r="R175" s="2">
        <v>300</v>
      </c>
    </row>
    <row r="176" spans="1:18" s="16" customFormat="1" hidden="1" outlineLevel="2" x14ac:dyDescent="0.35">
      <c r="B176" s="11" t="str">
        <f>CONCATENATE("          ", "6243", " - ", "PAPER SUPPLIES")</f>
        <v xml:space="preserve">          6243 - PAPER SUPPLIES</v>
      </c>
      <c r="D176" s="2">
        <v>18.920000000000002</v>
      </c>
      <c r="F176" s="2"/>
      <c r="G176" s="3"/>
      <c r="H176" s="2"/>
      <c r="I176" s="3"/>
      <c r="J176" s="2"/>
      <c r="K176" s="3"/>
      <c r="L176" s="2"/>
      <c r="M176" s="3"/>
      <c r="N176" s="2"/>
      <c r="O176" s="3"/>
      <c r="P176" s="2"/>
      <c r="Q176" s="3"/>
      <c r="R176" s="2"/>
    </row>
    <row r="177" spans="1:18" s="16" customFormat="1" hidden="1" outlineLevel="2" x14ac:dyDescent="0.35">
      <c r="B177" s="11" t="str">
        <f>CONCATENATE("          ", "6245", " - ", "PRINTING")</f>
        <v xml:space="preserve">          6245 - PRINTING</v>
      </c>
      <c r="D177" s="2"/>
      <c r="F177" s="2"/>
      <c r="G177" s="3"/>
      <c r="H177" s="2">
        <v>28.18</v>
      </c>
      <c r="I177" s="3"/>
      <c r="J177" s="2">
        <v>81.73</v>
      </c>
      <c r="K177" s="3"/>
      <c r="L177" s="2"/>
      <c r="M177" s="3"/>
      <c r="N177" s="2">
        <v>22.05</v>
      </c>
      <c r="O177" s="3"/>
      <c r="P177" s="2"/>
      <c r="Q177" s="3"/>
      <c r="R177" s="2"/>
    </row>
    <row r="178" spans="1:18" s="16" customFormat="1" hidden="1" outlineLevel="2" x14ac:dyDescent="0.35">
      <c r="B178" s="11" t="str">
        <f>CONCATENATE("          ", "6247", " - ", "STORE SUPPLIES")</f>
        <v xml:space="preserve">          6247 - STORE SUPPLIES</v>
      </c>
      <c r="D178" s="2">
        <v>477.91</v>
      </c>
      <c r="F178" s="2">
        <v>262.82</v>
      </c>
      <c r="G178" s="3"/>
      <c r="H178" s="2">
        <v>1296.93</v>
      </c>
      <c r="I178" s="3"/>
      <c r="J178" s="2">
        <v>336.63</v>
      </c>
      <c r="K178" s="3"/>
      <c r="L178" s="2">
        <v>-1.6</v>
      </c>
      <c r="M178" s="3"/>
      <c r="N178" s="2">
        <v>168.85</v>
      </c>
      <c r="O178" s="3"/>
      <c r="P178" s="2">
        <v>1100</v>
      </c>
      <c r="Q178" s="3"/>
      <c r="R178" s="2">
        <v>300</v>
      </c>
    </row>
    <row r="179" spans="1:18" s="16" customFormat="1" hidden="1" outlineLevel="2" x14ac:dyDescent="0.35">
      <c r="B179" s="11" t="str">
        <f>CONCATENATE("          ", "6248", " - ", "UNIFORMS")</f>
        <v xml:space="preserve">          6248 - UNIFORMS</v>
      </c>
      <c r="D179" s="2"/>
      <c r="F179" s="2"/>
      <c r="G179" s="3"/>
      <c r="H179" s="2"/>
      <c r="I179" s="3"/>
      <c r="J179" s="2"/>
      <c r="K179" s="3"/>
      <c r="L179" s="2"/>
      <c r="M179" s="3"/>
      <c r="N179" s="2"/>
      <c r="O179" s="3"/>
      <c r="P179" s="2">
        <v>200</v>
      </c>
      <c r="Q179" s="3"/>
      <c r="R179" s="2"/>
    </row>
    <row r="180" spans="1:18" s="15" customFormat="1" outlineLevel="1" collapsed="1" x14ac:dyDescent="0.35">
      <c r="A180" s="7"/>
      <c r="B180" s="20" t="str">
        <f>CONCATENATE("     ","Telephone/Data Lines                              ")</f>
        <v xml:space="preserve">     Telephone/Data Lines                              </v>
      </c>
      <c r="C180" s="7"/>
      <c r="D180" s="1">
        <f>SUM(OSRRefD21_16x_0)</f>
        <v>979.6</v>
      </c>
      <c r="E180" s="19"/>
      <c r="F180" s="1">
        <f>SUM(OSRRefF21_16x_0)</f>
        <v>876.41</v>
      </c>
      <c r="G180" s="4"/>
      <c r="H180" s="1">
        <f>SUM(OSRRefH21_16x_0)</f>
        <v>643.70000000000005</v>
      </c>
      <c r="I180" s="4"/>
      <c r="J180" s="1">
        <f>SUM(OSRRefJ21_16x_0)</f>
        <v>681.2</v>
      </c>
      <c r="K180" s="4"/>
      <c r="L180" s="1">
        <f>SUM(OSRRefL21_16x_0)</f>
        <v>1172.25</v>
      </c>
      <c r="M180" s="4"/>
      <c r="N180" s="1">
        <f>SUM(OSRRefN21_16x_0)</f>
        <v>1175.1199999999999</v>
      </c>
      <c r="O180" s="4"/>
      <c r="P180" s="1">
        <f>SUM(OSRRefP21_16x_0)</f>
        <v>1200</v>
      </c>
      <c r="Q180" s="4"/>
      <c r="R180" s="1">
        <f>SUM(OSRRefR21_16x_0)</f>
        <v>720</v>
      </c>
    </row>
    <row r="181" spans="1:18" s="16" customFormat="1" hidden="1" outlineLevel="2" x14ac:dyDescent="0.35">
      <c r="B181" s="11" t="str">
        <f>CONCATENATE("          ", "6303", " - ", "DATA PHONE LINES")</f>
        <v xml:space="preserve">          6303 - DATA PHONE LINES</v>
      </c>
      <c r="D181" s="2"/>
      <c r="F181" s="2"/>
      <c r="G181" s="3"/>
      <c r="H181" s="2"/>
      <c r="I181" s="3"/>
      <c r="J181" s="2"/>
      <c r="K181" s="3"/>
      <c r="L181" s="2"/>
      <c r="M181" s="3"/>
      <c r="N181" s="2"/>
      <c r="O181" s="3"/>
      <c r="P181" s="2">
        <v>1200</v>
      </c>
      <c r="Q181" s="3"/>
      <c r="R181" s="2"/>
    </row>
    <row r="182" spans="1:18" s="16" customFormat="1" hidden="1" outlineLevel="2" x14ac:dyDescent="0.35">
      <c r="B182" s="11" t="str">
        <f>CONCATENATE("          ", "6309", " - ", "TELEPHONE")</f>
        <v xml:space="preserve">          6309 - TELEPHONE</v>
      </c>
      <c r="D182" s="2">
        <v>979.6</v>
      </c>
      <c r="F182" s="2">
        <v>876.41</v>
      </c>
      <c r="G182" s="3"/>
      <c r="H182" s="2">
        <v>643.70000000000005</v>
      </c>
      <c r="I182" s="3"/>
      <c r="J182" s="2">
        <v>681.2</v>
      </c>
      <c r="K182" s="3"/>
      <c r="L182" s="2">
        <v>1172.25</v>
      </c>
      <c r="M182" s="3"/>
      <c r="N182" s="2">
        <v>1175.1199999999999</v>
      </c>
      <c r="O182" s="3"/>
      <c r="P182" s="2"/>
      <c r="Q182" s="3"/>
      <c r="R182" s="2">
        <v>720</v>
      </c>
    </row>
    <row r="183" spans="1:18" s="15" customFormat="1" outlineLevel="1" collapsed="1" x14ac:dyDescent="0.35">
      <c r="A183" s="7"/>
      <c r="B183" s="20" t="str">
        <f>CONCATENATE("     ","Training                                          ")</f>
        <v xml:space="preserve">     Training                                          </v>
      </c>
      <c r="C183" s="7"/>
      <c r="D183" s="1">
        <f>SUM(OSRRefD21_17x_0)</f>
        <v>630</v>
      </c>
      <c r="E183" s="19"/>
      <c r="F183" s="1">
        <f>SUM(OSRRefF21_17x_0)</f>
        <v>220</v>
      </c>
      <c r="G183" s="4"/>
      <c r="H183" s="1">
        <f>SUM(OSRRefH21_17x_0)</f>
        <v>2246.3200000000002</v>
      </c>
      <c r="I183" s="4"/>
      <c r="J183" s="1">
        <f>SUM(OSRRefJ21_17x_0)</f>
        <v>0</v>
      </c>
      <c r="K183" s="4"/>
      <c r="L183" s="1">
        <f>SUM(OSRRefL21_17x_0)</f>
        <v>0</v>
      </c>
      <c r="M183" s="4"/>
      <c r="N183" s="1">
        <f>SUM(OSRRefN21_17x_0)</f>
        <v>254.8</v>
      </c>
      <c r="O183" s="4"/>
      <c r="P183" s="1">
        <f>SUM(OSRRefP21_17x_0)</f>
        <v>120</v>
      </c>
      <c r="Q183" s="4"/>
      <c r="R183" s="1">
        <f>SUM(OSRRefR21_17x_0)</f>
        <v>0</v>
      </c>
    </row>
    <row r="184" spans="1:18" s="16" customFormat="1" hidden="1" outlineLevel="2" x14ac:dyDescent="0.35">
      <c r="B184" s="11" t="str">
        <f>CONCATENATE("          ", "6376", " - ", "TRAINING")</f>
        <v xml:space="preserve">          6376 - TRAINING</v>
      </c>
      <c r="D184" s="2">
        <v>630</v>
      </c>
      <c r="F184" s="2">
        <v>220</v>
      </c>
      <c r="G184" s="3"/>
      <c r="H184" s="2">
        <v>2246.3200000000002</v>
      </c>
      <c r="I184" s="3"/>
      <c r="J184" s="2"/>
      <c r="K184" s="3"/>
      <c r="L184" s="2"/>
      <c r="M184" s="3"/>
      <c r="N184" s="2">
        <v>254.8</v>
      </c>
      <c r="O184" s="3"/>
      <c r="P184" s="2">
        <v>120</v>
      </c>
      <c r="Q184" s="3"/>
      <c r="R184" s="2"/>
    </row>
    <row r="185" spans="1:18" s="15" customFormat="1" outlineLevel="1" collapsed="1" x14ac:dyDescent="0.35">
      <c r="A185" s="7"/>
      <c r="B185" s="20" t="str">
        <f>CONCATENATE("     ","Travel                                            ")</f>
        <v xml:space="preserve">     Travel                                            </v>
      </c>
      <c r="C185" s="7"/>
      <c r="D185" s="1">
        <f>SUM(OSRRefD21_18x_0)</f>
        <v>303.87</v>
      </c>
      <c r="E185" s="19"/>
      <c r="F185" s="1">
        <f>SUM(OSRRefF21_18x_0)</f>
        <v>1072.69</v>
      </c>
      <c r="G185" s="4"/>
      <c r="H185" s="1">
        <f>SUM(OSRRefH21_18x_0)</f>
        <v>397.5</v>
      </c>
      <c r="I185" s="4"/>
      <c r="J185" s="1">
        <f>SUM(OSRRefJ21_18x_0)</f>
        <v>1626.69</v>
      </c>
      <c r="K185" s="4"/>
      <c r="L185" s="1">
        <f>SUM(OSRRefL21_18x_0)</f>
        <v>1153.81</v>
      </c>
      <c r="M185" s="4"/>
      <c r="N185" s="1">
        <f>SUM(OSRRefN21_18x_0)</f>
        <v>0</v>
      </c>
      <c r="O185" s="4"/>
      <c r="P185" s="1">
        <f>SUM(OSRRefP21_18x_0)</f>
        <v>0</v>
      </c>
      <c r="Q185" s="4"/>
      <c r="R185" s="1">
        <f>SUM(OSRRefR21_18x_0)</f>
        <v>0</v>
      </c>
    </row>
    <row r="186" spans="1:18" s="16" customFormat="1" hidden="1" outlineLevel="2" x14ac:dyDescent="0.35">
      <c r="B186" s="11" t="str">
        <f>CONCATENATE("          ", "6292", " - ", "TRAVEL/CONFERENCE")</f>
        <v xml:space="preserve">          6292 - TRAVEL/CONFERENCE</v>
      </c>
      <c r="D186" s="2">
        <v>303.87</v>
      </c>
      <c r="F186" s="2">
        <v>1072.69</v>
      </c>
      <c r="G186" s="3"/>
      <c r="H186" s="2">
        <v>397.5</v>
      </c>
      <c r="I186" s="3"/>
      <c r="J186" s="2">
        <v>1626.69</v>
      </c>
      <c r="K186" s="3"/>
      <c r="L186" s="2">
        <v>1153.81</v>
      </c>
      <c r="M186" s="3"/>
      <c r="N186" s="2"/>
      <c r="O186" s="3"/>
      <c r="P186" s="2"/>
      <c r="Q186" s="3"/>
      <c r="R186" s="2"/>
    </row>
    <row r="187" spans="1:18" x14ac:dyDescent="0.35">
      <c r="A187" s="12"/>
      <c r="B187" s="12"/>
      <c r="C187" s="12"/>
      <c r="D187" s="1"/>
      <c r="F187" s="1"/>
      <c r="H187" s="1"/>
      <c r="J187" s="1"/>
      <c r="L187" s="1"/>
      <c r="N187" s="1"/>
      <c r="P187" s="1"/>
      <c r="R187" s="1"/>
    </row>
    <row r="188" spans="1:18" s="7" customFormat="1" collapsed="1" x14ac:dyDescent="0.35">
      <c r="A188" s="36"/>
      <c r="B188" s="34" t="s">
        <v>295</v>
      </c>
      <c r="D188" s="6">
        <f>SUM(OSRRefD24x_0)</f>
        <v>0</v>
      </c>
      <c r="E188" s="12"/>
      <c r="F188" s="6">
        <f>SUM(OSRRefF24x_0)</f>
        <v>0</v>
      </c>
      <c r="G188" s="5"/>
      <c r="H188" s="6">
        <f>SUM(OSRRefH24x_0)</f>
        <v>0</v>
      </c>
      <c r="I188" s="5"/>
      <c r="J188" s="6">
        <f>SUM(OSRRefJ24x_0)</f>
        <v>0</v>
      </c>
      <c r="K188" s="5"/>
      <c r="L188" s="6">
        <f>SUM(OSRRefL24x_0)</f>
        <v>0</v>
      </c>
      <c r="M188" s="5"/>
      <c r="N188" s="6">
        <f>SUM(OSRRefN24x_0)</f>
        <v>68.760000000000005</v>
      </c>
      <c r="O188" s="5"/>
      <c r="P188" s="6">
        <f>SUM(OSRRefP24x_0)</f>
        <v>0</v>
      </c>
      <c r="Q188" s="5"/>
      <c r="R188" s="6">
        <f>SUM(OSRRefR24x_0)</f>
        <v>0</v>
      </c>
    </row>
    <row r="189" spans="1:18" s="7" customFormat="1" hidden="1" outlineLevel="1" x14ac:dyDescent="0.35">
      <c r="A189" s="36"/>
      <c r="B189" s="11" t="str">
        <f>CONCATENATE("          ", "9150", " - ", "MISC. INCOME")</f>
        <v xml:space="preserve">          9150 - MISC. INCOME</v>
      </c>
      <c r="D189" s="11">
        <f>0</f>
        <v>0</v>
      </c>
      <c r="E189" s="16"/>
      <c r="F189" s="11">
        <f>0</f>
        <v>0</v>
      </c>
      <c r="G189" s="3"/>
      <c r="H189" s="11">
        <f>0</f>
        <v>0</v>
      </c>
      <c r="I189" s="3"/>
      <c r="J189" s="11">
        <f>0</f>
        <v>0</v>
      </c>
      <c r="K189" s="3"/>
      <c r="L189" s="11">
        <f>0</f>
        <v>0</v>
      </c>
      <c r="M189" s="3"/>
      <c r="N189" s="11">
        <f>--68.76</f>
        <v>68.760000000000005</v>
      </c>
      <c r="O189" s="3"/>
      <c r="P189" s="11"/>
      <c r="Q189" s="3"/>
      <c r="R189" s="11"/>
    </row>
    <row r="190" spans="1:18" x14ac:dyDescent="0.35">
      <c r="A190" s="12"/>
      <c r="B190" s="7"/>
      <c r="C190" s="7"/>
      <c r="D190" s="6"/>
      <c r="F190" s="6"/>
      <c r="H190" s="6"/>
      <c r="J190" s="6"/>
      <c r="L190" s="6"/>
      <c r="N190" s="6"/>
      <c r="P190" s="6"/>
      <c r="R190" s="6"/>
    </row>
    <row r="191" spans="1:18" s="15" customFormat="1" x14ac:dyDescent="0.35">
      <c r="A191" s="7"/>
      <c r="B191" s="22" t="s">
        <v>279</v>
      </c>
      <c r="C191" s="22"/>
      <c r="D191" s="10">
        <f>+D95-D98+D188</f>
        <v>57706.400000000081</v>
      </c>
      <c r="E191" s="12"/>
      <c r="F191" s="10">
        <f>+F95-F98+F188</f>
        <v>70891.84999999986</v>
      </c>
      <c r="G191" s="5"/>
      <c r="H191" s="10">
        <f>+H95-H98+H188</f>
        <v>71550.160000000033</v>
      </c>
      <c r="I191" s="5"/>
      <c r="J191" s="10">
        <f>+J95-J98+J188</f>
        <v>103862.57999999999</v>
      </c>
      <c r="K191" s="5"/>
      <c r="L191" s="10">
        <f>+L95-L98+L188</f>
        <v>84782.479999999952</v>
      </c>
      <c r="M191" s="5"/>
      <c r="N191" s="10">
        <f>+N95-N98+N188</f>
        <v>53426.88000000023</v>
      </c>
      <c r="O191" s="5"/>
      <c r="P191" s="10">
        <f>+P95-P98+P188</f>
        <v>-74085.405286699999</v>
      </c>
      <c r="Q191" s="5"/>
      <c r="R191" s="10">
        <f>+R95-R98+R188</f>
        <v>74784.60699</v>
      </c>
    </row>
    <row r="192" spans="1:18" s="27" customFormat="1" x14ac:dyDescent="0.35">
      <c r="A192" s="18"/>
      <c r="B192" s="31"/>
      <c r="C192" s="18"/>
      <c r="D192" s="9">
        <f>IFERROR(D191/D10, 0)</f>
        <v>0.12047472382405924</v>
      </c>
      <c r="E192" s="18"/>
      <c r="F192" s="9">
        <f>IFERROR(F191/F10, 0)</f>
        <v>0.13712045809764997</v>
      </c>
      <c r="G192" s="14"/>
      <c r="H192" s="9">
        <f>IFERROR(H191/H10, 0)</f>
        <v>0.13880165226168689</v>
      </c>
      <c r="I192" s="14"/>
      <c r="J192" s="9">
        <f>IFERROR(J191/J10, 0)</f>
        <v>0.20858286525690828</v>
      </c>
      <c r="K192" s="14"/>
      <c r="L192" s="9">
        <f>IFERROR(L191/L10, 0)</f>
        <v>0.17644615905450425</v>
      </c>
      <c r="M192" s="14"/>
      <c r="N192" s="9">
        <f>IFERROR(N191/N10, 0)</f>
        <v>0.13013506972509864</v>
      </c>
      <c r="O192" s="14"/>
      <c r="P192" s="9">
        <f>IFERROR(P191/P10, 0)</f>
        <v>-0.45859401968876318</v>
      </c>
      <c r="Q192" s="14"/>
      <c r="R192" s="9">
        <f>IFERROR(R191/R10, 0)</f>
        <v>0.15651307297563713</v>
      </c>
    </row>
    <row r="193" spans="1:18" s="27" customFormat="1" x14ac:dyDescent="0.35">
      <c r="A193" s="18"/>
      <c r="B193" s="31"/>
      <c r="C193" s="18"/>
      <c r="D193" s="13"/>
      <c r="E193" s="18"/>
      <c r="F193" s="13"/>
      <c r="G193" s="14"/>
      <c r="H193" s="13"/>
      <c r="I193" s="14"/>
      <c r="J193" s="13"/>
      <c r="K193" s="14"/>
      <c r="L193" s="13"/>
      <c r="M193" s="14"/>
      <c r="N193" s="13"/>
      <c r="O193" s="14"/>
      <c r="P193" s="13"/>
      <c r="Q193" s="14"/>
      <c r="R193" s="13"/>
    </row>
    <row r="194" spans="1:18" s="15" customFormat="1" x14ac:dyDescent="0.35">
      <c r="A194" s="37"/>
      <c r="B194" s="7" t="s">
        <v>127</v>
      </c>
      <c r="C194" s="7"/>
      <c r="D194" s="6">
        <v>104088.56</v>
      </c>
      <c r="E194" s="12"/>
      <c r="F194" s="6">
        <v>73599.14</v>
      </c>
      <c r="G194" s="5"/>
      <c r="H194" s="6">
        <v>68923.3</v>
      </c>
      <c r="I194" s="5"/>
      <c r="J194" s="6">
        <v>66830.789999999994</v>
      </c>
      <c r="K194" s="5"/>
      <c r="L194" s="6">
        <v>34248.68</v>
      </c>
      <c r="M194" s="5"/>
      <c r="N194" s="6">
        <v>62166.47</v>
      </c>
      <c r="O194" s="5"/>
      <c r="P194" s="6">
        <v>27298</v>
      </c>
      <c r="Q194" s="5"/>
      <c r="R194" s="6">
        <v>54182</v>
      </c>
    </row>
    <row r="195" spans="1:18" x14ac:dyDescent="0.35">
      <c r="A195" s="12"/>
      <c r="B195" s="7"/>
      <c r="C195" s="7"/>
      <c r="D195" s="6"/>
      <c r="F195" s="6"/>
      <c r="H195" s="6"/>
      <c r="J195" s="6"/>
      <c r="L195" s="6"/>
      <c r="N195" s="6"/>
      <c r="P195" s="6"/>
      <c r="R195" s="6"/>
    </row>
    <row r="196" spans="1:18" s="15" customFormat="1" x14ac:dyDescent="0.35">
      <c r="A196" s="7"/>
      <c r="B196" s="22" t="s">
        <v>126</v>
      </c>
      <c r="C196" s="22"/>
      <c r="D196" s="10">
        <f>+D191-D194</f>
        <v>-46382.159999999916</v>
      </c>
      <c r="E196" s="12"/>
      <c r="F196" s="10">
        <f>+F191-F194</f>
        <v>-2707.2900000001391</v>
      </c>
      <c r="G196" s="5"/>
      <c r="H196" s="10">
        <f>+H191-H194</f>
        <v>2626.8600000000297</v>
      </c>
      <c r="I196" s="5"/>
      <c r="J196" s="10">
        <f>+J191-J194</f>
        <v>37031.789999999994</v>
      </c>
      <c r="K196" s="5"/>
      <c r="L196" s="10">
        <f>+L191-L194</f>
        <v>50533.799999999952</v>
      </c>
      <c r="M196" s="5"/>
      <c r="N196" s="10">
        <f>+N191-N194</f>
        <v>-8739.589999999771</v>
      </c>
      <c r="O196" s="5"/>
      <c r="P196" s="10">
        <f>+P191-P194</f>
        <v>-101383.4052867</v>
      </c>
      <c r="Q196" s="5"/>
      <c r="R196" s="10">
        <f>+R191-R194</f>
        <v>20602.60699</v>
      </c>
    </row>
    <row r="197" spans="1:18" s="27" customFormat="1" x14ac:dyDescent="0.35">
      <c r="A197" s="18"/>
      <c r="B197" s="18"/>
      <c r="C197" s="18"/>
      <c r="D197" s="9">
        <f>IFERROR(D196/D10, 0)</f>
        <v>-9.6832897501201068E-2</v>
      </c>
      <c r="E197" s="18"/>
      <c r="F197" s="9">
        <f>IFERROR(F196/F10, 0)</f>
        <v>-5.2364953799795963E-3</v>
      </c>
      <c r="G197" s="14"/>
      <c r="H197" s="9">
        <f>IFERROR(H196/H10, 0)</f>
        <v>5.0959006696859764E-3</v>
      </c>
      <c r="I197" s="14"/>
      <c r="J197" s="9">
        <f>IFERROR(J196/J10, 0)</f>
        <v>7.4369391399598611E-2</v>
      </c>
      <c r="K197" s="14"/>
      <c r="L197" s="9">
        <f>IFERROR(L196/L10, 0)</f>
        <v>0.10516907399298185</v>
      </c>
      <c r="M197" s="14"/>
      <c r="N197" s="9">
        <f>IFERROR(N196/N10, 0)</f>
        <v>-2.1287545782548788E-2</v>
      </c>
      <c r="O197" s="14"/>
      <c r="P197" s="9">
        <f>IFERROR(P196/P10, 0)</f>
        <v>-0.62757061502516265</v>
      </c>
      <c r="Q197" s="14"/>
      <c r="R197" s="9">
        <f>IFERROR(R196/R10, 0)</f>
        <v>4.3118195857409843E-2</v>
      </c>
    </row>
    <row r="198" spans="1:18" s="27" customFormat="1" x14ac:dyDescent="0.35">
      <c r="A198" s="18"/>
      <c r="B198" s="18"/>
      <c r="C198" s="18"/>
      <c r="D198" s="13"/>
      <c r="E198" s="18"/>
      <c r="F198" s="13"/>
      <c r="G198" s="14"/>
      <c r="H198" s="13"/>
      <c r="I198" s="14"/>
      <c r="J198" s="13"/>
      <c r="K198" s="14"/>
      <c r="L198" s="13"/>
      <c r="M198" s="14"/>
      <c r="N198" s="13"/>
      <c r="O198" s="14"/>
      <c r="P198" s="13"/>
      <c r="Q198" s="14"/>
      <c r="R198" s="13"/>
    </row>
    <row r="199" spans="1:18" x14ac:dyDescent="0.35">
      <c r="A199" s="12"/>
      <c r="B199" s="12"/>
      <c r="C199" s="12"/>
      <c r="D199" s="6"/>
      <c r="F199" s="6"/>
      <c r="H199" s="6"/>
      <c r="J199" s="6"/>
      <c r="L199" s="6"/>
      <c r="N199" s="6"/>
      <c r="P199" s="6"/>
      <c r="R199" s="6"/>
    </row>
    <row r="200" spans="1:18" s="15" customFormat="1" x14ac:dyDescent="0.35">
      <c r="A200" s="7"/>
      <c r="B200" s="22" t="s">
        <v>296</v>
      </c>
      <c r="C200" s="22"/>
      <c r="D200" s="10">
        <f>SUM(D196:D199)</f>
        <v>-46382.256832897416</v>
      </c>
      <c r="E200" s="12"/>
      <c r="F200" s="10">
        <f>SUM(F196:F199)</f>
        <v>-2707.295236495519</v>
      </c>
      <c r="G200" s="5"/>
      <c r="H200" s="10">
        <f>SUM(H196:H199)</f>
        <v>2626.8650959006995</v>
      </c>
      <c r="I200" s="5"/>
      <c r="J200" s="10">
        <f>SUM(J196:J199)</f>
        <v>37031.864369391391</v>
      </c>
      <c r="K200" s="5"/>
      <c r="L200" s="10">
        <f>SUM(L196:L199)</f>
        <v>50533.905169073943</v>
      </c>
      <c r="M200" s="5"/>
      <c r="N200" s="10">
        <f>SUM(N196:N199)</f>
        <v>-8739.6112875455528</v>
      </c>
      <c r="O200" s="5"/>
      <c r="P200" s="10">
        <f>SUM(P196:P199)</f>
        <v>-101384.03285731502</v>
      </c>
      <c r="Q200" s="5"/>
      <c r="R200" s="10">
        <f>SUM(R196:R199)</f>
        <v>20602.650108195856</v>
      </c>
    </row>
    <row r="201" spans="1:18" s="27" customFormat="1" x14ac:dyDescent="0.35">
      <c r="A201" s="18"/>
      <c r="B201" s="41"/>
      <c r="C201" s="18"/>
      <c r="D201" s="9">
        <f>IFERROR(D200/D10, 0)</f>
        <v>-9.6833099661040936E-2</v>
      </c>
      <c r="E201" s="18"/>
      <c r="F201" s="9">
        <f>IFERROR(F200/F10, 0)</f>
        <v>-5.2365055085154622E-3</v>
      </c>
      <c r="G201" s="14"/>
      <c r="H201" s="9">
        <f>IFERROR(H200/H10, 0)</f>
        <v>5.095910555330296E-3</v>
      </c>
      <c r="I201" s="14"/>
      <c r="J201" s="9">
        <f>IFERROR(J200/J10, 0)</f>
        <v>7.436954075252962E-2</v>
      </c>
      <c r="K201" s="14"/>
      <c r="L201" s="9">
        <f>IFERROR(L200/L10, 0)</f>
        <v>0.10516929286696569</v>
      </c>
      <c r="M201" s="14"/>
      <c r="N201" s="9">
        <f>IFERROR(N200/N10, 0)</f>
        <v>-2.128759763390628E-2</v>
      </c>
      <c r="O201" s="14"/>
      <c r="P201" s="9">
        <f>IFERROR(P200/P10, 0)</f>
        <v>-0.62757449973268187</v>
      </c>
      <c r="Q201" s="14"/>
      <c r="R201" s="9">
        <f>IFERROR(R200/R10, 0)</f>
        <v>4.311828609738845E-2</v>
      </c>
    </row>
    <row r="202" spans="1:18" x14ac:dyDescent="0.35">
      <c r="A202" s="12"/>
      <c r="B202" s="40">
        <v>44319.883572604165</v>
      </c>
      <c r="D202" s="24"/>
      <c r="F202" s="24"/>
      <c r="H202" s="24"/>
      <c r="J202" s="24"/>
      <c r="L202" s="24"/>
      <c r="N202" s="24"/>
      <c r="P202" s="24"/>
      <c r="R202" s="24"/>
    </row>
    <row r="203" spans="1:18" x14ac:dyDescent="0.35">
      <c r="A203" s="12"/>
      <c r="B203" s="39" t="s">
        <v>23</v>
      </c>
      <c r="D203" s="24"/>
      <c r="F203" s="24"/>
      <c r="H203" s="24"/>
      <c r="J203" s="24"/>
      <c r="L203" s="24"/>
      <c r="N203" s="24"/>
      <c r="P203" s="24"/>
      <c r="R203" s="24"/>
    </row>
    <row r="204" spans="1:18" x14ac:dyDescent="0.35">
      <c r="A204" s="12"/>
      <c r="D204" s="24"/>
      <c r="F204" s="24"/>
      <c r="H204" s="24"/>
      <c r="J204" s="24"/>
      <c r="L204" s="24"/>
      <c r="N204" s="24"/>
      <c r="P204" s="24"/>
      <c r="R204" s="24"/>
    </row>
    <row r="205" spans="1:18" x14ac:dyDescent="0.35">
      <c r="D205" s="24"/>
      <c r="F205" s="24"/>
      <c r="H205" s="24"/>
      <c r="J205" s="24"/>
      <c r="L205" s="24"/>
      <c r="N205" s="24"/>
      <c r="P205" s="24"/>
      <c r="R205" s="24"/>
    </row>
  </sheetData>
  <pageMargins left="0.5" right="0.5" top="0.5" bottom="0.5" header="0.3" footer="0.3"/>
  <pageSetup scale="59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","309", " - ", "Carts")</f>
        <v>Department 309 - Carts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438554.27999999997</v>
      </c>
      <c r="F10" s="8">
        <f>SUM(OSRRefF11x_0)</f>
        <v>441777.16</v>
      </c>
      <c r="G10" s="8"/>
      <c r="H10" s="8">
        <f>SUM(OSRRefH11x_0)</f>
        <v>476932.08999999997</v>
      </c>
      <c r="I10" s="8"/>
      <c r="J10" s="8">
        <f>SUM(OSRRefJ11x_0)</f>
        <v>459505.61000000004</v>
      </c>
      <c r="K10" s="8"/>
      <c r="L10" s="8">
        <f>SUM(OSRRefL11x_0)</f>
        <v>411161.05</v>
      </c>
      <c r="M10" s="8"/>
      <c r="N10" s="8">
        <f>SUM(OSRRefN11x_0)</f>
        <v>287556.77999999997</v>
      </c>
      <c r="O10" s="8"/>
      <c r="P10" s="8">
        <f>SUM(OSRRefP11x_0)</f>
        <v>2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"4051", " - ", "TAXABLE SALES-FOOD")</f>
        <v xml:space="preserve">          4051 - TAXABLE SALES-FOOD</v>
      </c>
      <c r="D11" s="11">
        <f>-75274.05*-1</f>
        <v>75274.05</v>
      </c>
      <c r="F11" s="11">
        <f>-64714.81*-1</f>
        <v>64714.81</v>
      </c>
      <c r="G11" s="3"/>
      <c r="H11" s="11">
        <f>-98837.49*-1</f>
        <v>98837.49</v>
      </c>
      <c r="I11" s="3"/>
      <c r="J11" s="11">
        <f>--92559.33</f>
        <v>92559.33</v>
      </c>
      <c r="K11" s="3"/>
      <c r="L11" s="11">
        <f>--93110.13</f>
        <v>93110.13</v>
      </c>
      <c r="M11" s="3"/>
      <c r="N11" s="11">
        <f>--64154.32</f>
        <v>64154.32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>0*-1</f>
        <v>0</v>
      </c>
      <c r="F12" s="11">
        <f>0*-1</f>
        <v>0</v>
      </c>
      <c r="G12" s="3"/>
      <c r="H12" s="11">
        <f>0*-1</f>
        <v>0</v>
      </c>
      <c r="I12" s="3"/>
      <c r="J12" s="11">
        <f>0</f>
        <v>0</v>
      </c>
      <c r="K12" s="3"/>
      <c r="L12" s="11">
        <f>0</f>
        <v>0</v>
      </c>
      <c r="M12" s="3"/>
      <c r="N12" s="11">
        <f>0</f>
        <v>0</v>
      </c>
      <c r="O12" s="3"/>
      <c r="P12" s="11">
        <v>2</v>
      </c>
      <c r="Q12" s="3"/>
      <c r="R12" s="11"/>
    </row>
    <row r="13" spans="1:18" s="16" customFormat="1" hidden="1" outlineLevel="1" x14ac:dyDescent="0.35">
      <c r="B13" s="35" t="str">
        <f>CONCATENATE("          ", "4151", " - ", "NON-TAXABLE SALES-FOOD")</f>
        <v xml:space="preserve">          4151 - NON-TAXABLE SALES-FOOD</v>
      </c>
      <c r="D13" s="11">
        <f>-363280.23*-1</f>
        <v>363280.23</v>
      </c>
      <c r="F13" s="11">
        <f>-377062.35*-1</f>
        <v>377062.35</v>
      </c>
      <c r="G13" s="3"/>
      <c r="H13" s="11">
        <f>-378094.6*-1</f>
        <v>378094.6</v>
      </c>
      <c r="I13" s="3"/>
      <c r="J13" s="11">
        <f>--366946.28</f>
        <v>366946.28</v>
      </c>
      <c r="K13" s="3"/>
      <c r="L13" s="11">
        <f>--318050.92</f>
        <v>318050.92</v>
      </c>
      <c r="M13" s="3"/>
      <c r="N13" s="11">
        <f>--223402.46</f>
        <v>223402.46</v>
      </c>
      <c r="O13" s="3"/>
      <c r="P13" s="11"/>
      <c r="Q13" s="3"/>
      <c r="R13" s="11"/>
    </row>
    <row r="14" spans="1:18" s="12" customFormat="1" x14ac:dyDescent="0.35">
      <c r="B14" s="7"/>
      <c r="D14" s="6"/>
      <c r="F14" s="6"/>
      <c r="G14" s="5"/>
      <c r="H14" s="6"/>
      <c r="I14" s="5"/>
      <c r="J14" s="6"/>
      <c r="K14" s="5"/>
      <c r="L14" s="6"/>
      <c r="M14" s="5"/>
      <c r="N14" s="6"/>
      <c r="O14" s="5"/>
      <c r="P14" s="6"/>
      <c r="Q14" s="5"/>
      <c r="R14" s="6"/>
    </row>
    <row r="15" spans="1:18" s="12" customFormat="1" collapsed="1" x14ac:dyDescent="0.35">
      <c r="B15" s="7" t="s">
        <v>278</v>
      </c>
      <c r="D15" s="8">
        <f>SUM(OSRRefD14x_0)</f>
        <v>218878.71</v>
      </c>
      <c r="E15" s="8"/>
      <c r="F15" s="8">
        <f>SUM(OSRRefF14x_0)</f>
        <v>231287.31</v>
      </c>
      <c r="G15" s="8"/>
      <c r="H15" s="8">
        <f>SUM(OSRRefH14x_0)</f>
        <v>251621.42</v>
      </c>
      <c r="I15" s="8"/>
      <c r="J15" s="8">
        <f>SUM(OSRRefJ14x_0)</f>
        <v>263170.78000000003</v>
      </c>
      <c r="K15" s="8"/>
      <c r="L15" s="8">
        <f>SUM(OSRRefL14x_0)</f>
        <v>209245.82</v>
      </c>
      <c r="M15" s="8"/>
      <c r="N15" s="8">
        <f>SUM(OSRRefN14x_0)</f>
        <v>156243.79999999999</v>
      </c>
      <c r="O15" s="8"/>
      <c r="P15" s="8">
        <f>SUM(OSRRefP14x_0)</f>
        <v>0</v>
      </c>
      <c r="Q15" s="8"/>
      <c r="R15" s="8">
        <f>SUM(OSRRefR14x_0)</f>
        <v>0</v>
      </c>
    </row>
    <row r="16" spans="1:18" s="44" customFormat="1" hidden="1" outlineLevel="1" x14ac:dyDescent="0.35">
      <c r="A16" s="16"/>
      <c r="B16" s="35" t="str">
        <f>CONCATENATE("          ", "5000", " - ", "PURCHASES @ COST")</f>
        <v xml:space="preserve">          5000 - PURCHASES @ COST</v>
      </c>
      <c r="C16" s="16"/>
      <c r="D16" s="11"/>
      <c r="E16" s="16"/>
      <c r="F16" s="11"/>
      <c r="G16" s="3"/>
      <c r="H16" s="11"/>
      <c r="I16" s="3"/>
      <c r="J16" s="11"/>
      <c r="K16" s="3"/>
      <c r="L16" s="11"/>
      <c r="M16" s="3"/>
      <c r="N16" s="11"/>
      <c r="O16" s="3"/>
      <c r="P16" s="11">
        <v>0</v>
      </c>
      <c r="Q16" s="3"/>
      <c r="R16" s="11"/>
    </row>
    <row r="17" spans="1:18" s="44" customFormat="1" hidden="1" outlineLevel="1" x14ac:dyDescent="0.35">
      <c r="A17" s="16"/>
      <c r="B17" s="35" t="str">
        <f>CONCATENATE("          ", "5053", " - ", "PURCHASES @ COST-FOOD")</f>
        <v xml:space="preserve">          5053 - PURCHASES @ COST-FOOD</v>
      </c>
      <c r="C17" s="16"/>
      <c r="D17" s="11">
        <v>200564.37</v>
      </c>
      <c r="E17" s="16"/>
      <c r="F17" s="11">
        <v>222989.51</v>
      </c>
      <c r="G17" s="3"/>
      <c r="H17" s="11">
        <v>244316.07</v>
      </c>
      <c r="I17" s="3"/>
      <c r="J17" s="11">
        <v>226371.53</v>
      </c>
      <c r="K17" s="3"/>
      <c r="L17" s="11">
        <v>195406.1</v>
      </c>
      <c r="M17" s="3"/>
      <c r="N17" s="11">
        <v>138437.47</v>
      </c>
      <c r="O17" s="3"/>
      <c r="P17" s="11"/>
      <c r="Q17" s="3"/>
      <c r="R17" s="11"/>
    </row>
    <row r="18" spans="1:18" s="44" customFormat="1" hidden="1" outlineLevel="1" x14ac:dyDescent="0.35">
      <c r="A18" s="16"/>
      <c r="B18" s="35" t="str">
        <f>CONCATENATE("          ", "5059", " - ", "PURCHASES @ COST-FOOD")</f>
        <v xml:space="preserve">          5059 - PURCHASES @ COST-FOOD</v>
      </c>
      <c r="C18" s="16"/>
      <c r="D18" s="11">
        <v>18314.34</v>
      </c>
      <c r="E18" s="16"/>
      <c r="F18" s="11">
        <v>8297.7999999999993</v>
      </c>
      <c r="G18" s="3"/>
      <c r="H18" s="11">
        <v>7305.35</v>
      </c>
      <c r="I18" s="3"/>
      <c r="J18" s="11">
        <v>36799.25</v>
      </c>
      <c r="K18" s="3"/>
      <c r="L18" s="11">
        <v>13839.72</v>
      </c>
      <c r="M18" s="3"/>
      <c r="N18" s="11">
        <v>17806.330000000002</v>
      </c>
      <c r="O18" s="3"/>
      <c r="P18" s="11"/>
      <c r="Q18" s="3"/>
      <c r="R18" s="11"/>
    </row>
    <row r="19" spans="1:18" x14ac:dyDescent="0.35">
      <c r="A19" s="12"/>
      <c r="B19" s="7"/>
      <c r="C19" s="7"/>
      <c r="D19" s="6"/>
      <c r="F19" s="6"/>
      <c r="H19" s="6"/>
      <c r="J19" s="6"/>
      <c r="L19" s="6"/>
      <c r="N19" s="6"/>
      <c r="P19" s="6"/>
      <c r="R19" s="6"/>
    </row>
    <row r="20" spans="1:18" s="15" customFormat="1" x14ac:dyDescent="0.35">
      <c r="A20" s="7"/>
      <c r="B20" s="22" t="s">
        <v>107</v>
      </c>
      <c r="C20" s="22"/>
      <c r="D20" s="10">
        <f>+D10-D15</f>
        <v>219675.56999999998</v>
      </c>
      <c r="E20" s="12"/>
      <c r="F20" s="10">
        <f>+F10-F15</f>
        <v>210489.84999999998</v>
      </c>
      <c r="G20" s="5"/>
      <c r="H20" s="10">
        <f>+H10-H15</f>
        <v>225310.66999999995</v>
      </c>
      <c r="I20" s="5"/>
      <c r="J20" s="10">
        <f>+J10-J15</f>
        <v>196334.83000000002</v>
      </c>
      <c r="K20" s="5"/>
      <c r="L20" s="10">
        <f>+L10-L15</f>
        <v>201915.22999999998</v>
      </c>
      <c r="M20" s="5"/>
      <c r="N20" s="10">
        <f>+N10-N15</f>
        <v>131312.97999999998</v>
      </c>
      <c r="O20" s="5"/>
      <c r="P20" s="10">
        <f>+P10-P15</f>
        <v>2</v>
      </c>
      <c r="Q20" s="5"/>
      <c r="R20" s="10">
        <f>+R10-R15</f>
        <v>0</v>
      </c>
    </row>
    <row r="21" spans="1:18" s="27" customFormat="1" x14ac:dyDescent="0.35">
      <c r="A21" s="18"/>
      <c r="B21" s="31"/>
      <c r="C21" s="18"/>
      <c r="D21" s="9">
        <f>IFERROR(D20/D10, 0)</f>
        <v>0.50090850783624774</v>
      </c>
      <c r="E21" s="13"/>
      <c r="F21" s="9">
        <f>IFERROR(F20/F10, 0)</f>
        <v>0.47646159434770236</v>
      </c>
      <c r="G21" s="26"/>
      <c r="H21" s="9">
        <f>IFERROR(H20/H10, 0)</f>
        <v>0.47241667047398711</v>
      </c>
      <c r="I21" s="26"/>
      <c r="J21" s="9">
        <f>IFERROR(J20/J10, 0)</f>
        <v>0.42727406527202139</v>
      </c>
      <c r="K21" s="26"/>
      <c r="L21" s="9">
        <f>IFERROR(L20/L10, 0)</f>
        <v>0.49108550043833188</v>
      </c>
      <c r="M21" s="26"/>
      <c r="N21" s="9">
        <f>IFERROR(N20/N10, 0)</f>
        <v>0.45665061348927333</v>
      </c>
      <c r="O21" s="26"/>
      <c r="P21" s="9">
        <f>IFERROR(P20/P10, 0)</f>
        <v>1</v>
      </c>
      <c r="Q21" s="26"/>
      <c r="R21" s="9">
        <f>IFERROR(R20/R10, 0)</f>
        <v>0</v>
      </c>
    </row>
    <row r="22" spans="1:18" s="27" customFormat="1" x14ac:dyDescent="0.35">
      <c r="A22" s="18"/>
      <c r="B22" s="31"/>
      <c r="C22" s="18"/>
      <c r="D22" s="13"/>
      <c r="E22" s="13"/>
      <c r="F22" s="13"/>
      <c r="G22" s="26"/>
      <c r="H22" s="13"/>
      <c r="I22" s="26"/>
      <c r="J22" s="13"/>
      <c r="K22" s="26"/>
      <c r="L22" s="13"/>
      <c r="M22" s="26"/>
      <c r="N22" s="13"/>
      <c r="O22" s="26"/>
      <c r="P22" s="13"/>
      <c r="Q22" s="26"/>
      <c r="R22" s="13"/>
    </row>
    <row r="23" spans="1:18" s="15" customFormat="1" x14ac:dyDescent="0.35">
      <c r="A23" s="7"/>
      <c r="B23" s="34" t="s">
        <v>314</v>
      </c>
      <c r="C23" s="7"/>
      <c r="D23" s="8">
        <f>SUM(OSRRefD21x_0)</f>
        <v>114706.95000000003</v>
      </c>
      <c r="E23" s="19"/>
      <c r="F23" s="8">
        <f>SUM(OSRRefF21x_0)</f>
        <v>115419.65000000001</v>
      </c>
      <c r="G23" s="4"/>
      <c r="H23" s="8">
        <f>SUM(OSRRefH21x_0)</f>
        <v>136727.94999999998</v>
      </c>
      <c r="I23" s="4"/>
      <c r="J23" s="8">
        <f>SUM(OSRRefJ21x_0)</f>
        <v>181771.55999999997</v>
      </c>
      <c r="K23" s="4"/>
      <c r="L23" s="8">
        <f>SUM(OSRRefL21x_0)</f>
        <v>192166.77</v>
      </c>
      <c r="M23" s="4"/>
      <c r="N23" s="8">
        <f>SUM(OSRRefN21x_0)</f>
        <v>131548.17000000001</v>
      </c>
      <c r="O23" s="4"/>
      <c r="P23" s="8">
        <f>SUM(OSRRefP21x_0)</f>
        <v>0</v>
      </c>
      <c r="Q23" s="4"/>
      <c r="R23" s="8">
        <f>SUM(OSRRefR21x_0)</f>
        <v>7056</v>
      </c>
    </row>
    <row r="24" spans="1:18" s="15" customFormat="1" outlineLevel="1" collapsed="1" x14ac:dyDescent="0.35">
      <c r="A24" s="7"/>
      <c r="B24" s="20" t="str">
        <f>CONCATENATE("     ","*Benefits                                         ")</f>
        <v xml:space="preserve">     *Benefits                                         </v>
      </c>
      <c r="C24" s="7"/>
      <c r="D24" s="1">
        <f>SUM(OSRRefD21_0x_0)</f>
        <v>12480.82</v>
      </c>
      <c r="E24" s="19"/>
      <c r="F24" s="1">
        <f>SUM(OSRRefF21_0x_0)</f>
        <v>14587.310000000001</v>
      </c>
      <c r="G24" s="4"/>
      <c r="H24" s="1">
        <f>SUM(OSRRefH21_0x_0)</f>
        <v>16553.54</v>
      </c>
      <c r="I24" s="4"/>
      <c r="J24" s="1">
        <f>SUM(OSRRefJ21_0x_0)</f>
        <v>35287.780000000006</v>
      </c>
      <c r="K24" s="4"/>
      <c r="L24" s="1">
        <f>SUM(OSRRefL21_0x_0)</f>
        <v>38790.61</v>
      </c>
      <c r="M24" s="4"/>
      <c r="N24" s="1">
        <f>SUM(OSRRefN21_0x_0)</f>
        <v>12752.91</v>
      </c>
      <c r="O24" s="4"/>
      <c r="P24" s="1">
        <f>SUM(OSRRefP21_0x_0)</f>
        <v>0</v>
      </c>
      <c r="Q24" s="4"/>
      <c r="R24" s="1">
        <f>SUM(OSRRefR21_0x_0)</f>
        <v>0</v>
      </c>
    </row>
    <row r="25" spans="1:18" s="16" customFormat="1" hidden="1" outlineLevel="2" x14ac:dyDescent="0.35">
      <c r="B25" s="11" t="str">
        <f>CONCATENATE("          ", "6111", " - ", "F.I.C.A.")</f>
        <v xml:space="preserve">          6111 - F.I.C.A.</v>
      </c>
      <c r="D25" s="2">
        <v>2686.59</v>
      </c>
      <c r="F25" s="2">
        <v>2378</v>
      </c>
      <c r="G25" s="3"/>
      <c r="H25" s="2">
        <v>3001.72</v>
      </c>
      <c r="I25" s="3"/>
      <c r="J25" s="2">
        <v>3720.95</v>
      </c>
      <c r="K25" s="3"/>
      <c r="L25" s="2">
        <v>5873.44</v>
      </c>
      <c r="M25" s="3"/>
      <c r="N25" s="2">
        <v>3698.79</v>
      </c>
      <c r="O25" s="3"/>
      <c r="P25" s="2">
        <v>0</v>
      </c>
      <c r="Q25" s="3"/>
      <c r="R25" s="2"/>
    </row>
    <row r="26" spans="1:18" s="16" customFormat="1" hidden="1" outlineLevel="2" x14ac:dyDescent="0.35">
      <c r="B26" s="11" t="str">
        <f>CONCATENATE("          ", "6112", " - ", "COMPENSATION INSURANCE")</f>
        <v xml:space="preserve">          6112 - COMPENSATION INSURANCE</v>
      </c>
      <c r="D26" s="2">
        <v>1102.8900000000001</v>
      </c>
      <c r="F26" s="2">
        <v>1529.14</v>
      </c>
      <c r="G26" s="3"/>
      <c r="H26" s="2">
        <v>1295.8800000000001</v>
      </c>
      <c r="I26" s="3"/>
      <c r="J26" s="2">
        <v>945.23</v>
      </c>
      <c r="K26" s="3"/>
      <c r="L26" s="2">
        <v>1297.22</v>
      </c>
      <c r="M26" s="3"/>
      <c r="N26" s="2">
        <v>1342.55</v>
      </c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"6113", " - ", "GROUP INSURANCE")</f>
        <v xml:space="preserve">          6113 - GROUP INSURANCE</v>
      </c>
      <c r="D27" s="2">
        <v>4564.4799999999996</v>
      </c>
      <c r="F27" s="2">
        <v>6537.72</v>
      </c>
      <c r="G27" s="3"/>
      <c r="H27" s="2">
        <v>7171.87</v>
      </c>
      <c r="I27" s="3"/>
      <c r="J27" s="2">
        <v>21841.52</v>
      </c>
      <c r="K27" s="3"/>
      <c r="L27" s="2">
        <v>22172.1</v>
      </c>
      <c r="M27" s="3"/>
      <c r="N27" s="2">
        <v>4829.7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"6114", " - ", "STATE UNEMPLOYMENT INSURANCE")</f>
        <v xml:space="preserve">          6114 - STATE UNEMPLOYMENT INSURANCE</v>
      </c>
      <c r="D28" s="2">
        <v>442.24</v>
      </c>
      <c r="F28" s="2">
        <v>369.23</v>
      </c>
      <c r="G28" s="3"/>
      <c r="H28" s="2">
        <v>242.94</v>
      </c>
      <c r="I28" s="3"/>
      <c r="J28" s="2">
        <v>314.68</v>
      </c>
      <c r="K28" s="3"/>
      <c r="L28" s="2">
        <v>310.3</v>
      </c>
      <c r="M28" s="3"/>
      <c r="N28" s="2">
        <v>0</v>
      </c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"6115", " - ", "P.E.R.S.")</f>
        <v xml:space="preserve">          6115 - P.E.R.S.</v>
      </c>
      <c r="D29" s="2"/>
      <c r="F29" s="2"/>
      <c r="G29" s="3"/>
      <c r="H29" s="2"/>
      <c r="I29" s="3"/>
      <c r="J29" s="2">
        <v>2696.82</v>
      </c>
      <c r="K29" s="3"/>
      <c r="L29" s="2">
        <v>3046.46</v>
      </c>
      <c r="M29" s="3"/>
      <c r="N29" s="2">
        <v>938.77</v>
      </c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"6116", " - ", "EDUCATIONAL BENEFITS")</f>
        <v xml:space="preserve">          6116 - EDUCATIONAL BENEFITS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"6118", " - ", "VACATION")</f>
        <v xml:space="preserve">          6118 - VACATION</v>
      </c>
      <c r="D31" s="2">
        <v>1633.4</v>
      </c>
      <c r="F31" s="2">
        <v>1889.92</v>
      </c>
      <c r="G31" s="3"/>
      <c r="H31" s="2">
        <v>1879.84</v>
      </c>
      <c r="I31" s="3"/>
      <c r="J31" s="2">
        <v>1833.43</v>
      </c>
      <c r="K31" s="3"/>
      <c r="L31" s="2">
        <v>1905</v>
      </c>
      <c r="M31" s="3"/>
      <c r="N31" s="2">
        <v>480.48</v>
      </c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"6119", " - ", "SICK LEAVE")</f>
        <v xml:space="preserve">          6119 - SICK LEAVE</v>
      </c>
      <c r="D32" s="2">
        <v>1018.86</v>
      </c>
      <c r="F32" s="2">
        <v>1145.0999999999999</v>
      </c>
      <c r="G32" s="3"/>
      <c r="H32" s="2">
        <v>1162.8800000000001</v>
      </c>
      <c r="I32" s="3"/>
      <c r="J32" s="2">
        <v>2165.2800000000002</v>
      </c>
      <c r="K32" s="3"/>
      <c r="L32" s="2">
        <v>2414.08</v>
      </c>
      <c r="M32" s="3"/>
      <c r="N32" s="2">
        <v>575.64</v>
      </c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"6156", " - ", "EMPLOYEE MEALS")</f>
        <v xml:space="preserve">          6156 - EMPLOYEE MEALS</v>
      </c>
      <c r="D33" s="2">
        <v>1032.3599999999999</v>
      </c>
      <c r="F33" s="2">
        <v>738.2</v>
      </c>
      <c r="G33" s="3"/>
      <c r="H33" s="2">
        <v>1798.41</v>
      </c>
      <c r="I33" s="3"/>
      <c r="J33" s="2">
        <v>1769.87</v>
      </c>
      <c r="K33" s="3"/>
      <c r="L33" s="2">
        <v>1772.01</v>
      </c>
      <c r="M33" s="3"/>
      <c r="N33" s="2">
        <v>886.98</v>
      </c>
      <c r="O33" s="3"/>
      <c r="P33" s="2"/>
      <c r="Q33" s="3"/>
      <c r="R33" s="2"/>
    </row>
    <row r="34" spans="1:18" s="15" customFormat="1" outlineLevel="1" collapsed="1" x14ac:dyDescent="0.35">
      <c r="A34" s="7"/>
      <c r="B34" s="20" t="str">
        <f>CONCATENATE("     ","*Payroll                                          ")</f>
        <v xml:space="preserve">     *Payroll                                          </v>
      </c>
      <c r="C34" s="7"/>
      <c r="D34" s="1">
        <f>SUM(OSRRefD21_1x_0)</f>
        <v>63242.720000000001</v>
      </c>
      <c r="E34" s="19"/>
      <c r="F34" s="1">
        <f>SUM(OSRRefF21_1x_0)</f>
        <v>57557.58</v>
      </c>
      <c r="G34" s="4"/>
      <c r="H34" s="1">
        <f>SUM(OSRRefH21_1x_0)</f>
        <v>73041.02</v>
      </c>
      <c r="I34" s="4"/>
      <c r="J34" s="1">
        <f>SUM(OSRRefJ21_1x_0)</f>
        <v>106958.37999999999</v>
      </c>
      <c r="K34" s="4"/>
      <c r="L34" s="1">
        <f>SUM(OSRRefL21_1x_0)</f>
        <v>115208.34</v>
      </c>
      <c r="M34" s="4"/>
      <c r="N34" s="1">
        <f>SUM(OSRRefN21_1x_0)</f>
        <v>74718.25</v>
      </c>
      <c r="O34" s="4"/>
      <c r="P34" s="1">
        <f>SUM(OSRRefP21_1x_0)</f>
        <v>0</v>
      </c>
      <c r="Q34" s="4"/>
      <c r="R34" s="1">
        <f>SUM(OSRRefR21_1x_0)</f>
        <v>0</v>
      </c>
    </row>
    <row r="35" spans="1:18" s="16" customFormat="1" hidden="1" outlineLevel="2" x14ac:dyDescent="0.35">
      <c r="B35" s="11" t="str">
        <f>CONCATENATE("          ", "6001", " - ", "ADMINISTRATIVE SALARIES")</f>
        <v xml:space="preserve">          6001 - ADMINISTRATIVE SALARIES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/>
    </row>
    <row r="36" spans="1:18" s="16" customFormat="1" hidden="1" outlineLevel="2" x14ac:dyDescent="0.35">
      <c r="B36" s="11" t="str">
        <f>CONCATENATE("          ", "6002", " - ", "STAFF SALARIES")</f>
        <v xml:space="preserve">          6002 - STAFF SALARIES</v>
      </c>
      <c r="D36" s="2"/>
      <c r="F36" s="2"/>
      <c r="G36" s="3"/>
      <c r="H36" s="2"/>
      <c r="I36" s="3"/>
      <c r="J36" s="2">
        <v>40653</v>
      </c>
      <c r="K36" s="3"/>
      <c r="L36" s="2">
        <v>45188.32</v>
      </c>
      <c r="M36" s="3"/>
      <c r="N36" s="2">
        <v>9840</v>
      </c>
      <c r="O36" s="3"/>
      <c r="P36" s="2">
        <v>0</v>
      </c>
      <c r="Q36" s="3"/>
      <c r="R36" s="2"/>
    </row>
    <row r="37" spans="1:18" s="16" customFormat="1" hidden="1" outlineLevel="2" x14ac:dyDescent="0.35">
      <c r="B37" s="11" t="str">
        <f>CONCATENATE("          ", "6003", " - ", "STAFF HOURLY-9 MONTH")</f>
        <v xml:space="preserve">          6003 - STAFF HOURLY-9 MONTH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"6004", " - ", "STAFF HOURLY")</f>
        <v xml:space="preserve">          6004 - STAFF HOURLY</v>
      </c>
      <c r="D38" s="2">
        <v>21965.61</v>
      </c>
      <c r="F38" s="2">
        <v>17374.150000000001</v>
      </c>
      <c r="G38" s="3"/>
      <c r="H38" s="2">
        <v>21565.23</v>
      </c>
      <c r="I38" s="3"/>
      <c r="J38" s="2">
        <v>1865.02</v>
      </c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"6005", " - ", "TEMPORARY WAGES-HOURLY")</f>
        <v xml:space="preserve">          6005 - TEMPORARY WAGES-HOURLY</v>
      </c>
      <c r="D39" s="2"/>
      <c r="F39" s="2">
        <v>6685.13</v>
      </c>
      <c r="G39" s="3"/>
      <c r="H39" s="2">
        <v>15190.82</v>
      </c>
      <c r="I39" s="3"/>
      <c r="J39" s="2"/>
      <c r="K39" s="3"/>
      <c r="L39" s="2">
        <v>8360.02</v>
      </c>
      <c r="M39" s="3"/>
      <c r="N39" s="2">
        <v>29326.09</v>
      </c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"6006", " - ", "TEMPORARY PART TIME")</f>
        <v xml:space="preserve">          6006 - TEMPORARY PART TIME</v>
      </c>
      <c r="D40" s="2"/>
      <c r="F40" s="2"/>
      <c r="G40" s="3"/>
      <c r="H40" s="2">
        <v>207.38</v>
      </c>
      <c r="I40" s="3"/>
      <c r="J40" s="2">
        <v>88.13</v>
      </c>
      <c r="K40" s="3"/>
      <c r="L40" s="2">
        <v>11914.09</v>
      </c>
      <c r="M40" s="3"/>
      <c r="N40" s="2">
        <v>2587.42</v>
      </c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"6007", " - ", "STUDENT HOURLY")</f>
        <v xml:space="preserve">          6007 - STUDENT HOURLY</v>
      </c>
      <c r="D41" s="2">
        <v>41083.61</v>
      </c>
      <c r="F41" s="2">
        <v>30746.55</v>
      </c>
      <c r="G41" s="3"/>
      <c r="H41" s="2">
        <v>34415.46</v>
      </c>
      <c r="I41" s="3"/>
      <c r="J41" s="2">
        <v>55912.95</v>
      </c>
      <c r="K41" s="3"/>
      <c r="L41" s="2">
        <v>48320.91</v>
      </c>
      <c r="M41" s="3"/>
      <c r="N41" s="2">
        <v>32907.74</v>
      </c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"6008", " - ", "STUDENT HOURLY-FICA EXEMPT")</f>
        <v xml:space="preserve">          6008 - STUDENT HOURLY-FICA EXEMPT</v>
      </c>
      <c r="D42" s="2">
        <v>193.5</v>
      </c>
      <c r="F42" s="2">
        <v>2751.75</v>
      </c>
      <c r="G42" s="3"/>
      <c r="H42" s="2">
        <v>1662.13</v>
      </c>
      <c r="I42" s="3"/>
      <c r="J42" s="2">
        <v>8439.2800000000007</v>
      </c>
      <c r="K42" s="3"/>
      <c r="L42" s="2">
        <v>1425</v>
      </c>
      <c r="M42" s="3"/>
      <c r="N42" s="2">
        <v>57</v>
      </c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"6009", " - ", "TEMPORARY-SEASONAL")</f>
        <v xml:space="preserve">          6009 - TEMPORARY-SEASONAL</v>
      </c>
      <c r="D43" s="2"/>
      <c r="F43" s="2"/>
      <c r="G43" s="3"/>
      <c r="H43" s="2"/>
      <c r="I43" s="3"/>
      <c r="J43" s="2"/>
      <c r="K43" s="3"/>
      <c r="L43" s="2"/>
      <c r="M43" s="3"/>
      <c r="N43" s="2"/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"6010", " - ", "GRATUITY")</f>
        <v xml:space="preserve">          6010 - GRATUITY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/>
    </row>
    <row r="45" spans="1:18" s="15" customFormat="1" outlineLevel="1" collapsed="1" x14ac:dyDescent="0.35">
      <c r="A45" s="7"/>
      <c r="B45" s="20" t="str">
        <f>CONCATENATE("     ","Advertising/Promo                                 ")</f>
        <v xml:space="preserve">     Advertising/Promo                                 </v>
      </c>
      <c r="C45" s="7"/>
      <c r="D45" s="1">
        <f>SUM(OSRRefD21_2x_0)</f>
        <v>138.1</v>
      </c>
      <c r="E45" s="19"/>
      <c r="F45" s="1">
        <f>SUM(OSRRefF21_2x_0)</f>
        <v>622.51</v>
      </c>
      <c r="G45" s="4"/>
      <c r="H45" s="1">
        <f>SUM(OSRRefH21_2x_0)</f>
        <v>208.37</v>
      </c>
      <c r="I45" s="4"/>
      <c r="J45" s="1">
        <f>SUM(OSRRefJ21_2x_0)</f>
        <v>107.63</v>
      </c>
      <c r="K45" s="4"/>
      <c r="L45" s="1">
        <f>SUM(OSRRefL21_2x_0)</f>
        <v>2330.6799999999998</v>
      </c>
      <c r="M45" s="4"/>
      <c r="N45" s="1">
        <f>SUM(OSRRefN21_2x_0)</f>
        <v>910.02</v>
      </c>
      <c r="O45" s="4"/>
      <c r="P45" s="1">
        <f>SUM(OSRRefP21_2x_0)</f>
        <v>0</v>
      </c>
      <c r="Q45" s="4"/>
      <c r="R45" s="1">
        <f>SUM(OSRRefR21_2x_0)</f>
        <v>0</v>
      </c>
    </row>
    <row r="46" spans="1:18" s="16" customFormat="1" hidden="1" outlineLevel="2" x14ac:dyDescent="0.35">
      <c r="B46" s="11" t="str">
        <f>CONCATENATE("          ", "6362", " - ", "ADVERTISING EXPENSE")</f>
        <v xml:space="preserve">          6362 - ADVERTISING EXPENSE</v>
      </c>
      <c r="D46" s="2">
        <v>138.1</v>
      </c>
      <c r="F46" s="2">
        <v>622.51</v>
      </c>
      <c r="G46" s="3"/>
      <c r="H46" s="2">
        <v>208.37</v>
      </c>
      <c r="I46" s="3"/>
      <c r="J46" s="2">
        <v>107.63</v>
      </c>
      <c r="K46" s="3"/>
      <c r="L46" s="2">
        <v>2330.6799999999998</v>
      </c>
      <c r="M46" s="3"/>
      <c r="N46" s="2">
        <v>910.02</v>
      </c>
      <c r="O46" s="3"/>
      <c r="P46" s="2">
        <v>0</v>
      </c>
      <c r="Q46" s="3"/>
      <c r="R46" s="2"/>
    </row>
    <row r="47" spans="1:18" s="15" customFormat="1" outlineLevel="1" collapsed="1" x14ac:dyDescent="0.35">
      <c r="A47" s="7"/>
      <c r="B47" s="20" t="str">
        <f>CONCATENATE("     ","Bad Debts/Over/Short                              ")</f>
        <v xml:space="preserve">     Bad Debts/Over/Short                              </v>
      </c>
      <c r="C47" s="7"/>
      <c r="D47" s="1">
        <f>SUM(OSRRefD21_3x_0)</f>
        <v>237.83</v>
      </c>
      <c r="E47" s="19"/>
      <c r="F47" s="1">
        <f>SUM(OSRRefF21_3x_0)</f>
        <v>290.79000000000002</v>
      </c>
      <c r="G47" s="4"/>
      <c r="H47" s="1">
        <f>SUM(OSRRefH21_3x_0)</f>
        <v>-313.54000000000002</v>
      </c>
      <c r="I47" s="4"/>
      <c r="J47" s="1">
        <f>SUM(OSRRefJ21_3x_0)</f>
        <v>-526.72</v>
      </c>
      <c r="K47" s="4"/>
      <c r="L47" s="1">
        <f>SUM(OSRRefL21_3x_0)</f>
        <v>436.07</v>
      </c>
      <c r="M47" s="4"/>
      <c r="N47" s="1">
        <f>SUM(OSRRefN21_3x_0)</f>
        <v>-18.989999999999998</v>
      </c>
      <c r="O47" s="4"/>
      <c r="P47" s="1">
        <f>SUM(OSRRefP21_3x_0)</f>
        <v>0</v>
      </c>
      <c r="Q47" s="4"/>
      <c r="R47" s="1">
        <f>SUM(OSRRefR21_3x_0)</f>
        <v>0</v>
      </c>
    </row>
    <row r="48" spans="1:18" s="16" customFormat="1" hidden="1" outlineLevel="2" x14ac:dyDescent="0.35">
      <c r="B48" s="11" t="str">
        <f>CONCATENATE("          ", "6272", " - ", "CASH (OVER/SHORT)")</f>
        <v xml:space="preserve">          6272 - CASH (OVER/SHORT)</v>
      </c>
      <c r="D48" s="2">
        <v>237.83</v>
      </c>
      <c r="F48" s="2">
        <v>290.79000000000002</v>
      </c>
      <c r="G48" s="3"/>
      <c r="H48" s="2">
        <v>-313.54000000000002</v>
      </c>
      <c r="I48" s="3"/>
      <c r="J48" s="2">
        <v>-526.72</v>
      </c>
      <c r="K48" s="3"/>
      <c r="L48" s="2">
        <v>436.07</v>
      </c>
      <c r="M48" s="3"/>
      <c r="N48" s="2">
        <v>-18.989999999999998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","Bank/card Fees                                    ")</f>
        <v xml:space="preserve">     Bank/card Fees                                    </v>
      </c>
      <c r="C49" s="7"/>
      <c r="D49" s="1">
        <f>SUM(OSRRefD21_4x_0)</f>
        <v>13419.49</v>
      </c>
      <c r="E49" s="19"/>
      <c r="F49" s="1">
        <f>SUM(OSRRefF21_4x_0)</f>
        <v>16298.16</v>
      </c>
      <c r="G49" s="4"/>
      <c r="H49" s="1">
        <f>SUM(OSRRefH21_4x_0)</f>
        <v>14562.09</v>
      </c>
      <c r="I49" s="4"/>
      <c r="J49" s="1">
        <f>SUM(OSRRefJ21_4x_0)</f>
        <v>13183.56</v>
      </c>
      <c r="K49" s="4"/>
      <c r="L49" s="1">
        <f>SUM(OSRRefL21_4x_0)</f>
        <v>13140.39</v>
      </c>
      <c r="M49" s="4"/>
      <c r="N49" s="1">
        <f>SUM(OSRRefN21_4x_0)</f>
        <v>10541.38</v>
      </c>
      <c r="O49" s="4"/>
      <c r="P49" s="1">
        <f>SUM(OSRRefP21_4x_0)</f>
        <v>0</v>
      </c>
      <c r="Q49" s="4"/>
      <c r="R49" s="1">
        <f>SUM(OSRRefR21_4x_0)</f>
        <v>0</v>
      </c>
    </row>
    <row r="50" spans="1:18" s="16" customFormat="1" hidden="1" outlineLevel="2" x14ac:dyDescent="0.35">
      <c r="B50" s="11" t="str">
        <f>CONCATENATE("          ", "6381", " - ", "BANK/CREDIT CARD FEES")</f>
        <v xml:space="preserve">          6381 - BANK/CREDIT CARD FEES</v>
      </c>
      <c r="D50" s="2">
        <v>13419.49</v>
      </c>
      <c r="F50" s="2">
        <v>16298.16</v>
      </c>
      <c r="G50" s="3"/>
      <c r="H50" s="2">
        <v>14562.09</v>
      </c>
      <c r="I50" s="3"/>
      <c r="J50" s="2">
        <v>13183.56</v>
      </c>
      <c r="K50" s="3"/>
      <c r="L50" s="2">
        <v>13140.39</v>
      </c>
      <c r="M50" s="3"/>
      <c r="N50" s="2">
        <v>10541.38</v>
      </c>
      <c r="O50" s="3"/>
      <c r="P50" s="2">
        <v>0</v>
      </c>
      <c r="Q50" s="3"/>
      <c r="R50" s="2"/>
    </row>
    <row r="51" spans="1:18" s="15" customFormat="1" outlineLevel="1" collapsed="1" x14ac:dyDescent="0.35">
      <c r="A51" s="7"/>
      <c r="B51" s="20" t="str">
        <f>CONCATENATE("     ","Depreciation                                      ")</f>
        <v xml:space="preserve">     Depreciation                                      </v>
      </c>
      <c r="C51" s="7"/>
      <c r="D51" s="1">
        <f>SUM(OSRRefD21_5x_0)</f>
        <v>5419.82</v>
      </c>
      <c r="E51" s="19"/>
      <c r="F51" s="1">
        <f>SUM(OSRRefF21_5x_0)</f>
        <v>5419.82</v>
      </c>
      <c r="G51" s="4"/>
      <c r="H51" s="1">
        <f>SUM(OSRRefH21_5x_0)</f>
        <v>3161.54</v>
      </c>
      <c r="I51" s="4"/>
      <c r="J51" s="1">
        <f>SUM(OSRRefJ21_5x_0)</f>
        <v>0</v>
      </c>
      <c r="K51" s="4"/>
      <c r="L51" s="1">
        <f>SUM(OSRRefL21_5x_0)</f>
        <v>622.66999999999996</v>
      </c>
      <c r="M51" s="4"/>
      <c r="N51" s="1">
        <f>SUM(OSRRefN21_5x_0)</f>
        <v>2507.0500000000002</v>
      </c>
      <c r="O51" s="4"/>
      <c r="P51" s="1">
        <f>SUM(OSRRefP21_5x_0)</f>
        <v>0</v>
      </c>
      <c r="Q51" s="4"/>
      <c r="R51" s="1">
        <f>SUM(OSRRefR21_5x_0)</f>
        <v>7056</v>
      </c>
    </row>
    <row r="52" spans="1:18" s="16" customFormat="1" hidden="1" outlineLevel="2" x14ac:dyDescent="0.35">
      <c r="B52" s="11" t="str">
        <f>CONCATENATE("          ", "6322", " - ", "EQUIPMENT DEPRECIATION EXPENSE")</f>
        <v xml:space="preserve">          6322 - EQUIPMENT DEPRECIATION EXPENSE</v>
      </c>
      <c r="D52" s="2">
        <v>5419.82</v>
      </c>
      <c r="F52" s="2">
        <v>5419.82</v>
      </c>
      <c r="G52" s="3"/>
      <c r="H52" s="2">
        <v>3161.54</v>
      </c>
      <c r="I52" s="3"/>
      <c r="J52" s="2"/>
      <c r="K52" s="3"/>
      <c r="L52" s="2">
        <v>622.66999999999996</v>
      </c>
      <c r="M52" s="3"/>
      <c r="N52" s="2">
        <v>2507.0500000000002</v>
      </c>
      <c r="O52" s="3"/>
      <c r="P52" s="2"/>
      <c r="Q52" s="3"/>
      <c r="R52" s="2">
        <v>7056</v>
      </c>
    </row>
    <row r="53" spans="1:18" s="15" customFormat="1" outlineLevel="1" collapsed="1" x14ac:dyDescent="0.35">
      <c r="A53" s="7"/>
      <c r="B53" s="20" t="str">
        <f>CONCATENATE("     ","Employees' Appreciation                           ")</f>
        <v xml:space="preserve">     Employees' Appreciation                           </v>
      </c>
      <c r="C53" s="7"/>
      <c r="D53" s="1">
        <f>SUM(OSRRefD21_6x_0)</f>
        <v>53.61</v>
      </c>
      <c r="E53" s="19"/>
      <c r="F53" s="1">
        <f>SUM(OSRRefF21_6x_0)</f>
        <v>37.409999999999997</v>
      </c>
      <c r="G53" s="4"/>
      <c r="H53" s="1">
        <f>SUM(OSRRefH21_6x_0)</f>
        <v>35.67</v>
      </c>
      <c r="I53" s="4"/>
      <c r="J53" s="1">
        <f>SUM(OSRRefJ21_6x_0)</f>
        <v>347.08</v>
      </c>
      <c r="K53" s="4"/>
      <c r="L53" s="1">
        <f>SUM(OSRRefL21_6x_0)</f>
        <v>0</v>
      </c>
      <c r="M53" s="4"/>
      <c r="N53" s="1">
        <f>SUM(OSRRefN21_6x_0)</f>
        <v>62.26</v>
      </c>
      <c r="O53" s="4"/>
      <c r="P53" s="1">
        <f>SUM(OSRRefP21_6x_0)</f>
        <v>0</v>
      </c>
      <c r="Q53" s="4"/>
      <c r="R53" s="1">
        <f>SUM(OSRRefR21_6x_0)</f>
        <v>0</v>
      </c>
    </row>
    <row r="54" spans="1:18" s="16" customFormat="1" hidden="1" outlineLevel="2" x14ac:dyDescent="0.35">
      <c r="B54" s="11" t="str">
        <f>CONCATENATE("          ", "6277", " - ", "EMPLOYEE APPRECIATION")</f>
        <v xml:space="preserve">          6277 - EMPLOYEE APPRECIATION</v>
      </c>
      <c r="D54" s="2">
        <v>53.61</v>
      </c>
      <c r="F54" s="2">
        <v>37.409999999999997</v>
      </c>
      <c r="G54" s="3"/>
      <c r="H54" s="2">
        <v>35.67</v>
      </c>
      <c r="I54" s="3"/>
      <c r="J54" s="2">
        <v>347.08</v>
      </c>
      <c r="K54" s="3"/>
      <c r="L54" s="2"/>
      <c r="M54" s="3"/>
      <c r="N54" s="2">
        <v>62.26</v>
      </c>
      <c r="O54" s="3"/>
      <c r="P54" s="2"/>
      <c r="Q54" s="3"/>
      <c r="R54" s="2"/>
    </row>
    <row r="55" spans="1:18" s="15" customFormat="1" outlineLevel="1" collapsed="1" x14ac:dyDescent="0.35">
      <c r="A55" s="7"/>
      <c r="B55" s="20" t="str">
        <f>CONCATENATE("     ","Equipment Rental                                  ")</f>
        <v xml:space="preserve">     Equipment Rental                                  </v>
      </c>
      <c r="C55" s="7"/>
      <c r="D55" s="1">
        <f>SUM(OSRRefD21_7x_0)</f>
        <v>0</v>
      </c>
      <c r="E55" s="19"/>
      <c r="F55" s="1">
        <f>SUM(OSRRefF21_7x_0)</f>
        <v>0</v>
      </c>
      <c r="G55" s="4"/>
      <c r="H55" s="1">
        <f>SUM(OSRRefH21_7x_0)</f>
        <v>0</v>
      </c>
      <c r="I55" s="4"/>
      <c r="J55" s="1">
        <f>SUM(OSRRefJ21_7x_0)</f>
        <v>0</v>
      </c>
      <c r="K55" s="4"/>
      <c r="L55" s="1">
        <f>SUM(OSRRefL21_7x_0)</f>
        <v>0</v>
      </c>
      <c r="M55" s="4"/>
      <c r="N55" s="1">
        <f>SUM(OSRRefN21_7x_0)</f>
        <v>12</v>
      </c>
      <c r="O55" s="4"/>
      <c r="P55" s="1">
        <f>SUM(OSRRefP21_7x_0)</f>
        <v>0</v>
      </c>
      <c r="Q55" s="4"/>
      <c r="R55" s="1">
        <f>SUM(OSRRefR21_7x_0)</f>
        <v>0</v>
      </c>
    </row>
    <row r="56" spans="1:18" s="16" customFormat="1" hidden="1" outlineLevel="2" x14ac:dyDescent="0.35">
      <c r="B56" s="11" t="str">
        <f>CONCATENATE("          ", "6351", " - ", "EQUIPMENT RENTAL")</f>
        <v xml:space="preserve">          6351 - EQUIPMENT RENTAL</v>
      </c>
      <c r="D56" s="2"/>
      <c r="F56" s="2"/>
      <c r="G56" s="3"/>
      <c r="H56" s="2"/>
      <c r="I56" s="3"/>
      <c r="J56" s="2"/>
      <c r="K56" s="3"/>
      <c r="L56" s="2"/>
      <c r="M56" s="3"/>
      <c r="N56" s="2">
        <v>12</v>
      </c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","General                                           ")</f>
        <v xml:space="preserve">     General                                           </v>
      </c>
      <c r="C57" s="7"/>
      <c r="D57" s="1">
        <f>SUM(OSRRefD21_8x_0)</f>
        <v>2109.96</v>
      </c>
      <c r="E57" s="19"/>
      <c r="F57" s="1">
        <f>SUM(OSRRefF21_8x_0)</f>
        <v>3574.86</v>
      </c>
      <c r="G57" s="4"/>
      <c r="H57" s="1">
        <f>SUM(OSRRefH21_8x_0)</f>
        <v>3491.08</v>
      </c>
      <c r="I57" s="4"/>
      <c r="J57" s="1">
        <f>SUM(OSRRefJ21_8x_0)</f>
        <v>2403</v>
      </c>
      <c r="K57" s="4"/>
      <c r="L57" s="1">
        <f>SUM(OSRRefL21_8x_0)</f>
        <v>2754.41</v>
      </c>
      <c r="M57" s="4"/>
      <c r="N57" s="1">
        <f>SUM(OSRRefN21_8x_0)</f>
        <v>5632.39</v>
      </c>
      <c r="O57" s="4"/>
      <c r="P57" s="1">
        <f>SUM(OSRRefP21_8x_0)</f>
        <v>0</v>
      </c>
      <c r="Q57" s="4"/>
      <c r="R57" s="1">
        <f>SUM(OSRRefR21_8x_0)</f>
        <v>0</v>
      </c>
    </row>
    <row r="58" spans="1:18" s="16" customFormat="1" hidden="1" outlineLevel="2" x14ac:dyDescent="0.35">
      <c r="B58" s="11" t="str">
        <f>CONCATENATE("          ", "6279", " - ", "GENERAL EXPENSE")</f>
        <v xml:space="preserve">          6279 - GENERAL EXPENSE</v>
      </c>
      <c r="D58" s="2">
        <v>2109.96</v>
      </c>
      <c r="F58" s="2">
        <v>3574.86</v>
      </c>
      <c r="G58" s="3"/>
      <c r="H58" s="2">
        <v>3491.08</v>
      </c>
      <c r="I58" s="3"/>
      <c r="J58" s="2">
        <v>2403</v>
      </c>
      <c r="K58" s="3"/>
      <c r="L58" s="2">
        <v>2754.41</v>
      </c>
      <c r="M58" s="3"/>
      <c r="N58" s="2">
        <v>5632.39</v>
      </c>
      <c r="O58" s="3"/>
      <c r="P58" s="2">
        <v>0</v>
      </c>
      <c r="Q58" s="3"/>
      <c r="R58" s="2"/>
    </row>
    <row r="59" spans="1:18" s="15" customFormat="1" outlineLevel="1" collapsed="1" x14ac:dyDescent="0.35">
      <c r="A59" s="7"/>
      <c r="B59" s="20" t="str">
        <f>CONCATENATE("     ","Professional Services                             ")</f>
        <v xml:space="preserve">     Professional Services                             </v>
      </c>
      <c r="C59" s="7"/>
      <c r="D59" s="1">
        <f>SUM(OSRRefD21_9x_0)</f>
        <v>750</v>
      </c>
      <c r="E59" s="19"/>
      <c r="F59" s="1">
        <f>SUM(OSRRefF21_9x_0)</f>
        <v>0</v>
      </c>
      <c r="G59" s="4"/>
      <c r="H59" s="1">
        <f>SUM(OSRRefH21_9x_0)</f>
        <v>6096.07</v>
      </c>
      <c r="I59" s="4"/>
      <c r="J59" s="1">
        <f>SUM(OSRRefJ21_9x_0)</f>
        <v>4241.9399999999996</v>
      </c>
      <c r="K59" s="4"/>
      <c r="L59" s="1">
        <f>SUM(OSRRefL21_9x_0)</f>
        <v>0</v>
      </c>
      <c r="M59" s="4"/>
      <c r="N59" s="1">
        <f>SUM(OSRRefN21_9x_0)</f>
        <v>0</v>
      </c>
      <c r="O59" s="4"/>
      <c r="P59" s="1">
        <f>SUM(OSRRefP21_9x_0)</f>
        <v>0</v>
      </c>
      <c r="Q59" s="4"/>
      <c r="R59" s="1">
        <f>SUM(OSRRefR21_9x_0)</f>
        <v>0</v>
      </c>
    </row>
    <row r="60" spans="1:18" s="16" customFormat="1" hidden="1" outlineLevel="2" x14ac:dyDescent="0.35">
      <c r="B60" s="11" t="str">
        <f>CONCATENATE("          ", "6336", " - ", "PROFESSIONAL SERVICES")</f>
        <v xml:space="preserve">          6336 - PROFESSIONAL SERVICES</v>
      </c>
      <c r="D60" s="2">
        <v>750</v>
      </c>
      <c r="F60" s="2"/>
      <c r="G60" s="3"/>
      <c r="H60" s="2">
        <v>6096.07</v>
      </c>
      <c r="I60" s="3"/>
      <c r="J60" s="2">
        <v>4241.9399999999996</v>
      </c>
      <c r="K60" s="3"/>
      <c r="L60" s="2"/>
      <c r="M60" s="3"/>
      <c r="N60" s="2"/>
      <c r="O60" s="3"/>
      <c r="P60" s="2"/>
      <c r="Q60" s="3"/>
      <c r="R60" s="2"/>
    </row>
    <row r="61" spans="1:18" s="15" customFormat="1" outlineLevel="1" collapsed="1" x14ac:dyDescent="0.35">
      <c r="A61" s="7"/>
      <c r="B61" s="20" t="str">
        <f>CONCATENATE("     ","Repair and Maintenance                            ")</f>
        <v xml:space="preserve">     Repair and Maintenance                            </v>
      </c>
      <c r="C61" s="7"/>
      <c r="D61" s="1">
        <f>SUM(OSRRefD21_10x_0)</f>
        <v>8350.7999999999993</v>
      </c>
      <c r="E61" s="19"/>
      <c r="F61" s="1">
        <f>SUM(OSRRefF21_10x_0)</f>
        <v>5953.07</v>
      </c>
      <c r="G61" s="4"/>
      <c r="H61" s="1">
        <f>SUM(OSRRefH21_10x_0)</f>
        <v>4360.3900000000003</v>
      </c>
      <c r="I61" s="4"/>
      <c r="J61" s="1">
        <f>SUM(OSRRefJ21_10x_0)</f>
        <v>6812.32</v>
      </c>
      <c r="K61" s="4"/>
      <c r="L61" s="1">
        <f>SUM(OSRRefL21_10x_0)</f>
        <v>7578.13</v>
      </c>
      <c r="M61" s="4"/>
      <c r="N61" s="1">
        <f>SUM(OSRRefN21_10x_0)</f>
        <v>7367.17</v>
      </c>
      <c r="O61" s="4"/>
      <c r="P61" s="1">
        <f>SUM(OSRRefP21_10x_0)</f>
        <v>0</v>
      </c>
      <c r="Q61" s="4"/>
      <c r="R61" s="1">
        <f>SUM(OSRRefR21_10x_0)</f>
        <v>0</v>
      </c>
    </row>
    <row r="62" spans="1:18" s="16" customFormat="1" hidden="1" outlineLevel="2" x14ac:dyDescent="0.35">
      <c r="B62" s="11" t="str">
        <f>CONCATENATE("          ", "6373", " - ", "MAINTENANCE CONTRACTS")</f>
        <v xml:space="preserve">          6373 - MAINTENANCE CONTRACTS</v>
      </c>
      <c r="D62" s="2">
        <v>1459.76</v>
      </c>
      <c r="F62" s="2">
        <v>2706.99</v>
      </c>
      <c r="G62" s="3"/>
      <c r="H62" s="2">
        <v>249.58</v>
      </c>
      <c r="I62" s="3"/>
      <c r="J62" s="2">
        <v>832.03</v>
      </c>
      <c r="K62" s="3"/>
      <c r="L62" s="2">
        <v>423.04</v>
      </c>
      <c r="M62" s="3"/>
      <c r="N62" s="2">
        <v>189.68</v>
      </c>
      <c r="O62" s="3"/>
      <c r="P62" s="2"/>
      <c r="Q62" s="3"/>
      <c r="R62" s="2"/>
    </row>
    <row r="63" spans="1:18" s="16" customFormat="1" hidden="1" outlineLevel="2" x14ac:dyDescent="0.35">
      <c r="B63" s="11" t="str">
        <f>CONCATENATE("          ", "6375", " - ", "OUTSIDE REPAIRS &amp; MAINTENANCE")</f>
        <v xml:space="preserve">          6375 - OUTSIDE REPAIRS &amp; MAINTENANCE</v>
      </c>
      <c r="D63" s="2">
        <v>6891.04</v>
      </c>
      <c r="F63" s="2">
        <v>3246.08</v>
      </c>
      <c r="G63" s="3"/>
      <c r="H63" s="2">
        <v>4110.8100000000004</v>
      </c>
      <c r="I63" s="3"/>
      <c r="J63" s="2">
        <v>5980.29</v>
      </c>
      <c r="K63" s="3"/>
      <c r="L63" s="2">
        <v>7155.09</v>
      </c>
      <c r="M63" s="3"/>
      <c r="N63" s="2">
        <v>7177.49</v>
      </c>
      <c r="O63" s="3"/>
      <c r="P63" s="2">
        <v>0</v>
      </c>
      <c r="Q63" s="3"/>
      <c r="R63" s="2"/>
    </row>
    <row r="64" spans="1:18" s="15" customFormat="1" outlineLevel="1" collapsed="1" x14ac:dyDescent="0.35">
      <c r="A64" s="7"/>
      <c r="B64" s="20" t="str">
        <f>CONCATENATE("     ","Services                                          ")</f>
        <v xml:space="preserve">     Services                                          </v>
      </c>
      <c r="C64" s="7"/>
      <c r="D64" s="1">
        <f>SUM(OSRRefD21_11x_0)</f>
        <v>4132.82</v>
      </c>
      <c r="E64" s="19"/>
      <c r="F64" s="1">
        <f>SUM(OSRRefF21_11x_0)</f>
        <v>4139.7700000000004</v>
      </c>
      <c r="G64" s="4"/>
      <c r="H64" s="1">
        <f>SUM(OSRRefH21_11x_0)</f>
        <v>4751.9799999999996</v>
      </c>
      <c r="I64" s="4"/>
      <c r="J64" s="1">
        <f>SUM(OSRRefJ21_11x_0)</f>
        <v>4361.2300000000005</v>
      </c>
      <c r="K64" s="4"/>
      <c r="L64" s="1">
        <f>SUM(OSRRefL21_11x_0)</f>
        <v>3958.77</v>
      </c>
      <c r="M64" s="4"/>
      <c r="N64" s="1">
        <f>SUM(OSRRefN21_11x_0)</f>
        <v>5552.1</v>
      </c>
      <c r="O64" s="4"/>
      <c r="P64" s="1">
        <f>SUM(OSRRefP21_11x_0)</f>
        <v>0</v>
      </c>
      <c r="Q64" s="4"/>
      <c r="R64" s="1">
        <f>SUM(OSRRefR21_11x_0)</f>
        <v>0</v>
      </c>
    </row>
    <row r="65" spans="1:18" s="16" customFormat="1" hidden="1" outlineLevel="2" x14ac:dyDescent="0.35">
      <c r="B65" s="11" t="str">
        <f>CONCATENATE("          ", "6282", " - ", "JANITORIAL/EXTERMINATOR EXPENS")</f>
        <v xml:space="preserve">          6282 - JANITORIAL/EXTERMINATOR EXPENS</v>
      </c>
      <c r="D65" s="2">
        <v>2925.7</v>
      </c>
      <c r="F65" s="2">
        <v>2895.94</v>
      </c>
      <c r="G65" s="3"/>
      <c r="H65" s="2">
        <v>3563.15</v>
      </c>
      <c r="I65" s="3"/>
      <c r="J65" s="2">
        <v>4104.7700000000004</v>
      </c>
      <c r="K65" s="3"/>
      <c r="L65" s="2">
        <v>3699.12</v>
      </c>
      <c r="M65" s="3"/>
      <c r="N65" s="2">
        <v>3651.3</v>
      </c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"6285", " - ", "JANITORIAL SERVICES")</f>
        <v xml:space="preserve">          6285 - JANITORIAL SERVICES</v>
      </c>
      <c r="D66" s="2">
        <v>1207.1199999999999</v>
      </c>
      <c r="F66" s="2">
        <v>1243.83</v>
      </c>
      <c r="G66" s="3"/>
      <c r="H66" s="2">
        <v>1188.83</v>
      </c>
      <c r="I66" s="3"/>
      <c r="J66" s="2">
        <v>225</v>
      </c>
      <c r="K66" s="3"/>
      <c r="L66" s="2">
        <v>259.64999999999998</v>
      </c>
      <c r="M66" s="3"/>
      <c r="N66" s="2">
        <v>1714.8</v>
      </c>
      <c r="O66" s="3"/>
      <c r="P66" s="2">
        <v>0</v>
      </c>
      <c r="Q66" s="3"/>
      <c r="R66" s="2"/>
    </row>
    <row r="67" spans="1:18" s="16" customFormat="1" hidden="1" outlineLevel="2" x14ac:dyDescent="0.35">
      <c r="B67" s="11" t="str">
        <f>CONCATENATE("          ", "6286", " - ", "LAUNDRY EXPENSE")</f>
        <v xml:space="preserve">          6286 - LAUNDRY EXPENSE</v>
      </c>
      <c r="D67" s="2"/>
      <c r="F67" s="2"/>
      <c r="G67" s="3"/>
      <c r="H67" s="2"/>
      <c r="I67" s="3"/>
      <c r="J67" s="2">
        <v>31.46</v>
      </c>
      <c r="K67" s="3"/>
      <c r="L67" s="2"/>
      <c r="M67" s="3"/>
      <c r="N67" s="2">
        <v>186</v>
      </c>
      <c r="O67" s="3"/>
      <c r="P67" s="2"/>
      <c r="Q67" s="3"/>
      <c r="R67" s="2"/>
    </row>
    <row r="68" spans="1:18" s="15" customFormat="1" outlineLevel="1" collapsed="1" x14ac:dyDescent="0.35">
      <c r="A68" s="7"/>
      <c r="B68" s="20" t="str">
        <f>CONCATENATE("     ","Subscriptions &amp; Dues                              ")</f>
        <v xml:space="preserve">     Subscriptions &amp; Dues                              </v>
      </c>
      <c r="C68" s="7"/>
      <c r="D68" s="1">
        <f>SUM(OSRRefD21_12x_0)</f>
        <v>45</v>
      </c>
      <c r="E68" s="19"/>
      <c r="F68" s="1">
        <f>SUM(OSRRefF21_12x_0)</f>
        <v>33.75</v>
      </c>
      <c r="G68" s="4"/>
      <c r="H68" s="1">
        <f>SUM(OSRRefH21_12x_0)</f>
        <v>33.75</v>
      </c>
      <c r="I68" s="4"/>
      <c r="J68" s="1">
        <f>SUM(OSRRefJ21_12x_0)</f>
        <v>49.65</v>
      </c>
      <c r="K68" s="4"/>
      <c r="L68" s="1">
        <f>SUM(OSRRefL21_12x_0)</f>
        <v>111.8</v>
      </c>
      <c r="M68" s="4"/>
      <c r="N68" s="1">
        <f>SUM(OSRRefN21_12x_0)</f>
        <v>0</v>
      </c>
      <c r="O68" s="4"/>
      <c r="P68" s="1">
        <f>SUM(OSRRefP21_12x_0)</f>
        <v>0</v>
      </c>
      <c r="Q68" s="4"/>
      <c r="R68" s="1">
        <f>SUM(OSRRefR21_12x_0)</f>
        <v>0</v>
      </c>
    </row>
    <row r="69" spans="1:18" s="16" customFormat="1" hidden="1" outlineLevel="2" x14ac:dyDescent="0.35">
      <c r="B69" s="11" t="str">
        <f>CONCATENATE("          ", "6258", " - ", "MEMBERSHIP DUES")</f>
        <v xml:space="preserve">          6258 - MEMBERSHIP DUES</v>
      </c>
      <c r="D69" s="2">
        <v>45</v>
      </c>
      <c r="F69" s="2">
        <v>33.75</v>
      </c>
      <c r="G69" s="3"/>
      <c r="H69" s="2">
        <v>33.75</v>
      </c>
      <c r="I69" s="3"/>
      <c r="J69" s="2">
        <v>49.65</v>
      </c>
      <c r="K69" s="3"/>
      <c r="L69" s="2">
        <v>111.8</v>
      </c>
      <c r="M69" s="3"/>
      <c r="N69" s="2"/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","Supplies                                          ")</f>
        <v xml:space="preserve">     Supplies                                          </v>
      </c>
      <c r="C70" s="7"/>
      <c r="D70" s="1">
        <f>SUM(OSRRefD21_13x_0)</f>
        <v>3206.49</v>
      </c>
      <c r="E70" s="19"/>
      <c r="F70" s="1">
        <f>SUM(OSRRefF21_13x_0)</f>
        <v>6225.62</v>
      </c>
      <c r="G70" s="4"/>
      <c r="H70" s="1">
        <f>SUM(OSRRefH21_13x_0)</f>
        <v>9624.9900000000016</v>
      </c>
      <c r="I70" s="4"/>
      <c r="J70" s="1">
        <f>SUM(OSRRefJ21_13x_0)</f>
        <v>7101.59</v>
      </c>
      <c r="K70" s="4"/>
      <c r="L70" s="1">
        <f>SUM(OSRRefL21_13x_0)</f>
        <v>6142.78</v>
      </c>
      <c r="M70" s="4"/>
      <c r="N70" s="1">
        <f>SUM(OSRRefN21_13x_0)</f>
        <v>10479.52</v>
      </c>
      <c r="O70" s="4"/>
      <c r="P70" s="1">
        <f>SUM(OSRRefP21_13x_0)</f>
        <v>0</v>
      </c>
      <c r="Q70" s="4"/>
      <c r="R70" s="1">
        <f>SUM(OSRRefR21_13x_0)</f>
        <v>0</v>
      </c>
    </row>
    <row r="71" spans="1:18" s="16" customFormat="1" hidden="1" outlineLevel="2" x14ac:dyDescent="0.35">
      <c r="B71" s="11" t="str">
        <f>CONCATENATE("          ", "6234", " - ", "EXPENDABLE SUPPLIES &amp; EQUIPMEN")</f>
        <v xml:space="preserve">          6234 - EXPENDABLE SUPPLIES &amp; EQUIPMEN</v>
      </c>
      <c r="D71" s="2"/>
      <c r="F71" s="2"/>
      <c r="G71" s="3"/>
      <c r="H71" s="2">
        <v>13</v>
      </c>
      <c r="I71" s="3"/>
      <c r="J71" s="2"/>
      <c r="K71" s="3"/>
      <c r="L71" s="2"/>
      <c r="M71" s="3"/>
      <c r="N71" s="2"/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"6235", " - ", "COVID-19 EXPENSES")</f>
        <v xml:space="preserve">          6235 - COVID-19 EXPENSES</v>
      </c>
      <c r="D72" s="2"/>
      <c r="F72" s="2"/>
      <c r="G72" s="3"/>
      <c r="H72" s="2"/>
      <c r="I72" s="3"/>
      <c r="J72" s="2"/>
      <c r="K72" s="3"/>
      <c r="L72" s="2"/>
      <c r="M72" s="3"/>
      <c r="N72" s="2"/>
      <c r="O72" s="3"/>
      <c r="P72" s="2">
        <v>0</v>
      </c>
      <c r="Q72" s="3"/>
      <c r="R72" s="2"/>
    </row>
    <row r="73" spans="1:18" s="16" customFormat="1" hidden="1" outlineLevel="2" x14ac:dyDescent="0.35">
      <c r="B73" s="11" t="str">
        <f>CONCATENATE("          ", "6237", " - ", "JANITORIAL SUPPLIES")</f>
        <v xml:space="preserve">          6237 - JANITORIAL SUPPLIES</v>
      </c>
      <c r="D73" s="2"/>
      <c r="F73" s="2"/>
      <c r="G73" s="3"/>
      <c r="H73" s="2"/>
      <c r="I73" s="3"/>
      <c r="J73" s="2">
        <v>483.16</v>
      </c>
      <c r="K73" s="3"/>
      <c r="L73" s="2">
        <v>1687.25</v>
      </c>
      <c r="M73" s="3"/>
      <c r="N73" s="2">
        <v>1096.97</v>
      </c>
      <c r="O73" s="3"/>
      <c r="P73" s="2"/>
      <c r="Q73" s="3"/>
      <c r="R73" s="2"/>
    </row>
    <row r="74" spans="1:18" s="16" customFormat="1" hidden="1" outlineLevel="2" x14ac:dyDescent="0.35">
      <c r="B74" s="11" t="str">
        <f>CONCATENATE("          ", "6239", " - ", "KITCHEN SUPPLIES")</f>
        <v xml:space="preserve">          6239 - KITCHEN SUPPLIES</v>
      </c>
      <c r="D74" s="2"/>
      <c r="F74" s="2"/>
      <c r="G74" s="3"/>
      <c r="H74" s="2"/>
      <c r="I74" s="3"/>
      <c r="J74" s="2"/>
      <c r="K74" s="3"/>
      <c r="L74" s="2">
        <v>17.87</v>
      </c>
      <c r="M74" s="3"/>
      <c r="N74" s="2"/>
      <c r="O74" s="3"/>
      <c r="P74" s="2"/>
      <c r="Q74" s="3"/>
      <c r="R74" s="2"/>
    </row>
    <row r="75" spans="1:18" s="16" customFormat="1" hidden="1" outlineLevel="2" x14ac:dyDescent="0.35">
      <c r="B75" s="11" t="str">
        <f>CONCATENATE("          ", "6241", " - ", "OFFICE EXPENSE")</f>
        <v xml:space="preserve">          6241 - OFFICE EXPENSE</v>
      </c>
      <c r="D75" s="2">
        <v>380.33</v>
      </c>
      <c r="F75" s="2">
        <v>1116.49</v>
      </c>
      <c r="G75" s="3"/>
      <c r="H75" s="2">
        <v>181.45</v>
      </c>
      <c r="I75" s="3"/>
      <c r="J75" s="2">
        <v>1026.45</v>
      </c>
      <c r="K75" s="3"/>
      <c r="L75" s="2">
        <v>68.36</v>
      </c>
      <c r="M75" s="3"/>
      <c r="N75" s="2"/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"6243", " - ", "PAPER SUPPLIES")</f>
        <v xml:space="preserve">          6243 - PAPER SUPPLIES</v>
      </c>
      <c r="D76" s="2"/>
      <c r="F76" s="2"/>
      <c r="G76" s="3"/>
      <c r="H76" s="2"/>
      <c r="I76" s="3"/>
      <c r="J76" s="2">
        <v>242.15</v>
      </c>
      <c r="K76" s="3"/>
      <c r="L76" s="2">
        <v>1745.87</v>
      </c>
      <c r="M76" s="3"/>
      <c r="N76" s="2">
        <v>741.91</v>
      </c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"6245", " - ", "PRINTING")</f>
        <v xml:space="preserve">          6245 - PRINTING</v>
      </c>
      <c r="D77" s="2"/>
      <c r="F77" s="2"/>
      <c r="G77" s="3"/>
      <c r="H77" s="2"/>
      <c r="I77" s="3"/>
      <c r="J77" s="2"/>
      <c r="K77" s="3"/>
      <c r="L77" s="2">
        <v>51.82</v>
      </c>
      <c r="M77" s="3"/>
      <c r="N77" s="2"/>
      <c r="O77" s="3"/>
      <c r="P77" s="2"/>
      <c r="Q77" s="3"/>
      <c r="R77" s="2"/>
    </row>
    <row r="78" spans="1:18" s="16" customFormat="1" hidden="1" outlineLevel="2" x14ac:dyDescent="0.35">
      <c r="B78" s="11" t="str">
        <f>CONCATENATE("          ", "6247", " - ", "STORE SUPPLIES")</f>
        <v xml:space="preserve">          6247 - STORE SUPPLIES</v>
      </c>
      <c r="D78" s="2">
        <v>2642.06</v>
      </c>
      <c r="F78" s="2">
        <v>5109.13</v>
      </c>
      <c r="G78" s="3"/>
      <c r="H78" s="2">
        <v>9430.5400000000009</v>
      </c>
      <c r="I78" s="3"/>
      <c r="J78" s="2">
        <v>5349.83</v>
      </c>
      <c r="K78" s="3"/>
      <c r="L78" s="2">
        <v>2383.7399999999998</v>
      </c>
      <c r="M78" s="3"/>
      <c r="N78" s="2">
        <v>8640.64</v>
      </c>
      <c r="O78" s="3"/>
      <c r="P78" s="2">
        <v>0</v>
      </c>
      <c r="Q78" s="3"/>
      <c r="R78" s="2"/>
    </row>
    <row r="79" spans="1:18" s="16" customFormat="1" hidden="1" outlineLevel="2" x14ac:dyDescent="0.35">
      <c r="B79" s="11" t="str">
        <f>CONCATENATE("          ", "6248", " - ", "UNIFORMS")</f>
        <v xml:space="preserve">          6248 - UNIFORMS</v>
      </c>
      <c r="D79" s="2">
        <v>184.1</v>
      </c>
      <c r="F79" s="2"/>
      <c r="G79" s="3"/>
      <c r="H79" s="2"/>
      <c r="I79" s="3"/>
      <c r="J79" s="2"/>
      <c r="K79" s="3"/>
      <c r="L79" s="2">
        <v>187.87</v>
      </c>
      <c r="M79" s="3"/>
      <c r="N79" s="2"/>
      <c r="O79" s="3"/>
      <c r="P79" s="2">
        <v>0</v>
      </c>
      <c r="Q79" s="3"/>
      <c r="R79" s="2"/>
    </row>
    <row r="80" spans="1:18" s="15" customFormat="1" outlineLevel="1" collapsed="1" x14ac:dyDescent="0.35">
      <c r="A80" s="7"/>
      <c r="B80" s="20" t="str">
        <f>CONCATENATE("     ","Telephone/Data Lines                              ")</f>
        <v xml:space="preserve">     Telephone/Data Lines                              </v>
      </c>
      <c r="C80" s="7"/>
      <c r="D80" s="1">
        <f>SUM(OSRRefD21_14x_0)</f>
        <v>636</v>
      </c>
      <c r="E80" s="19"/>
      <c r="F80" s="1">
        <f>SUM(OSRRefF21_14x_0)</f>
        <v>629</v>
      </c>
      <c r="G80" s="4"/>
      <c r="H80" s="1">
        <f>SUM(OSRRefH21_14x_0)</f>
        <v>750.17</v>
      </c>
      <c r="I80" s="4"/>
      <c r="J80" s="1">
        <f>SUM(OSRRefJ21_14x_0)</f>
        <v>1114.1199999999999</v>
      </c>
      <c r="K80" s="4"/>
      <c r="L80" s="1">
        <f>SUM(OSRRefL21_14x_0)</f>
        <v>1092.1199999999999</v>
      </c>
      <c r="M80" s="4"/>
      <c r="N80" s="1">
        <f>SUM(OSRRefN21_14x_0)</f>
        <v>1032.1099999999999</v>
      </c>
      <c r="O80" s="4"/>
      <c r="P80" s="1">
        <f>SUM(OSRRefP21_14x_0)</f>
        <v>0</v>
      </c>
      <c r="Q80" s="4"/>
      <c r="R80" s="1">
        <f>SUM(OSRRefR21_14x_0)</f>
        <v>0</v>
      </c>
    </row>
    <row r="81" spans="1:18" s="16" customFormat="1" hidden="1" outlineLevel="2" x14ac:dyDescent="0.35">
      <c r="B81" s="11" t="str">
        <f>CONCATENATE("          ", "6309", " - ", "TELEPHONE")</f>
        <v xml:space="preserve">          6309 - TELEPHONE</v>
      </c>
      <c r="D81" s="2">
        <v>636</v>
      </c>
      <c r="F81" s="2">
        <v>629</v>
      </c>
      <c r="G81" s="3"/>
      <c r="H81" s="2">
        <v>750.17</v>
      </c>
      <c r="I81" s="3"/>
      <c r="J81" s="2">
        <v>1114.1199999999999</v>
      </c>
      <c r="K81" s="3"/>
      <c r="L81" s="2">
        <v>1092.1199999999999</v>
      </c>
      <c r="M81" s="3"/>
      <c r="N81" s="2">
        <v>1032.1099999999999</v>
      </c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","Training                                          ")</f>
        <v xml:space="preserve">     Training                                          </v>
      </c>
      <c r="C82" s="7"/>
      <c r="D82" s="1">
        <f>SUM(OSRRefD21_15x_0)</f>
        <v>483.49</v>
      </c>
      <c r="E82" s="19"/>
      <c r="F82" s="1">
        <f>SUM(OSRRefF21_15x_0)</f>
        <v>50</v>
      </c>
      <c r="G82" s="4"/>
      <c r="H82" s="1">
        <f>SUM(OSRRefH21_15x_0)</f>
        <v>0</v>
      </c>
      <c r="I82" s="4"/>
      <c r="J82" s="1">
        <f>SUM(OSRRefJ21_15x_0)</f>
        <v>330</v>
      </c>
      <c r="K82" s="4"/>
      <c r="L82" s="1">
        <f>SUM(OSRRefL21_15x_0)</f>
        <v>0</v>
      </c>
      <c r="M82" s="4"/>
      <c r="N82" s="1">
        <f>SUM(OSRRefN21_15x_0)</f>
        <v>0</v>
      </c>
      <c r="O82" s="4"/>
      <c r="P82" s="1">
        <f>SUM(OSRRefP21_15x_0)</f>
        <v>0</v>
      </c>
      <c r="Q82" s="4"/>
      <c r="R82" s="1">
        <f>SUM(OSRRefR21_15x_0)</f>
        <v>0</v>
      </c>
    </row>
    <row r="83" spans="1:18" s="16" customFormat="1" hidden="1" outlineLevel="2" x14ac:dyDescent="0.35">
      <c r="B83" s="11" t="str">
        <f>CONCATENATE("          ", "6376", " - ", "TRAINING")</f>
        <v xml:space="preserve">          6376 - TRAINING</v>
      </c>
      <c r="D83" s="2">
        <v>483.49</v>
      </c>
      <c r="F83" s="2">
        <v>50</v>
      </c>
      <c r="G83" s="3"/>
      <c r="H83" s="2"/>
      <c r="I83" s="3"/>
      <c r="J83" s="2">
        <v>330</v>
      </c>
      <c r="K83" s="3"/>
      <c r="L83" s="2"/>
      <c r="M83" s="3"/>
      <c r="N83" s="2"/>
      <c r="O83" s="3"/>
      <c r="P83" s="2"/>
      <c r="Q83" s="3"/>
      <c r="R83" s="2"/>
    </row>
    <row r="84" spans="1:18" s="15" customFormat="1" outlineLevel="1" collapsed="1" x14ac:dyDescent="0.35">
      <c r="A84" s="7"/>
      <c r="B84" s="20" t="str">
        <f>CONCATENATE("     ","Travel                                            ")</f>
        <v xml:space="preserve">     Travel                                            </v>
      </c>
      <c r="C84" s="7"/>
      <c r="D84" s="1">
        <f>SUM(OSRRefD21_16x_0)</f>
        <v>0</v>
      </c>
      <c r="E84" s="19"/>
      <c r="F84" s="1">
        <f>SUM(OSRRefF21_16x_0)</f>
        <v>0</v>
      </c>
      <c r="G84" s="4"/>
      <c r="H84" s="1">
        <f>SUM(OSRRefH21_16x_0)</f>
        <v>370.83000000000004</v>
      </c>
      <c r="I84" s="4"/>
      <c r="J84" s="1">
        <f>SUM(OSRRefJ21_16x_0)</f>
        <v>0</v>
      </c>
      <c r="K84" s="4"/>
      <c r="L84" s="1">
        <f>SUM(OSRRefL21_16x_0)</f>
        <v>0</v>
      </c>
      <c r="M84" s="4"/>
      <c r="N84" s="1">
        <f>SUM(OSRRefN21_16x_0)</f>
        <v>0</v>
      </c>
      <c r="O84" s="4"/>
      <c r="P84" s="1">
        <f>SUM(OSRRefP21_16x_0)</f>
        <v>0</v>
      </c>
      <c r="Q84" s="4"/>
      <c r="R84" s="1">
        <f>SUM(OSRRefR21_16x_0)</f>
        <v>0</v>
      </c>
    </row>
    <row r="85" spans="1:18" s="16" customFormat="1" hidden="1" outlineLevel="2" x14ac:dyDescent="0.35">
      <c r="B85" s="11" t="str">
        <f>CONCATENATE("          ", "6292", " - ", "TRAVEL/CONFERENCE")</f>
        <v xml:space="preserve">          6292 - TRAVEL/CONFERENCE</v>
      </c>
      <c r="D85" s="2"/>
      <c r="F85" s="2"/>
      <c r="G85" s="3"/>
      <c r="H85" s="2">
        <v>240.36</v>
      </c>
      <c r="I85" s="3"/>
      <c r="J85" s="2"/>
      <c r="K85" s="3"/>
      <c r="L85" s="2"/>
      <c r="M85" s="3"/>
      <c r="N85" s="2"/>
      <c r="O85" s="3"/>
      <c r="P85" s="2"/>
      <c r="Q85" s="3"/>
      <c r="R85" s="2"/>
    </row>
    <row r="86" spans="1:18" s="16" customFormat="1" hidden="1" outlineLevel="2" x14ac:dyDescent="0.35">
      <c r="B86" s="11" t="str">
        <f>CONCATENATE("          ", "6294", " - ", "TRAVEL OPERATIONAL")</f>
        <v xml:space="preserve">          6294 - TRAVEL OPERATIONAL</v>
      </c>
      <c r="D86" s="2"/>
      <c r="F86" s="2"/>
      <c r="G86" s="3"/>
      <c r="H86" s="2">
        <v>130.47</v>
      </c>
      <c r="I86" s="3"/>
      <c r="J86" s="2"/>
      <c r="K86" s="3"/>
      <c r="L86" s="2"/>
      <c r="M86" s="3"/>
      <c r="N86" s="2"/>
      <c r="O86" s="3"/>
      <c r="P86" s="2"/>
      <c r="Q86" s="3"/>
      <c r="R86" s="2"/>
    </row>
    <row r="87" spans="1:18" x14ac:dyDescent="0.35">
      <c r="A87" s="12"/>
      <c r="B87" s="12"/>
      <c r="C87" s="12"/>
      <c r="D87" s="1"/>
      <c r="F87" s="1"/>
      <c r="H87" s="1"/>
      <c r="J87" s="1"/>
      <c r="L87" s="1"/>
      <c r="N87" s="1"/>
      <c r="P87" s="1"/>
      <c r="R87" s="1"/>
    </row>
    <row r="88" spans="1:18" s="7" customFormat="1" collapsed="1" x14ac:dyDescent="0.35">
      <c r="A88" s="36"/>
      <c r="B88" s="34" t="s">
        <v>295</v>
      </c>
      <c r="D88" s="6">
        <f>SUM(OSRRefD24x_0)</f>
        <v>225</v>
      </c>
      <c r="E88" s="12"/>
      <c r="F88" s="6">
        <f>SUM(OSRRefF24x_0)</f>
        <v>0</v>
      </c>
      <c r="G88" s="5"/>
      <c r="H88" s="6">
        <f>SUM(OSRRefH24x_0)</f>
        <v>-449</v>
      </c>
      <c r="I88" s="5"/>
      <c r="J88" s="6">
        <f>SUM(OSRRefJ24x_0)</f>
        <v>0</v>
      </c>
      <c r="K88" s="5"/>
      <c r="L88" s="6">
        <f>SUM(OSRRefL24x_0)</f>
        <v>0</v>
      </c>
      <c r="M88" s="5"/>
      <c r="N88" s="6">
        <f>SUM(OSRRefN24x_0)</f>
        <v>0</v>
      </c>
      <c r="O88" s="5"/>
      <c r="P88" s="6">
        <f>SUM(OSRRefP24x_0)</f>
        <v>0</v>
      </c>
      <c r="Q88" s="5"/>
      <c r="R88" s="6">
        <f>SUM(OSRRefR24x_0)</f>
        <v>0</v>
      </c>
    </row>
    <row r="89" spans="1:18" s="7" customFormat="1" hidden="1" outlineLevel="1" x14ac:dyDescent="0.35">
      <c r="A89" s="36"/>
      <c r="B89" s="11" t="str">
        <f>CONCATENATE("          ", "9150", " - ", "MISC. INCOME")</f>
        <v xml:space="preserve">          9150 - MISC. INCOME</v>
      </c>
      <c r="D89" s="11">
        <f>--225</f>
        <v>225</v>
      </c>
      <c r="E89" s="16"/>
      <c r="F89" s="11">
        <f>0</f>
        <v>0</v>
      </c>
      <c r="G89" s="3"/>
      <c r="H89" s="11">
        <f>-449</f>
        <v>-449</v>
      </c>
      <c r="I89" s="3"/>
      <c r="J89" s="11">
        <f>0</f>
        <v>0</v>
      </c>
      <c r="K89" s="3"/>
      <c r="L89" s="11">
        <f>0</f>
        <v>0</v>
      </c>
      <c r="M89" s="3"/>
      <c r="N89" s="11">
        <f>0</f>
        <v>0</v>
      </c>
      <c r="O89" s="3"/>
      <c r="P89" s="11"/>
      <c r="Q89" s="3"/>
      <c r="R89" s="11"/>
    </row>
    <row r="90" spans="1:18" x14ac:dyDescent="0.35">
      <c r="A90" s="12"/>
      <c r="B90" s="7"/>
      <c r="C90" s="7"/>
      <c r="D90" s="6"/>
      <c r="F90" s="6"/>
      <c r="H90" s="6"/>
      <c r="J90" s="6"/>
      <c r="L90" s="6"/>
      <c r="N90" s="6"/>
      <c r="P90" s="6"/>
      <c r="R90" s="6"/>
    </row>
    <row r="91" spans="1:18" s="15" customFormat="1" x14ac:dyDescent="0.35">
      <c r="A91" s="7"/>
      <c r="B91" s="22" t="s">
        <v>279</v>
      </c>
      <c r="C91" s="22"/>
      <c r="D91" s="10">
        <f>+D20-D23+D88</f>
        <v>105193.61999999995</v>
      </c>
      <c r="E91" s="12"/>
      <c r="F91" s="10">
        <f>+F20-F23+F88</f>
        <v>95070.199999999968</v>
      </c>
      <c r="G91" s="5"/>
      <c r="H91" s="10">
        <f>+H20-H23+H88</f>
        <v>88133.719999999972</v>
      </c>
      <c r="I91" s="5"/>
      <c r="J91" s="10">
        <f>+J20-J23+J88</f>
        <v>14563.270000000048</v>
      </c>
      <c r="K91" s="5"/>
      <c r="L91" s="10">
        <f>+L20-L23+L88</f>
        <v>9748.4599999999919</v>
      </c>
      <c r="M91" s="5"/>
      <c r="N91" s="10">
        <f>+N20-N23+N88</f>
        <v>-235.19000000003143</v>
      </c>
      <c r="O91" s="5"/>
      <c r="P91" s="10">
        <f>+P20-P23+P88</f>
        <v>2</v>
      </c>
      <c r="Q91" s="5"/>
      <c r="R91" s="10">
        <f>+R20-R23+R88</f>
        <v>-7056</v>
      </c>
    </row>
    <row r="92" spans="1:18" s="27" customFormat="1" x14ac:dyDescent="0.35">
      <c r="A92" s="18"/>
      <c r="B92" s="31"/>
      <c r="C92" s="18"/>
      <c r="D92" s="9">
        <f>IFERROR(D91/D10, 0)</f>
        <v>0.23986453854697293</v>
      </c>
      <c r="E92" s="18"/>
      <c r="F92" s="9">
        <f>IFERROR(F91/F10, 0)</f>
        <v>0.21519944580204187</v>
      </c>
      <c r="G92" s="14"/>
      <c r="H92" s="9">
        <f>IFERROR(H91/H10, 0)</f>
        <v>0.18479301738744394</v>
      </c>
      <c r="I92" s="14"/>
      <c r="J92" s="9">
        <f>IFERROR(J91/J10, 0)</f>
        <v>3.1693345376131637E-2</v>
      </c>
      <c r="K92" s="14"/>
      <c r="L92" s="9">
        <f>IFERROR(L91/L10, 0)</f>
        <v>2.3709590195861188E-2</v>
      </c>
      <c r="M92" s="14"/>
      <c r="N92" s="9">
        <f>IFERROR(N91/N10, 0)</f>
        <v>-8.1789064406699596E-4</v>
      </c>
      <c r="O92" s="14"/>
      <c r="P92" s="9">
        <f>IFERROR(P91/P10, 0)</f>
        <v>1</v>
      </c>
      <c r="Q92" s="14"/>
      <c r="R92" s="9">
        <f>IFERROR(R91/R10, 0)</f>
        <v>0</v>
      </c>
    </row>
    <row r="93" spans="1:18" s="27" customFormat="1" x14ac:dyDescent="0.35">
      <c r="A93" s="18"/>
      <c r="B93" s="31"/>
      <c r="C93" s="18"/>
      <c r="D93" s="13"/>
      <c r="E93" s="18"/>
      <c r="F93" s="13"/>
      <c r="G93" s="14"/>
      <c r="H93" s="13"/>
      <c r="I93" s="14"/>
      <c r="J93" s="13"/>
      <c r="K93" s="14"/>
      <c r="L93" s="13"/>
      <c r="M93" s="14"/>
      <c r="N93" s="13"/>
      <c r="O93" s="14"/>
      <c r="P93" s="13"/>
      <c r="Q93" s="14"/>
      <c r="R93" s="13"/>
    </row>
    <row r="94" spans="1:18" s="15" customFormat="1" x14ac:dyDescent="0.35">
      <c r="A94" s="37"/>
      <c r="B94" s="7" t="s">
        <v>127</v>
      </c>
      <c r="C94" s="7"/>
      <c r="D94" s="6">
        <v>95301.16</v>
      </c>
      <c r="E94" s="12"/>
      <c r="F94" s="6">
        <v>62890.05</v>
      </c>
      <c r="G94" s="5"/>
      <c r="H94" s="6">
        <v>63768.56</v>
      </c>
      <c r="I94" s="5"/>
      <c r="J94" s="6">
        <v>61671.839999999997</v>
      </c>
      <c r="K94" s="5"/>
      <c r="L94" s="6">
        <v>29306.36</v>
      </c>
      <c r="M94" s="5"/>
      <c r="N94" s="6">
        <v>43542.6</v>
      </c>
      <c r="O94" s="5"/>
      <c r="P94" s="6"/>
      <c r="Q94" s="5"/>
      <c r="R94" s="6"/>
    </row>
    <row r="95" spans="1:18" x14ac:dyDescent="0.35">
      <c r="A95" s="12"/>
      <c r="B95" s="7"/>
      <c r="C95" s="7"/>
      <c r="D95" s="6"/>
      <c r="F95" s="6"/>
      <c r="H95" s="6"/>
      <c r="J95" s="6"/>
      <c r="L95" s="6"/>
      <c r="N95" s="6"/>
      <c r="P95" s="6"/>
      <c r="R95" s="6"/>
    </row>
    <row r="96" spans="1:18" s="15" customFormat="1" x14ac:dyDescent="0.35">
      <c r="A96" s="7"/>
      <c r="B96" s="22" t="s">
        <v>126</v>
      </c>
      <c r="C96" s="22"/>
      <c r="D96" s="10">
        <f>+D91-D94</f>
        <v>9892.4599999999482</v>
      </c>
      <c r="E96" s="12"/>
      <c r="F96" s="10">
        <f>+F91-F94</f>
        <v>32180.149999999965</v>
      </c>
      <c r="G96" s="5"/>
      <c r="H96" s="10">
        <f>+H91-H94</f>
        <v>24365.159999999974</v>
      </c>
      <c r="I96" s="5"/>
      <c r="J96" s="10">
        <f>+J91-J94</f>
        <v>-47108.569999999949</v>
      </c>
      <c r="K96" s="5"/>
      <c r="L96" s="10">
        <f>+L91-L94</f>
        <v>-19557.900000000009</v>
      </c>
      <c r="M96" s="5"/>
      <c r="N96" s="10">
        <f>+N91-N94</f>
        <v>-43777.79000000003</v>
      </c>
      <c r="O96" s="5"/>
      <c r="P96" s="10">
        <f>+P91-P94</f>
        <v>2</v>
      </c>
      <c r="Q96" s="5"/>
      <c r="R96" s="10">
        <f>+R91-R94</f>
        <v>-7056</v>
      </c>
    </row>
    <row r="97" spans="1:18" s="27" customFormat="1" x14ac:dyDescent="0.35">
      <c r="A97" s="18"/>
      <c r="B97" s="18"/>
      <c r="C97" s="18"/>
      <c r="D97" s="9">
        <f>IFERROR(D96/D10, 0)</f>
        <v>2.2556979719819285E-2</v>
      </c>
      <c r="E97" s="18"/>
      <c r="F97" s="9">
        <f>IFERROR(F96/F10, 0)</f>
        <v>7.2842493713346265E-2</v>
      </c>
      <c r="G97" s="14"/>
      <c r="H97" s="9">
        <f>IFERROR(H96/H10, 0)</f>
        <v>5.1087273242611912E-2</v>
      </c>
      <c r="I97" s="14"/>
      <c r="J97" s="9">
        <f>IFERROR(J96/J10, 0)</f>
        <v>-0.10252011939527778</v>
      </c>
      <c r="K97" s="14"/>
      <c r="L97" s="9">
        <f>IFERROR(L96/L10, 0)</f>
        <v>-4.7567492105587361E-2</v>
      </c>
      <c r="M97" s="14"/>
      <c r="N97" s="9">
        <f>IFERROR(N96/N10, 0)</f>
        <v>-0.15224050707481157</v>
      </c>
      <c r="O97" s="14"/>
      <c r="P97" s="9">
        <f>IFERROR(P96/P10, 0)</f>
        <v>1</v>
      </c>
      <c r="Q97" s="14"/>
      <c r="R97" s="9">
        <f>IFERROR(R96/R10, 0)</f>
        <v>0</v>
      </c>
    </row>
    <row r="98" spans="1:18" s="27" customFormat="1" x14ac:dyDescent="0.35">
      <c r="A98" s="18"/>
      <c r="B98" s="18"/>
      <c r="C98" s="18"/>
      <c r="D98" s="13"/>
      <c r="E98" s="18"/>
      <c r="F98" s="13"/>
      <c r="G98" s="14"/>
      <c r="H98" s="13"/>
      <c r="I98" s="14"/>
      <c r="J98" s="13"/>
      <c r="K98" s="14"/>
      <c r="L98" s="13"/>
      <c r="M98" s="14"/>
      <c r="N98" s="13"/>
      <c r="O98" s="14"/>
      <c r="P98" s="13"/>
      <c r="Q98" s="14"/>
      <c r="R98" s="13"/>
    </row>
    <row r="99" spans="1:18" x14ac:dyDescent="0.35">
      <c r="A99" s="12"/>
      <c r="B99" s="12"/>
      <c r="C99" s="12"/>
      <c r="D99" s="6"/>
      <c r="F99" s="6"/>
      <c r="H99" s="6"/>
      <c r="J99" s="6"/>
      <c r="L99" s="6"/>
      <c r="N99" s="6"/>
      <c r="P99" s="6"/>
      <c r="R99" s="6"/>
    </row>
    <row r="100" spans="1:18" s="15" customFormat="1" x14ac:dyDescent="0.35">
      <c r="A100" s="7"/>
      <c r="B100" s="22" t="s">
        <v>296</v>
      </c>
      <c r="C100" s="22"/>
      <c r="D100" s="10">
        <f>SUM(D96:D99)</f>
        <v>9892.4825569796685</v>
      </c>
      <c r="E100" s="12"/>
      <c r="F100" s="10">
        <f>SUM(F96:F99)</f>
        <v>32180.22284249368</v>
      </c>
      <c r="G100" s="5"/>
      <c r="H100" s="10">
        <f>SUM(H96:H99)</f>
        <v>24365.211087273216</v>
      </c>
      <c r="I100" s="5"/>
      <c r="J100" s="10">
        <f>SUM(J96:J99)</f>
        <v>-47108.672520119348</v>
      </c>
      <c r="K100" s="5"/>
      <c r="L100" s="10">
        <f>SUM(L96:L99)</f>
        <v>-19557.947567492116</v>
      </c>
      <c r="M100" s="5"/>
      <c r="N100" s="10">
        <f>SUM(N96:N99)</f>
        <v>-43777.942240507102</v>
      </c>
      <c r="O100" s="5"/>
      <c r="P100" s="10">
        <f>SUM(P96:P99)</f>
        <v>3</v>
      </c>
      <c r="Q100" s="5"/>
      <c r="R100" s="10">
        <f>SUM(R96:R99)</f>
        <v>-7056</v>
      </c>
    </row>
    <row r="101" spans="1:18" s="27" customFormat="1" x14ac:dyDescent="0.35">
      <c r="A101" s="18"/>
      <c r="B101" s="41"/>
      <c r="C101" s="18"/>
      <c r="D101" s="9">
        <f>IFERROR(D100/D10, 0)</f>
        <v>2.2557031154683223E-2</v>
      </c>
      <c r="E101" s="18"/>
      <c r="F101" s="9">
        <f>IFERROR(F100/F10, 0)</f>
        <v>7.2842658598497215E-2</v>
      </c>
      <c r="G101" s="14"/>
      <c r="H101" s="9">
        <f>IFERROR(H100/H10, 0)</f>
        <v>5.1087380359063732E-2</v>
      </c>
      <c r="I101" s="14"/>
      <c r="J101" s="9">
        <f>IFERROR(J100/J10, 0)</f>
        <v>-0.10252034250489203</v>
      </c>
      <c r="K101" s="14"/>
      <c r="L101" s="9">
        <f>IFERROR(L100/L10, 0)</f>
        <v>-4.7567607796244603E-2</v>
      </c>
      <c r="M101" s="14"/>
      <c r="N101" s="9">
        <f>IFERROR(N100/N10, 0)</f>
        <v>-0.15224103650245044</v>
      </c>
      <c r="O101" s="14"/>
      <c r="P101" s="9">
        <f>IFERROR(P100/P10, 0)</f>
        <v>1.5</v>
      </c>
      <c r="Q101" s="14"/>
      <c r="R101" s="9">
        <f>IFERROR(R100/R10, 0)</f>
        <v>0</v>
      </c>
    </row>
    <row r="102" spans="1:18" x14ac:dyDescent="0.35">
      <c r="A102" s="12"/>
      <c r="B102" s="40">
        <v>44319.883572604165</v>
      </c>
      <c r="D102" s="24"/>
      <c r="F102" s="24"/>
      <c r="H102" s="24"/>
      <c r="J102" s="24"/>
      <c r="L102" s="24"/>
      <c r="N102" s="24"/>
      <c r="P102" s="24"/>
      <c r="R102" s="24"/>
    </row>
    <row r="103" spans="1:18" x14ac:dyDescent="0.35">
      <c r="A103" s="12"/>
      <c r="B103" s="39" t="s">
        <v>23</v>
      </c>
      <c r="D103" s="24"/>
      <c r="F103" s="24"/>
      <c r="H103" s="24"/>
      <c r="J103" s="24"/>
      <c r="L103" s="24"/>
      <c r="N103" s="24"/>
      <c r="P103" s="24"/>
      <c r="R103" s="24"/>
    </row>
    <row r="104" spans="1:18" x14ac:dyDescent="0.35">
      <c r="A104" s="12"/>
      <c r="D104" s="24"/>
      <c r="F104" s="24"/>
      <c r="H104" s="24"/>
      <c r="J104" s="24"/>
      <c r="L104" s="24"/>
      <c r="N104" s="24"/>
      <c r="P104" s="24"/>
      <c r="R104" s="24"/>
    </row>
    <row r="105" spans="1:18" x14ac:dyDescent="0.35">
      <c r="D105" s="24"/>
      <c r="F105" s="24"/>
      <c r="H105" s="24"/>
      <c r="J105" s="24"/>
      <c r="L105" s="24"/>
      <c r="N105" s="24"/>
      <c r="P105" s="24"/>
      <c r="R105" s="24"/>
    </row>
  </sheetData>
  <pageMargins left="0.5" right="0.5" top="0.5" bottom="0.5" header="0.3" footer="0.3"/>
  <pageSetup scale="59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6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","311", " - ", "Textbooks")</f>
        <v>Department 311 - Textbooks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6014648.209999999</v>
      </c>
      <c r="F10" s="8">
        <f>SUM(OSRRefF11x_0)</f>
        <v>5438186.4699999997</v>
      </c>
      <c r="G10" s="8"/>
      <c r="H10" s="8">
        <f>SUM(OSRRefH11x_0)</f>
        <v>5083895.7399999993</v>
      </c>
      <c r="I10" s="8"/>
      <c r="J10" s="8">
        <f>SUM(OSRRefJ11x_0)</f>
        <v>4451359.8100000015</v>
      </c>
      <c r="K10" s="8"/>
      <c r="L10" s="8">
        <f>SUM(OSRRefL11x_0)</f>
        <v>3937368.4900000007</v>
      </c>
      <c r="M10" s="8"/>
      <c r="N10" s="8">
        <f>SUM(OSRRefN11x_0)</f>
        <v>3348053.5699999994</v>
      </c>
      <c r="O10" s="8"/>
      <c r="P10" s="8">
        <f>SUM(OSRRefP11x_0)</f>
        <v>3051982</v>
      </c>
      <c r="Q10" s="8"/>
      <c r="R10" s="8">
        <f>SUM(OSRRefR11x_0)</f>
        <v>3235148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3051982</v>
      </c>
      <c r="Q11" s="3"/>
      <c r="R11" s="11">
        <v>3235148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-4810465.76*-1</f>
        <v>4810465.76</v>
      </c>
      <c r="F12" s="11">
        <f>-4130912*-1</f>
        <v>4130912</v>
      </c>
      <c r="G12" s="3"/>
      <c r="H12" s="11">
        <f>-3689024.79*-1</f>
        <v>3689024.79</v>
      </c>
      <c r="I12" s="3"/>
      <c r="J12" s="11">
        <f>--3238440.93</f>
        <v>3238440.93</v>
      </c>
      <c r="K12" s="3"/>
      <c r="L12" s="11">
        <f>--2561646.36</f>
        <v>2561646.36</v>
      </c>
      <c r="M12" s="3"/>
      <c r="N12" s="11">
        <f>--2020717.57</f>
        <v>2020717.57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-1121969.29*-1</f>
        <v>1121969.29</v>
      </c>
      <c r="F13" s="11">
        <f>-1170121.48*-1</f>
        <v>1170121.48</v>
      </c>
      <c r="G13" s="3"/>
      <c r="H13" s="11">
        <f>-956594.27*-1</f>
        <v>956594.27</v>
      </c>
      <c r="I13" s="3"/>
      <c r="J13" s="11">
        <f>--714168.69</f>
        <v>714168.69</v>
      </c>
      <c r="K13" s="3"/>
      <c r="L13" s="11">
        <f>--652470.99</f>
        <v>652470.99</v>
      </c>
      <c r="M13" s="3"/>
      <c r="N13" s="11">
        <f>--690438.4</f>
        <v>690438.4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"4003", " - ", "TAXABLE SALES-RENTAL TEXT")</f>
        <v xml:space="preserve">          4003 - TAXABLE SALES-RENTAL TEXT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--5496.9</f>
        <v>5496.9</v>
      </c>
      <c r="K14" s="3"/>
      <c r="L14" s="11">
        <f>--15422.64</f>
        <v>15422.64</v>
      </c>
      <c r="M14" s="3"/>
      <c r="N14" s="11">
        <f>--34659.88</f>
        <v>34659.879999999997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"4004", " - ", "TAXABLE SALES-DIGITAL TEXT")</f>
        <v xml:space="preserve">          4004 - TAXABLE SALES-DIGITAL TEXT</v>
      </c>
      <c r="D15" s="11">
        <f>-69319.41*-1</f>
        <v>69319.41</v>
      </c>
      <c r="F15" s="11">
        <f>-125082.02*-1</f>
        <v>125082.02</v>
      </c>
      <c r="G15" s="3"/>
      <c r="H15" s="11">
        <f>-239789.76*-1</f>
        <v>239789.76</v>
      </c>
      <c r="I15" s="3"/>
      <c r="J15" s="11">
        <f>--46</f>
        <v>46</v>
      </c>
      <c r="K15" s="3"/>
      <c r="L15" s="11">
        <f>--70418.64</f>
        <v>70418.64</v>
      </c>
      <c r="M15" s="3"/>
      <c r="N15" s="11">
        <f>--42195.3</f>
        <v>42195.3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"4011", " - ", "TAXABLE SALES-NO VALUE TEXT")</f>
        <v xml:space="preserve">          4011 - TAXABLE SALES-NO VALUE TEXT</v>
      </c>
      <c r="D16" s="11">
        <f t="shared" ref="D16:D20" si="0">0*-1</f>
        <v>0</v>
      </c>
      <c r="F16" s="11">
        <f t="shared" ref="F16:F20" si="1">0*-1</f>
        <v>0</v>
      </c>
      <c r="G16" s="3"/>
      <c r="H16" s="11">
        <f t="shared" ref="H16:H20" si="2">0*-1</f>
        <v>0</v>
      </c>
      <c r="I16" s="3"/>
      <c r="J16" s="11">
        <f>--48.23</f>
        <v>48.23</v>
      </c>
      <c r="K16" s="3"/>
      <c r="L16" s="11">
        <f>--9.71</f>
        <v>9.7100000000000009</v>
      </c>
      <c r="M16" s="3"/>
      <c r="N16" s="11">
        <f>--1052.48</f>
        <v>1052.48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"4013", " - ", "TAXABLE SALES-TRADE BOOKS")</f>
        <v xml:space="preserve">          4013 - TAXABLE SALES-TRADE BOOKS</v>
      </c>
      <c r="D17" s="11">
        <f t="shared" si="0"/>
        <v>0</v>
      </c>
      <c r="F17" s="11">
        <f t="shared" si="1"/>
        <v>0</v>
      </c>
      <c r="G17" s="3"/>
      <c r="H17" s="11">
        <f t="shared" si="2"/>
        <v>0</v>
      </c>
      <c r="I17" s="3"/>
      <c r="J17" s="11">
        <f>--8260.64</f>
        <v>8260.64</v>
      </c>
      <c r="K17" s="3"/>
      <c r="L17" s="11">
        <f>--7463.59</f>
        <v>7463.59</v>
      </c>
      <c r="M17" s="3"/>
      <c r="N17" s="11">
        <f>--2778.35</f>
        <v>2778.35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"4014", " - ", "TAXABLE SALES-REMAINDERS")</f>
        <v xml:space="preserve">          4014 - TAXABLE SALES-REMAINDERS</v>
      </c>
      <c r="D18" s="11">
        <f t="shared" si="0"/>
        <v>0</v>
      </c>
      <c r="F18" s="11">
        <f t="shared" si="1"/>
        <v>0</v>
      </c>
      <c r="G18" s="3"/>
      <c r="H18" s="11">
        <f t="shared" si="2"/>
        <v>0</v>
      </c>
      <c r="I18" s="3"/>
      <c r="J18" s="11">
        <f>--3759.76</f>
        <v>3759.76</v>
      </c>
      <c r="K18" s="3"/>
      <c r="L18" s="11">
        <f>--2221.33</f>
        <v>2221.33</v>
      </c>
      <c r="M18" s="3"/>
      <c r="N18" s="11">
        <f>--1233.88</f>
        <v>1233.8800000000001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"4018", " - ", "TAXABLE SALES-STUDY GUIDES")</f>
        <v xml:space="preserve">          4018 - TAXABLE SALES-STUDY GUIDES</v>
      </c>
      <c r="D19" s="11">
        <f t="shared" si="0"/>
        <v>0</v>
      </c>
      <c r="F19" s="11">
        <f t="shared" si="1"/>
        <v>0</v>
      </c>
      <c r="G19" s="3"/>
      <c r="H19" s="11">
        <f t="shared" si="2"/>
        <v>0</v>
      </c>
      <c r="I19" s="3"/>
      <c r="J19" s="11">
        <f>--7616.72</f>
        <v>7616.72</v>
      </c>
      <c r="K19" s="3"/>
      <c r="L19" s="11">
        <f>--6524.46</f>
        <v>6524.46</v>
      </c>
      <c r="M19" s="3"/>
      <c r="N19" s="11">
        <f>--4179.3</f>
        <v>4179.3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"4100", " - ", "NON-TAXABLE SALES")</f>
        <v xml:space="preserve">          4100 - NON-TAXABLE SALES</v>
      </c>
      <c r="D20" s="11">
        <f t="shared" si="0"/>
        <v>0</v>
      </c>
      <c r="F20" s="11">
        <f t="shared" si="1"/>
        <v>0</v>
      </c>
      <c r="G20" s="3"/>
      <c r="H20" s="11">
        <f t="shared" si="2"/>
        <v>0</v>
      </c>
      <c r="I20" s="3"/>
      <c r="J20" s="11">
        <f>0</f>
        <v>0</v>
      </c>
      <c r="K20" s="3"/>
      <c r="L20" s="11">
        <f>0</f>
        <v>0</v>
      </c>
      <c r="M20" s="3"/>
      <c r="N20" s="11">
        <f>0</f>
        <v>0</v>
      </c>
      <c r="O20" s="3"/>
      <c r="P20" s="11"/>
      <c r="Q20" s="3"/>
      <c r="R20" s="11">
        <v>0</v>
      </c>
    </row>
    <row r="21" spans="2:18" s="16" customFormat="1" hidden="1" outlineLevel="1" x14ac:dyDescent="0.35">
      <c r="B21" s="35" t="str">
        <f>CONCATENATE("          ", "4101", " - ", "NON-TAXABLE SALES-NEW TEXT")</f>
        <v xml:space="preserve">          4101 - NON-TAXABLE SALES-NEW TEXT</v>
      </c>
      <c r="D21" s="11">
        <f>-333541.05*-1</f>
        <v>333541.05</v>
      </c>
      <c r="F21" s="11">
        <f>-331768.56*-1</f>
        <v>331768.56</v>
      </c>
      <c r="G21" s="3"/>
      <c r="H21" s="11">
        <f>-436453.6*-1</f>
        <v>436453.6</v>
      </c>
      <c r="I21" s="3"/>
      <c r="J21" s="11">
        <f>--176688.8</f>
        <v>176688.8</v>
      </c>
      <c r="K21" s="3"/>
      <c r="L21" s="11">
        <f>--281995.26</f>
        <v>281995.26</v>
      </c>
      <c r="M21" s="3"/>
      <c r="N21" s="11">
        <f>--153953.68</f>
        <v>153953.68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"4102", " - ", "NON-TAXABLE SALES-USED TEXT")</f>
        <v xml:space="preserve">          4102 - NON-TAXABLE SALES-USED TEXT</v>
      </c>
      <c r="D22" s="11">
        <f>-169093.51*-1</f>
        <v>169093.51</v>
      </c>
      <c r="F22" s="11">
        <f>-105992.28*-1</f>
        <v>105992.28</v>
      </c>
      <c r="G22" s="3"/>
      <c r="H22" s="11">
        <f>-102473.76*-1</f>
        <v>102473.76</v>
      </c>
      <c r="I22" s="3"/>
      <c r="J22" s="11">
        <f>--115900.77</f>
        <v>115900.77</v>
      </c>
      <c r="K22" s="3"/>
      <c r="L22" s="11">
        <f>--98541.39</f>
        <v>98541.39</v>
      </c>
      <c r="M22" s="3"/>
      <c r="N22" s="11">
        <f>--71943.61</f>
        <v>71943.61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"4103", " - ", "NON-TAXABLE SALES-RENTAL TEXT")</f>
        <v xml:space="preserve">          4103 - NON-TAXABLE SALES-RENTAL TEXT</v>
      </c>
      <c r="D23" s="11">
        <f>0*-1</f>
        <v>0</v>
      </c>
      <c r="F23" s="11">
        <f>0*-1</f>
        <v>0</v>
      </c>
      <c r="G23" s="3"/>
      <c r="H23" s="11">
        <f>0*-1</f>
        <v>0</v>
      </c>
      <c r="I23" s="3"/>
      <c r="J23" s="11">
        <f>0</f>
        <v>0</v>
      </c>
      <c r="K23" s="3"/>
      <c r="L23" s="11">
        <f>--830.85</f>
        <v>830.85</v>
      </c>
      <c r="M23" s="3"/>
      <c r="N23" s="11">
        <f>--664.97</f>
        <v>664.97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"4104", " - ", "NON-TAXABLE SALES-DIGITAL TEXT")</f>
        <v xml:space="preserve">          4104 - NON-TAXABLE SALES-DIGITAL TEXT</v>
      </c>
      <c r="D24" s="11">
        <f>-35063.14*-1</f>
        <v>35063.14</v>
      </c>
      <c r="F24" s="11">
        <f>-87423.09*-1</f>
        <v>87423.09</v>
      </c>
      <c r="G24" s="3"/>
      <c r="H24" s="11">
        <f>-168064.67*-1</f>
        <v>168064.67</v>
      </c>
      <c r="I24" s="3"/>
      <c r="J24" s="11">
        <f>--514704.82</f>
        <v>514704.82</v>
      </c>
      <c r="K24" s="3"/>
      <c r="L24" s="11">
        <f>--535221.75</f>
        <v>535221.75</v>
      </c>
      <c r="M24" s="3"/>
      <c r="N24" s="11">
        <f>--533640.31</f>
        <v>533640.31000000006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"4111", " - ", "NON-TAXABLE SALES-NO VALUE TEX")</f>
        <v xml:space="preserve">          4111 - NON-TAXABLE SALES-NO VALUE TEX</v>
      </c>
      <c r="D25" s="11">
        <f t="shared" ref="D25:D28" si="3">0*-1</f>
        <v>0</v>
      </c>
      <c r="F25" s="11">
        <f t="shared" ref="F25:F28" si="4">0*-1</f>
        <v>0</v>
      </c>
      <c r="G25" s="3"/>
      <c r="H25" s="11">
        <f t="shared" ref="H25:H28" si="5">0*-1</f>
        <v>0</v>
      </c>
      <c r="I25" s="3"/>
      <c r="J25" s="11">
        <f>--38359.07</f>
        <v>38359.07</v>
      </c>
      <c r="K25" s="3"/>
      <c r="L25" s="11">
        <f>--25086.75</f>
        <v>25086.75</v>
      </c>
      <c r="M25" s="3"/>
      <c r="N25" s="11">
        <f>--16342.67</f>
        <v>16342.67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"4113", " - ", "NON-TAXABLE SALES-TRADE BOOKS")</f>
        <v xml:space="preserve">          4113 - NON-TAXABLE SALES-TRADE BOOKS</v>
      </c>
      <c r="D26" s="11">
        <f t="shared" si="3"/>
        <v>0</v>
      </c>
      <c r="F26" s="11">
        <f t="shared" si="4"/>
        <v>0</v>
      </c>
      <c r="G26" s="3"/>
      <c r="H26" s="11">
        <f t="shared" si="5"/>
        <v>0</v>
      </c>
      <c r="I26" s="3"/>
      <c r="J26" s="11">
        <f>--1947.27</f>
        <v>1947.27</v>
      </c>
      <c r="K26" s="3"/>
      <c r="L26" s="11">
        <f>--5373</f>
        <v>5373</v>
      </c>
      <c r="M26" s="3"/>
      <c r="N26" s="11">
        <f>--8266.16</f>
        <v>8266.16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"4114", " - ", "NON-TAXABLE SALES-REMAINDERS")</f>
        <v xml:space="preserve">          4114 - NON-TAXABLE SALES-REMAINDERS</v>
      </c>
      <c r="D27" s="11">
        <f t="shared" si="3"/>
        <v>0</v>
      </c>
      <c r="F27" s="11">
        <f t="shared" si="4"/>
        <v>0</v>
      </c>
      <c r="G27" s="3"/>
      <c r="H27" s="11">
        <f t="shared" si="5"/>
        <v>0</v>
      </c>
      <c r="I27" s="3"/>
      <c r="J27" s="11">
        <f>0</f>
        <v>0</v>
      </c>
      <c r="K27" s="3"/>
      <c r="L27" s="11">
        <f>0</f>
        <v>0</v>
      </c>
      <c r="M27" s="3"/>
      <c r="N27" s="11">
        <f>--3.19</f>
        <v>3.19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"4118", " - ", "NON-TAXABLE SALES-STUDY GUIDES")</f>
        <v xml:space="preserve">          4118 - NON-TAXABLE SALES-STUDY GUIDES</v>
      </c>
      <c r="D28" s="11">
        <f t="shared" si="3"/>
        <v>0</v>
      </c>
      <c r="F28" s="11">
        <f t="shared" si="4"/>
        <v>0</v>
      </c>
      <c r="G28" s="3"/>
      <c r="H28" s="11">
        <f t="shared" si="5"/>
        <v>0</v>
      </c>
      <c r="I28" s="3"/>
      <c r="J28" s="11">
        <f>--4573.16</f>
        <v>4573.16</v>
      </c>
      <c r="K28" s="3"/>
      <c r="L28" s="11">
        <f>--2773.48</f>
        <v>2773.48</v>
      </c>
      <c r="M28" s="3"/>
      <c r="N28" s="11">
        <f>--126.03</f>
        <v>126.03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"4201", " - ", "SALES RETURN TAXABLE-NEW TEXT")</f>
        <v xml:space="preserve">          4201 - SALES RETURN TAXABLE-NEW TEXT</v>
      </c>
      <c r="D29" s="11">
        <f>365569.91*-1</f>
        <v>-365569.91</v>
      </c>
      <c r="F29" s="11">
        <f>331351.34*-1</f>
        <v>-331351.34000000003</v>
      </c>
      <c r="G29" s="3"/>
      <c r="H29" s="11">
        <f>338311.16*-1</f>
        <v>-338311.16</v>
      </c>
      <c r="I29" s="3"/>
      <c r="J29" s="11">
        <f>-274197.84</f>
        <v>-274197.84000000003</v>
      </c>
      <c r="K29" s="3"/>
      <c r="L29" s="11">
        <f>-180616.86</f>
        <v>-180616.86</v>
      </c>
      <c r="M29" s="3"/>
      <c r="N29" s="11">
        <f>-121451.61</f>
        <v>-121451.61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"4202", " - ", "SALES RETURN TAXABLE-USED TEXT")</f>
        <v xml:space="preserve">          4202 - SALES RETURN TAXABLE-USED TEXT</v>
      </c>
      <c r="D30" s="11">
        <f>119446.59*-1</f>
        <v>-119446.59</v>
      </c>
      <c r="F30" s="11">
        <f>111075.8*-1</f>
        <v>-111075.8</v>
      </c>
      <c r="G30" s="3"/>
      <c r="H30" s="11">
        <f>93513.58*-1</f>
        <v>-93513.58</v>
      </c>
      <c r="I30" s="3"/>
      <c r="J30" s="11">
        <f>-66220.07</f>
        <v>-66220.070000000007</v>
      </c>
      <c r="K30" s="3"/>
      <c r="L30" s="11">
        <f>-47688.8</f>
        <v>-47688.800000000003</v>
      </c>
      <c r="M30" s="3"/>
      <c r="N30" s="11">
        <f>-45799.46</f>
        <v>-45799.46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"4203", " - ", "SALES RETURN TAXABLE-RENTAL TE")</f>
        <v xml:space="preserve">          4203 - SALES RETURN TAXABLE-RENTAL TE</v>
      </c>
      <c r="D31" s="11">
        <f>0*-1</f>
        <v>0</v>
      </c>
      <c r="F31" s="11">
        <f>0*-1</f>
        <v>0</v>
      </c>
      <c r="G31" s="3"/>
      <c r="H31" s="11">
        <f>0*-1</f>
        <v>0</v>
      </c>
      <c r="I31" s="3"/>
      <c r="J31" s="11">
        <f>-457.7</f>
        <v>-457.7</v>
      </c>
      <c r="K31" s="3"/>
      <c r="L31" s="11">
        <f>-1699.5</f>
        <v>-1699.5</v>
      </c>
      <c r="M31" s="3"/>
      <c r="N31" s="11">
        <f>-144.99</f>
        <v>-144.99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"4204", " - ", "SALES RETURN TAXABLE-DIGITAL T")</f>
        <v xml:space="preserve">          4204 - SALES RETURN TAXABLE-DIGITAL T</v>
      </c>
      <c r="D32" s="11">
        <f>10124.95*-1</f>
        <v>-10124.950000000001</v>
      </c>
      <c r="F32" s="11">
        <f>20461.65*-1</f>
        <v>-20461.650000000001</v>
      </c>
      <c r="G32" s="3"/>
      <c r="H32" s="11">
        <f>30518.8*-1</f>
        <v>-30518.799999999999</v>
      </c>
      <c r="I32" s="3"/>
      <c r="J32" s="11">
        <f>-202.45</f>
        <v>-202.45</v>
      </c>
      <c r="K32" s="3"/>
      <c r="L32" s="11">
        <f>-27147</f>
        <v>-27147</v>
      </c>
      <c r="M32" s="3"/>
      <c r="N32" s="11">
        <f>-17255.33</f>
        <v>-17255.330000000002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"4211", " - ", "SALES RETURN TAXABLE-NO VALUE")</f>
        <v xml:space="preserve">          4211 - SALES RETURN TAXABLE-NO VALUE</v>
      </c>
      <c r="D33" s="11">
        <f t="shared" ref="D33:D36" si="6">0*-1</f>
        <v>0</v>
      </c>
      <c r="F33" s="11">
        <f t="shared" ref="F33:F36" si="7">0*-1</f>
        <v>0</v>
      </c>
      <c r="G33" s="3"/>
      <c r="H33" s="11">
        <f t="shared" ref="H33:H36" si="8">0*-1</f>
        <v>0</v>
      </c>
      <c r="I33" s="3"/>
      <c r="J33" s="11">
        <f>-90.83</f>
        <v>-90.83</v>
      </c>
      <c r="K33" s="3"/>
      <c r="L33" s="11">
        <f>0</f>
        <v>0</v>
      </c>
      <c r="M33" s="3"/>
      <c r="N33" s="11">
        <f>0</f>
        <v>0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"4213", " - ", "NON-TAXABLE SALES-TRADE BOOKS")</f>
        <v xml:space="preserve">          4213 - NON-TAXABLE SALES-TRADE BOOKS</v>
      </c>
      <c r="D34" s="11">
        <f t="shared" si="6"/>
        <v>0</v>
      </c>
      <c r="F34" s="11">
        <f t="shared" si="7"/>
        <v>0</v>
      </c>
      <c r="G34" s="3"/>
      <c r="H34" s="11">
        <f t="shared" si="8"/>
        <v>0</v>
      </c>
      <c r="I34" s="3"/>
      <c r="J34" s="11">
        <f>-283.02</f>
        <v>-283.02</v>
      </c>
      <c r="K34" s="3"/>
      <c r="L34" s="11">
        <f>-1554.3</f>
        <v>-1554.3</v>
      </c>
      <c r="M34" s="3"/>
      <c r="N34" s="11">
        <f>-2869.37</f>
        <v>-2869.37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"4214", " - ", "SALES RETURN TAXABLE-REMAINDER")</f>
        <v xml:space="preserve">          4214 - SALES RETURN TAXABLE-REMAINDER</v>
      </c>
      <c r="D35" s="11">
        <f t="shared" si="6"/>
        <v>0</v>
      </c>
      <c r="F35" s="11">
        <f t="shared" si="7"/>
        <v>0</v>
      </c>
      <c r="G35" s="3"/>
      <c r="H35" s="11">
        <f t="shared" si="8"/>
        <v>0</v>
      </c>
      <c r="I35" s="3"/>
      <c r="J35" s="11">
        <f>0</f>
        <v>0</v>
      </c>
      <c r="K35" s="3"/>
      <c r="L35" s="11">
        <f>-19.84</f>
        <v>-19.84</v>
      </c>
      <c r="M35" s="3"/>
      <c r="N35" s="11">
        <f>-11.94</f>
        <v>-11.94</v>
      </c>
      <c r="O35" s="3"/>
      <c r="P35" s="11"/>
      <c r="Q35" s="3"/>
      <c r="R35" s="11"/>
    </row>
    <row r="36" spans="1:18" s="16" customFormat="1" hidden="1" outlineLevel="1" x14ac:dyDescent="0.35">
      <c r="B36" s="35" t="str">
        <f>CONCATENATE("          ", "4218", " - ", "SALES RETURN TAXABLE-STUDY GUI")</f>
        <v xml:space="preserve">          4218 - SALES RETURN TAXABLE-STUDY GUI</v>
      </c>
      <c r="D36" s="11">
        <f t="shared" si="6"/>
        <v>0</v>
      </c>
      <c r="F36" s="11">
        <f t="shared" si="7"/>
        <v>0</v>
      </c>
      <c r="G36" s="3"/>
      <c r="H36" s="11">
        <f t="shared" si="8"/>
        <v>0</v>
      </c>
      <c r="I36" s="3"/>
      <c r="J36" s="11">
        <f>-234.52</f>
        <v>-234.52</v>
      </c>
      <c r="K36" s="3"/>
      <c r="L36" s="11">
        <f>-67.6</f>
        <v>-67.599999999999994</v>
      </c>
      <c r="M36" s="3"/>
      <c r="N36" s="11">
        <f>-39.25</f>
        <v>-39.25</v>
      </c>
      <c r="O36" s="3"/>
      <c r="P36" s="11"/>
      <c r="Q36" s="3"/>
      <c r="R36" s="11"/>
    </row>
    <row r="37" spans="1:18" s="16" customFormat="1" hidden="1" outlineLevel="1" x14ac:dyDescent="0.35">
      <c r="B37" s="35" t="str">
        <f>CONCATENATE("          ", "4301", " - ", "SALES RETURN NON TAXABLE-NEW T")</f>
        <v xml:space="preserve">          4301 - SALES RETURN NON TAXABLE-NEW T</v>
      </c>
      <c r="D37" s="11">
        <f>23238.51*-1</f>
        <v>-23238.51</v>
      </c>
      <c r="F37" s="11">
        <f>41726.46*-1</f>
        <v>-41726.46</v>
      </c>
      <c r="G37" s="3"/>
      <c r="H37" s="11">
        <f>37606.44*-1</f>
        <v>-37606.44</v>
      </c>
      <c r="I37" s="3"/>
      <c r="J37" s="11">
        <f>--6537.73</f>
        <v>6537.73</v>
      </c>
      <c r="K37" s="3"/>
      <c r="L37" s="11">
        <f>-51917.32</f>
        <v>-51917.32</v>
      </c>
      <c r="M37" s="3"/>
      <c r="N37" s="11">
        <f>-21543.36</f>
        <v>-21543.360000000001</v>
      </c>
      <c r="O37" s="3"/>
      <c r="P37" s="11"/>
      <c r="Q37" s="3"/>
      <c r="R37" s="11"/>
    </row>
    <row r="38" spans="1:18" s="16" customFormat="1" hidden="1" outlineLevel="1" x14ac:dyDescent="0.35">
      <c r="B38" s="35" t="str">
        <f>CONCATENATE("          ", "4302", " - ", "SALES RETURN NON TAXABLE-TEXT")</f>
        <v xml:space="preserve">          4302 - SALES RETURN NON TAXABLE-TEXT</v>
      </c>
      <c r="D38" s="11">
        <f>5954.54*-1</f>
        <v>-5954.54</v>
      </c>
      <c r="F38" s="11">
        <f>7432.62*-1</f>
        <v>-7432.62</v>
      </c>
      <c r="G38" s="3"/>
      <c r="H38" s="11">
        <f>6604.68*-1</f>
        <v>-6604.68</v>
      </c>
      <c r="I38" s="3"/>
      <c r="J38" s="11">
        <f>-5507.21</f>
        <v>-5507.21</v>
      </c>
      <c r="K38" s="3"/>
      <c r="L38" s="11">
        <f>-6780.29</f>
        <v>-6780.29</v>
      </c>
      <c r="M38" s="3"/>
      <c r="N38" s="11">
        <f>-1475.62</f>
        <v>-1475.62</v>
      </c>
      <c r="O38" s="3"/>
      <c r="P38" s="11"/>
      <c r="Q38" s="3"/>
      <c r="R38" s="11"/>
    </row>
    <row r="39" spans="1:18" s="16" customFormat="1" hidden="1" outlineLevel="1" x14ac:dyDescent="0.35">
      <c r="B39" s="35" t="str">
        <f>CONCATENATE("          ", "4303", " - ", "SALES RETURN NON-TAXABLE-RENTA")</f>
        <v xml:space="preserve">          4303 - SALES RETURN NON-TAXABLE-RENTA</v>
      </c>
      <c r="D39" s="11">
        <f>0*-1</f>
        <v>0</v>
      </c>
      <c r="F39" s="11">
        <f>0*-1</f>
        <v>0</v>
      </c>
      <c r="G39" s="3"/>
      <c r="H39" s="11">
        <f>0*-1</f>
        <v>0</v>
      </c>
      <c r="I39" s="3"/>
      <c r="J39" s="11">
        <f>0</f>
        <v>0</v>
      </c>
      <c r="K39" s="3"/>
      <c r="L39" s="11">
        <f>-509.85</f>
        <v>-509.85</v>
      </c>
      <c r="M39" s="3"/>
      <c r="N39" s="11">
        <f>-184.99</f>
        <v>-184.99</v>
      </c>
      <c r="O39" s="3"/>
      <c r="P39" s="11"/>
      <c r="Q39" s="3"/>
      <c r="R39" s="11"/>
    </row>
    <row r="40" spans="1:18" s="16" customFormat="1" hidden="1" outlineLevel="1" x14ac:dyDescent="0.35">
      <c r="B40" s="35" t="str">
        <f>CONCATENATE("          ", "4304", " - ", "SALES RETURN NON TAXABLE-DIGIT")</f>
        <v xml:space="preserve">          4304 - SALES RETURN NON TAXABLE-DIGIT</v>
      </c>
      <c r="D40" s="11">
        <f>469.45*-1</f>
        <v>-469.45</v>
      </c>
      <c r="F40" s="11">
        <f>1065.09*-1</f>
        <v>-1065.0899999999999</v>
      </c>
      <c r="G40" s="3"/>
      <c r="H40" s="11">
        <f>1950.45*-1</f>
        <v>-1950.45</v>
      </c>
      <c r="I40" s="3"/>
      <c r="J40" s="11">
        <f>-34135.02</f>
        <v>-34135.019999999997</v>
      </c>
      <c r="K40" s="3"/>
      <c r="L40" s="11">
        <f>-6171.97</f>
        <v>-6171.97</v>
      </c>
      <c r="M40" s="3"/>
      <c r="N40" s="11">
        <f>-19873.2</f>
        <v>-19873.2</v>
      </c>
      <c r="O40" s="3"/>
      <c r="P40" s="11"/>
      <c r="Q40" s="3"/>
      <c r="R40" s="11"/>
    </row>
    <row r="41" spans="1:18" s="16" customFormat="1" hidden="1" outlineLevel="1" x14ac:dyDescent="0.35">
      <c r="B41" s="35" t="str">
        <f>CONCATENATE("          ", "4311", " - ", "SALES RETURN NON TAXABLE-NO VA")</f>
        <v xml:space="preserve">          4311 - SALES RETURN NON TAXABLE-NO VA</v>
      </c>
      <c r="D41" s="11">
        <f t="shared" ref="D41:D43" si="9">0*-1</f>
        <v>0</v>
      </c>
      <c r="F41" s="11">
        <f t="shared" ref="F41:F43" si="10">0*-1</f>
        <v>0</v>
      </c>
      <c r="G41" s="3"/>
      <c r="H41" s="11">
        <f t="shared" ref="H41:H43" si="11">0*-1</f>
        <v>0</v>
      </c>
      <c r="I41" s="3"/>
      <c r="J41" s="11">
        <f>-1836.02</f>
        <v>-1836.02</v>
      </c>
      <c r="K41" s="3"/>
      <c r="L41" s="11">
        <f>-2399.84</f>
        <v>-2399.84</v>
      </c>
      <c r="M41" s="3"/>
      <c r="N41" s="11">
        <f>-1011.65</f>
        <v>-1011.65</v>
      </c>
      <c r="O41" s="3"/>
      <c r="P41" s="11"/>
      <c r="Q41" s="3"/>
      <c r="R41" s="11"/>
    </row>
    <row r="42" spans="1:18" s="16" customFormat="1" hidden="1" outlineLevel="1" x14ac:dyDescent="0.35">
      <c r="B42" s="35" t="str">
        <f>CONCATENATE("          ", "4313", " - ", "SALES RETURN NON TAXABLE-TRADE")</f>
        <v xml:space="preserve">          4313 - SALES RETURN NON TAXABLE-TRADE</v>
      </c>
      <c r="D42" s="11">
        <f t="shared" si="9"/>
        <v>0</v>
      </c>
      <c r="F42" s="11">
        <f t="shared" si="10"/>
        <v>0</v>
      </c>
      <c r="G42" s="3"/>
      <c r="H42" s="11">
        <f t="shared" si="11"/>
        <v>0</v>
      </c>
      <c r="I42" s="3"/>
      <c r="J42" s="11">
        <f>0</f>
        <v>0</v>
      </c>
      <c r="K42" s="3"/>
      <c r="L42" s="11">
        <f>-800</f>
        <v>-800</v>
      </c>
      <c r="M42" s="3"/>
      <c r="N42" s="11">
        <f>-2481.44</f>
        <v>-2481.44</v>
      </c>
      <c r="O42" s="3"/>
      <c r="P42" s="11"/>
      <c r="Q42" s="3"/>
      <c r="R42" s="11"/>
    </row>
    <row r="43" spans="1:18" s="16" customFormat="1" hidden="1" outlineLevel="1" x14ac:dyDescent="0.35">
      <c r="B43" s="35" t="str">
        <f>CONCATENATE("          ", "4318", " - ", "SALES RETURN NON TAXABLE-STUDY")</f>
        <v xml:space="preserve">          4318 - SALES RETURN NON TAXABLE-STUDY</v>
      </c>
      <c r="D43" s="11">
        <f t="shared" si="9"/>
        <v>0</v>
      </c>
      <c r="F43" s="11">
        <f t="shared" si="10"/>
        <v>0</v>
      </c>
      <c r="G43" s="3"/>
      <c r="H43" s="11">
        <f t="shared" si="11"/>
        <v>0</v>
      </c>
      <c r="I43" s="3"/>
      <c r="J43" s="11">
        <f>-2025</f>
        <v>-2025</v>
      </c>
      <c r="K43" s="3"/>
      <c r="L43" s="11">
        <f>-1258.54</f>
        <v>-1258.54</v>
      </c>
      <c r="M43" s="3"/>
      <c r="N43" s="11">
        <f>0</f>
        <v>0</v>
      </c>
      <c r="O43" s="3"/>
      <c r="P43" s="11"/>
      <c r="Q43" s="3"/>
      <c r="R43" s="11"/>
    </row>
    <row r="44" spans="1:18" s="12" customFormat="1" x14ac:dyDescent="0.35">
      <c r="B44" s="7"/>
      <c r="D44" s="6"/>
      <c r="F44" s="6"/>
      <c r="G44" s="5"/>
      <c r="H44" s="6"/>
      <c r="I44" s="5"/>
      <c r="J44" s="6"/>
      <c r="K44" s="5"/>
      <c r="L44" s="6"/>
      <c r="M44" s="5"/>
      <c r="N44" s="6"/>
      <c r="O44" s="5"/>
      <c r="P44" s="6"/>
      <c r="Q44" s="5"/>
      <c r="R44" s="6"/>
    </row>
    <row r="45" spans="1:18" s="12" customFormat="1" collapsed="1" x14ac:dyDescent="0.35">
      <c r="B45" s="7" t="s">
        <v>278</v>
      </c>
      <c r="D45" s="8">
        <f>SUM(OSRRefD14x_0)</f>
        <v>4603353.9300000006</v>
      </c>
      <c r="E45" s="8"/>
      <c r="F45" s="8">
        <f>SUM(OSRRefF14x_0)</f>
        <v>3944479.5999999996</v>
      </c>
      <c r="G45" s="8"/>
      <c r="H45" s="8">
        <f>SUM(OSRRefH14x_0)</f>
        <v>3760844.5600000005</v>
      </c>
      <c r="I45" s="8"/>
      <c r="J45" s="8">
        <f>SUM(OSRRefJ14x_0)</f>
        <v>3193544.399999999</v>
      </c>
      <c r="K45" s="8"/>
      <c r="L45" s="8">
        <f>SUM(OSRRefL14x_0)</f>
        <v>2863486.8699999996</v>
      </c>
      <c r="M45" s="8"/>
      <c r="N45" s="8">
        <f>SUM(OSRRefN14x_0)</f>
        <v>2452116.4700000002</v>
      </c>
      <c r="O45" s="8"/>
      <c r="P45" s="8">
        <f>SUM(OSRRefP14x_0)</f>
        <v>2220317</v>
      </c>
      <c r="Q45" s="8"/>
      <c r="R45" s="8">
        <f>SUM(OSRRefR14x_0)</f>
        <v>2337393</v>
      </c>
    </row>
    <row r="46" spans="1:18" s="44" customFormat="1" hidden="1" outlineLevel="1" x14ac:dyDescent="0.35">
      <c r="A46" s="16"/>
      <c r="B46" s="35" t="str">
        <f>CONCATENATE("          ", "5000", " - ", "PURCHASES @ COST")</f>
        <v xml:space="preserve">          5000 - PURCHASES @ COST</v>
      </c>
      <c r="C46" s="16"/>
      <c r="D46" s="11"/>
      <c r="E46" s="16"/>
      <c r="F46" s="11"/>
      <c r="G46" s="3"/>
      <c r="H46" s="11"/>
      <c r="I46" s="3"/>
      <c r="J46" s="11"/>
      <c r="K46" s="3"/>
      <c r="L46" s="11">
        <v>0</v>
      </c>
      <c r="M46" s="3"/>
      <c r="N46" s="11">
        <v>0</v>
      </c>
      <c r="O46" s="3"/>
      <c r="P46" s="11">
        <v>2220317</v>
      </c>
      <c r="Q46" s="3"/>
      <c r="R46" s="11">
        <v>2337393</v>
      </c>
    </row>
    <row r="47" spans="1:18" s="44" customFormat="1" hidden="1" outlineLevel="1" x14ac:dyDescent="0.35">
      <c r="A47" s="16"/>
      <c r="B47" s="35" t="str">
        <f>CONCATENATE("          ", "5001", " - ", "PURCHASES @ COST-NEW TEXT")</f>
        <v xml:space="preserve">          5001 - PURCHASES @ COST-NEW TEXT</v>
      </c>
      <c r="C47" s="16"/>
      <c r="D47" s="11">
        <v>3798227.47</v>
      </c>
      <c r="E47" s="16"/>
      <c r="F47" s="11">
        <v>3048569.88</v>
      </c>
      <c r="G47" s="3"/>
      <c r="H47" s="11">
        <v>3219533.72</v>
      </c>
      <c r="I47" s="3"/>
      <c r="J47" s="11">
        <v>2439385.9900000002</v>
      </c>
      <c r="K47" s="3"/>
      <c r="L47" s="11">
        <v>1771160.18</v>
      </c>
      <c r="M47" s="3"/>
      <c r="N47" s="11">
        <v>1173925.31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"5002", " - ", "PURCHASES @ COST-USED TEXT")</f>
        <v xml:space="preserve">          5002 - PURCHASES @ COST-USED TEXT</v>
      </c>
      <c r="C48" s="16"/>
      <c r="D48" s="11">
        <v>808023.9</v>
      </c>
      <c r="E48" s="16"/>
      <c r="F48" s="11">
        <v>579008.54</v>
      </c>
      <c r="G48" s="3"/>
      <c r="H48" s="11">
        <v>419942.16</v>
      </c>
      <c r="I48" s="3"/>
      <c r="J48" s="11">
        <v>348477.47</v>
      </c>
      <c r="K48" s="3"/>
      <c r="L48" s="11">
        <v>132963.29</v>
      </c>
      <c r="M48" s="3"/>
      <c r="N48" s="11">
        <v>44226.77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"5003", " - ", "PURCHASES @ COST-RENTAL TEXT")</f>
        <v xml:space="preserve">          5003 - PURCHASES @ COST-RENTAL TEXT</v>
      </c>
      <c r="C49" s="16"/>
      <c r="D49" s="11"/>
      <c r="E49" s="16"/>
      <c r="F49" s="11"/>
      <c r="G49" s="3"/>
      <c r="H49" s="11"/>
      <c r="I49" s="3"/>
      <c r="J49" s="11">
        <v>6149.3</v>
      </c>
      <c r="K49" s="3"/>
      <c r="L49" s="11">
        <v>15917.98</v>
      </c>
      <c r="M49" s="3"/>
      <c r="N49" s="11">
        <v>24578.2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"5004", " - ", "PURCHASES @ COST-DIGITAL TEXT")</f>
        <v xml:space="preserve">          5004 - PURCHASES @ COST-DIGITAL TEXT</v>
      </c>
      <c r="C50" s="16"/>
      <c r="D50" s="11">
        <v>132546.79999999999</v>
      </c>
      <c r="E50" s="16"/>
      <c r="F50" s="11">
        <v>145666.69</v>
      </c>
      <c r="G50" s="3"/>
      <c r="H50" s="11">
        <v>240791.2</v>
      </c>
      <c r="I50" s="3"/>
      <c r="J50" s="11">
        <v>358061.45</v>
      </c>
      <c r="K50" s="3"/>
      <c r="L50" s="11">
        <v>507143.45</v>
      </c>
      <c r="M50" s="3"/>
      <c r="N50" s="11">
        <v>451308.6</v>
      </c>
      <c r="O50" s="3"/>
      <c r="P50" s="11"/>
      <c r="Q50" s="3"/>
      <c r="R50" s="11"/>
    </row>
    <row r="51" spans="1:18" s="44" customFormat="1" hidden="1" outlineLevel="1" x14ac:dyDescent="0.35">
      <c r="A51" s="16"/>
      <c r="B51" s="35" t="str">
        <f>CONCATENATE("          ", "5011", " - ", "PURCHASES @ COST-NO VALUE TEXT")</f>
        <v xml:space="preserve">          5011 - PURCHASES @ COST-NO VALUE TEXT</v>
      </c>
      <c r="C51" s="16"/>
      <c r="D51" s="11"/>
      <c r="E51" s="16"/>
      <c r="F51" s="11"/>
      <c r="G51" s="3"/>
      <c r="H51" s="11"/>
      <c r="I51" s="3"/>
      <c r="J51" s="11">
        <v>6765</v>
      </c>
      <c r="K51" s="3"/>
      <c r="L51" s="11">
        <v>5295</v>
      </c>
      <c r="M51" s="3"/>
      <c r="N51" s="11">
        <v>6462</v>
      </c>
      <c r="O51" s="3"/>
      <c r="P51" s="11"/>
      <c r="Q51" s="3"/>
      <c r="R51" s="11"/>
    </row>
    <row r="52" spans="1:18" s="44" customFormat="1" hidden="1" outlineLevel="1" x14ac:dyDescent="0.35">
      <c r="A52" s="16"/>
      <c r="B52" s="35" t="str">
        <f>CONCATENATE("          ", "5013", " - ", "PURCHASES @ COST-TRADE BOOKS")</f>
        <v xml:space="preserve">          5013 - PURCHASES @ COST-TRADE BOOKS</v>
      </c>
      <c r="C52" s="16"/>
      <c r="D52" s="11"/>
      <c r="E52" s="16"/>
      <c r="F52" s="11"/>
      <c r="G52" s="3"/>
      <c r="H52" s="11"/>
      <c r="I52" s="3"/>
      <c r="J52" s="11">
        <v>7603.03</v>
      </c>
      <c r="K52" s="3"/>
      <c r="L52" s="11">
        <v>6715.59</v>
      </c>
      <c r="M52" s="3"/>
      <c r="N52" s="11">
        <v>2777.09</v>
      </c>
      <c r="O52" s="3"/>
      <c r="P52" s="11"/>
      <c r="Q52" s="3"/>
      <c r="R52" s="11"/>
    </row>
    <row r="53" spans="1:18" s="44" customFormat="1" hidden="1" outlineLevel="1" x14ac:dyDescent="0.35">
      <c r="A53" s="16"/>
      <c r="B53" s="35" t="str">
        <f>CONCATENATE("          ", "5014", " - ", "PURCHASES @ COST-REMAINDERS")</f>
        <v xml:space="preserve">          5014 - PURCHASES @ COST-REMAINDERS</v>
      </c>
      <c r="C53" s="16"/>
      <c r="D53" s="11"/>
      <c r="E53" s="16"/>
      <c r="F53" s="11"/>
      <c r="G53" s="3"/>
      <c r="H53" s="11"/>
      <c r="I53" s="3"/>
      <c r="J53" s="11">
        <v>2568.8000000000002</v>
      </c>
      <c r="K53" s="3"/>
      <c r="L53" s="11">
        <v>1261.47</v>
      </c>
      <c r="M53" s="3"/>
      <c r="N53" s="11">
        <v>732.61</v>
      </c>
      <c r="O53" s="3"/>
      <c r="P53" s="11"/>
      <c r="Q53" s="3"/>
      <c r="R53" s="11"/>
    </row>
    <row r="54" spans="1:18" s="44" customFormat="1" hidden="1" outlineLevel="1" x14ac:dyDescent="0.35">
      <c r="A54" s="16"/>
      <c r="B54" s="35" t="str">
        <f>CONCATENATE("          ", "5018", " - ", "PURCHASES @ COST-STUDY GUIDES")</f>
        <v xml:space="preserve">          5018 - PURCHASES @ COST-STUDY GUIDES</v>
      </c>
      <c r="C54" s="16"/>
      <c r="D54" s="11"/>
      <c r="E54" s="16"/>
      <c r="F54" s="11"/>
      <c r="G54" s="3"/>
      <c r="H54" s="11"/>
      <c r="I54" s="3"/>
      <c r="J54" s="11">
        <v>6227.2</v>
      </c>
      <c r="K54" s="3"/>
      <c r="L54" s="11">
        <v>3717</v>
      </c>
      <c r="M54" s="3"/>
      <c r="N54" s="11">
        <v>-454.52</v>
      </c>
      <c r="O54" s="3"/>
      <c r="P54" s="11"/>
      <c r="Q54" s="3"/>
      <c r="R54" s="11"/>
    </row>
    <row r="55" spans="1:18" s="44" customFormat="1" hidden="1" outlineLevel="1" x14ac:dyDescent="0.35">
      <c r="A55" s="16"/>
      <c r="B55" s="35" t="str">
        <f>CONCATENATE("          ", "5200", " - ", "PURCHASES OFFSET")</f>
        <v xml:space="preserve">          5200 - PURCHASES OFFSET</v>
      </c>
      <c r="C55" s="16"/>
      <c r="D55" s="11">
        <v>-4876993</v>
      </c>
      <c r="E55" s="16"/>
      <c r="F55" s="11">
        <v>-3878109</v>
      </c>
      <c r="G55" s="3"/>
      <c r="H55" s="11">
        <v>-3969076</v>
      </c>
      <c r="I55" s="3"/>
      <c r="J55" s="11">
        <v>-3268384</v>
      </c>
      <c r="K55" s="3"/>
      <c r="L55" s="11">
        <v>-2524887</v>
      </c>
      <c r="M55" s="3"/>
      <c r="N55" s="11">
        <v>-1792162</v>
      </c>
      <c r="O55" s="3"/>
      <c r="P55" s="11"/>
      <c r="Q55" s="3"/>
      <c r="R55" s="11"/>
    </row>
    <row r="56" spans="1:18" s="44" customFormat="1" hidden="1" outlineLevel="1" x14ac:dyDescent="0.35">
      <c r="A56" s="16"/>
      <c r="B56" s="35" t="str">
        <f>CONCATENATE("          ", "5300", " - ", "COG$ OFFSET")</f>
        <v xml:space="preserve">          5300 - COG$ OFFSET</v>
      </c>
      <c r="C56" s="16"/>
      <c r="D56" s="11">
        <v>4603352</v>
      </c>
      <c r="E56" s="16"/>
      <c r="F56" s="11">
        <v>3944479</v>
      </c>
      <c r="G56" s="3"/>
      <c r="H56" s="11">
        <v>3760844</v>
      </c>
      <c r="I56" s="3"/>
      <c r="J56" s="11">
        <v>3193519</v>
      </c>
      <c r="K56" s="3"/>
      <c r="L56" s="11">
        <v>2863313</v>
      </c>
      <c r="M56" s="3"/>
      <c r="N56" s="11">
        <v>2452013</v>
      </c>
      <c r="O56" s="3"/>
      <c r="P56" s="11"/>
      <c r="Q56" s="3"/>
      <c r="R56" s="11"/>
    </row>
    <row r="57" spans="1:18" s="44" customFormat="1" hidden="1" outlineLevel="1" x14ac:dyDescent="0.35">
      <c r="A57" s="16"/>
      <c r="B57" s="35" t="str">
        <f>CONCATENATE("          ", "5500", " - ", "FREIGHT-IN")</f>
        <v xml:space="preserve">          5500 - FREIGHT-IN</v>
      </c>
      <c r="C57" s="16"/>
      <c r="D57" s="11"/>
      <c r="E57" s="16"/>
      <c r="F57" s="11"/>
      <c r="G57" s="3"/>
      <c r="H57" s="11"/>
      <c r="I57" s="3"/>
      <c r="J57" s="11">
        <v>25.78</v>
      </c>
      <c r="K57" s="3"/>
      <c r="L57" s="11">
        <v>174.83</v>
      </c>
      <c r="M57" s="3"/>
      <c r="N57" s="11">
        <v>108.38</v>
      </c>
      <c r="O57" s="3"/>
      <c r="P57" s="11"/>
      <c r="Q57" s="3"/>
      <c r="R57" s="11"/>
    </row>
    <row r="58" spans="1:18" s="44" customFormat="1" hidden="1" outlineLevel="1" x14ac:dyDescent="0.35">
      <c r="A58" s="16"/>
      <c r="B58" s="35" t="str">
        <f>CONCATENATE("          ", "5501", " - ", "FREIGHT-IN-NEW TEXT")</f>
        <v xml:space="preserve">          5501 - FREIGHT-IN-NEW TEXT</v>
      </c>
      <c r="C58" s="16"/>
      <c r="D58" s="11">
        <v>113122.15</v>
      </c>
      <c r="E58" s="16"/>
      <c r="F58" s="11">
        <v>81075.98</v>
      </c>
      <c r="G58" s="3"/>
      <c r="H58" s="11">
        <v>66269.36</v>
      </c>
      <c r="I58" s="3"/>
      <c r="J58" s="11">
        <v>72413.94</v>
      </c>
      <c r="K58" s="3"/>
      <c r="L58" s="11">
        <v>66019.19</v>
      </c>
      <c r="M58" s="3"/>
      <c r="N58" s="11">
        <v>72230.789999999994</v>
      </c>
      <c r="O58" s="3"/>
      <c r="P58" s="11"/>
      <c r="Q58" s="3"/>
      <c r="R58" s="11"/>
    </row>
    <row r="59" spans="1:18" s="44" customFormat="1" hidden="1" outlineLevel="1" x14ac:dyDescent="0.35">
      <c r="A59" s="16"/>
      <c r="B59" s="35" t="str">
        <f>CONCATENATE("          ", "5502", " - ", "FREIGHT-IN-USED TEXT")</f>
        <v xml:space="preserve">          5502 - FREIGHT-IN-USED TEXT</v>
      </c>
      <c r="C59" s="16"/>
      <c r="D59" s="11">
        <v>25064.61</v>
      </c>
      <c r="E59" s="16"/>
      <c r="F59" s="11">
        <v>23788.51</v>
      </c>
      <c r="G59" s="3"/>
      <c r="H59" s="11">
        <v>22503.66</v>
      </c>
      <c r="I59" s="3"/>
      <c r="J59" s="11">
        <v>20515.400000000001</v>
      </c>
      <c r="K59" s="3"/>
      <c r="L59" s="11">
        <v>14394.46</v>
      </c>
      <c r="M59" s="3"/>
      <c r="N59" s="11">
        <v>16200.12</v>
      </c>
      <c r="O59" s="3"/>
      <c r="P59" s="11"/>
      <c r="Q59" s="3"/>
      <c r="R59" s="11"/>
    </row>
    <row r="60" spans="1:18" s="44" customFormat="1" hidden="1" outlineLevel="1" x14ac:dyDescent="0.35">
      <c r="A60" s="16"/>
      <c r="B60" s="35" t="str">
        <f>CONCATENATE("          ", "5504", " - ", "FREIGHT-IN-DIGITAL TEXT")</f>
        <v xml:space="preserve">          5504 - FREIGHT-IN-DIGITAL TEXT</v>
      </c>
      <c r="C60" s="16"/>
      <c r="D60" s="11">
        <v>10</v>
      </c>
      <c r="E60" s="16"/>
      <c r="F60" s="11"/>
      <c r="G60" s="3"/>
      <c r="H60" s="11">
        <v>36.46</v>
      </c>
      <c r="I60" s="3"/>
      <c r="J60" s="11">
        <v>84.51</v>
      </c>
      <c r="K60" s="3"/>
      <c r="L60" s="11">
        <v>243.53</v>
      </c>
      <c r="M60" s="3"/>
      <c r="N60" s="11">
        <v>118.75</v>
      </c>
      <c r="O60" s="3"/>
      <c r="P60" s="11"/>
      <c r="Q60" s="3"/>
      <c r="R60" s="11"/>
    </row>
    <row r="61" spans="1:18" s="44" customFormat="1" hidden="1" outlineLevel="1" x14ac:dyDescent="0.35">
      <c r="A61" s="16"/>
      <c r="B61" s="35" t="str">
        <f>CONCATENATE("          ", "5505", " - ", "FREIGHT-IN-NCSU")</f>
        <v xml:space="preserve">          5505 - FREIGHT-IN-NCSU</v>
      </c>
      <c r="C61" s="16"/>
      <c r="D61" s="11"/>
      <c r="E61" s="16"/>
      <c r="F61" s="11"/>
      <c r="G61" s="3"/>
      <c r="H61" s="11"/>
      <c r="I61" s="3"/>
      <c r="J61" s="11"/>
      <c r="K61" s="3"/>
      <c r="L61" s="11">
        <v>0</v>
      </c>
      <c r="M61" s="3"/>
      <c r="N61" s="11"/>
      <c r="O61" s="3"/>
      <c r="P61" s="11"/>
      <c r="Q61" s="3"/>
      <c r="R61" s="11"/>
    </row>
    <row r="62" spans="1:18" s="44" customFormat="1" hidden="1" outlineLevel="1" x14ac:dyDescent="0.35">
      <c r="A62" s="16"/>
      <c r="B62" s="35" t="str">
        <f>CONCATENATE("          ", "5507", " - ", "FREIGHT-IN-NPUB")</f>
        <v xml:space="preserve">          5507 - FREIGHT-IN-NPUB</v>
      </c>
      <c r="C62" s="16"/>
      <c r="D62" s="11"/>
      <c r="E62" s="16"/>
      <c r="F62" s="11"/>
      <c r="G62" s="3"/>
      <c r="H62" s="11"/>
      <c r="I62" s="3"/>
      <c r="J62" s="11">
        <v>1.75</v>
      </c>
      <c r="K62" s="3"/>
      <c r="L62" s="11"/>
      <c r="M62" s="3"/>
      <c r="N62" s="11"/>
      <c r="O62" s="3"/>
      <c r="P62" s="11"/>
      <c r="Q62" s="3"/>
      <c r="R62" s="11"/>
    </row>
    <row r="63" spans="1:18" s="44" customFormat="1" hidden="1" outlineLevel="1" x14ac:dyDescent="0.35">
      <c r="A63" s="16"/>
      <c r="B63" s="35" t="str">
        <f>CONCATENATE("          ", "5513", " - ", "FREIGHT-IN-TRADE BOOKS")</f>
        <v xml:space="preserve">          5513 - FREIGHT-IN-TRADE BOOKS</v>
      </c>
      <c r="C63" s="16"/>
      <c r="D63" s="11"/>
      <c r="E63" s="16"/>
      <c r="F63" s="11"/>
      <c r="G63" s="3"/>
      <c r="H63" s="11"/>
      <c r="I63" s="3"/>
      <c r="J63" s="11">
        <v>129.78</v>
      </c>
      <c r="K63" s="3"/>
      <c r="L63" s="11">
        <v>54.9</v>
      </c>
      <c r="M63" s="3"/>
      <c r="N63" s="11">
        <v>30.24</v>
      </c>
      <c r="O63" s="3"/>
      <c r="P63" s="11"/>
      <c r="Q63" s="3"/>
      <c r="R63" s="11"/>
    </row>
    <row r="64" spans="1:18" s="44" customFormat="1" hidden="1" outlineLevel="1" x14ac:dyDescent="0.35">
      <c r="A64" s="16"/>
      <c r="B64" s="35" t="str">
        <f>CONCATENATE("          ", "5518", " - ", "FREIGHT-IN-STUDY GUIDES")</f>
        <v xml:space="preserve">          5518 - FREIGHT-IN-STUDY GUIDES</v>
      </c>
      <c r="C64" s="16"/>
      <c r="D64" s="11"/>
      <c r="E64" s="16"/>
      <c r="F64" s="11"/>
      <c r="G64" s="3"/>
      <c r="H64" s="11"/>
      <c r="I64" s="3"/>
      <c r="J64" s="11"/>
      <c r="K64" s="3"/>
      <c r="L64" s="11"/>
      <c r="M64" s="3"/>
      <c r="N64" s="11">
        <v>21.13</v>
      </c>
      <c r="O64" s="3"/>
      <c r="P64" s="11"/>
      <c r="Q64" s="3"/>
      <c r="R64" s="11"/>
    </row>
    <row r="65" spans="1:18" x14ac:dyDescent="0.35">
      <c r="A65" s="12"/>
      <c r="B65" s="7"/>
      <c r="C65" s="7"/>
      <c r="D65" s="6"/>
      <c r="F65" s="6"/>
      <c r="H65" s="6"/>
      <c r="J65" s="6"/>
      <c r="L65" s="6"/>
      <c r="N65" s="6"/>
      <c r="P65" s="6"/>
      <c r="R65" s="6"/>
    </row>
    <row r="66" spans="1:18" s="15" customFormat="1" x14ac:dyDescent="0.35">
      <c r="A66" s="7"/>
      <c r="B66" s="22" t="s">
        <v>107</v>
      </c>
      <c r="C66" s="22"/>
      <c r="D66" s="10">
        <f>+D10-D45</f>
        <v>1411294.2799999984</v>
      </c>
      <c r="E66" s="12"/>
      <c r="F66" s="10">
        <f>+F10-F45</f>
        <v>1493706.87</v>
      </c>
      <c r="G66" s="5"/>
      <c r="H66" s="10">
        <f>+H10-H45</f>
        <v>1323051.1799999988</v>
      </c>
      <c r="I66" s="5"/>
      <c r="J66" s="10">
        <f>+J10-J45</f>
        <v>1257815.4100000025</v>
      </c>
      <c r="K66" s="5"/>
      <c r="L66" s="10">
        <f>+L10-L45</f>
        <v>1073881.620000001</v>
      </c>
      <c r="M66" s="5"/>
      <c r="N66" s="10">
        <f>+N10-N45</f>
        <v>895937.09999999916</v>
      </c>
      <c r="O66" s="5"/>
      <c r="P66" s="10">
        <f>+P10-P45</f>
        <v>831665</v>
      </c>
      <c r="Q66" s="5"/>
      <c r="R66" s="10">
        <f>+R10-R45</f>
        <v>897755</v>
      </c>
    </row>
    <row r="67" spans="1:18" s="27" customFormat="1" x14ac:dyDescent="0.35">
      <c r="A67" s="18"/>
      <c r="B67" s="31"/>
      <c r="C67" s="18"/>
      <c r="D67" s="9">
        <f>IFERROR(D66/D10, 0)</f>
        <v>0.2346428636763111</v>
      </c>
      <c r="E67" s="13"/>
      <c r="F67" s="9">
        <f>IFERROR(F66/F10, 0)</f>
        <v>0.27467003535831314</v>
      </c>
      <c r="G67" s="26"/>
      <c r="H67" s="9">
        <f>IFERROR(H66/H10, 0)</f>
        <v>0.26024357061264181</v>
      </c>
      <c r="I67" s="26"/>
      <c r="J67" s="9">
        <f>IFERROR(J66/J10, 0)</f>
        <v>0.28256880227347925</v>
      </c>
      <c r="K67" s="26"/>
      <c r="L67" s="9">
        <f>IFERROR(L66/L10, 0)</f>
        <v>0.27274094937454046</v>
      </c>
      <c r="M67" s="26"/>
      <c r="N67" s="9">
        <f>IFERROR(N66/N10, 0)</f>
        <v>0.26759939208499561</v>
      </c>
      <c r="O67" s="26"/>
      <c r="P67" s="9">
        <f>IFERROR(P66/P10, 0)</f>
        <v>0.27249996887268668</v>
      </c>
      <c r="Q67" s="26"/>
      <c r="R67" s="9">
        <f>IFERROR(R66/R10, 0)</f>
        <v>0.27750044201996321</v>
      </c>
    </row>
    <row r="68" spans="1:18" s="27" customFormat="1" x14ac:dyDescent="0.35">
      <c r="A68" s="18"/>
      <c r="B68" s="31"/>
      <c r="C68" s="18"/>
      <c r="D68" s="13"/>
      <c r="E68" s="13"/>
      <c r="F68" s="13"/>
      <c r="G68" s="26"/>
      <c r="H68" s="13"/>
      <c r="I68" s="26"/>
      <c r="J68" s="13"/>
      <c r="K68" s="26"/>
      <c r="L68" s="13"/>
      <c r="M68" s="26"/>
      <c r="N68" s="13"/>
      <c r="O68" s="26"/>
      <c r="P68" s="13"/>
      <c r="Q68" s="26"/>
      <c r="R68" s="13"/>
    </row>
    <row r="69" spans="1:18" s="15" customFormat="1" x14ac:dyDescent="0.35">
      <c r="A69" s="7"/>
      <c r="B69" s="34" t="s">
        <v>314</v>
      </c>
      <c r="C69" s="7"/>
      <c r="D69" s="8">
        <f>SUM(OSRRefD21x_0)</f>
        <v>752749.16999999993</v>
      </c>
      <c r="E69" s="19"/>
      <c r="F69" s="8">
        <f>SUM(OSRRefF21x_0)</f>
        <v>522746.35000000003</v>
      </c>
      <c r="G69" s="4"/>
      <c r="H69" s="8">
        <f>SUM(OSRRefH21x_0)</f>
        <v>641391.23</v>
      </c>
      <c r="I69" s="4"/>
      <c r="J69" s="8">
        <f>SUM(OSRRefJ21x_0)</f>
        <v>505081.31000000011</v>
      </c>
      <c r="K69" s="4"/>
      <c r="L69" s="8">
        <f>SUM(OSRRefL21x_0)</f>
        <v>533586.05000000005</v>
      </c>
      <c r="M69" s="4"/>
      <c r="N69" s="8">
        <f>SUM(OSRRefN21x_0)</f>
        <v>512310.92</v>
      </c>
      <c r="O69" s="4"/>
      <c r="P69" s="8">
        <f>SUM(OSRRefP21x_0)</f>
        <v>701682.16080832505</v>
      </c>
      <c r="Q69" s="4"/>
      <c r="R69" s="8">
        <f>SUM(OSRRefR21x_0)</f>
        <v>653759.38269291713</v>
      </c>
    </row>
    <row r="70" spans="1:18" s="15" customFormat="1" outlineLevel="1" collapsed="1" x14ac:dyDescent="0.35">
      <c r="A70" s="7"/>
      <c r="B70" s="20" t="str">
        <f>CONCATENATE("     ","*Benefits                                         ")</f>
        <v xml:space="preserve">     *Benefits                                         </v>
      </c>
      <c r="C70" s="7"/>
      <c r="D70" s="1">
        <f>SUM(OSRRefD21_0x_0)</f>
        <v>147112.08000000002</v>
      </c>
      <c r="E70" s="19"/>
      <c r="F70" s="1">
        <f>SUM(OSRRefF21_0x_0)</f>
        <v>135606.85999999999</v>
      </c>
      <c r="G70" s="4"/>
      <c r="H70" s="1">
        <f>SUM(OSRRefH21_0x_0)</f>
        <v>127945.27</v>
      </c>
      <c r="I70" s="4"/>
      <c r="J70" s="1">
        <f>SUM(OSRRefJ21_0x_0)</f>
        <v>140332.02000000002</v>
      </c>
      <c r="K70" s="4"/>
      <c r="L70" s="1">
        <f>SUM(OSRRefL21_0x_0)</f>
        <v>143646.07999999999</v>
      </c>
      <c r="M70" s="4"/>
      <c r="N70" s="1">
        <f>SUM(OSRRefN21_0x_0)</f>
        <v>126499.94000000002</v>
      </c>
      <c r="O70" s="4"/>
      <c r="P70" s="1">
        <f>SUM(OSRRefP21_0x_0)</f>
        <v>148876.62919032498</v>
      </c>
      <c r="Q70" s="4"/>
      <c r="R70" s="1">
        <f>SUM(OSRRefR21_0x_0)</f>
        <v>175010.80660461698</v>
      </c>
    </row>
    <row r="71" spans="1:18" s="16" customFormat="1" hidden="1" outlineLevel="2" x14ac:dyDescent="0.35">
      <c r="B71" s="11" t="str">
        <f>CONCATENATE("          ", "6111", " - ", "F.I.C.A.")</f>
        <v xml:space="preserve">          6111 - F.I.C.A.</v>
      </c>
      <c r="D71" s="2">
        <v>21739.48</v>
      </c>
      <c r="F71" s="2">
        <v>20753.38</v>
      </c>
      <c r="G71" s="3"/>
      <c r="H71" s="2">
        <v>22610.560000000001</v>
      </c>
      <c r="I71" s="3"/>
      <c r="J71" s="2">
        <v>23941.49</v>
      </c>
      <c r="K71" s="3"/>
      <c r="L71" s="2">
        <v>24218.91</v>
      </c>
      <c r="M71" s="3"/>
      <c r="N71" s="2">
        <v>21700.400000000001</v>
      </c>
      <c r="O71" s="3"/>
      <c r="P71" s="2">
        <v>22997.1111747</v>
      </c>
      <c r="Q71" s="3"/>
      <c r="R71" s="2">
        <v>27743.513858786999</v>
      </c>
    </row>
    <row r="72" spans="1:18" s="16" customFormat="1" hidden="1" outlineLevel="2" x14ac:dyDescent="0.35">
      <c r="B72" s="11" t="str">
        <f>CONCATENATE("          ", "6112", " - ", "COMPENSATION INSURANCE")</f>
        <v xml:space="preserve">          6112 - COMPENSATION INSURANCE</v>
      </c>
      <c r="D72" s="2">
        <v>1059.6500000000001</v>
      </c>
      <c r="F72" s="2">
        <v>1858.34</v>
      </c>
      <c r="G72" s="3"/>
      <c r="H72" s="2">
        <v>1578.78</v>
      </c>
      <c r="I72" s="3"/>
      <c r="J72" s="2">
        <v>949.38</v>
      </c>
      <c r="K72" s="3"/>
      <c r="L72" s="2">
        <v>1017.08</v>
      </c>
      <c r="M72" s="3"/>
      <c r="N72" s="2">
        <v>1246.55</v>
      </c>
      <c r="O72" s="3"/>
      <c r="P72" s="2">
        <v>7763.9587093749997</v>
      </c>
      <c r="Q72" s="3"/>
      <c r="R72" s="2">
        <v>6778.5019052400003</v>
      </c>
    </row>
    <row r="73" spans="1:18" s="16" customFormat="1" hidden="1" outlineLevel="2" x14ac:dyDescent="0.35">
      <c r="B73" s="11" t="str">
        <f>CONCATENATE("          ", "6113", " - ", "GROUP INSURANCE")</f>
        <v xml:space="preserve">          6113 - GROUP INSURANCE</v>
      </c>
      <c r="D73" s="2">
        <v>57459.9</v>
      </c>
      <c r="F73" s="2">
        <v>54343.86</v>
      </c>
      <c r="G73" s="3"/>
      <c r="H73" s="2">
        <v>52627.46</v>
      </c>
      <c r="I73" s="3"/>
      <c r="J73" s="2">
        <v>62087.26</v>
      </c>
      <c r="K73" s="3"/>
      <c r="L73" s="2">
        <v>63693.34</v>
      </c>
      <c r="M73" s="3"/>
      <c r="N73" s="2">
        <v>50500.68</v>
      </c>
      <c r="O73" s="3"/>
      <c r="P73" s="2">
        <v>57180</v>
      </c>
      <c r="Q73" s="3"/>
      <c r="R73" s="2">
        <v>64992</v>
      </c>
    </row>
    <row r="74" spans="1:18" s="16" customFormat="1" hidden="1" outlineLevel="2" x14ac:dyDescent="0.35">
      <c r="B74" s="11" t="str">
        <f>CONCATENATE("          ", "6114", " - ", "STATE UNEMPLOYMENT INSURANCE")</f>
        <v xml:space="preserve">          6114 - STATE UNEMPLOYMENT INSURANCE</v>
      </c>
      <c r="D74" s="2">
        <v>1906.48</v>
      </c>
      <c r="F74" s="2">
        <v>1882.62</v>
      </c>
      <c r="G74" s="3"/>
      <c r="H74" s="2">
        <v>911.93</v>
      </c>
      <c r="I74" s="3"/>
      <c r="J74" s="2">
        <v>1094.9000000000001</v>
      </c>
      <c r="K74" s="3"/>
      <c r="L74" s="2">
        <v>927.11</v>
      </c>
      <c r="M74" s="3"/>
      <c r="N74" s="2">
        <v>0</v>
      </c>
      <c r="O74" s="3"/>
      <c r="P74" s="2">
        <v>1091.1509537500001</v>
      </c>
      <c r="Q74" s="3"/>
      <c r="R74" s="2">
        <v>912.49064108999903</v>
      </c>
    </row>
    <row r="75" spans="1:18" s="16" customFormat="1" hidden="1" outlineLevel="2" x14ac:dyDescent="0.35">
      <c r="B75" s="11" t="str">
        <f>CONCATENATE("          ", "6115", " - ", "P.E.R.S.")</f>
        <v xml:space="preserve">          6115 - P.E.R.S.</v>
      </c>
      <c r="D75" s="2">
        <v>25298.560000000001</v>
      </c>
      <c r="F75" s="2">
        <v>15287.82</v>
      </c>
      <c r="G75" s="3"/>
      <c r="H75" s="2">
        <v>14457.07</v>
      </c>
      <c r="I75" s="3"/>
      <c r="J75" s="2">
        <v>14797.32</v>
      </c>
      <c r="K75" s="3"/>
      <c r="L75" s="2">
        <v>15019.93</v>
      </c>
      <c r="M75" s="3"/>
      <c r="N75" s="2">
        <v>17203.09</v>
      </c>
      <c r="O75" s="3"/>
      <c r="P75" s="2">
        <v>16490.993640000001</v>
      </c>
      <c r="Q75" s="3"/>
      <c r="R75" s="2">
        <v>21640.8761614</v>
      </c>
    </row>
    <row r="76" spans="1:18" s="16" customFormat="1" hidden="1" outlineLevel="2" x14ac:dyDescent="0.35">
      <c r="B76" s="11" t="str">
        <f>CONCATENATE("          ", "6116", " - ", "EDUCATIONAL BENEFITS")</f>
        <v xml:space="preserve">          6116 - EDUCATIONAL BENEFITS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>
        <v>0</v>
      </c>
      <c r="Q76" s="3"/>
      <c r="R76" s="2">
        <v>0</v>
      </c>
    </row>
    <row r="77" spans="1:18" s="16" customFormat="1" hidden="1" outlineLevel="2" x14ac:dyDescent="0.35">
      <c r="B77" s="11" t="str">
        <f>CONCATENATE("          ", "6117", " - ", "RETIREMENT STAFF HOURLY")</f>
        <v xml:space="preserve">          6117 - RETIREMENT STAFF HOURLY</v>
      </c>
      <c r="D77" s="2">
        <v>2572.41</v>
      </c>
      <c r="F77" s="2">
        <v>2920.37</v>
      </c>
      <c r="G77" s="3"/>
      <c r="H77" s="2">
        <v>2954.32</v>
      </c>
      <c r="I77" s="3"/>
      <c r="J77" s="2">
        <v>3000.45</v>
      </c>
      <c r="K77" s="3"/>
      <c r="L77" s="2">
        <v>3156.29</v>
      </c>
      <c r="M77" s="3"/>
      <c r="N77" s="2">
        <v>2010.19</v>
      </c>
      <c r="O77" s="3"/>
      <c r="P77" s="2"/>
      <c r="Q77" s="3"/>
      <c r="R77" s="2"/>
    </row>
    <row r="78" spans="1:18" s="16" customFormat="1" hidden="1" outlineLevel="2" x14ac:dyDescent="0.35">
      <c r="B78" s="11" t="str">
        <f>CONCATENATE("          ", "6118", " - ", "VACATION")</f>
        <v xml:space="preserve">          6118 - VACATION</v>
      </c>
      <c r="D78" s="2">
        <v>15008.28</v>
      </c>
      <c r="F78" s="2">
        <v>16456.990000000002</v>
      </c>
      <c r="G78" s="3"/>
      <c r="H78" s="2">
        <v>13645.41</v>
      </c>
      <c r="I78" s="3"/>
      <c r="J78" s="2">
        <v>13311.59</v>
      </c>
      <c r="K78" s="3"/>
      <c r="L78" s="2">
        <v>18390.509999999998</v>
      </c>
      <c r="M78" s="3"/>
      <c r="N78" s="2">
        <v>13353.38</v>
      </c>
      <c r="O78" s="3"/>
      <c r="P78" s="2">
        <v>17500.700359999999</v>
      </c>
      <c r="Q78" s="3"/>
      <c r="R78" s="2">
        <v>21959.516044700002</v>
      </c>
    </row>
    <row r="79" spans="1:18" s="16" customFormat="1" hidden="1" outlineLevel="2" x14ac:dyDescent="0.35">
      <c r="B79" s="11" t="str">
        <f>CONCATENATE("          ", "6119", " - ", "SICK LEAVE")</f>
        <v xml:space="preserve">          6119 - SICK LEAVE</v>
      </c>
      <c r="D79" s="2">
        <v>12762.53</v>
      </c>
      <c r="F79" s="2">
        <v>13533.59</v>
      </c>
      <c r="G79" s="3"/>
      <c r="H79" s="2">
        <v>11124.82</v>
      </c>
      <c r="I79" s="3"/>
      <c r="J79" s="2">
        <v>12421.62</v>
      </c>
      <c r="K79" s="3"/>
      <c r="L79" s="2">
        <v>8754.35</v>
      </c>
      <c r="M79" s="3"/>
      <c r="N79" s="2">
        <v>13903.49</v>
      </c>
      <c r="O79" s="3"/>
      <c r="P79" s="2">
        <v>16852.714352499999</v>
      </c>
      <c r="Q79" s="3"/>
      <c r="R79" s="2">
        <v>18383.9079934</v>
      </c>
    </row>
    <row r="80" spans="1:18" s="16" customFormat="1" hidden="1" outlineLevel="2" x14ac:dyDescent="0.35">
      <c r="B80" s="11" t="str">
        <f>CONCATENATE("          ", "6156", " - ", "EMPLOYEE MEALS")</f>
        <v xml:space="preserve">          6156 - EMPLOYEE MEALS</v>
      </c>
      <c r="D80" s="2">
        <v>9304.7900000000009</v>
      </c>
      <c r="F80" s="2">
        <v>8569.89</v>
      </c>
      <c r="G80" s="3"/>
      <c r="H80" s="2">
        <v>8034.92</v>
      </c>
      <c r="I80" s="3"/>
      <c r="J80" s="2">
        <v>8728.01</v>
      </c>
      <c r="K80" s="3"/>
      <c r="L80" s="2">
        <v>8468.56</v>
      </c>
      <c r="M80" s="3"/>
      <c r="N80" s="2">
        <v>6582.16</v>
      </c>
      <c r="O80" s="3"/>
      <c r="P80" s="2">
        <v>9000</v>
      </c>
      <c r="Q80" s="3"/>
      <c r="R80" s="2">
        <v>12600</v>
      </c>
    </row>
    <row r="81" spans="1:18" s="15" customFormat="1" outlineLevel="1" collapsed="1" x14ac:dyDescent="0.35">
      <c r="A81" s="7"/>
      <c r="B81" s="20" t="str">
        <f>CONCATENATE("     ","*Payroll                                          ")</f>
        <v xml:space="preserve">     *Payroll                                          </v>
      </c>
      <c r="C81" s="7"/>
      <c r="D81" s="1">
        <f>SUM(OSRRefD21_1x_0)</f>
        <v>298510.92</v>
      </c>
      <c r="E81" s="19"/>
      <c r="F81" s="1">
        <f>SUM(OSRRefF21_1x_0)</f>
        <v>286479.79000000004</v>
      </c>
      <c r="G81" s="4"/>
      <c r="H81" s="1">
        <f>SUM(OSRRefH21_1x_0)</f>
        <v>344427.38</v>
      </c>
      <c r="I81" s="4"/>
      <c r="J81" s="1">
        <f>SUM(OSRRefJ21_1x_0)</f>
        <v>342225.42</v>
      </c>
      <c r="K81" s="4"/>
      <c r="L81" s="1">
        <f>SUM(OSRRefL21_1x_0)</f>
        <v>344412.47999999992</v>
      </c>
      <c r="M81" s="4"/>
      <c r="N81" s="1">
        <f>SUM(OSRRefN21_1x_0)</f>
        <v>331883.89999999997</v>
      </c>
      <c r="O81" s="4"/>
      <c r="P81" s="1">
        <f>SUM(OSRRefP21_1x_0)</f>
        <v>392375.53161800001</v>
      </c>
      <c r="Q81" s="4"/>
      <c r="R81" s="1">
        <f>SUM(OSRRefR21_1x_0)</f>
        <v>402138.57608829997</v>
      </c>
    </row>
    <row r="82" spans="1:18" s="16" customFormat="1" hidden="1" outlineLevel="2" x14ac:dyDescent="0.35">
      <c r="B82" s="11" t="str">
        <f>CONCATENATE("          ", "6001", " - ", "ADMINISTRATIVE SALARIES")</f>
        <v xml:space="preserve">          6001 - ADMINISTRATIVE SALARIES</v>
      </c>
      <c r="D82" s="2"/>
      <c r="F82" s="2"/>
      <c r="G82" s="3"/>
      <c r="H82" s="2">
        <v>-1273.3599999999999</v>
      </c>
      <c r="I82" s="3"/>
      <c r="J82" s="2"/>
      <c r="K82" s="3"/>
      <c r="L82" s="2">
        <v>0</v>
      </c>
      <c r="M82" s="3"/>
      <c r="N82" s="2">
        <v>0</v>
      </c>
      <c r="O82" s="3"/>
      <c r="P82" s="2">
        <v>0</v>
      </c>
      <c r="Q82" s="3"/>
      <c r="R82" s="2">
        <v>0</v>
      </c>
    </row>
    <row r="83" spans="1:18" s="16" customFormat="1" hidden="1" outlineLevel="2" x14ac:dyDescent="0.35">
      <c r="B83" s="11" t="str">
        <f>CONCATENATE("          ", "6002", " - ", "STAFF SALARIES")</f>
        <v xml:space="preserve">          6002 - STAFF SALARIES</v>
      </c>
      <c r="D83" s="2">
        <v>187672.85</v>
      </c>
      <c r="F83" s="2">
        <v>165572.32</v>
      </c>
      <c r="G83" s="3"/>
      <c r="H83" s="2">
        <v>161205.20000000001</v>
      </c>
      <c r="I83" s="3"/>
      <c r="J83" s="2">
        <v>164595.28</v>
      </c>
      <c r="K83" s="3"/>
      <c r="L83" s="2">
        <v>166496.35999999999</v>
      </c>
      <c r="M83" s="3"/>
      <c r="N83" s="2">
        <v>186567.11</v>
      </c>
      <c r="O83" s="3"/>
      <c r="P83" s="2">
        <v>170394.276828</v>
      </c>
      <c r="Q83" s="3"/>
      <c r="R83" s="2">
        <v>224818.11010429999</v>
      </c>
    </row>
    <row r="84" spans="1:18" s="16" customFormat="1" hidden="1" outlineLevel="2" x14ac:dyDescent="0.35">
      <c r="B84" s="11" t="str">
        <f>CONCATENATE("          ", "6003", " - ", "STAFF HOURLY-9 MONTH")</f>
        <v xml:space="preserve">          6003 - STAFF HOURLY-9 MONTH</v>
      </c>
      <c r="D84" s="2"/>
      <c r="F84" s="2"/>
      <c r="G84" s="3"/>
      <c r="H84" s="2"/>
      <c r="I84" s="3"/>
      <c r="J84" s="2"/>
      <c r="K84" s="3"/>
      <c r="L84" s="2"/>
      <c r="M84" s="3"/>
      <c r="N84" s="2"/>
      <c r="O84" s="3"/>
      <c r="P84" s="2">
        <v>0</v>
      </c>
      <c r="Q84" s="3"/>
      <c r="R84" s="2">
        <v>0</v>
      </c>
    </row>
    <row r="85" spans="1:18" s="16" customFormat="1" hidden="1" outlineLevel="2" x14ac:dyDescent="0.35">
      <c r="B85" s="11" t="str">
        <f>CONCATENATE("          ", "6004", " - ", "STAFF HOURLY")</f>
        <v xml:space="preserve">          6004 - STAFF HOURLY</v>
      </c>
      <c r="D85" s="2">
        <v>62544.15</v>
      </c>
      <c r="F85" s="2">
        <v>68642.95</v>
      </c>
      <c r="G85" s="3"/>
      <c r="H85" s="2">
        <v>70975.56</v>
      </c>
      <c r="I85" s="3"/>
      <c r="J85" s="2">
        <v>74492.289999999994</v>
      </c>
      <c r="K85" s="3"/>
      <c r="L85" s="2">
        <v>73255.8</v>
      </c>
      <c r="M85" s="3"/>
      <c r="N85" s="2">
        <v>51297.07</v>
      </c>
      <c r="O85" s="3"/>
      <c r="P85" s="2">
        <v>68714.751040000003</v>
      </c>
      <c r="Q85" s="3"/>
      <c r="R85" s="2">
        <v>77071.575983999996</v>
      </c>
    </row>
    <row r="86" spans="1:18" s="16" customFormat="1" hidden="1" outlineLevel="2" x14ac:dyDescent="0.35">
      <c r="B86" s="11" t="str">
        <f>CONCATENATE("          ", "6005", " - ", "TEMPORARY WAGES-HOURLY")</f>
        <v xml:space="preserve">          6005 - TEMPORARY WAGES-HOURLY</v>
      </c>
      <c r="D86" s="2">
        <v>9870.2999999999993</v>
      </c>
      <c r="F86" s="2">
        <v>9269</v>
      </c>
      <c r="G86" s="3"/>
      <c r="H86" s="2">
        <v>30051.07</v>
      </c>
      <c r="I86" s="3"/>
      <c r="J86" s="2">
        <v>40025.51</v>
      </c>
      <c r="K86" s="3"/>
      <c r="L86" s="2">
        <v>39906.78</v>
      </c>
      <c r="M86" s="3"/>
      <c r="N86" s="2">
        <v>26163.919999999998</v>
      </c>
      <c r="O86" s="3"/>
      <c r="P86" s="2">
        <v>43415.76</v>
      </c>
      <c r="Q86" s="3"/>
      <c r="R86" s="2">
        <v>36028.160000000003</v>
      </c>
    </row>
    <row r="87" spans="1:18" s="16" customFormat="1" hidden="1" outlineLevel="2" x14ac:dyDescent="0.35">
      <c r="B87" s="11" t="str">
        <f>CONCATENATE("          ", "6006", " - ", "TEMPORARY PART TIME")</f>
        <v xml:space="preserve">          6006 - TEMPORARY PART TIME</v>
      </c>
      <c r="D87" s="2">
        <v>0.25</v>
      </c>
      <c r="F87" s="2">
        <v>515</v>
      </c>
      <c r="G87" s="3"/>
      <c r="H87" s="2">
        <v>10337.31</v>
      </c>
      <c r="I87" s="3"/>
      <c r="J87" s="2">
        <v>7894.47</v>
      </c>
      <c r="K87" s="3"/>
      <c r="L87" s="2">
        <v>3834.31</v>
      </c>
      <c r="M87" s="3"/>
      <c r="N87" s="2">
        <v>6181.55</v>
      </c>
      <c r="O87" s="3"/>
      <c r="P87" s="2">
        <v>0</v>
      </c>
      <c r="Q87" s="3"/>
      <c r="R87" s="2">
        <v>0</v>
      </c>
    </row>
    <row r="88" spans="1:18" s="16" customFormat="1" hidden="1" outlineLevel="2" x14ac:dyDescent="0.35">
      <c r="B88" s="11" t="str">
        <f>CONCATENATE("          ", "6007", " - ", "STUDENT HOURLY")</f>
        <v xml:space="preserve">          6007 - STUDENT HOURLY</v>
      </c>
      <c r="D88" s="2">
        <v>35772.31</v>
      </c>
      <c r="F88" s="2">
        <v>40518.519999999997</v>
      </c>
      <c r="G88" s="3"/>
      <c r="H88" s="2">
        <v>72995.100000000006</v>
      </c>
      <c r="I88" s="3"/>
      <c r="J88" s="2">
        <v>55015.74</v>
      </c>
      <c r="K88" s="3"/>
      <c r="L88" s="2">
        <v>60919.23</v>
      </c>
      <c r="M88" s="3"/>
      <c r="N88" s="2">
        <v>61674.25</v>
      </c>
      <c r="O88" s="3"/>
      <c r="P88" s="2">
        <v>34091.050000000003</v>
      </c>
      <c r="Q88" s="3"/>
      <c r="R88" s="2">
        <v>28247.685000000001</v>
      </c>
    </row>
    <row r="89" spans="1:18" s="16" customFormat="1" hidden="1" outlineLevel="2" x14ac:dyDescent="0.35">
      <c r="B89" s="11" t="str">
        <f>CONCATENATE("          ", "6008", " - ", "STUDENT HOURLY-FICA EXEMPT")</f>
        <v xml:space="preserve">          6008 - STUDENT HOURLY-FICA EXEMPT</v>
      </c>
      <c r="D89" s="2"/>
      <c r="F89" s="2"/>
      <c r="G89" s="3"/>
      <c r="H89" s="2">
        <v>136.5</v>
      </c>
      <c r="I89" s="3"/>
      <c r="J89" s="2">
        <v>202.13</v>
      </c>
      <c r="K89" s="3"/>
      <c r="L89" s="2"/>
      <c r="M89" s="3"/>
      <c r="N89" s="2"/>
      <c r="O89" s="3"/>
      <c r="P89" s="2">
        <v>75759.693750000006</v>
      </c>
      <c r="Q89" s="3"/>
      <c r="R89" s="2">
        <v>35973.044999999998</v>
      </c>
    </row>
    <row r="90" spans="1:18" s="16" customFormat="1" hidden="1" outlineLevel="2" x14ac:dyDescent="0.35">
      <c r="B90" s="11" t="str">
        <f>CONCATENATE("          ", "6009", " - ", "TEMPORARY-SEASONAL")</f>
        <v xml:space="preserve">          6009 - TEMPORARY-SEASONAL</v>
      </c>
      <c r="D90" s="2">
        <v>2651.06</v>
      </c>
      <c r="F90" s="2">
        <v>1962</v>
      </c>
      <c r="G90" s="3"/>
      <c r="H90" s="2"/>
      <c r="I90" s="3"/>
      <c r="J90" s="2"/>
      <c r="K90" s="3"/>
      <c r="L90" s="2"/>
      <c r="M90" s="3"/>
      <c r="N90" s="2"/>
      <c r="O90" s="3"/>
      <c r="P90" s="2">
        <v>0</v>
      </c>
      <c r="Q90" s="3"/>
      <c r="R90" s="2">
        <v>0</v>
      </c>
    </row>
    <row r="91" spans="1:18" s="16" customFormat="1" hidden="1" outlineLevel="2" x14ac:dyDescent="0.35">
      <c r="B91" s="11" t="str">
        <f>CONCATENATE("          ", "6010", " - ", "GRATUITY")</f>
        <v xml:space="preserve">          6010 - GRATUITY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0</v>
      </c>
      <c r="Q91" s="3"/>
      <c r="R91" s="2">
        <v>0</v>
      </c>
    </row>
    <row r="92" spans="1:18" s="15" customFormat="1" outlineLevel="1" collapsed="1" x14ac:dyDescent="0.35">
      <c r="A92" s="7"/>
      <c r="B92" s="20" t="str">
        <f>CONCATENATE("     ","Advertising/Promo                                 ")</f>
        <v xml:space="preserve">     Advertising/Promo                                 </v>
      </c>
      <c r="C92" s="7"/>
      <c r="D92" s="1">
        <f>SUM(OSRRefD21_2x_0)</f>
        <v>41515.22</v>
      </c>
      <c r="E92" s="19"/>
      <c r="F92" s="1">
        <f>SUM(OSRRefF21_2x_0)</f>
        <v>9494.2099999999991</v>
      </c>
      <c r="G92" s="4"/>
      <c r="H92" s="1">
        <f>SUM(OSRRefH21_2x_0)</f>
        <v>6434.21</v>
      </c>
      <c r="I92" s="4"/>
      <c r="J92" s="1">
        <f>SUM(OSRRefJ21_2x_0)</f>
        <v>5903.74</v>
      </c>
      <c r="K92" s="4"/>
      <c r="L92" s="1">
        <f>SUM(OSRRefL21_2x_0)</f>
        <v>6510.95</v>
      </c>
      <c r="M92" s="4"/>
      <c r="N92" s="1">
        <f>SUM(OSRRefN21_2x_0)</f>
        <v>3981.59</v>
      </c>
      <c r="O92" s="4"/>
      <c r="P92" s="1">
        <f>SUM(OSRRefP21_2x_0)</f>
        <v>3000</v>
      </c>
      <c r="Q92" s="4"/>
      <c r="R92" s="1">
        <f>SUM(OSRRefR21_2x_0)</f>
        <v>3300</v>
      </c>
    </row>
    <row r="93" spans="1:18" s="16" customFormat="1" hidden="1" outlineLevel="2" x14ac:dyDescent="0.35">
      <c r="B93" s="11" t="str">
        <f>CONCATENATE("          ", "6362", " - ", "ADVERTISING EXPENSE")</f>
        <v xml:space="preserve">          6362 - ADVERTISING EXPENSE</v>
      </c>
      <c r="D93" s="2">
        <v>41515.22</v>
      </c>
      <c r="F93" s="2">
        <v>9494.2099999999991</v>
      </c>
      <c r="G93" s="3"/>
      <c r="H93" s="2">
        <v>6434.21</v>
      </c>
      <c r="I93" s="3"/>
      <c r="J93" s="2">
        <v>5903.74</v>
      </c>
      <c r="K93" s="3"/>
      <c r="L93" s="2">
        <v>6510.95</v>
      </c>
      <c r="M93" s="3"/>
      <c r="N93" s="2">
        <v>3981.59</v>
      </c>
      <c r="O93" s="3"/>
      <c r="P93" s="2">
        <v>3000</v>
      </c>
      <c r="Q93" s="3"/>
      <c r="R93" s="2">
        <v>3300</v>
      </c>
    </row>
    <row r="94" spans="1:18" s="15" customFormat="1" outlineLevel="1" collapsed="1" x14ac:dyDescent="0.35">
      <c r="A94" s="7"/>
      <c r="B94" s="20" t="str">
        <f>CONCATENATE("     ","Discounts and Markdowns                           ")</f>
        <v xml:space="preserve">     Discounts and Markdowns                           </v>
      </c>
      <c r="C94" s="7"/>
      <c r="D94" s="1">
        <f>SUM(OSRRefD21_3x_0)</f>
        <v>38751.160000000003</v>
      </c>
      <c r="E94" s="19"/>
      <c r="F94" s="1">
        <f>SUM(OSRRefF21_3x_0)</f>
        <v>17715.57</v>
      </c>
      <c r="G94" s="4"/>
      <c r="H94" s="1">
        <f>SUM(OSRRefH21_3x_0)</f>
        <v>22151.16</v>
      </c>
      <c r="I94" s="4"/>
      <c r="J94" s="1">
        <f>SUM(OSRRefJ21_3x_0)</f>
        <v>15233.87</v>
      </c>
      <c r="K94" s="4"/>
      <c r="L94" s="1">
        <f>SUM(OSRRefL21_3x_0)</f>
        <v>33246.07</v>
      </c>
      <c r="M94" s="4"/>
      <c r="N94" s="1">
        <f>SUM(OSRRefN21_3x_0)</f>
        <v>629.67000000000007</v>
      </c>
      <c r="O94" s="4"/>
      <c r="P94" s="1">
        <f>SUM(OSRRefP21_3x_0)</f>
        <v>20000</v>
      </c>
      <c r="Q94" s="4"/>
      <c r="R94" s="1">
        <f>SUM(OSRRefR21_3x_0)</f>
        <v>0</v>
      </c>
    </row>
    <row r="95" spans="1:18" s="16" customFormat="1" hidden="1" outlineLevel="2" x14ac:dyDescent="0.35">
      <c r="B95" s="11" t="str">
        <f>CONCATENATE("          ", "6382", " - ", "DISCOUNTS/MARK DOWNS")</f>
        <v xml:space="preserve">          6382 - DISCOUNTS/MARK DOWNS</v>
      </c>
      <c r="D95" s="2">
        <v>38751.160000000003</v>
      </c>
      <c r="F95" s="2">
        <v>17715.57</v>
      </c>
      <c r="G95" s="3"/>
      <c r="H95" s="2">
        <v>22151.16</v>
      </c>
      <c r="I95" s="3"/>
      <c r="J95" s="2">
        <v>15231</v>
      </c>
      <c r="K95" s="3"/>
      <c r="L95" s="2">
        <v>33456.300000000003</v>
      </c>
      <c r="M95" s="3"/>
      <c r="N95" s="2">
        <v>1081.94</v>
      </c>
      <c r="O95" s="3"/>
      <c r="P95" s="2">
        <v>20000</v>
      </c>
      <c r="Q95" s="3"/>
      <c r="R95" s="2"/>
    </row>
    <row r="96" spans="1:18" s="16" customFormat="1" hidden="1" outlineLevel="2" x14ac:dyDescent="0.35">
      <c r="B96" s="11" t="str">
        <f>CONCATENATE("          ", "9175", " - ", "EARNED DISCOUNTS")</f>
        <v xml:space="preserve">          9175 - EARNED DISCOUNTS</v>
      </c>
      <c r="D96" s="2"/>
      <c r="F96" s="2"/>
      <c r="G96" s="3"/>
      <c r="H96" s="2"/>
      <c r="I96" s="3"/>
      <c r="J96" s="2">
        <v>2.87</v>
      </c>
      <c r="K96" s="3"/>
      <c r="L96" s="2">
        <v>-210.23</v>
      </c>
      <c r="M96" s="3"/>
      <c r="N96" s="2">
        <v>-452.27</v>
      </c>
      <c r="O96" s="3"/>
      <c r="P96" s="2"/>
      <c r="Q96" s="3"/>
      <c r="R96" s="2"/>
    </row>
    <row r="97" spans="1:18" s="15" customFormat="1" outlineLevel="1" collapsed="1" x14ac:dyDescent="0.35">
      <c r="A97" s="7"/>
      <c r="B97" s="20" t="str">
        <f>CONCATENATE("     ","Employees' Appreciation                           ")</f>
        <v xml:space="preserve">     Employees' Appreciation                           </v>
      </c>
      <c r="C97" s="7"/>
      <c r="D97" s="1">
        <f>SUM(OSRRefD21_4x_0)</f>
        <v>263.04000000000002</v>
      </c>
      <c r="E97" s="19"/>
      <c r="F97" s="1">
        <f>SUM(OSRRefF21_4x_0)</f>
        <v>934.55</v>
      </c>
      <c r="G97" s="4"/>
      <c r="H97" s="1">
        <f>SUM(OSRRefH21_4x_0)</f>
        <v>569.41</v>
      </c>
      <c r="I97" s="4"/>
      <c r="J97" s="1">
        <f>SUM(OSRRefJ21_4x_0)</f>
        <v>310.36</v>
      </c>
      <c r="K97" s="4"/>
      <c r="L97" s="1">
        <f>SUM(OSRRefL21_4x_0)</f>
        <v>545.34</v>
      </c>
      <c r="M97" s="4"/>
      <c r="N97" s="1">
        <f>SUM(OSRRefN21_4x_0)</f>
        <v>120.18</v>
      </c>
      <c r="O97" s="4"/>
      <c r="P97" s="1">
        <f>SUM(OSRRefP21_4x_0)</f>
        <v>900</v>
      </c>
      <c r="Q97" s="4"/>
      <c r="R97" s="1">
        <f>SUM(OSRRefR21_4x_0)</f>
        <v>600</v>
      </c>
    </row>
    <row r="98" spans="1:18" s="16" customFormat="1" hidden="1" outlineLevel="2" x14ac:dyDescent="0.35">
      <c r="B98" s="11" t="str">
        <f>CONCATENATE("          ", "6277", " - ", "EMPLOYEE APPRECIATION")</f>
        <v xml:space="preserve">          6277 - EMPLOYEE APPRECIATION</v>
      </c>
      <c r="D98" s="2">
        <v>263.04000000000002</v>
      </c>
      <c r="F98" s="2">
        <v>934.55</v>
      </c>
      <c r="G98" s="3"/>
      <c r="H98" s="2">
        <v>569.41</v>
      </c>
      <c r="I98" s="3"/>
      <c r="J98" s="2">
        <v>310.36</v>
      </c>
      <c r="K98" s="3"/>
      <c r="L98" s="2">
        <v>545.34</v>
      </c>
      <c r="M98" s="3"/>
      <c r="N98" s="2">
        <v>120.18</v>
      </c>
      <c r="O98" s="3"/>
      <c r="P98" s="2">
        <v>900</v>
      </c>
      <c r="Q98" s="3"/>
      <c r="R98" s="2">
        <v>600</v>
      </c>
    </row>
    <row r="99" spans="1:18" s="15" customFormat="1" outlineLevel="1" collapsed="1" x14ac:dyDescent="0.35">
      <c r="A99" s="7"/>
      <c r="B99" s="20" t="str">
        <f>CONCATENATE("     ","Equipment Rental                                  ")</f>
        <v xml:space="preserve">     Equipment Rental                                  </v>
      </c>
      <c r="C99" s="7"/>
      <c r="D99" s="1">
        <f>SUM(OSRRefD21_5x_0)</f>
        <v>1713.9</v>
      </c>
      <c r="E99" s="19"/>
      <c r="F99" s="1">
        <f>SUM(OSRRefF21_5x_0)</f>
        <v>2056.6799999999998</v>
      </c>
      <c r="G99" s="4"/>
      <c r="H99" s="1">
        <f>SUM(OSRRefH21_5x_0)</f>
        <v>1301.68</v>
      </c>
      <c r="I99" s="4"/>
      <c r="J99" s="1">
        <f>SUM(OSRRefJ21_5x_0)</f>
        <v>1094.71</v>
      </c>
      <c r="K99" s="4"/>
      <c r="L99" s="1">
        <f>SUM(OSRRefL21_5x_0)</f>
        <v>1095.1199999999999</v>
      </c>
      <c r="M99" s="4"/>
      <c r="N99" s="1">
        <f>SUM(OSRRefN21_5x_0)</f>
        <v>1095.1199999999999</v>
      </c>
      <c r="O99" s="4"/>
      <c r="P99" s="1">
        <f>SUM(OSRRefP21_5x_0)</f>
        <v>1200</v>
      </c>
      <c r="Q99" s="4"/>
      <c r="R99" s="1">
        <f>SUM(OSRRefR21_5x_0)</f>
        <v>1200</v>
      </c>
    </row>
    <row r="100" spans="1:18" s="16" customFormat="1" hidden="1" outlineLevel="2" x14ac:dyDescent="0.35">
      <c r="B100" s="11" t="str">
        <f>CONCATENATE("          ", "6351", " - ", "EQUIPMENT RENTAL")</f>
        <v xml:space="preserve">          6351 - EQUIPMENT RENTAL</v>
      </c>
      <c r="D100" s="2">
        <v>1713.9</v>
      </c>
      <c r="F100" s="2">
        <v>2056.6799999999998</v>
      </c>
      <c r="G100" s="3"/>
      <c r="H100" s="2">
        <v>1301.68</v>
      </c>
      <c r="I100" s="3"/>
      <c r="J100" s="2">
        <v>1094.71</v>
      </c>
      <c r="K100" s="3"/>
      <c r="L100" s="2">
        <v>1095.1199999999999</v>
      </c>
      <c r="M100" s="3"/>
      <c r="N100" s="2">
        <v>1095.1199999999999</v>
      </c>
      <c r="O100" s="3"/>
      <c r="P100" s="2">
        <v>1200</v>
      </c>
      <c r="Q100" s="3"/>
      <c r="R100" s="2">
        <v>1200</v>
      </c>
    </row>
    <row r="101" spans="1:18" s="15" customFormat="1" outlineLevel="1" collapsed="1" x14ac:dyDescent="0.35">
      <c r="A101" s="7"/>
      <c r="B101" s="20" t="str">
        <f>CONCATENATE("     ","Freight out/Postage                               ")</f>
        <v xml:space="preserve">     Freight out/Postage                               </v>
      </c>
      <c r="C101" s="7"/>
      <c r="D101" s="1">
        <f>SUM(OSRRefD21_6x_0)</f>
        <v>28048.44</v>
      </c>
      <c r="E101" s="19"/>
      <c r="F101" s="1">
        <f>SUM(OSRRefF21_6x_0)</f>
        <v>24955.24</v>
      </c>
      <c r="G101" s="4"/>
      <c r="H101" s="1">
        <f>SUM(OSRRefH21_6x_0)</f>
        <v>23842.78</v>
      </c>
      <c r="I101" s="4"/>
      <c r="J101" s="1">
        <f>SUM(OSRRefJ21_6x_0)</f>
        <v>25983.02</v>
      </c>
      <c r="K101" s="4"/>
      <c r="L101" s="1">
        <f>SUM(OSRRefL21_6x_0)</f>
        <v>34098.36</v>
      </c>
      <c r="M101" s="4"/>
      <c r="N101" s="1">
        <f>SUM(OSRRefN21_6x_0)</f>
        <v>30550.66</v>
      </c>
      <c r="O101" s="4"/>
      <c r="P101" s="1">
        <f>SUM(OSRRefP21_6x_0)</f>
        <v>25000</v>
      </c>
      <c r="Q101" s="4"/>
      <c r="R101" s="1">
        <f>SUM(OSRRefR21_6x_0)</f>
        <v>17500</v>
      </c>
    </row>
    <row r="102" spans="1:18" s="16" customFormat="1" hidden="1" outlineLevel="2" x14ac:dyDescent="0.35">
      <c r="B102" s="11" t="str">
        <f>CONCATENATE("          ", "6305", " - ", "FREIGHT OUT")</f>
        <v xml:space="preserve">          6305 - FREIGHT OUT</v>
      </c>
      <c r="D102" s="2">
        <v>27980.84</v>
      </c>
      <c r="F102" s="2">
        <v>24901.47</v>
      </c>
      <c r="G102" s="3"/>
      <c r="H102" s="2">
        <v>23843.03</v>
      </c>
      <c r="I102" s="3"/>
      <c r="J102" s="2">
        <v>25943.11</v>
      </c>
      <c r="K102" s="3"/>
      <c r="L102" s="2">
        <v>34093.57</v>
      </c>
      <c r="M102" s="3"/>
      <c r="N102" s="2">
        <v>30546.71</v>
      </c>
      <c r="O102" s="3"/>
      <c r="P102" s="2">
        <v>25000</v>
      </c>
      <c r="Q102" s="3"/>
      <c r="R102" s="2">
        <v>17500</v>
      </c>
    </row>
    <row r="103" spans="1:18" s="16" customFormat="1" hidden="1" outlineLevel="2" x14ac:dyDescent="0.35">
      <c r="B103" s="11" t="str">
        <f>CONCATENATE("          ", "6307", " - ", "POSTAGE")</f>
        <v xml:space="preserve">          6307 - POSTAGE</v>
      </c>
      <c r="D103" s="2">
        <v>67.599999999999994</v>
      </c>
      <c r="F103" s="2">
        <v>53.77</v>
      </c>
      <c r="G103" s="3"/>
      <c r="H103" s="2">
        <v>-0.25</v>
      </c>
      <c r="I103" s="3"/>
      <c r="J103" s="2">
        <v>39.909999999999997</v>
      </c>
      <c r="K103" s="3"/>
      <c r="L103" s="2">
        <v>4.79</v>
      </c>
      <c r="M103" s="3"/>
      <c r="N103" s="2">
        <v>3.95</v>
      </c>
      <c r="O103" s="3"/>
      <c r="P103" s="2"/>
      <c r="Q103" s="3"/>
      <c r="R103" s="2"/>
    </row>
    <row r="104" spans="1:18" s="15" customFormat="1" outlineLevel="1" collapsed="1" x14ac:dyDescent="0.35">
      <c r="A104" s="7"/>
      <c r="B104" s="20" t="str">
        <f>CONCATENATE("     ","General                                           ")</f>
        <v xml:space="preserve">     General                                           </v>
      </c>
      <c r="C104" s="7"/>
      <c r="D104" s="1">
        <f>SUM(OSRRefD21_7x_0)</f>
        <v>44.86</v>
      </c>
      <c r="E104" s="19"/>
      <c r="F104" s="1">
        <f>SUM(OSRRefF21_7x_0)</f>
        <v>18663.43</v>
      </c>
      <c r="G104" s="4"/>
      <c r="H104" s="1">
        <f>SUM(OSRRefH21_7x_0)</f>
        <v>18744.759999999998</v>
      </c>
      <c r="I104" s="4"/>
      <c r="J104" s="1">
        <f>SUM(OSRRefJ21_7x_0)</f>
        <v>25863.78</v>
      </c>
      <c r="K104" s="4"/>
      <c r="L104" s="1">
        <f>SUM(OSRRefL21_7x_0)</f>
        <v>19809.28</v>
      </c>
      <c r="M104" s="4"/>
      <c r="N104" s="1">
        <f>SUM(OSRRefN21_7x_0)</f>
        <v>5979.79</v>
      </c>
      <c r="O104" s="4"/>
      <c r="P104" s="1">
        <f>SUM(OSRRefP21_7x_0)</f>
        <v>2750</v>
      </c>
      <c r="Q104" s="4"/>
      <c r="R104" s="1">
        <f>SUM(OSRRefR21_7x_0)</f>
        <v>2750</v>
      </c>
    </row>
    <row r="105" spans="1:18" s="16" customFormat="1" hidden="1" outlineLevel="2" x14ac:dyDescent="0.35">
      <c r="B105" s="11" t="str">
        <f>CONCATENATE("          ", "6269", " - ", "ENTERTAINMENT")</f>
        <v xml:space="preserve">          6269 - ENTERTAINMENT</v>
      </c>
      <c r="D105" s="2"/>
      <c r="F105" s="2"/>
      <c r="G105" s="3"/>
      <c r="H105" s="2"/>
      <c r="I105" s="3"/>
      <c r="J105" s="2"/>
      <c r="K105" s="3"/>
      <c r="L105" s="2"/>
      <c r="M105" s="3"/>
      <c r="N105" s="2"/>
      <c r="O105" s="3"/>
      <c r="P105" s="2">
        <v>2750</v>
      </c>
      <c r="Q105" s="3"/>
      <c r="R105" s="2"/>
    </row>
    <row r="106" spans="1:18" s="16" customFormat="1" hidden="1" outlineLevel="2" x14ac:dyDescent="0.35">
      <c r="B106" s="11" t="str">
        <f>CONCATENATE("          ", "6279", " - ", "GENERAL EXPENSE")</f>
        <v xml:space="preserve">          6279 - GENERAL EXPENSE</v>
      </c>
      <c r="D106" s="2">
        <v>44.86</v>
      </c>
      <c r="F106" s="2">
        <v>18663.43</v>
      </c>
      <c r="G106" s="3"/>
      <c r="H106" s="2">
        <v>18744.759999999998</v>
      </c>
      <c r="I106" s="3"/>
      <c r="J106" s="2">
        <v>25863.78</v>
      </c>
      <c r="K106" s="3"/>
      <c r="L106" s="2">
        <v>19809.28</v>
      </c>
      <c r="M106" s="3"/>
      <c r="N106" s="2">
        <v>5979.79</v>
      </c>
      <c r="O106" s="3"/>
      <c r="P106" s="2"/>
      <c r="Q106" s="3"/>
      <c r="R106" s="2">
        <v>2750</v>
      </c>
    </row>
    <row r="107" spans="1:18" s="15" customFormat="1" outlineLevel="1" collapsed="1" x14ac:dyDescent="0.35">
      <c r="A107" s="7"/>
      <c r="B107" s="20" t="str">
        <f>CONCATENATE("     ","Inventory Adjustment                              ")</f>
        <v xml:space="preserve">     Inventory Adjustment                              </v>
      </c>
      <c r="C107" s="7"/>
      <c r="D107" s="1">
        <f>SUM(OSRRefD21_8x_0)</f>
        <v>77117</v>
      </c>
      <c r="E107" s="19"/>
      <c r="F107" s="1">
        <f>SUM(OSRRefF21_8x_0)</f>
        <v>-65826</v>
      </c>
      <c r="G107" s="4"/>
      <c r="H107" s="1">
        <f>SUM(OSRRefH21_8x_0)</f>
        <v>12725</v>
      </c>
      <c r="I107" s="4"/>
      <c r="J107" s="1">
        <f>SUM(OSRRefJ21_8x_0)</f>
        <v>-139387</v>
      </c>
      <c r="K107" s="4"/>
      <c r="L107" s="1">
        <f>SUM(OSRRefL21_8x_0)</f>
        <v>-94916</v>
      </c>
      <c r="M107" s="4"/>
      <c r="N107" s="1">
        <f>SUM(OSRRefN21_8x_0)</f>
        <v>-33417</v>
      </c>
      <c r="O107" s="4"/>
      <c r="P107" s="1">
        <f>SUM(OSRRefP21_8x_0)</f>
        <v>60000</v>
      </c>
      <c r="Q107" s="4"/>
      <c r="R107" s="1">
        <f>SUM(OSRRefR21_8x_0)</f>
        <v>30000</v>
      </c>
    </row>
    <row r="108" spans="1:18" s="16" customFormat="1" hidden="1" outlineLevel="2" x14ac:dyDescent="0.35">
      <c r="B108" s="11" t="str">
        <f>CONCATENATE("          ", "6408", " - ", "INVENTORY ADJUSTMENT")</f>
        <v xml:space="preserve">          6408 - INVENTORY ADJUSTMENT</v>
      </c>
      <c r="D108" s="2">
        <v>0</v>
      </c>
      <c r="F108" s="2">
        <v>0</v>
      </c>
      <c r="G108" s="3"/>
      <c r="H108" s="2">
        <v>0</v>
      </c>
      <c r="I108" s="3"/>
      <c r="J108" s="2">
        <v>0</v>
      </c>
      <c r="K108" s="3"/>
      <c r="L108" s="2">
        <v>0</v>
      </c>
      <c r="M108" s="3"/>
      <c r="N108" s="2">
        <v>0</v>
      </c>
      <c r="O108" s="3"/>
      <c r="P108" s="2">
        <v>60000</v>
      </c>
      <c r="Q108" s="3"/>
      <c r="R108" s="2">
        <v>30000</v>
      </c>
    </row>
    <row r="109" spans="1:18" s="16" customFormat="1" hidden="1" outlineLevel="2" x14ac:dyDescent="0.35">
      <c r="B109" s="11" t="str">
        <f>CONCATENATE("          ", "7701", " - ", "INV. SHRINKAGE-NEW TEXT")</f>
        <v xml:space="preserve">          7701 - INV. SHRINKAGE-NEW TEXT</v>
      </c>
      <c r="D109" s="2">
        <v>27329</v>
      </c>
      <c r="F109" s="2">
        <v>-45934</v>
      </c>
      <c r="G109" s="3"/>
      <c r="H109" s="2">
        <v>425827</v>
      </c>
      <c r="I109" s="3"/>
      <c r="J109" s="2">
        <v>36055</v>
      </c>
      <c r="K109" s="3"/>
      <c r="L109" s="2">
        <v>-79917</v>
      </c>
      <c r="M109" s="3"/>
      <c r="N109" s="2">
        <v>-4346</v>
      </c>
      <c r="O109" s="3"/>
      <c r="P109" s="2"/>
      <c r="Q109" s="3"/>
      <c r="R109" s="2"/>
    </row>
    <row r="110" spans="1:18" s="16" customFormat="1" hidden="1" outlineLevel="2" x14ac:dyDescent="0.35">
      <c r="B110" s="11" t="str">
        <f>CONCATENATE("          ", "7702", " - ", "INV. SHRINKAGE-USED TEXT")</f>
        <v xml:space="preserve">          7702 - INV. SHRINKAGE-USED TEXT</v>
      </c>
      <c r="D110" s="2">
        <v>58945</v>
      </c>
      <c r="F110" s="2">
        <v>-5994</v>
      </c>
      <c r="G110" s="3"/>
      <c r="H110" s="2">
        <v>-306482</v>
      </c>
      <c r="I110" s="3"/>
      <c r="J110" s="2">
        <v>-43858</v>
      </c>
      <c r="K110" s="3"/>
      <c r="L110" s="2">
        <v>-5215</v>
      </c>
      <c r="M110" s="3"/>
      <c r="N110" s="2">
        <v>-29494</v>
      </c>
      <c r="O110" s="3"/>
      <c r="P110" s="2"/>
      <c r="Q110" s="3"/>
      <c r="R110" s="2"/>
    </row>
    <row r="111" spans="1:18" s="16" customFormat="1" hidden="1" outlineLevel="2" x14ac:dyDescent="0.35">
      <c r="B111" s="11" t="str">
        <f>CONCATENATE("          ", "7703", " - ", "INV. SHRINKAGE-RENTAL TEXT")</f>
        <v xml:space="preserve">          7703 - INV. SHRINKAGE-RENTAL TEXT</v>
      </c>
      <c r="D111" s="2"/>
      <c r="F111" s="2"/>
      <c r="G111" s="3"/>
      <c r="H111" s="2"/>
      <c r="I111" s="3"/>
      <c r="J111" s="2">
        <v>-19135</v>
      </c>
      <c r="K111" s="3"/>
      <c r="L111" s="2">
        <v>30858</v>
      </c>
      <c r="M111" s="3"/>
      <c r="N111" s="2">
        <v>526</v>
      </c>
      <c r="O111" s="3"/>
      <c r="P111" s="2"/>
      <c r="Q111" s="3"/>
      <c r="R111" s="2"/>
    </row>
    <row r="112" spans="1:18" s="16" customFormat="1" hidden="1" outlineLevel="2" x14ac:dyDescent="0.35">
      <c r="B112" s="11" t="str">
        <f>CONCATENATE("          ", "7704", " - ", "INV. SHRINKAGE-DIGITAL TEXT")</f>
        <v xml:space="preserve">          7704 - INV. SHRINKAGE-DIGITAL TEXT</v>
      </c>
      <c r="D112" s="2">
        <v>-9157</v>
      </c>
      <c r="F112" s="2">
        <v>-13898</v>
      </c>
      <c r="G112" s="3"/>
      <c r="H112" s="2">
        <v>-106620</v>
      </c>
      <c r="I112" s="3"/>
      <c r="J112" s="2">
        <v>-101331</v>
      </c>
      <c r="K112" s="3"/>
      <c r="L112" s="2">
        <v>-37301</v>
      </c>
      <c r="M112" s="3"/>
      <c r="N112" s="2">
        <v>816</v>
      </c>
      <c r="O112" s="3"/>
      <c r="P112" s="2"/>
      <c r="Q112" s="3"/>
      <c r="R112" s="2"/>
    </row>
    <row r="113" spans="1:18" s="16" customFormat="1" hidden="1" outlineLevel="2" x14ac:dyDescent="0.35">
      <c r="B113" s="11" t="str">
        <f>CONCATENATE("          ", "7711", " - ", "INV. SHRINKAGE-NO VALUE TEXT")</f>
        <v xml:space="preserve">          7711 - INV. SHRINKAGE-NO VALUE TEXT</v>
      </c>
      <c r="D113" s="2"/>
      <c r="F113" s="2"/>
      <c r="G113" s="3"/>
      <c r="H113" s="2"/>
      <c r="I113" s="3"/>
      <c r="J113" s="2">
        <v>-8956</v>
      </c>
      <c r="K113" s="3"/>
      <c r="L113" s="2">
        <v>-2516</v>
      </c>
      <c r="M113" s="3"/>
      <c r="N113" s="2">
        <v>-1126</v>
      </c>
      <c r="O113" s="3"/>
      <c r="P113" s="2"/>
      <c r="Q113" s="3"/>
      <c r="R113" s="2"/>
    </row>
    <row r="114" spans="1:18" s="16" customFormat="1" hidden="1" outlineLevel="2" x14ac:dyDescent="0.35">
      <c r="B114" s="11" t="str">
        <f>CONCATENATE("          ", "7713", " - ", "INV. SHRINKAGE-TRADE BOOKS")</f>
        <v xml:space="preserve">          7713 - INV. SHRINKAGE-TRADE BOOKS</v>
      </c>
      <c r="D114" s="2"/>
      <c r="F114" s="2"/>
      <c r="G114" s="3"/>
      <c r="H114" s="2"/>
      <c r="I114" s="3"/>
      <c r="J114" s="2">
        <v>-234</v>
      </c>
      <c r="K114" s="3"/>
      <c r="L114" s="2">
        <v>732</v>
      </c>
      <c r="M114" s="3"/>
      <c r="N114" s="2">
        <v>-422</v>
      </c>
      <c r="O114" s="3"/>
      <c r="P114" s="2"/>
      <c r="Q114" s="3"/>
      <c r="R114" s="2"/>
    </row>
    <row r="115" spans="1:18" s="16" customFormat="1" hidden="1" outlineLevel="2" x14ac:dyDescent="0.35">
      <c r="B115" s="11" t="str">
        <f>CONCATENATE("          ", "7714", " - ", "INV. SHRINKAGE-REMAINDERS")</f>
        <v xml:space="preserve">          7714 - INV. SHRINKAGE-REMAINDERS</v>
      </c>
      <c r="D115" s="2"/>
      <c r="F115" s="2"/>
      <c r="G115" s="3"/>
      <c r="H115" s="2"/>
      <c r="I115" s="3"/>
      <c r="J115" s="2">
        <v>-1904</v>
      </c>
      <c r="K115" s="3"/>
      <c r="L115" s="2">
        <v>-23</v>
      </c>
      <c r="M115" s="3"/>
      <c r="N115" s="2">
        <v>171</v>
      </c>
      <c r="O115" s="3"/>
      <c r="P115" s="2"/>
      <c r="Q115" s="3"/>
      <c r="R115" s="2"/>
    </row>
    <row r="116" spans="1:18" s="16" customFormat="1" hidden="1" outlineLevel="2" x14ac:dyDescent="0.35">
      <c r="B116" s="11" t="str">
        <f>CONCATENATE("          ", "7718", " - ", "INV. SHRINKAGE-STUDY GUIDES")</f>
        <v xml:space="preserve">          7718 - INV. SHRINKAGE-STUDY GUIDES</v>
      </c>
      <c r="D116" s="2"/>
      <c r="F116" s="2"/>
      <c r="G116" s="3"/>
      <c r="H116" s="2"/>
      <c r="I116" s="3"/>
      <c r="J116" s="2">
        <v>-24</v>
      </c>
      <c r="K116" s="3"/>
      <c r="L116" s="2">
        <v>-1534</v>
      </c>
      <c r="M116" s="3"/>
      <c r="N116" s="2">
        <v>458</v>
      </c>
      <c r="O116" s="3"/>
      <c r="P116" s="2"/>
      <c r="Q116" s="3"/>
      <c r="R116" s="2"/>
    </row>
    <row r="117" spans="1:18" s="15" customFormat="1" outlineLevel="1" collapsed="1" x14ac:dyDescent="0.35">
      <c r="A117" s="7"/>
      <c r="B117" s="20" t="str">
        <f>CONCATENATE("     ","Professional Services                             ")</f>
        <v xml:space="preserve">     Professional Services                             </v>
      </c>
      <c r="C117" s="7"/>
      <c r="D117" s="1">
        <f>SUM(OSRRefD21_9x_0)</f>
        <v>1990.22</v>
      </c>
      <c r="E117" s="19"/>
      <c r="F117" s="1">
        <f>SUM(OSRRefF21_9x_0)</f>
        <v>0</v>
      </c>
      <c r="G117" s="4"/>
      <c r="H117" s="1">
        <f>SUM(OSRRefH21_9x_0)</f>
        <v>0</v>
      </c>
      <c r="I117" s="4"/>
      <c r="J117" s="1">
        <f>SUM(OSRRefJ21_9x_0)</f>
        <v>0</v>
      </c>
      <c r="K117" s="4"/>
      <c r="L117" s="1">
        <f>SUM(OSRRefL21_9x_0)</f>
        <v>0</v>
      </c>
      <c r="M117" s="4"/>
      <c r="N117" s="1">
        <f>SUM(OSRRefN21_9x_0)</f>
        <v>0</v>
      </c>
      <c r="O117" s="4"/>
      <c r="P117" s="1">
        <f>SUM(OSRRefP21_9x_0)</f>
        <v>0</v>
      </c>
      <c r="Q117" s="4"/>
      <c r="R117" s="1">
        <f>SUM(OSRRefR21_9x_0)</f>
        <v>0</v>
      </c>
    </row>
    <row r="118" spans="1:18" s="16" customFormat="1" hidden="1" outlineLevel="2" x14ac:dyDescent="0.35">
      <c r="B118" s="11" t="str">
        <f>CONCATENATE("          ", "6336", " - ", "PROFESSIONAL SERVICES")</f>
        <v xml:space="preserve">          6336 - PROFESSIONAL SERVICES</v>
      </c>
      <c r="D118" s="2">
        <v>1990.22</v>
      </c>
      <c r="F118" s="2"/>
      <c r="G118" s="3"/>
      <c r="H118" s="2"/>
      <c r="I118" s="3"/>
      <c r="J118" s="2"/>
      <c r="K118" s="3"/>
      <c r="L118" s="2"/>
      <c r="M118" s="3"/>
      <c r="N118" s="2"/>
      <c r="O118" s="3"/>
      <c r="P118" s="2"/>
      <c r="Q118" s="3"/>
      <c r="R118" s="2"/>
    </row>
    <row r="119" spans="1:18" s="15" customFormat="1" outlineLevel="1" collapsed="1" x14ac:dyDescent="0.35">
      <c r="A119" s="7"/>
      <c r="B119" s="20" t="str">
        <f>CONCATENATE("     ","Repair and Maintenance                            ")</f>
        <v xml:space="preserve">     Repair and Maintenance                            </v>
      </c>
      <c r="C119" s="7"/>
      <c r="D119" s="1">
        <f>SUM(OSRRefD21_10x_0)</f>
        <v>18071.349999999999</v>
      </c>
      <c r="E119" s="19"/>
      <c r="F119" s="1">
        <f>SUM(OSRRefF21_10x_0)</f>
        <v>17708.55</v>
      </c>
      <c r="G119" s="4"/>
      <c r="H119" s="1">
        <f>SUM(OSRRefH21_10x_0)</f>
        <v>17415.599999999999</v>
      </c>
      <c r="I119" s="4"/>
      <c r="J119" s="1">
        <f>SUM(OSRRefJ21_10x_0)</f>
        <v>17582.64</v>
      </c>
      <c r="K119" s="4"/>
      <c r="L119" s="1">
        <f>SUM(OSRRefL21_10x_0)</f>
        <v>6822.55</v>
      </c>
      <c r="M119" s="4"/>
      <c r="N119" s="1">
        <f>SUM(OSRRefN21_10x_0)</f>
        <v>11855.98</v>
      </c>
      <c r="O119" s="4"/>
      <c r="P119" s="1">
        <f>SUM(OSRRefP21_10x_0)</f>
        <v>13680</v>
      </c>
      <c r="Q119" s="4"/>
      <c r="R119" s="1">
        <f>SUM(OSRRefR21_10x_0)</f>
        <v>960</v>
      </c>
    </row>
    <row r="120" spans="1:18" s="16" customFormat="1" hidden="1" outlineLevel="2" x14ac:dyDescent="0.35">
      <c r="B120" s="11" t="str">
        <f>CONCATENATE("          ", "6371", " - ", "COMPUTER SOFTWARE MAINTENANCE")</f>
        <v xml:space="preserve">          6371 - COMPUTER SOFTWARE MAINTENANCE</v>
      </c>
      <c r="D120" s="2">
        <v>17100</v>
      </c>
      <c r="F120" s="2">
        <v>17100</v>
      </c>
      <c r="G120" s="3"/>
      <c r="H120" s="2">
        <v>17100</v>
      </c>
      <c r="I120" s="3"/>
      <c r="J120" s="2">
        <v>17100</v>
      </c>
      <c r="K120" s="3"/>
      <c r="L120" s="2">
        <v>5950</v>
      </c>
      <c r="M120" s="3"/>
      <c r="N120" s="2">
        <v>11550</v>
      </c>
      <c r="O120" s="3"/>
      <c r="P120" s="2">
        <v>12000</v>
      </c>
      <c r="Q120" s="3"/>
      <c r="R120" s="2">
        <v>0</v>
      </c>
    </row>
    <row r="121" spans="1:18" s="16" customFormat="1" hidden="1" outlineLevel="2" x14ac:dyDescent="0.35">
      <c r="B121" s="11" t="str">
        <f>CONCATENATE("          ", "6373", " - ", "MAINTENANCE CONTRACTS")</f>
        <v xml:space="preserve">          6373 - MAINTENANCE CONTRACTS</v>
      </c>
      <c r="D121" s="2">
        <v>631.35</v>
      </c>
      <c r="F121" s="2">
        <v>557.28</v>
      </c>
      <c r="G121" s="3"/>
      <c r="H121" s="2">
        <v>178.32</v>
      </c>
      <c r="I121" s="3"/>
      <c r="J121" s="2">
        <v>326.64</v>
      </c>
      <c r="K121" s="3"/>
      <c r="L121" s="2">
        <v>326.55</v>
      </c>
      <c r="M121" s="3"/>
      <c r="N121" s="2">
        <v>305.98</v>
      </c>
      <c r="O121" s="3"/>
      <c r="P121" s="2">
        <v>480</v>
      </c>
      <c r="Q121" s="3"/>
      <c r="R121" s="2">
        <v>480</v>
      </c>
    </row>
    <row r="122" spans="1:18" s="16" customFormat="1" hidden="1" outlineLevel="2" x14ac:dyDescent="0.35">
      <c r="B122" s="11" t="str">
        <f>CONCATENATE("          ", "6375", " - ", "OUTSIDE REPAIRS &amp; MAINTENANCE")</f>
        <v xml:space="preserve">          6375 - OUTSIDE REPAIRS &amp; MAINTENANCE</v>
      </c>
      <c r="D122" s="2">
        <v>340</v>
      </c>
      <c r="F122" s="2">
        <v>51.27</v>
      </c>
      <c r="G122" s="3"/>
      <c r="H122" s="2">
        <v>137.28</v>
      </c>
      <c r="I122" s="3"/>
      <c r="J122" s="2">
        <v>156</v>
      </c>
      <c r="K122" s="3"/>
      <c r="L122" s="2">
        <v>546</v>
      </c>
      <c r="M122" s="3"/>
      <c r="N122" s="2"/>
      <c r="O122" s="3"/>
      <c r="P122" s="2">
        <v>1200</v>
      </c>
      <c r="Q122" s="3"/>
      <c r="R122" s="2">
        <v>480</v>
      </c>
    </row>
    <row r="123" spans="1:18" s="15" customFormat="1" outlineLevel="1" collapsed="1" x14ac:dyDescent="0.35">
      <c r="A123" s="7"/>
      <c r="B123" s="20" t="str">
        <f>CONCATENATE("     ","Royalty &amp; Commissions                             ")</f>
        <v xml:space="preserve">     Royalty &amp; Commissions                             </v>
      </c>
      <c r="C123" s="7"/>
      <c r="D123" s="1">
        <f>SUM(OSRRefD21_11x_0)</f>
        <v>0</v>
      </c>
      <c r="E123" s="19"/>
      <c r="F123" s="1">
        <f>SUM(OSRRefF21_11x_0)</f>
        <v>0</v>
      </c>
      <c r="G123" s="4"/>
      <c r="H123" s="1">
        <f>SUM(OSRRefH21_11x_0)</f>
        <v>0</v>
      </c>
      <c r="I123" s="4"/>
      <c r="J123" s="1">
        <f>SUM(OSRRefJ21_11x_0)</f>
        <v>0</v>
      </c>
      <c r="K123" s="4"/>
      <c r="L123" s="1">
        <f>SUM(OSRRefL21_11x_0)</f>
        <v>0</v>
      </c>
      <c r="M123" s="4"/>
      <c r="N123" s="1">
        <f>SUM(OSRRefN21_11x_0)</f>
        <v>0</v>
      </c>
      <c r="O123" s="4"/>
      <c r="P123" s="1">
        <f>SUM(OSRRefP21_11x_0)</f>
        <v>0</v>
      </c>
      <c r="Q123" s="4"/>
      <c r="R123" s="1">
        <f>SUM(OSRRefR21_11x_0)</f>
        <v>0</v>
      </c>
    </row>
    <row r="124" spans="1:18" s="16" customFormat="1" hidden="1" outlineLevel="2" x14ac:dyDescent="0.35">
      <c r="B124" s="11" t="str">
        <f>CONCATENATE("          ", "6259", " - ", "ROYALTY &amp; COMMISSIONS")</f>
        <v xml:space="preserve">          6259 - ROYALTY &amp; COMMISSIONS</v>
      </c>
      <c r="D124" s="2">
        <v>0</v>
      </c>
      <c r="F124" s="2"/>
      <c r="G124" s="3"/>
      <c r="H124" s="2"/>
      <c r="I124" s="3"/>
      <c r="J124" s="2"/>
      <c r="K124" s="3"/>
      <c r="L124" s="2"/>
      <c r="M124" s="3"/>
      <c r="N124" s="2"/>
      <c r="O124" s="3"/>
      <c r="P124" s="2"/>
      <c r="Q124" s="3"/>
      <c r="R124" s="2"/>
    </row>
    <row r="125" spans="1:18" s="15" customFormat="1" outlineLevel="1" collapsed="1" x14ac:dyDescent="0.35">
      <c r="A125" s="7"/>
      <c r="B125" s="20" t="str">
        <f>CONCATENATE("     ","Subscriptions &amp; Dues                              ")</f>
        <v xml:space="preserve">     Subscriptions &amp; Dues                              </v>
      </c>
      <c r="C125" s="7"/>
      <c r="D125" s="1">
        <f>SUM(OSRRefD21_12x_0)</f>
        <v>67138.58</v>
      </c>
      <c r="E125" s="19"/>
      <c r="F125" s="1">
        <f>SUM(OSRRefF21_12x_0)</f>
        <v>45195.14</v>
      </c>
      <c r="G125" s="4"/>
      <c r="H125" s="1">
        <f>SUM(OSRRefH21_12x_0)</f>
        <v>28153.82</v>
      </c>
      <c r="I125" s="4"/>
      <c r="J125" s="1">
        <f>SUM(OSRRefJ21_12x_0)</f>
        <v>34944.39</v>
      </c>
      <c r="K125" s="4"/>
      <c r="L125" s="1">
        <f>SUM(OSRRefL21_12x_0)</f>
        <v>7419.75</v>
      </c>
      <c r="M125" s="4"/>
      <c r="N125" s="1">
        <f>SUM(OSRRefN21_12x_0)</f>
        <v>6291.84</v>
      </c>
      <c r="O125" s="4"/>
      <c r="P125" s="1">
        <f>SUM(OSRRefP21_12x_0)</f>
        <v>5400</v>
      </c>
      <c r="Q125" s="4"/>
      <c r="R125" s="1">
        <f>SUM(OSRRefR21_12x_0)</f>
        <v>5500</v>
      </c>
    </row>
    <row r="126" spans="1:18" s="16" customFormat="1" hidden="1" outlineLevel="2" x14ac:dyDescent="0.35">
      <c r="B126" s="11" t="str">
        <f>CONCATENATE("          ", "6258", " - ", "MEMBERSHIP DUES")</f>
        <v xml:space="preserve">          6258 - MEMBERSHIP DUES</v>
      </c>
      <c r="D126" s="2">
        <v>67039.58</v>
      </c>
      <c r="F126" s="2">
        <v>45195.14</v>
      </c>
      <c r="G126" s="3"/>
      <c r="H126" s="2">
        <v>26463.82</v>
      </c>
      <c r="I126" s="3"/>
      <c r="J126" s="2">
        <v>33198.620000000003</v>
      </c>
      <c r="K126" s="3"/>
      <c r="L126" s="2">
        <v>5621.61</v>
      </c>
      <c r="M126" s="3"/>
      <c r="N126" s="2">
        <v>4439.76</v>
      </c>
      <c r="O126" s="3"/>
      <c r="P126" s="2">
        <v>3600</v>
      </c>
      <c r="Q126" s="3"/>
      <c r="R126" s="2">
        <v>3600</v>
      </c>
    </row>
    <row r="127" spans="1:18" s="16" customFormat="1" hidden="1" outlineLevel="2" x14ac:dyDescent="0.35">
      <c r="B127" s="11" t="str">
        <f>CONCATENATE("          ", "6275", " - ", "SUBSCRIPTIONS")</f>
        <v xml:space="preserve">          6275 - SUBSCRIPTIONS</v>
      </c>
      <c r="D127" s="2">
        <v>99</v>
      </c>
      <c r="F127" s="2"/>
      <c r="G127" s="3"/>
      <c r="H127" s="2">
        <v>1690</v>
      </c>
      <c r="I127" s="3"/>
      <c r="J127" s="2">
        <v>1745.77</v>
      </c>
      <c r="K127" s="3"/>
      <c r="L127" s="2">
        <v>1798.14</v>
      </c>
      <c r="M127" s="3"/>
      <c r="N127" s="2">
        <v>1852.08</v>
      </c>
      <c r="O127" s="3"/>
      <c r="P127" s="2">
        <v>1800</v>
      </c>
      <c r="Q127" s="3"/>
      <c r="R127" s="2">
        <v>1900</v>
      </c>
    </row>
    <row r="128" spans="1:18" s="15" customFormat="1" outlineLevel="1" collapsed="1" x14ac:dyDescent="0.35">
      <c r="A128" s="7"/>
      <c r="B128" s="20" t="str">
        <f>CONCATENATE("     ","Supplies                                          ")</f>
        <v xml:space="preserve">     Supplies                                          </v>
      </c>
      <c r="C128" s="7"/>
      <c r="D128" s="1">
        <f>SUM(OSRRefD21_13x_0)</f>
        <v>17882.400000000001</v>
      </c>
      <c r="E128" s="19"/>
      <c r="F128" s="1">
        <f>SUM(OSRRefF21_13x_0)</f>
        <v>14945.07</v>
      </c>
      <c r="G128" s="4"/>
      <c r="H128" s="1">
        <f>SUM(OSRRefH21_13x_0)</f>
        <v>23058.38</v>
      </c>
      <c r="I128" s="4"/>
      <c r="J128" s="1">
        <f>SUM(OSRRefJ21_13x_0)</f>
        <v>21129.010000000002</v>
      </c>
      <c r="K128" s="4"/>
      <c r="L128" s="1">
        <f>SUM(OSRRefL21_13x_0)</f>
        <v>18234.07</v>
      </c>
      <c r="M128" s="4"/>
      <c r="N128" s="1">
        <f>SUM(OSRRefN21_13x_0)</f>
        <v>14036.529999999999</v>
      </c>
      <c r="O128" s="4"/>
      <c r="P128" s="1">
        <f>SUM(OSRRefP21_13x_0)</f>
        <v>14000</v>
      </c>
      <c r="Q128" s="4"/>
      <c r="R128" s="1">
        <f>SUM(OSRRefR21_13x_0)</f>
        <v>10000</v>
      </c>
    </row>
    <row r="129" spans="1:18" s="16" customFormat="1" hidden="1" outlineLevel="2" x14ac:dyDescent="0.35">
      <c r="B129" s="11" t="str">
        <f>CONCATENATE("          ", "6234", " - ", "EXPENDABLE SUPPLIES &amp; EQUIPMEN")</f>
        <v xml:space="preserve">          6234 - EXPENDABLE SUPPLIES &amp; EQUIPMEN</v>
      </c>
      <c r="D129" s="2"/>
      <c r="F129" s="2">
        <v>348.79</v>
      </c>
      <c r="G129" s="3"/>
      <c r="H129" s="2">
        <v>445.38</v>
      </c>
      <c r="I129" s="3"/>
      <c r="J129" s="2"/>
      <c r="K129" s="3"/>
      <c r="L129" s="2">
        <v>272.45999999999998</v>
      </c>
      <c r="M129" s="3"/>
      <c r="N129" s="2"/>
      <c r="O129" s="3"/>
      <c r="P129" s="2"/>
      <c r="Q129" s="3"/>
      <c r="R129" s="2"/>
    </row>
    <row r="130" spans="1:18" s="16" customFormat="1" hidden="1" outlineLevel="2" x14ac:dyDescent="0.35">
      <c r="B130" s="11" t="str">
        <f>CONCATENATE("          ", "6241", " - ", "OFFICE EXPENSE")</f>
        <v xml:space="preserve">          6241 - OFFICE EXPENSE</v>
      </c>
      <c r="D130" s="2">
        <v>2100.79</v>
      </c>
      <c r="F130" s="2">
        <v>1690.57</v>
      </c>
      <c r="G130" s="3"/>
      <c r="H130" s="2">
        <v>3829.74</v>
      </c>
      <c r="I130" s="3"/>
      <c r="J130" s="2">
        <v>1888.15</v>
      </c>
      <c r="K130" s="3"/>
      <c r="L130" s="2">
        <v>8673.01</v>
      </c>
      <c r="M130" s="3"/>
      <c r="N130" s="2">
        <v>4341.16</v>
      </c>
      <c r="O130" s="3"/>
      <c r="P130" s="2">
        <v>4700</v>
      </c>
      <c r="Q130" s="3"/>
      <c r="R130" s="2">
        <v>4700</v>
      </c>
    </row>
    <row r="131" spans="1:18" s="16" customFormat="1" hidden="1" outlineLevel="2" x14ac:dyDescent="0.35">
      <c r="B131" s="11" t="str">
        <f>CONCATENATE("          ", "6245", " - ", "PRINTING")</f>
        <v xml:space="preserve">          6245 - PRINTING</v>
      </c>
      <c r="D131" s="2">
        <v>3313.1</v>
      </c>
      <c r="F131" s="2">
        <v>1701.26</v>
      </c>
      <c r="G131" s="3"/>
      <c r="H131" s="2">
        <v>3250.49</v>
      </c>
      <c r="I131" s="3"/>
      <c r="J131" s="2">
        <v>4346.24</v>
      </c>
      <c r="K131" s="3"/>
      <c r="L131" s="2">
        <v>611.15</v>
      </c>
      <c r="M131" s="3"/>
      <c r="N131" s="2">
        <v>5198.58</v>
      </c>
      <c r="O131" s="3"/>
      <c r="P131" s="2">
        <v>2600</v>
      </c>
      <c r="Q131" s="3"/>
      <c r="R131" s="2"/>
    </row>
    <row r="132" spans="1:18" s="16" customFormat="1" hidden="1" outlineLevel="2" x14ac:dyDescent="0.35">
      <c r="B132" s="11" t="str">
        <f>CONCATENATE("          ", "6247", " - ", "STORE SUPPLIES")</f>
        <v xml:space="preserve">          6247 - STORE SUPPLIES</v>
      </c>
      <c r="D132" s="2">
        <v>12468.51</v>
      </c>
      <c r="F132" s="2">
        <v>11204.45</v>
      </c>
      <c r="G132" s="3"/>
      <c r="H132" s="2">
        <v>15532.77</v>
      </c>
      <c r="I132" s="3"/>
      <c r="J132" s="2">
        <v>14894.62</v>
      </c>
      <c r="K132" s="3"/>
      <c r="L132" s="2">
        <v>8677.4500000000007</v>
      </c>
      <c r="M132" s="3"/>
      <c r="N132" s="2">
        <v>4496.79</v>
      </c>
      <c r="O132" s="3"/>
      <c r="P132" s="2">
        <v>6700</v>
      </c>
      <c r="Q132" s="3"/>
      <c r="R132" s="2">
        <v>5300</v>
      </c>
    </row>
    <row r="133" spans="1:18" s="15" customFormat="1" outlineLevel="1" collapsed="1" x14ac:dyDescent="0.35">
      <c r="A133" s="7"/>
      <c r="B133" s="20" t="str">
        <f>CONCATENATE("     ","Telephone/Data Lines                              ")</f>
        <v xml:space="preserve">     Telephone/Data Lines                              </v>
      </c>
      <c r="C133" s="7"/>
      <c r="D133" s="1">
        <f>SUM(OSRRefD21_14x_0)</f>
        <v>9035.08</v>
      </c>
      <c r="E133" s="19"/>
      <c r="F133" s="1">
        <f>SUM(OSRRefF21_14x_0)</f>
        <v>9508.7200000000012</v>
      </c>
      <c r="G133" s="4"/>
      <c r="H133" s="1">
        <f>SUM(OSRRefH21_14x_0)</f>
        <v>8752.4700000000012</v>
      </c>
      <c r="I133" s="4"/>
      <c r="J133" s="1">
        <f>SUM(OSRRefJ21_14x_0)</f>
        <v>9777.5299999999988</v>
      </c>
      <c r="K133" s="4"/>
      <c r="L133" s="1">
        <f>SUM(OSRRefL21_14x_0)</f>
        <v>9463.4500000000007</v>
      </c>
      <c r="M133" s="4"/>
      <c r="N133" s="1">
        <f>SUM(OSRRefN21_14x_0)</f>
        <v>8561.64</v>
      </c>
      <c r="O133" s="4"/>
      <c r="P133" s="1">
        <f>SUM(OSRRefP21_14x_0)</f>
        <v>9500</v>
      </c>
      <c r="Q133" s="4"/>
      <c r="R133" s="1">
        <f>SUM(OSRRefR21_14x_0)</f>
        <v>4800</v>
      </c>
    </row>
    <row r="134" spans="1:18" s="16" customFormat="1" hidden="1" outlineLevel="2" x14ac:dyDescent="0.35">
      <c r="B134" s="11" t="str">
        <f>CONCATENATE("          ", "6303", " - ", "DATA PHONE LINES")</f>
        <v xml:space="preserve">          6303 - DATA PHONE LINES</v>
      </c>
      <c r="D134" s="2">
        <v>3490</v>
      </c>
      <c r="F134" s="2">
        <v>4183.8500000000004</v>
      </c>
      <c r="G134" s="3"/>
      <c r="H134" s="2">
        <v>3553.95</v>
      </c>
      <c r="I134" s="3"/>
      <c r="J134" s="2">
        <v>3540</v>
      </c>
      <c r="K134" s="3"/>
      <c r="L134" s="2">
        <v>3540</v>
      </c>
      <c r="M134" s="3"/>
      <c r="N134" s="2">
        <v>2950</v>
      </c>
      <c r="O134" s="3"/>
      <c r="P134" s="2">
        <v>3600</v>
      </c>
      <c r="Q134" s="3"/>
      <c r="R134" s="2">
        <v>0</v>
      </c>
    </row>
    <row r="135" spans="1:18" s="16" customFormat="1" hidden="1" outlineLevel="2" x14ac:dyDescent="0.35">
      <c r="B135" s="11" t="str">
        <f>CONCATENATE("          ", "6309", " - ", "TELEPHONE")</f>
        <v xml:space="preserve">          6309 - TELEPHONE</v>
      </c>
      <c r="D135" s="2">
        <v>5545.08</v>
      </c>
      <c r="F135" s="2">
        <v>5324.87</v>
      </c>
      <c r="G135" s="3"/>
      <c r="H135" s="2">
        <v>5198.5200000000004</v>
      </c>
      <c r="I135" s="3"/>
      <c r="J135" s="2">
        <v>6237.53</v>
      </c>
      <c r="K135" s="3"/>
      <c r="L135" s="2">
        <v>5923.45</v>
      </c>
      <c r="M135" s="3"/>
      <c r="N135" s="2">
        <v>5611.64</v>
      </c>
      <c r="O135" s="3"/>
      <c r="P135" s="2">
        <v>5900</v>
      </c>
      <c r="Q135" s="3"/>
      <c r="R135" s="2">
        <v>4800</v>
      </c>
    </row>
    <row r="136" spans="1:18" s="15" customFormat="1" outlineLevel="1" collapsed="1" x14ac:dyDescent="0.35">
      <c r="A136" s="7"/>
      <c r="B136" s="20" t="str">
        <f>CONCATENATE("     ","Training                                          ")</f>
        <v xml:space="preserve">     Training                                          </v>
      </c>
      <c r="C136" s="7"/>
      <c r="D136" s="1">
        <f>SUM(OSRRefD21_15x_0)</f>
        <v>5546.44</v>
      </c>
      <c r="E136" s="19"/>
      <c r="F136" s="1">
        <f>SUM(OSRRefF21_15x_0)</f>
        <v>5308.54</v>
      </c>
      <c r="G136" s="4"/>
      <c r="H136" s="1">
        <f>SUM(OSRRefH21_15x_0)</f>
        <v>5871.68</v>
      </c>
      <c r="I136" s="4"/>
      <c r="J136" s="1">
        <f>SUM(OSRRefJ21_15x_0)</f>
        <v>3905.12</v>
      </c>
      <c r="K136" s="4"/>
      <c r="L136" s="1">
        <f>SUM(OSRRefL21_15x_0)</f>
        <v>3130.28</v>
      </c>
      <c r="M136" s="4"/>
      <c r="N136" s="1">
        <f>SUM(OSRRefN21_15x_0)</f>
        <v>4157.1499999999996</v>
      </c>
      <c r="O136" s="4"/>
      <c r="P136" s="1">
        <f>SUM(OSRRefP21_15x_0)</f>
        <v>5000</v>
      </c>
      <c r="Q136" s="4"/>
      <c r="R136" s="1">
        <f>SUM(OSRRefR21_15x_0)</f>
        <v>0</v>
      </c>
    </row>
    <row r="137" spans="1:18" s="16" customFormat="1" hidden="1" outlineLevel="2" x14ac:dyDescent="0.35">
      <c r="B137" s="11" t="str">
        <f>CONCATENATE("          ", "6376", " - ", "TRAINING")</f>
        <v xml:space="preserve">          6376 - TRAINING</v>
      </c>
      <c r="D137" s="2">
        <v>5546.44</v>
      </c>
      <c r="F137" s="2">
        <v>5308.54</v>
      </c>
      <c r="G137" s="3"/>
      <c r="H137" s="2">
        <v>5871.68</v>
      </c>
      <c r="I137" s="3"/>
      <c r="J137" s="2">
        <v>3905.12</v>
      </c>
      <c r="K137" s="3"/>
      <c r="L137" s="2">
        <v>3130.28</v>
      </c>
      <c r="M137" s="3"/>
      <c r="N137" s="2">
        <v>4157.1499999999996</v>
      </c>
      <c r="O137" s="3"/>
      <c r="P137" s="2">
        <v>5000</v>
      </c>
      <c r="Q137" s="3"/>
      <c r="R137" s="2">
        <v>0</v>
      </c>
    </row>
    <row r="138" spans="1:18" s="15" customFormat="1" outlineLevel="1" collapsed="1" x14ac:dyDescent="0.35">
      <c r="A138" s="7"/>
      <c r="B138" s="20" t="str">
        <f>CONCATENATE("     ","Travel                                            ")</f>
        <v xml:space="preserve">     Travel                                            </v>
      </c>
      <c r="C138" s="7"/>
      <c r="D138" s="1">
        <f>SUM(OSRRefD21_16x_0)</f>
        <v>7.48</v>
      </c>
      <c r="E138" s="19"/>
      <c r="F138" s="1">
        <f>SUM(OSRRefF21_16x_0)</f>
        <v>0</v>
      </c>
      <c r="G138" s="4"/>
      <c r="H138" s="1">
        <f>SUM(OSRRefH21_16x_0)</f>
        <v>-2.37</v>
      </c>
      <c r="I138" s="4"/>
      <c r="J138" s="1">
        <f>SUM(OSRRefJ21_16x_0)</f>
        <v>182.7</v>
      </c>
      <c r="K138" s="4"/>
      <c r="L138" s="1">
        <f>SUM(OSRRefL21_16x_0)</f>
        <v>68.27</v>
      </c>
      <c r="M138" s="4"/>
      <c r="N138" s="1">
        <f>SUM(OSRRefN21_16x_0)</f>
        <v>83.93</v>
      </c>
      <c r="O138" s="4"/>
      <c r="P138" s="1">
        <f>SUM(OSRRefP21_16x_0)</f>
        <v>0</v>
      </c>
      <c r="Q138" s="4"/>
      <c r="R138" s="1">
        <f>SUM(OSRRefR21_16x_0)</f>
        <v>0</v>
      </c>
    </row>
    <row r="139" spans="1:18" s="16" customFormat="1" hidden="1" outlineLevel="2" x14ac:dyDescent="0.35">
      <c r="B139" s="11" t="str">
        <f>CONCATENATE("          ", "6292", " - ", "TRAVEL/CONFERENCE")</f>
        <v xml:space="preserve">          6292 - TRAVEL/CONFERENCE</v>
      </c>
      <c r="D139" s="2">
        <v>7.48</v>
      </c>
      <c r="F139" s="2"/>
      <c r="G139" s="3"/>
      <c r="H139" s="2">
        <v>-2.37</v>
      </c>
      <c r="I139" s="3"/>
      <c r="J139" s="2">
        <v>249.95</v>
      </c>
      <c r="K139" s="3"/>
      <c r="L139" s="2">
        <v>68.27</v>
      </c>
      <c r="M139" s="3"/>
      <c r="N139" s="2">
        <v>83.93</v>
      </c>
      <c r="O139" s="3"/>
      <c r="P139" s="2"/>
      <c r="Q139" s="3"/>
      <c r="R139" s="2"/>
    </row>
    <row r="140" spans="1:18" s="16" customFormat="1" hidden="1" outlineLevel="2" x14ac:dyDescent="0.35">
      <c r="B140" s="11" t="str">
        <f>CONCATENATE("          ", "6294", " - ", "TRAVEL OPERATIONAL")</f>
        <v xml:space="preserve">          6294 - TRAVEL OPERATIONAL</v>
      </c>
      <c r="D140" s="2"/>
      <c r="F140" s="2"/>
      <c r="G140" s="3"/>
      <c r="H140" s="2"/>
      <c r="I140" s="3"/>
      <c r="J140" s="2">
        <v>-67.25</v>
      </c>
      <c r="K140" s="3"/>
      <c r="L140" s="2"/>
      <c r="M140" s="3"/>
      <c r="N140" s="2"/>
      <c r="O140" s="3"/>
      <c r="P140" s="2"/>
      <c r="Q140" s="3"/>
      <c r="R140" s="2"/>
    </row>
    <row r="141" spans="1:18" s="15" customFormat="1" outlineLevel="1" collapsed="1" x14ac:dyDescent="0.35">
      <c r="A141" s="7"/>
      <c r="B141" s="20" t="str">
        <f>CONCATENATE("     ","Utilities                                         ")</f>
        <v xml:space="preserve">     Utilities                                         </v>
      </c>
      <c r="C141" s="7"/>
      <c r="D141" s="1">
        <f>SUM(OSRRefD21_17x_0)</f>
        <v>1</v>
      </c>
      <c r="E141" s="19"/>
      <c r="F141" s="1">
        <f>SUM(OSRRefF21_17x_0)</f>
        <v>0</v>
      </c>
      <c r="G141" s="4"/>
      <c r="H141" s="1">
        <f>SUM(OSRRefH21_17x_0)</f>
        <v>0</v>
      </c>
      <c r="I141" s="4"/>
      <c r="J141" s="1">
        <f>SUM(OSRRefJ21_17x_0)</f>
        <v>0</v>
      </c>
      <c r="K141" s="4"/>
      <c r="L141" s="1">
        <f>SUM(OSRRefL21_17x_0)</f>
        <v>0</v>
      </c>
      <c r="M141" s="4"/>
      <c r="N141" s="1">
        <f>SUM(OSRRefN21_17x_0)</f>
        <v>0</v>
      </c>
      <c r="O141" s="4"/>
      <c r="P141" s="1">
        <f>SUM(OSRRefP21_17x_0)</f>
        <v>0</v>
      </c>
      <c r="Q141" s="4"/>
      <c r="R141" s="1">
        <f>SUM(OSRRefR21_17x_0)</f>
        <v>0</v>
      </c>
    </row>
    <row r="142" spans="1:18" s="16" customFormat="1" hidden="1" outlineLevel="2" x14ac:dyDescent="0.35">
      <c r="B142" s="11" t="str">
        <f>CONCATENATE("          ", "6274", " - ", "UTILITIES")</f>
        <v xml:space="preserve">          6274 - UTILITIES</v>
      </c>
      <c r="D142" s="2">
        <v>1</v>
      </c>
      <c r="F142" s="2"/>
      <c r="G142" s="3"/>
      <c r="H142" s="2"/>
      <c r="I142" s="3"/>
      <c r="J142" s="2"/>
      <c r="K142" s="3"/>
      <c r="L142" s="2"/>
      <c r="M142" s="3"/>
      <c r="N142" s="2"/>
      <c r="O142" s="3"/>
      <c r="P142" s="2"/>
      <c r="Q142" s="3"/>
      <c r="R142" s="2"/>
    </row>
    <row r="143" spans="1:18" x14ac:dyDescent="0.35">
      <c r="A143" s="12"/>
      <c r="B143" s="12"/>
      <c r="C143" s="12"/>
      <c r="D143" s="1"/>
      <c r="F143" s="1"/>
      <c r="H143" s="1"/>
      <c r="J143" s="1"/>
      <c r="L143" s="1"/>
      <c r="N143" s="1"/>
      <c r="P143" s="1"/>
      <c r="R143" s="1"/>
    </row>
    <row r="144" spans="1:18" s="7" customFormat="1" collapsed="1" x14ac:dyDescent="0.35">
      <c r="A144" s="36"/>
      <c r="B144" s="34" t="s">
        <v>295</v>
      </c>
      <c r="D144" s="6">
        <f>SUM(OSRRefD24x_0)</f>
        <v>52896.44</v>
      </c>
      <c r="E144" s="12"/>
      <c r="F144" s="6">
        <f>SUM(OSRRefF24x_0)</f>
        <v>40487.160000000003</v>
      </c>
      <c r="G144" s="5"/>
      <c r="H144" s="6">
        <f>SUM(OSRRefH24x_0)</f>
        <v>43662.34</v>
      </c>
      <c r="I144" s="5"/>
      <c r="J144" s="6">
        <f>SUM(OSRRefJ24x_0)</f>
        <v>37408.71</v>
      </c>
      <c r="K144" s="5"/>
      <c r="L144" s="6">
        <f>SUM(OSRRefL24x_0)</f>
        <v>109875.87</v>
      </c>
      <c r="M144" s="5"/>
      <c r="N144" s="6">
        <f>SUM(OSRRefN24x_0)</f>
        <v>177870.38</v>
      </c>
      <c r="O144" s="5"/>
      <c r="P144" s="6">
        <f>SUM(OSRRefP24x_0)</f>
        <v>206180</v>
      </c>
      <c r="Q144" s="5"/>
      <c r="R144" s="6">
        <f>SUM(OSRRefR24x_0)</f>
        <v>374812.23</v>
      </c>
    </row>
    <row r="145" spans="1:18" s="7" customFormat="1" hidden="1" outlineLevel="1" x14ac:dyDescent="0.35">
      <c r="A145" s="36"/>
      <c r="B145" s="11" t="str">
        <f>CONCATENATE("          ", "9150", " - ", "MISC. INCOME")</f>
        <v xml:space="preserve">          9150 - MISC. INCOME</v>
      </c>
      <c r="D145" s="11">
        <f>--30487.27</f>
        <v>30487.27</v>
      </c>
      <c r="E145" s="16"/>
      <c r="F145" s="11">
        <f>--21114.21</f>
        <v>21114.21</v>
      </c>
      <c r="G145" s="3"/>
      <c r="H145" s="11">
        <f>--31117.79</f>
        <v>31117.79</v>
      </c>
      <c r="I145" s="3"/>
      <c r="J145" s="11">
        <f>--27112.05</f>
        <v>27112.05</v>
      </c>
      <c r="K145" s="3"/>
      <c r="L145" s="11">
        <f>--96045.53</f>
        <v>96045.53</v>
      </c>
      <c r="M145" s="3"/>
      <c r="N145" s="11">
        <f>--23186.55</f>
        <v>23186.55</v>
      </c>
      <c r="O145" s="3"/>
      <c r="P145" s="11">
        <v>33600</v>
      </c>
      <c r="Q145" s="3"/>
      <c r="R145" s="11">
        <v>41833</v>
      </c>
    </row>
    <row r="146" spans="1:18" s="7" customFormat="1" hidden="1" outlineLevel="1" x14ac:dyDescent="0.35">
      <c r="A146" s="36"/>
      <c r="B146" s="11" t="str">
        <f>CONCATENATE("          ", "9151", " - ", "MISC. INCOME")</f>
        <v xml:space="preserve">          9151 - MISC. INCOME</v>
      </c>
      <c r="D146" s="11">
        <f>0</f>
        <v>0</v>
      </c>
      <c r="E146" s="16"/>
      <c r="F146" s="11">
        <f>0</f>
        <v>0</v>
      </c>
      <c r="G146" s="3"/>
      <c r="H146" s="11">
        <f>0</f>
        <v>0</v>
      </c>
      <c r="I146" s="3"/>
      <c r="J146" s="11">
        <f>0</f>
        <v>0</v>
      </c>
      <c r="K146" s="3"/>
      <c r="L146" s="11">
        <f>0</f>
        <v>0</v>
      </c>
      <c r="M146" s="3"/>
      <c r="N146" s="11">
        <f>--144046.23</f>
        <v>144046.23000000001</v>
      </c>
      <c r="O146" s="3"/>
      <c r="P146" s="11">
        <v>172580</v>
      </c>
      <c r="Q146" s="3"/>
      <c r="R146" s="11">
        <v>332979.23</v>
      </c>
    </row>
    <row r="147" spans="1:18" s="7" customFormat="1" hidden="1" outlineLevel="1" x14ac:dyDescent="0.35">
      <c r="A147" s="36"/>
      <c r="B147" s="11" t="str">
        <f>CONCATENATE("          ", "9152", " - ", "MISC. INCOME")</f>
        <v xml:space="preserve">          9152 - MISC. INCOME</v>
      </c>
      <c r="D147" s="11">
        <f>--22409.17</f>
        <v>22409.17</v>
      </c>
      <c r="E147" s="16"/>
      <c r="F147" s="11">
        <f>--19372.95</f>
        <v>19372.95</v>
      </c>
      <c r="G147" s="3"/>
      <c r="H147" s="11">
        <f>--12544.55</f>
        <v>12544.55</v>
      </c>
      <c r="I147" s="3"/>
      <c r="J147" s="11">
        <f>--10296.66</f>
        <v>10296.66</v>
      </c>
      <c r="K147" s="3"/>
      <c r="L147" s="11">
        <f>--13830.34</f>
        <v>13830.34</v>
      </c>
      <c r="M147" s="3"/>
      <c r="N147" s="11">
        <f>--10637.6</f>
        <v>10637.6</v>
      </c>
      <c r="O147" s="3"/>
      <c r="P147" s="11"/>
      <c r="Q147" s="3"/>
      <c r="R147" s="11"/>
    </row>
    <row r="148" spans="1:18" s="7" customFormat="1" hidden="1" outlineLevel="1" x14ac:dyDescent="0.35">
      <c r="A148" s="36"/>
      <c r="B148" s="11" t="str">
        <f>CONCATENATE("          ", "9160", " - ", "MISC. INCOME")</f>
        <v xml:space="preserve">          9160 - MISC. INCOME</v>
      </c>
      <c r="D148" s="11">
        <f>0</f>
        <v>0</v>
      </c>
      <c r="E148" s="16"/>
      <c r="F148" s="11">
        <f>0</f>
        <v>0</v>
      </c>
      <c r="G148" s="3"/>
      <c r="H148" s="11">
        <f>0</f>
        <v>0</v>
      </c>
      <c r="I148" s="3"/>
      <c r="J148" s="11">
        <f>0</f>
        <v>0</v>
      </c>
      <c r="K148" s="3"/>
      <c r="L148" s="11">
        <f>0</f>
        <v>0</v>
      </c>
      <c r="M148" s="3"/>
      <c r="N148" s="11">
        <f>0</f>
        <v>0</v>
      </c>
      <c r="O148" s="3"/>
      <c r="P148" s="11"/>
      <c r="Q148" s="3"/>
      <c r="R148" s="11">
        <v>0</v>
      </c>
    </row>
    <row r="149" spans="1:18" x14ac:dyDescent="0.35">
      <c r="A149" s="12"/>
      <c r="B149" s="7"/>
      <c r="C149" s="7"/>
      <c r="D149" s="6"/>
      <c r="F149" s="6"/>
      <c r="H149" s="6"/>
      <c r="J149" s="6"/>
      <c r="L149" s="6"/>
      <c r="N149" s="6"/>
      <c r="P149" s="6"/>
      <c r="R149" s="6"/>
    </row>
    <row r="150" spans="1:18" s="15" customFormat="1" x14ac:dyDescent="0.35">
      <c r="A150" s="7"/>
      <c r="B150" s="22" t="s">
        <v>279</v>
      </c>
      <c r="C150" s="22"/>
      <c r="D150" s="10">
        <f>+D66-D69+D144</f>
        <v>711441.54999999842</v>
      </c>
      <c r="E150" s="12"/>
      <c r="F150" s="10">
        <f>+F66-F69+F144</f>
        <v>1011447.68</v>
      </c>
      <c r="G150" s="5"/>
      <c r="H150" s="10">
        <f>+H66-H69+H144</f>
        <v>725322.28999999876</v>
      </c>
      <c r="I150" s="5"/>
      <c r="J150" s="10">
        <f>+J66-J69+J144</f>
        <v>790142.81000000238</v>
      </c>
      <c r="K150" s="5"/>
      <c r="L150" s="10">
        <f>+L66-L69+L144</f>
        <v>650171.44000000099</v>
      </c>
      <c r="M150" s="5"/>
      <c r="N150" s="10">
        <f>+N66-N69+N144</f>
        <v>561496.55999999912</v>
      </c>
      <c r="O150" s="5"/>
      <c r="P150" s="10">
        <f>+P66-P69+P144</f>
        <v>336162.83919167495</v>
      </c>
      <c r="Q150" s="5"/>
      <c r="R150" s="10">
        <f>+R66-R69+R144</f>
        <v>618807.84730708285</v>
      </c>
    </row>
    <row r="151" spans="1:18" s="27" customFormat="1" x14ac:dyDescent="0.35">
      <c r="A151" s="18"/>
      <c r="B151" s="31"/>
      <c r="C151" s="18"/>
      <c r="D151" s="9">
        <f>IFERROR(D150/D10, 0)</f>
        <v>0.11828481486533998</v>
      </c>
      <c r="E151" s="18"/>
      <c r="F151" s="9">
        <f>IFERROR(F150/F10, 0)</f>
        <v>0.18598988570540873</v>
      </c>
      <c r="G151" s="14"/>
      <c r="H151" s="9">
        <f>IFERROR(H150/H10, 0)</f>
        <v>0.14267056743378431</v>
      </c>
      <c r="I151" s="14"/>
      <c r="J151" s="9">
        <f>IFERROR(J150/J10, 0)</f>
        <v>0.17750594059481392</v>
      </c>
      <c r="K151" s="14"/>
      <c r="L151" s="9">
        <f>IFERROR(L150/L10, 0)</f>
        <v>0.16512842058122959</v>
      </c>
      <c r="M151" s="14"/>
      <c r="N151" s="9">
        <f>IFERROR(N150/N10, 0)</f>
        <v>0.16770835599264297</v>
      </c>
      <c r="O151" s="14"/>
      <c r="P151" s="9">
        <f>IFERROR(P150/P10, 0)</f>
        <v>0.11014574764584947</v>
      </c>
      <c r="Q151" s="14"/>
      <c r="R151" s="9">
        <f>IFERROR(R150/R10, 0)</f>
        <v>0.19127651881987559</v>
      </c>
    </row>
    <row r="152" spans="1:18" s="27" customFormat="1" x14ac:dyDescent="0.35">
      <c r="A152" s="18"/>
      <c r="B152" s="31"/>
      <c r="C152" s="18"/>
      <c r="D152" s="13"/>
      <c r="E152" s="18"/>
      <c r="F152" s="13"/>
      <c r="G152" s="14"/>
      <c r="H152" s="13"/>
      <c r="I152" s="14"/>
      <c r="J152" s="13"/>
      <c r="K152" s="14"/>
      <c r="L152" s="13"/>
      <c r="M152" s="14"/>
      <c r="N152" s="13"/>
      <c r="O152" s="14"/>
      <c r="P152" s="13"/>
      <c r="Q152" s="14"/>
      <c r="R152" s="13"/>
    </row>
    <row r="153" spans="1:18" s="15" customFormat="1" x14ac:dyDescent="0.35">
      <c r="A153" s="37"/>
      <c r="B153" s="7" t="s">
        <v>127</v>
      </c>
      <c r="C153" s="7"/>
      <c r="D153" s="6">
        <v>1307028.58</v>
      </c>
      <c r="E153" s="12"/>
      <c r="F153" s="6">
        <v>774163.52</v>
      </c>
      <c r="G153" s="5"/>
      <c r="H153" s="6">
        <v>679746.1</v>
      </c>
      <c r="I153" s="5"/>
      <c r="J153" s="6">
        <v>597432.46</v>
      </c>
      <c r="K153" s="5"/>
      <c r="L153" s="6">
        <v>280644.17</v>
      </c>
      <c r="M153" s="5"/>
      <c r="N153" s="6">
        <v>506971.05</v>
      </c>
      <c r="O153" s="5"/>
      <c r="P153" s="6">
        <v>515719</v>
      </c>
      <c r="Q153" s="5"/>
      <c r="R153" s="6">
        <v>366847</v>
      </c>
    </row>
    <row r="154" spans="1:18" x14ac:dyDescent="0.35">
      <c r="A154" s="12"/>
      <c r="B154" s="7"/>
      <c r="C154" s="7"/>
      <c r="D154" s="6"/>
      <c r="F154" s="6"/>
      <c r="H154" s="6"/>
      <c r="J154" s="6"/>
      <c r="L154" s="6"/>
      <c r="N154" s="6"/>
      <c r="P154" s="6"/>
      <c r="R154" s="6"/>
    </row>
    <row r="155" spans="1:18" s="15" customFormat="1" x14ac:dyDescent="0.35">
      <c r="A155" s="7"/>
      <c r="B155" s="22" t="s">
        <v>126</v>
      </c>
      <c r="C155" s="22"/>
      <c r="D155" s="10">
        <f>+D150-D153</f>
        <v>-595587.03000000166</v>
      </c>
      <c r="E155" s="12"/>
      <c r="F155" s="10">
        <f>+F150-F153</f>
        <v>237284.16000000003</v>
      </c>
      <c r="G155" s="5"/>
      <c r="H155" s="10">
        <f>+H150-H153</f>
        <v>45576.18999999878</v>
      </c>
      <c r="I155" s="5"/>
      <c r="J155" s="10">
        <f>+J150-J153</f>
        <v>192710.35000000242</v>
      </c>
      <c r="K155" s="5"/>
      <c r="L155" s="10">
        <f>+L150-L153</f>
        <v>369527.27000000101</v>
      </c>
      <c r="M155" s="5"/>
      <c r="N155" s="10">
        <f>+N150-N153</f>
        <v>54525.509999999136</v>
      </c>
      <c r="O155" s="5"/>
      <c r="P155" s="10">
        <f>+P150-P153</f>
        <v>-179556.16080832505</v>
      </c>
      <c r="Q155" s="5"/>
      <c r="R155" s="10">
        <f>+R150-R153</f>
        <v>251960.84730708285</v>
      </c>
    </row>
    <row r="156" spans="1:18" s="27" customFormat="1" x14ac:dyDescent="0.35">
      <c r="A156" s="18"/>
      <c r="B156" s="18"/>
      <c r="C156" s="18"/>
      <c r="D156" s="9">
        <f>IFERROR(D155/D10, 0)</f>
        <v>-9.9022753984143952E-2</v>
      </c>
      <c r="E156" s="18"/>
      <c r="F156" s="9">
        <f>IFERROR(F155/F10, 0)</f>
        <v>4.3632957661343313E-2</v>
      </c>
      <c r="G156" s="14"/>
      <c r="H156" s="9">
        <f>IFERROR(H155/H10, 0)</f>
        <v>8.9648160251214731E-3</v>
      </c>
      <c r="I156" s="14"/>
      <c r="J156" s="9">
        <f>IFERROR(J155/J10, 0)</f>
        <v>4.3292467521290387E-2</v>
      </c>
      <c r="K156" s="14"/>
      <c r="L156" s="9">
        <f>IFERROR(L155/L10, 0)</f>
        <v>9.3851330130393998E-2</v>
      </c>
      <c r="M156" s="14"/>
      <c r="N156" s="9">
        <f>IFERROR(N155/N10, 0)</f>
        <v>1.6285734042182351E-2</v>
      </c>
      <c r="O156" s="14"/>
      <c r="P156" s="9">
        <f>IFERROR(P155/P10, 0)</f>
        <v>-5.8832640824331546E-2</v>
      </c>
      <c r="Q156" s="14"/>
      <c r="R156" s="9">
        <f>IFERROR(R155/R10, 0)</f>
        <v>7.788232479845833E-2</v>
      </c>
    </row>
    <row r="157" spans="1:18" s="27" customFormat="1" x14ac:dyDescent="0.35">
      <c r="A157" s="18"/>
      <c r="B157" s="18"/>
      <c r="C157" s="18"/>
      <c r="D157" s="13"/>
      <c r="E157" s="18"/>
      <c r="F157" s="13"/>
      <c r="G157" s="14"/>
      <c r="H157" s="13"/>
      <c r="I157" s="14"/>
      <c r="J157" s="13"/>
      <c r="K157" s="14"/>
      <c r="L157" s="13"/>
      <c r="M157" s="14"/>
      <c r="N157" s="13"/>
      <c r="O157" s="14"/>
      <c r="P157" s="13"/>
      <c r="Q157" s="14"/>
      <c r="R157" s="13"/>
    </row>
    <row r="158" spans="1:18" x14ac:dyDescent="0.35">
      <c r="A158" s="12"/>
      <c r="B158" s="12"/>
      <c r="C158" s="12"/>
      <c r="D158" s="6"/>
      <c r="F158" s="6"/>
      <c r="H158" s="6"/>
      <c r="J158" s="6"/>
      <c r="L158" s="6"/>
      <c r="N158" s="6"/>
      <c r="P158" s="6"/>
      <c r="R158" s="6"/>
    </row>
    <row r="159" spans="1:18" s="15" customFormat="1" x14ac:dyDescent="0.35">
      <c r="A159" s="7"/>
      <c r="B159" s="22" t="s">
        <v>296</v>
      </c>
      <c r="C159" s="22"/>
      <c r="D159" s="10">
        <f>SUM(D155:D158)</f>
        <v>-595587.12902275566</v>
      </c>
      <c r="E159" s="12"/>
      <c r="F159" s="10">
        <f>SUM(F155:F158)</f>
        <v>237284.20363295768</v>
      </c>
      <c r="G159" s="5"/>
      <c r="H159" s="10">
        <f>SUM(H155:H158)</f>
        <v>45576.198964814808</v>
      </c>
      <c r="I159" s="5"/>
      <c r="J159" s="10">
        <f>SUM(J155:J158)</f>
        <v>192710.39329246993</v>
      </c>
      <c r="K159" s="5"/>
      <c r="L159" s="10">
        <f>SUM(L155:L158)</f>
        <v>369527.36385133112</v>
      </c>
      <c r="M159" s="5"/>
      <c r="N159" s="10">
        <f>SUM(N155:N158)</f>
        <v>54525.526285733176</v>
      </c>
      <c r="O159" s="5"/>
      <c r="P159" s="10">
        <f>SUM(P155:P158)</f>
        <v>-179556.21964096586</v>
      </c>
      <c r="Q159" s="5"/>
      <c r="R159" s="10">
        <f>SUM(R155:R158)</f>
        <v>251960.92518940766</v>
      </c>
    </row>
    <row r="160" spans="1:18" s="27" customFormat="1" x14ac:dyDescent="0.35">
      <c r="A160" s="18"/>
      <c r="B160" s="41"/>
      <c r="C160" s="18"/>
      <c r="D160" s="9">
        <f>IFERROR(D159/D10, 0)</f>
        <v>-9.9022770447742575E-2</v>
      </c>
      <c r="E160" s="18"/>
      <c r="F160" s="9">
        <f>IFERROR(F159/F10, 0)</f>
        <v>4.3632965684782359E-2</v>
      </c>
      <c r="G160" s="14"/>
      <c r="H160" s="9">
        <f>IFERROR(H159/H10, 0)</f>
        <v>8.9648177884967435E-3</v>
      </c>
      <c r="I160" s="14"/>
      <c r="J160" s="9">
        <f>IFERROR(J159/J10, 0)</f>
        <v>4.3292477246962849E-2</v>
      </c>
      <c r="K160" s="14"/>
      <c r="L160" s="9">
        <f>IFERROR(L159/L10, 0)</f>
        <v>9.3851353966448559E-2</v>
      </c>
      <c r="M160" s="14"/>
      <c r="N160" s="9">
        <f>IFERROR(N159/N10, 0)</f>
        <v>1.6285738906421734E-2</v>
      </c>
      <c r="O160" s="14"/>
      <c r="P160" s="9">
        <f>IFERROR(P159/P10, 0)</f>
        <v>-5.8832660101195179E-2</v>
      </c>
      <c r="Q160" s="14"/>
      <c r="R160" s="9">
        <f>IFERROR(R159/R10, 0)</f>
        <v>7.7882348872264168E-2</v>
      </c>
    </row>
    <row r="161" spans="1:18" x14ac:dyDescent="0.35">
      <c r="A161" s="12"/>
      <c r="B161" s="40">
        <v>44319.883572604165</v>
      </c>
      <c r="D161" s="24"/>
      <c r="F161" s="24"/>
      <c r="H161" s="24"/>
      <c r="J161" s="24"/>
      <c r="L161" s="24"/>
      <c r="N161" s="24"/>
      <c r="P161" s="24"/>
      <c r="R161" s="24"/>
    </row>
    <row r="162" spans="1:18" x14ac:dyDescent="0.35">
      <c r="A162" s="12"/>
      <c r="B162" s="39" t="s">
        <v>23</v>
      </c>
      <c r="D162" s="24"/>
      <c r="F162" s="24"/>
      <c r="H162" s="24"/>
      <c r="J162" s="24"/>
      <c r="L162" s="24"/>
      <c r="N162" s="24"/>
      <c r="P162" s="24"/>
      <c r="R162" s="24"/>
    </row>
    <row r="163" spans="1:18" x14ac:dyDescent="0.35">
      <c r="A163" s="12"/>
      <c r="D163" s="24"/>
      <c r="F163" s="24"/>
      <c r="H163" s="24"/>
      <c r="J163" s="24"/>
      <c r="L163" s="24"/>
      <c r="N163" s="24"/>
      <c r="P163" s="24"/>
      <c r="R163" s="24"/>
    </row>
    <row r="164" spans="1:18" x14ac:dyDescent="0.35">
      <c r="D164" s="24"/>
      <c r="F164" s="24"/>
      <c r="H164" s="24"/>
      <c r="J164" s="24"/>
      <c r="L164" s="24"/>
      <c r="N164" s="24"/>
      <c r="P164" s="24"/>
      <c r="R164" s="24"/>
    </row>
  </sheetData>
  <pageMargins left="0.5" right="0.5" top="0.5" bottom="0.5" header="0.3" footer="0.3"/>
  <pageSetup scale="59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","312", " - ", "General Books")</f>
        <v>Department 312 - General Books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113189.48000000003</v>
      </c>
      <c r="F10" s="8">
        <f>SUM(OSRRefF11x_0)</f>
        <v>104360.03999999998</v>
      </c>
      <c r="G10" s="8"/>
      <c r="H10" s="8">
        <f>SUM(OSRRefH11x_0)</f>
        <v>74021.02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"4011", " - ", "TAXABLE SALES-NO VALUE TEXT")</f>
        <v xml:space="preserve">          4011 - TAXABLE SALES-NO VALUE TEXT</v>
      </c>
      <c r="D11" s="11">
        <f>-43.1*-1</f>
        <v>43.1</v>
      </c>
      <c r="F11" s="11">
        <f>-2508.97*-1</f>
        <v>2508.9699999999998</v>
      </c>
      <c r="G11" s="3"/>
      <c r="H11" s="11">
        <f>-0.01*-1</f>
        <v>0.01</v>
      </c>
      <c r="I11" s="3"/>
      <c r="J11" s="11">
        <f t="shared" ref="J11:J34" si="0">0</f>
        <v>0</v>
      </c>
      <c r="K11" s="3"/>
      <c r="L11" s="11">
        <f t="shared" ref="L11:L34" si="1">0</f>
        <v>0</v>
      </c>
      <c r="M11" s="3"/>
      <c r="N11" s="11">
        <f t="shared" ref="N11:N34" si="2"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"4012", " - ", "TAXABLE SALES-MAGAZINES")</f>
        <v xml:space="preserve">          4012 - TAXABLE SALES-MAGAZINES</v>
      </c>
      <c r="D12" s="11">
        <f>-53.7*-1</f>
        <v>53.7</v>
      </c>
      <c r="F12" s="11">
        <f>-41.75*-1</f>
        <v>41.75</v>
      </c>
      <c r="G12" s="3"/>
      <c r="H12" s="11">
        <f>-35.8*-1</f>
        <v>35.799999999999997</v>
      </c>
      <c r="I12" s="3"/>
      <c r="J12" s="11">
        <f t="shared" si="0"/>
        <v>0</v>
      </c>
      <c r="K12" s="3"/>
      <c r="L12" s="11">
        <f t="shared" si="1"/>
        <v>0</v>
      </c>
      <c r="M12" s="3"/>
      <c r="N12" s="11">
        <f t="shared" si="2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"4013", " - ", "TAXABLE SALES-TRADE BOOKS")</f>
        <v xml:space="preserve">          4013 - TAXABLE SALES-TRADE BOOKS</v>
      </c>
      <c r="D13" s="11">
        <f>-35038.5*-1</f>
        <v>35038.5</v>
      </c>
      <c r="F13" s="11">
        <f>-31521.3*-1</f>
        <v>31521.3</v>
      </c>
      <c r="G13" s="3"/>
      <c r="H13" s="11">
        <f>-14354.06*-1</f>
        <v>14354.06</v>
      </c>
      <c r="I13" s="3"/>
      <c r="J13" s="11">
        <f t="shared" si="0"/>
        <v>0</v>
      </c>
      <c r="K13" s="3"/>
      <c r="L13" s="11">
        <f t="shared" si="1"/>
        <v>0</v>
      </c>
      <c r="M13" s="3"/>
      <c r="N13" s="11">
        <f t="shared" si="2"/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"4014", " - ", "TAXABLE SALES-REMAINDERS")</f>
        <v xml:space="preserve">          4014 - TAXABLE SALES-REMAINDERS</v>
      </c>
      <c r="D14" s="11">
        <f>-2636.61*-1</f>
        <v>2636.61</v>
      </c>
      <c r="F14" s="11">
        <f>-2182.49*-1</f>
        <v>2182.4899999999998</v>
      </c>
      <c r="G14" s="3"/>
      <c r="H14" s="11">
        <f>-688.63*-1</f>
        <v>688.63</v>
      </c>
      <c r="I14" s="3"/>
      <c r="J14" s="11">
        <f t="shared" si="0"/>
        <v>0</v>
      </c>
      <c r="K14" s="3"/>
      <c r="L14" s="11">
        <f t="shared" si="1"/>
        <v>0</v>
      </c>
      <c r="M14" s="3"/>
      <c r="N14" s="11">
        <f t="shared" si="2"/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"4015", " - ", "TAXABLE SALES-CALENDARS")</f>
        <v xml:space="preserve">          4015 - TAXABLE SALES-CALENDARS</v>
      </c>
      <c r="D15" s="11">
        <f>-4640.46*-1</f>
        <v>4640.46</v>
      </c>
      <c r="F15" s="11">
        <f>-4253.53*-1</f>
        <v>4253.53</v>
      </c>
      <c r="G15" s="3"/>
      <c r="H15" s="11">
        <f>-166.8*-1</f>
        <v>166.8</v>
      </c>
      <c r="I15" s="3"/>
      <c r="J15" s="11">
        <f t="shared" si="0"/>
        <v>0</v>
      </c>
      <c r="K15" s="3"/>
      <c r="L15" s="11">
        <f t="shared" si="1"/>
        <v>0</v>
      </c>
      <c r="M15" s="3"/>
      <c r="N15" s="11">
        <f t="shared" si="2"/>
        <v>0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"4017", " - ", "TAXABLE SALES-DORM/HOUSEWARES")</f>
        <v xml:space="preserve">          4017 - TAXABLE SALES-DORM/HOUSEWARES</v>
      </c>
      <c r="D16" s="11">
        <f>-515.69*-1</f>
        <v>515.69000000000005</v>
      </c>
      <c r="F16" s="11">
        <f>-2054.11*-1</f>
        <v>2054.11</v>
      </c>
      <c r="G16" s="3"/>
      <c r="H16" s="11">
        <f>-44.7*-1</f>
        <v>44.7</v>
      </c>
      <c r="I16" s="3"/>
      <c r="J16" s="11">
        <f t="shared" si="0"/>
        <v>0</v>
      </c>
      <c r="K16" s="3"/>
      <c r="L16" s="11">
        <f t="shared" si="1"/>
        <v>0</v>
      </c>
      <c r="M16" s="3"/>
      <c r="N16" s="11">
        <f t="shared" si="2"/>
        <v>0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"4018", " - ", "TAXABLE SALES-STUDY GUIDES")</f>
        <v xml:space="preserve">          4018 - TAXABLE SALES-STUDY GUIDES</v>
      </c>
      <c r="D17" s="11">
        <f>-15442.23*-1</f>
        <v>15442.23</v>
      </c>
      <c r="F17" s="11">
        <f>-9203.96*-1</f>
        <v>9203.9599999999991</v>
      </c>
      <c r="G17" s="3"/>
      <c r="H17" s="11">
        <f>-8469.9*-1</f>
        <v>8469.9</v>
      </c>
      <c r="I17" s="3"/>
      <c r="J17" s="11">
        <f t="shared" si="0"/>
        <v>0</v>
      </c>
      <c r="K17" s="3"/>
      <c r="L17" s="11">
        <f t="shared" si="1"/>
        <v>0</v>
      </c>
      <c r="M17" s="3"/>
      <c r="N17" s="11">
        <f t="shared" si="2"/>
        <v>0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"4019", " - ", "TAXABLE SALES-BOOK RELATED")</f>
        <v xml:space="preserve">          4019 - TAXABLE SALES-BOOK RELATED</v>
      </c>
      <c r="D18" s="11">
        <f>-12332.23*-1</f>
        <v>12332.23</v>
      </c>
      <c r="F18" s="11">
        <f>-11333.49*-1</f>
        <v>11333.49</v>
      </c>
      <c r="G18" s="3"/>
      <c r="H18" s="11">
        <f>-3438.4*-1</f>
        <v>3438.4</v>
      </c>
      <c r="I18" s="3"/>
      <c r="J18" s="11">
        <f t="shared" si="0"/>
        <v>0</v>
      </c>
      <c r="K18" s="3"/>
      <c r="L18" s="11">
        <f t="shared" si="1"/>
        <v>0</v>
      </c>
      <c r="M18" s="3"/>
      <c r="N18" s="11">
        <f t="shared" si="2"/>
        <v>0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"4111", " - ", "NON-TAXABLE SALES-NO VALUE TEX")</f>
        <v xml:space="preserve">          4111 - NON-TAXABLE SALES-NO VALUE TEX</v>
      </c>
      <c r="D19" s="11">
        <f>-43256.3*-1</f>
        <v>43256.3</v>
      </c>
      <c r="F19" s="11">
        <f>-43259.52*-1</f>
        <v>43259.519999999997</v>
      </c>
      <c r="G19" s="3"/>
      <c r="H19" s="11">
        <f>-44203.6*-1</f>
        <v>44203.6</v>
      </c>
      <c r="I19" s="3"/>
      <c r="J19" s="11">
        <f t="shared" si="0"/>
        <v>0</v>
      </c>
      <c r="K19" s="3"/>
      <c r="L19" s="11">
        <f t="shared" si="1"/>
        <v>0</v>
      </c>
      <c r="M19" s="3"/>
      <c r="N19" s="11">
        <f t="shared" si="2"/>
        <v>0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"4113", " - ", "NON-TAXABLE SALES-TRADE BOOKS")</f>
        <v xml:space="preserve">          4113 - NON-TAXABLE SALES-TRADE BOOKS</v>
      </c>
      <c r="D20" s="11">
        <f>-1319.69*-1</f>
        <v>1319.69</v>
      </c>
      <c r="F20" s="11">
        <f>-1790.87*-1</f>
        <v>1790.87</v>
      </c>
      <c r="G20" s="3"/>
      <c r="H20" s="11">
        <f>-5971.51*-1</f>
        <v>5971.51</v>
      </c>
      <c r="I20" s="3"/>
      <c r="J20" s="11">
        <f t="shared" si="0"/>
        <v>0</v>
      </c>
      <c r="K20" s="3"/>
      <c r="L20" s="11">
        <f t="shared" si="1"/>
        <v>0</v>
      </c>
      <c r="M20" s="3"/>
      <c r="N20" s="11">
        <f t="shared" si="2"/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"4115", " - ", "NON-TAXABLE SALES-CALENDARS")</f>
        <v xml:space="preserve">          4115 - NON-TAXABLE SALES-CALENDARS</v>
      </c>
      <c r="D21" s="11">
        <f>-2*-1</f>
        <v>2</v>
      </c>
      <c r="F21" s="11">
        <f>-158.37*-1</f>
        <v>158.37</v>
      </c>
      <c r="G21" s="3"/>
      <c r="H21" s="11">
        <f>0*-1</f>
        <v>0</v>
      </c>
      <c r="I21" s="3"/>
      <c r="J21" s="11">
        <f t="shared" si="0"/>
        <v>0</v>
      </c>
      <c r="K21" s="3"/>
      <c r="L21" s="11">
        <f t="shared" si="1"/>
        <v>0</v>
      </c>
      <c r="M21" s="3"/>
      <c r="N21" s="11">
        <f t="shared" si="2"/>
        <v>0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"4118", " - ", "NON-TAXABLE SALES-STUDY GUIDES")</f>
        <v xml:space="preserve">          4118 - NON-TAXABLE SALES-STUDY GUIDES</v>
      </c>
      <c r="D22" s="11">
        <f>-353.8*-1</f>
        <v>353.8</v>
      </c>
      <c r="F22" s="11">
        <f>-548.94*-1</f>
        <v>548.94000000000005</v>
      </c>
      <c r="G22" s="3"/>
      <c r="H22" s="11">
        <f>-571.8*-1</f>
        <v>571.79999999999995</v>
      </c>
      <c r="I22" s="3"/>
      <c r="J22" s="11">
        <f t="shared" si="0"/>
        <v>0</v>
      </c>
      <c r="K22" s="3"/>
      <c r="L22" s="11">
        <f t="shared" si="1"/>
        <v>0</v>
      </c>
      <c r="M22" s="3"/>
      <c r="N22" s="11">
        <f t="shared" si="2"/>
        <v>0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"4119", " - ", "NON-TAXABLE SALES-BOOK RELATED")</f>
        <v xml:space="preserve">          4119 - NON-TAXABLE SALES-BOOK RELATED</v>
      </c>
      <c r="D23" s="11">
        <f>-151.27*-1</f>
        <v>151.27000000000001</v>
      </c>
      <c r="F23" s="11">
        <f>-120.62*-1</f>
        <v>120.62</v>
      </c>
      <c r="G23" s="3"/>
      <c r="H23" s="11">
        <f>-88.12*-1</f>
        <v>88.12</v>
      </c>
      <c r="I23" s="3"/>
      <c r="J23" s="11">
        <f t="shared" si="0"/>
        <v>0</v>
      </c>
      <c r="K23" s="3"/>
      <c r="L23" s="11">
        <f t="shared" si="1"/>
        <v>0</v>
      </c>
      <c r="M23" s="3"/>
      <c r="N23" s="11">
        <f t="shared" si="2"/>
        <v>0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"4212", " - ", "SALES RETURN TAXABLE-MAGAZINES")</f>
        <v xml:space="preserve">          4212 - SALES RETURN TAXABLE-MAGAZINES</v>
      </c>
      <c r="D24" s="11">
        <f>0*-1</f>
        <v>0</v>
      </c>
      <c r="F24" s="11">
        <f>26.85*-1</f>
        <v>-26.85</v>
      </c>
      <c r="G24" s="3"/>
      <c r="H24" s="11">
        <f>8.95*-1</f>
        <v>-8.9499999999999993</v>
      </c>
      <c r="I24" s="3"/>
      <c r="J24" s="11">
        <f t="shared" si="0"/>
        <v>0</v>
      </c>
      <c r="K24" s="3"/>
      <c r="L24" s="11">
        <f t="shared" si="1"/>
        <v>0</v>
      </c>
      <c r="M24" s="3"/>
      <c r="N24" s="11">
        <f t="shared" si="2"/>
        <v>0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"4213", " - ", "NON-TAXABLE SALES-TRADE BOOKS")</f>
        <v xml:space="preserve">          4213 - NON-TAXABLE SALES-TRADE BOOKS</v>
      </c>
      <c r="D25" s="11">
        <f>690.05*-1</f>
        <v>-690.05</v>
      </c>
      <c r="F25" s="11">
        <f>1060.39*-1</f>
        <v>-1060.3900000000001</v>
      </c>
      <c r="G25" s="3"/>
      <c r="H25" s="11">
        <f>1372.89*-1</f>
        <v>-1372.89</v>
      </c>
      <c r="I25" s="3"/>
      <c r="J25" s="11">
        <f t="shared" si="0"/>
        <v>0</v>
      </c>
      <c r="K25" s="3"/>
      <c r="L25" s="11">
        <f t="shared" si="1"/>
        <v>0</v>
      </c>
      <c r="M25" s="3"/>
      <c r="N25" s="11">
        <f t="shared" si="2"/>
        <v>0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"4214", " - ", "SALES RETURN TAXABLE-REMAINDER")</f>
        <v xml:space="preserve">          4214 - SALES RETURN TAXABLE-REMAINDER</v>
      </c>
      <c r="D26" s="11">
        <f>0*-1</f>
        <v>0</v>
      </c>
      <c r="F26" s="11">
        <f>9.73*-1</f>
        <v>-9.73</v>
      </c>
      <c r="G26" s="3"/>
      <c r="H26" s="11">
        <f t="shared" ref="H26:H28" si="3">0*-1</f>
        <v>0</v>
      </c>
      <c r="I26" s="3"/>
      <c r="J26" s="11">
        <f t="shared" si="0"/>
        <v>0</v>
      </c>
      <c r="K26" s="3"/>
      <c r="L26" s="11">
        <f t="shared" si="1"/>
        <v>0</v>
      </c>
      <c r="M26" s="3"/>
      <c r="N26" s="11">
        <f t="shared" si="2"/>
        <v>0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"4215", " - ", "SALES RETURN TAXABLE-CALENDARS")</f>
        <v xml:space="preserve">          4215 - SALES RETURN TAXABLE-CALENDARS</v>
      </c>
      <c r="D27" s="11">
        <f>23.98*-1</f>
        <v>-23.98</v>
      </c>
      <c r="F27" s="11">
        <f>21.86*-1</f>
        <v>-21.86</v>
      </c>
      <c r="G27" s="3"/>
      <c r="H27" s="11">
        <f t="shared" si="3"/>
        <v>0</v>
      </c>
      <c r="I27" s="3"/>
      <c r="J27" s="11">
        <f t="shared" si="0"/>
        <v>0</v>
      </c>
      <c r="K27" s="3"/>
      <c r="L27" s="11">
        <f t="shared" si="1"/>
        <v>0</v>
      </c>
      <c r="M27" s="3"/>
      <c r="N27" s="11">
        <f t="shared" si="2"/>
        <v>0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"4217", " - ", "NON-TAXABLE SALES-DORM/HOUSEWA")</f>
        <v xml:space="preserve">          4217 - NON-TAXABLE SALES-DORM/HOUSEWA</v>
      </c>
      <c r="D28" s="11">
        <f>45.97*-1</f>
        <v>-45.97</v>
      </c>
      <c r="F28" s="11">
        <f>10.87*-1</f>
        <v>-10.87</v>
      </c>
      <c r="G28" s="3"/>
      <c r="H28" s="11">
        <f t="shared" si="3"/>
        <v>0</v>
      </c>
      <c r="I28" s="3"/>
      <c r="J28" s="11">
        <f t="shared" si="0"/>
        <v>0</v>
      </c>
      <c r="K28" s="3"/>
      <c r="L28" s="11">
        <f t="shared" si="1"/>
        <v>0</v>
      </c>
      <c r="M28" s="3"/>
      <c r="N28" s="11">
        <f t="shared" si="2"/>
        <v>0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"4218", " - ", "SALES RETURN TAXABLE-STUDY GUI")</f>
        <v xml:space="preserve">          4218 - SALES RETURN TAXABLE-STUDY GUI</v>
      </c>
      <c r="D29" s="11">
        <f>503.09*-1</f>
        <v>-503.09</v>
      </c>
      <c r="F29" s="11">
        <f>273.78*-1</f>
        <v>-273.77999999999997</v>
      </c>
      <c r="G29" s="3"/>
      <c r="H29" s="11">
        <f>349.67*-1</f>
        <v>-349.67</v>
      </c>
      <c r="I29" s="3"/>
      <c r="J29" s="11">
        <f t="shared" si="0"/>
        <v>0</v>
      </c>
      <c r="K29" s="3"/>
      <c r="L29" s="11">
        <f t="shared" si="1"/>
        <v>0</v>
      </c>
      <c r="M29" s="3"/>
      <c r="N29" s="11">
        <f t="shared" si="2"/>
        <v>0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"4219", " - ", "SALES RETURN TAXABLE-BOOK RELA")</f>
        <v xml:space="preserve">          4219 - SALES RETURN TAXABLE-BOOK RELA</v>
      </c>
      <c r="D30" s="11">
        <f>106.68*-1</f>
        <v>-106.68</v>
      </c>
      <c r="F30" s="11">
        <f>236.39*-1</f>
        <v>-236.39</v>
      </c>
      <c r="G30" s="3"/>
      <c r="H30" s="11">
        <f>70.95*-1</f>
        <v>-70.95</v>
      </c>
      <c r="I30" s="3"/>
      <c r="J30" s="11">
        <f t="shared" si="0"/>
        <v>0</v>
      </c>
      <c r="K30" s="3"/>
      <c r="L30" s="11">
        <f t="shared" si="1"/>
        <v>0</v>
      </c>
      <c r="M30" s="3"/>
      <c r="N30" s="11">
        <f t="shared" si="2"/>
        <v>0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"4311", " - ", "SALES RETURN NON TAXABLE-NO VA")</f>
        <v xml:space="preserve">          4311 - SALES RETURN NON TAXABLE-NO VA</v>
      </c>
      <c r="D31" s="11">
        <f>1157.4*-1</f>
        <v>-1157.4000000000001</v>
      </c>
      <c r="F31" s="11">
        <f>2960.66*-1</f>
        <v>-2960.66</v>
      </c>
      <c r="G31" s="3"/>
      <c r="H31" s="11">
        <f>2203.9*-1</f>
        <v>-2203.9</v>
      </c>
      <c r="I31" s="3"/>
      <c r="J31" s="11">
        <f t="shared" si="0"/>
        <v>0</v>
      </c>
      <c r="K31" s="3"/>
      <c r="L31" s="11">
        <f t="shared" si="1"/>
        <v>0</v>
      </c>
      <c r="M31" s="3"/>
      <c r="N31" s="11">
        <f t="shared" si="2"/>
        <v>0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"4313", " - ", "SALES RETURN NON TAXABLE-TRADE")</f>
        <v xml:space="preserve">          4313 - SALES RETURN NON TAXABLE-TRADE</v>
      </c>
      <c r="D32" s="11">
        <f>63.74*-1</f>
        <v>-63.74</v>
      </c>
      <c r="F32" s="11">
        <f>17.35*-1</f>
        <v>-17.350000000000001</v>
      </c>
      <c r="G32" s="3"/>
      <c r="H32" s="11">
        <f>0*-1</f>
        <v>0</v>
      </c>
      <c r="I32" s="3"/>
      <c r="J32" s="11">
        <f t="shared" si="0"/>
        <v>0</v>
      </c>
      <c r="K32" s="3"/>
      <c r="L32" s="11">
        <f t="shared" si="1"/>
        <v>0</v>
      </c>
      <c r="M32" s="3"/>
      <c r="N32" s="11">
        <f t="shared" si="2"/>
        <v>0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"4318", " - ", "SALES RETURN NON TAXABLE-STUDY")</f>
        <v xml:space="preserve">          4318 - SALES RETURN NON TAXABLE-STUDY</v>
      </c>
      <c r="D33" s="11">
        <f>0*-1</f>
        <v>0</v>
      </c>
      <c r="F33" s="11">
        <f t="shared" ref="F33:F34" si="4">0*-1</f>
        <v>0</v>
      </c>
      <c r="G33" s="3"/>
      <c r="H33" s="11">
        <f>5.95*-1</f>
        <v>-5.95</v>
      </c>
      <c r="I33" s="3"/>
      <c r="J33" s="11">
        <f t="shared" si="0"/>
        <v>0</v>
      </c>
      <c r="K33" s="3"/>
      <c r="L33" s="11">
        <f t="shared" si="1"/>
        <v>0</v>
      </c>
      <c r="M33" s="3"/>
      <c r="N33" s="11">
        <f t="shared" si="2"/>
        <v>0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"4319", " - ", "SALES RETURN NON TAXABLE-BOOK")</f>
        <v xml:space="preserve">          4319 - SALES RETURN NON TAXABLE-BOOK</v>
      </c>
      <c r="D34" s="11">
        <f>5.19*-1</f>
        <v>-5.19</v>
      </c>
      <c r="F34" s="11">
        <f t="shared" si="4"/>
        <v>0</v>
      </c>
      <c r="G34" s="3"/>
      <c r="H34" s="11">
        <f>0*-1</f>
        <v>0</v>
      </c>
      <c r="I34" s="3"/>
      <c r="J34" s="11">
        <f t="shared" si="0"/>
        <v>0</v>
      </c>
      <c r="K34" s="3"/>
      <c r="L34" s="11">
        <f t="shared" si="1"/>
        <v>0</v>
      </c>
      <c r="M34" s="3"/>
      <c r="N34" s="11">
        <f t="shared" si="2"/>
        <v>0</v>
      </c>
      <c r="O34" s="3"/>
      <c r="P34" s="11"/>
      <c r="Q34" s="3"/>
      <c r="R34" s="11"/>
    </row>
    <row r="35" spans="1:18" s="12" customFormat="1" x14ac:dyDescent="0.35">
      <c r="B35" s="7"/>
      <c r="D35" s="6"/>
      <c r="F35" s="6"/>
      <c r="G35" s="5"/>
      <c r="H35" s="6"/>
      <c r="I35" s="5"/>
      <c r="J35" s="6"/>
      <c r="K35" s="5"/>
      <c r="L35" s="6"/>
      <c r="M35" s="5"/>
      <c r="N35" s="6"/>
      <c r="O35" s="5"/>
      <c r="P35" s="6"/>
      <c r="Q35" s="5"/>
      <c r="R35" s="6"/>
    </row>
    <row r="36" spans="1:18" s="12" customFormat="1" collapsed="1" x14ac:dyDescent="0.35">
      <c r="B36" s="7" t="s">
        <v>278</v>
      </c>
      <c r="D36" s="8">
        <f>SUM(OSRRefD14x_0)</f>
        <v>53566.859999999993</v>
      </c>
      <c r="E36" s="8"/>
      <c r="F36" s="8">
        <f>SUM(OSRRefF14x_0)</f>
        <v>43931.929999999993</v>
      </c>
      <c r="G36" s="8"/>
      <c r="H36" s="8">
        <f>SUM(OSRRefH14x_0)</f>
        <v>24109.24</v>
      </c>
      <c r="I36" s="8"/>
      <c r="J36" s="8">
        <f>SUM(OSRRefJ14x_0)</f>
        <v>0</v>
      </c>
      <c r="K36" s="8"/>
      <c r="L36" s="8">
        <f>SUM(OSRRefL14x_0)</f>
        <v>0</v>
      </c>
      <c r="M36" s="8"/>
      <c r="N36" s="8">
        <f>SUM(OSRRefN14x_0)</f>
        <v>0</v>
      </c>
      <c r="O36" s="8"/>
      <c r="P36" s="8">
        <f>SUM(OSRRefP14x_0)</f>
        <v>0</v>
      </c>
      <c r="Q36" s="8"/>
      <c r="R36" s="8">
        <f>SUM(OSRRefR14x_0)</f>
        <v>0</v>
      </c>
    </row>
    <row r="37" spans="1:18" s="44" customFormat="1" hidden="1" outlineLevel="1" x14ac:dyDescent="0.35">
      <c r="A37" s="16"/>
      <c r="B37" s="35" t="str">
        <f>CONCATENATE("          ", "5011", " - ", "PURCHASES @ COST-NO VALUE TEXT")</f>
        <v xml:space="preserve">          5011 - PURCHASES @ COST-NO VALUE TEXT</v>
      </c>
      <c r="C37" s="16"/>
      <c r="D37" s="11">
        <v>6675</v>
      </c>
      <c r="E37" s="16"/>
      <c r="F37" s="11">
        <v>7296</v>
      </c>
      <c r="G37" s="3"/>
      <c r="H37" s="11">
        <v>5721</v>
      </c>
      <c r="I37" s="3"/>
      <c r="J37" s="11"/>
      <c r="K37" s="3"/>
      <c r="L37" s="11"/>
      <c r="M37" s="3"/>
      <c r="N37" s="11"/>
      <c r="O37" s="3"/>
      <c r="P37" s="11"/>
      <c r="Q37" s="3"/>
      <c r="R37" s="11"/>
    </row>
    <row r="38" spans="1:18" s="44" customFormat="1" hidden="1" outlineLevel="1" x14ac:dyDescent="0.35">
      <c r="A38" s="16"/>
      <c r="B38" s="35" t="str">
        <f>CONCATENATE("          ", "5013", " - ", "PURCHASES @ COST-TRADE BOOKS")</f>
        <v xml:space="preserve">          5013 - PURCHASES @ COST-TRADE BOOKS</v>
      </c>
      <c r="C38" s="16"/>
      <c r="D38" s="11">
        <v>22540.52</v>
      </c>
      <c r="E38" s="16"/>
      <c r="F38" s="11">
        <v>15597.77</v>
      </c>
      <c r="G38" s="3"/>
      <c r="H38" s="11">
        <v>7202.91</v>
      </c>
      <c r="I38" s="3"/>
      <c r="J38" s="11"/>
      <c r="K38" s="3"/>
      <c r="L38" s="11"/>
      <c r="M38" s="3"/>
      <c r="N38" s="11"/>
      <c r="O38" s="3"/>
      <c r="P38" s="11"/>
      <c r="Q38" s="3"/>
      <c r="R38" s="11"/>
    </row>
    <row r="39" spans="1:18" s="44" customFormat="1" hidden="1" outlineLevel="1" x14ac:dyDescent="0.35">
      <c r="A39" s="16"/>
      <c r="B39" s="35" t="str">
        <f>CONCATENATE("          ", "5014", " - ", "PURCHASES @ COST-REMAINDERS")</f>
        <v xml:space="preserve">          5014 - PURCHASES @ COST-REMAINDERS</v>
      </c>
      <c r="C39" s="16"/>
      <c r="D39" s="11"/>
      <c r="E39" s="16"/>
      <c r="F39" s="11">
        <v>1282.8599999999999</v>
      </c>
      <c r="G39" s="3"/>
      <c r="H39" s="11">
        <v>-15.28</v>
      </c>
      <c r="I39" s="3"/>
      <c r="J39" s="11"/>
      <c r="K39" s="3"/>
      <c r="L39" s="11"/>
      <c r="M39" s="3"/>
      <c r="N39" s="11"/>
      <c r="O39" s="3"/>
      <c r="P39" s="11"/>
      <c r="Q39" s="3"/>
      <c r="R39" s="11"/>
    </row>
    <row r="40" spans="1:18" s="44" customFormat="1" hidden="1" outlineLevel="1" x14ac:dyDescent="0.35">
      <c r="A40" s="16"/>
      <c r="B40" s="35" t="str">
        <f>CONCATENATE("          ", "5015", " - ", "PURCHASES @ COST-CALENDARS")</f>
        <v xml:space="preserve">          5015 - PURCHASES @ COST-CALENDARS</v>
      </c>
      <c r="C40" s="16"/>
      <c r="D40" s="11">
        <v>2530.37</v>
      </c>
      <c r="E40" s="16"/>
      <c r="F40" s="11">
        <v>2652.31</v>
      </c>
      <c r="G40" s="3"/>
      <c r="H40" s="11"/>
      <c r="I40" s="3"/>
      <c r="J40" s="11"/>
      <c r="K40" s="3"/>
      <c r="L40" s="11"/>
      <c r="M40" s="3"/>
      <c r="N40" s="11"/>
      <c r="O40" s="3"/>
      <c r="P40" s="11"/>
      <c r="Q40" s="3"/>
      <c r="R40" s="11"/>
    </row>
    <row r="41" spans="1:18" s="44" customFormat="1" hidden="1" outlineLevel="1" x14ac:dyDescent="0.35">
      <c r="A41" s="16"/>
      <c r="B41" s="35" t="str">
        <f>CONCATENATE("          ", "5017", " - ", "PURCHASES @ COST-DORM/HOUSEWAR")</f>
        <v xml:space="preserve">          5017 - PURCHASES @ COST-DORM/HOUSEWAR</v>
      </c>
      <c r="C41" s="16"/>
      <c r="D41" s="11">
        <v>1398.97</v>
      </c>
      <c r="E41" s="16"/>
      <c r="F41" s="11"/>
      <c r="G41" s="3"/>
      <c r="H41" s="11"/>
      <c r="I41" s="3"/>
      <c r="J41" s="11"/>
      <c r="K41" s="3"/>
      <c r="L41" s="11"/>
      <c r="M41" s="3"/>
      <c r="N41" s="11"/>
      <c r="O41" s="3"/>
      <c r="P41" s="11"/>
      <c r="Q41" s="3"/>
      <c r="R41" s="11"/>
    </row>
    <row r="42" spans="1:18" s="44" customFormat="1" hidden="1" outlineLevel="1" x14ac:dyDescent="0.35">
      <c r="A42" s="16"/>
      <c r="B42" s="35" t="str">
        <f>CONCATENATE("          ", "5018", " - ", "PURCHASES @ COST-STUDY GUIDES")</f>
        <v xml:space="preserve">          5018 - PURCHASES @ COST-STUDY GUIDES</v>
      </c>
      <c r="C42" s="16"/>
      <c r="D42" s="11">
        <v>5816.04</v>
      </c>
      <c r="E42" s="16"/>
      <c r="F42" s="11">
        <v>4459.92</v>
      </c>
      <c r="G42" s="3"/>
      <c r="H42" s="11">
        <v>4716.9799999999996</v>
      </c>
      <c r="I42" s="3"/>
      <c r="J42" s="11"/>
      <c r="K42" s="3"/>
      <c r="L42" s="11"/>
      <c r="M42" s="3"/>
      <c r="N42" s="11"/>
      <c r="O42" s="3"/>
      <c r="P42" s="11"/>
      <c r="Q42" s="3"/>
      <c r="R42" s="11"/>
    </row>
    <row r="43" spans="1:18" s="44" customFormat="1" hidden="1" outlineLevel="1" x14ac:dyDescent="0.35">
      <c r="A43" s="16"/>
      <c r="B43" s="35" t="str">
        <f>CONCATENATE("          ", "5019", " - ", "PURCHASES @ COST-BOOK RELATED")</f>
        <v xml:space="preserve">          5019 - PURCHASES @ COST-BOOK RELATED</v>
      </c>
      <c r="C43" s="16"/>
      <c r="D43" s="11">
        <v>5234.41</v>
      </c>
      <c r="E43" s="16"/>
      <c r="F43" s="11">
        <v>6089.85</v>
      </c>
      <c r="G43" s="3"/>
      <c r="H43" s="11">
        <v>0</v>
      </c>
      <c r="I43" s="3"/>
      <c r="J43" s="11"/>
      <c r="K43" s="3"/>
      <c r="L43" s="11"/>
      <c r="M43" s="3"/>
      <c r="N43" s="11"/>
      <c r="O43" s="3"/>
      <c r="P43" s="11"/>
      <c r="Q43" s="3"/>
      <c r="R43" s="11"/>
    </row>
    <row r="44" spans="1:18" s="44" customFormat="1" hidden="1" outlineLevel="1" x14ac:dyDescent="0.35">
      <c r="A44" s="16"/>
      <c r="B44" s="35" t="str">
        <f>CONCATENATE("          ", "5200", " - ", "PURCHASES OFFSET")</f>
        <v xml:space="preserve">          5200 - PURCHASES OFFSET</v>
      </c>
      <c r="C44" s="16"/>
      <c r="D44" s="11">
        <v>-45134</v>
      </c>
      <c r="E44" s="16"/>
      <c r="F44" s="11">
        <v>-37912</v>
      </c>
      <c r="G44" s="3"/>
      <c r="H44" s="11">
        <v>-17844</v>
      </c>
      <c r="I44" s="3"/>
      <c r="J44" s="11"/>
      <c r="K44" s="3"/>
      <c r="L44" s="11"/>
      <c r="M44" s="3"/>
      <c r="N44" s="11"/>
      <c r="O44" s="3"/>
      <c r="P44" s="11"/>
      <c r="Q44" s="3"/>
      <c r="R44" s="11"/>
    </row>
    <row r="45" spans="1:18" s="44" customFormat="1" hidden="1" outlineLevel="1" x14ac:dyDescent="0.35">
      <c r="A45" s="16"/>
      <c r="B45" s="35" t="str">
        <f>CONCATENATE("          ", "5300", " - ", "COG$ OFFSET")</f>
        <v xml:space="preserve">          5300 - COG$ OFFSET</v>
      </c>
      <c r="C45" s="16"/>
      <c r="D45" s="11">
        <v>53566</v>
      </c>
      <c r="E45" s="16"/>
      <c r="F45" s="11">
        <v>43376</v>
      </c>
      <c r="G45" s="3"/>
      <c r="H45" s="11">
        <v>24109</v>
      </c>
      <c r="I45" s="3"/>
      <c r="J45" s="11"/>
      <c r="K45" s="3"/>
      <c r="L45" s="11"/>
      <c r="M45" s="3"/>
      <c r="N45" s="11"/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"5513", " - ", "FREIGHT-IN-TRADE BOOKS")</f>
        <v xml:space="preserve">          5513 - FREIGHT-IN-TRADE BOOKS</v>
      </c>
      <c r="C46" s="16"/>
      <c r="D46" s="11">
        <v>689.7</v>
      </c>
      <c r="E46" s="16"/>
      <c r="F46" s="11">
        <v>584.27</v>
      </c>
      <c r="G46" s="3"/>
      <c r="H46" s="11">
        <v>202.25</v>
      </c>
      <c r="I46" s="3"/>
      <c r="J46" s="11"/>
      <c r="K46" s="3"/>
      <c r="L46" s="11"/>
      <c r="M46" s="3"/>
      <c r="N46" s="11"/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"5514", " - ", "FREIGHT-IN-REMAINDERS")</f>
        <v xml:space="preserve">          5514 - FREIGHT-IN-REMAINDERS</v>
      </c>
      <c r="C47" s="16"/>
      <c r="D47" s="11"/>
      <c r="E47" s="16"/>
      <c r="F47" s="11">
        <v>243.14</v>
      </c>
      <c r="G47" s="3"/>
      <c r="H47" s="11"/>
      <c r="I47" s="3"/>
      <c r="J47" s="11"/>
      <c r="K47" s="3"/>
      <c r="L47" s="11"/>
      <c r="M47" s="3"/>
      <c r="N47" s="11"/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"5515", " - ", "FREIGHT-IN-CALENDARS")</f>
        <v xml:space="preserve">          5515 - FREIGHT-IN-CALENDARS</v>
      </c>
      <c r="C48" s="16"/>
      <c r="D48" s="11">
        <v>9.69</v>
      </c>
      <c r="E48" s="16"/>
      <c r="F48" s="11"/>
      <c r="G48" s="3"/>
      <c r="H48" s="11"/>
      <c r="I48" s="3"/>
      <c r="J48" s="11"/>
      <c r="K48" s="3"/>
      <c r="L48" s="11"/>
      <c r="M48" s="3"/>
      <c r="N48" s="11"/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"5517", " - ", "FREIGHT-IN-DORM/HOUSEWARES")</f>
        <v xml:space="preserve">          5517 - FREIGHT-IN-DORM/HOUSEWARES</v>
      </c>
      <c r="C49" s="16"/>
      <c r="D49" s="11">
        <v>33</v>
      </c>
      <c r="E49" s="16"/>
      <c r="F49" s="11"/>
      <c r="G49" s="3"/>
      <c r="H49" s="11"/>
      <c r="I49" s="3"/>
      <c r="J49" s="11"/>
      <c r="K49" s="3"/>
      <c r="L49" s="11"/>
      <c r="M49" s="3"/>
      <c r="N49" s="11"/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"5518", " - ", "FREIGHT-IN-STUDY GUIDES")</f>
        <v xml:space="preserve">          5518 - FREIGHT-IN-STUDY GUIDES</v>
      </c>
      <c r="C50" s="16"/>
      <c r="D50" s="11">
        <v>37.56</v>
      </c>
      <c r="E50" s="16"/>
      <c r="F50" s="11">
        <v>11.63</v>
      </c>
      <c r="G50" s="3"/>
      <c r="H50" s="11">
        <v>16.38</v>
      </c>
      <c r="I50" s="3"/>
      <c r="J50" s="11"/>
      <c r="K50" s="3"/>
      <c r="L50" s="11"/>
      <c r="M50" s="3"/>
      <c r="N50" s="11"/>
      <c r="O50" s="3"/>
      <c r="P50" s="11"/>
      <c r="Q50" s="3"/>
      <c r="R50" s="11"/>
    </row>
    <row r="51" spans="1:18" s="44" customFormat="1" hidden="1" outlineLevel="1" x14ac:dyDescent="0.35">
      <c r="A51" s="16"/>
      <c r="B51" s="35" t="str">
        <f>CONCATENATE("          ", "5519", " - ", "FREIGHT-IN-BOOK RELATED")</f>
        <v xml:space="preserve">          5519 - FREIGHT-IN-BOOK RELATED</v>
      </c>
      <c r="C51" s="16"/>
      <c r="D51" s="11">
        <v>169.6</v>
      </c>
      <c r="E51" s="16"/>
      <c r="F51" s="11">
        <v>250.18</v>
      </c>
      <c r="G51" s="3"/>
      <c r="H51" s="11"/>
      <c r="I51" s="3"/>
      <c r="J51" s="11"/>
      <c r="K51" s="3"/>
      <c r="L51" s="11"/>
      <c r="M51" s="3"/>
      <c r="N51" s="11"/>
      <c r="O51" s="3"/>
      <c r="P51" s="11"/>
      <c r="Q51" s="3"/>
      <c r="R51" s="11"/>
    </row>
    <row r="52" spans="1:18" x14ac:dyDescent="0.35">
      <c r="A52" s="12"/>
      <c r="B52" s="7"/>
      <c r="C52" s="7"/>
      <c r="D52" s="6"/>
      <c r="F52" s="6"/>
      <c r="H52" s="6"/>
      <c r="J52" s="6"/>
      <c r="L52" s="6"/>
      <c r="N52" s="6"/>
      <c r="P52" s="6"/>
      <c r="R52" s="6"/>
    </row>
    <row r="53" spans="1:18" s="15" customFormat="1" x14ac:dyDescent="0.35">
      <c r="A53" s="7"/>
      <c r="B53" s="22" t="s">
        <v>107</v>
      </c>
      <c r="C53" s="22"/>
      <c r="D53" s="10">
        <f>+D10-D36</f>
        <v>59622.620000000032</v>
      </c>
      <c r="E53" s="12"/>
      <c r="F53" s="10">
        <f>+F10-F36</f>
        <v>60428.109999999986</v>
      </c>
      <c r="G53" s="5"/>
      <c r="H53" s="10">
        <f>+H10-H36</f>
        <v>49911.78</v>
      </c>
      <c r="I53" s="5"/>
      <c r="J53" s="10">
        <f>+J10-J36</f>
        <v>0</v>
      </c>
      <c r="K53" s="5"/>
      <c r="L53" s="10">
        <f>+L10-L36</f>
        <v>0</v>
      </c>
      <c r="M53" s="5"/>
      <c r="N53" s="10">
        <f>+N10-N36</f>
        <v>0</v>
      </c>
      <c r="O53" s="5"/>
      <c r="P53" s="10">
        <f>+P10-P36</f>
        <v>0</v>
      </c>
      <c r="Q53" s="5"/>
      <c r="R53" s="10">
        <f>+R10-R36</f>
        <v>0</v>
      </c>
    </row>
    <row r="54" spans="1:18" s="27" customFormat="1" x14ac:dyDescent="0.35">
      <c r="A54" s="18"/>
      <c r="B54" s="31"/>
      <c r="C54" s="18"/>
      <c r="D54" s="9">
        <f>IFERROR(D53/D10, 0)</f>
        <v>0.52675054254158615</v>
      </c>
      <c r="E54" s="13"/>
      <c r="F54" s="9">
        <f>IFERROR(F53/F10, 0)</f>
        <v>0.57903494479304529</v>
      </c>
      <c r="G54" s="26"/>
      <c r="H54" s="9">
        <f>IFERROR(H53/H10, 0)</f>
        <v>0.67429197814350572</v>
      </c>
      <c r="I54" s="26"/>
      <c r="J54" s="9">
        <f>IFERROR(J53/J10, 0)</f>
        <v>0</v>
      </c>
      <c r="K54" s="26"/>
      <c r="L54" s="9">
        <f>IFERROR(L53/L10, 0)</f>
        <v>0</v>
      </c>
      <c r="M54" s="26"/>
      <c r="N54" s="9">
        <f>IFERROR(N53/N10, 0)</f>
        <v>0</v>
      </c>
      <c r="O54" s="26"/>
      <c r="P54" s="9">
        <f>IFERROR(P53/P10, 0)</f>
        <v>0</v>
      </c>
      <c r="Q54" s="26"/>
      <c r="R54" s="9">
        <f>IFERROR(R53/R10, 0)</f>
        <v>0</v>
      </c>
    </row>
    <row r="55" spans="1:18" s="27" customFormat="1" x14ac:dyDescent="0.35">
      <c r="A55" s="18"/>
      <c r="B55" s="31"/>
      <c r="C55" s="18"/>
      <c r="D55" s="13"/>
      <c r="E55" s="13"/>
      <c r="F55" s="13"/>
      <c r="G55" s="26"/>
      <c r="H55" s="13"/>
      <c r="I55" s="26"/>
      <c r="J55" s="13"/>
      <c r="K55" s="26"/>
      <c r="L55" s="13"/>
      <c r="M55" s="26"/>
      <c r="N55" s="13"/>
      <c r="O55" s="26"/>
      <c r="P55" s="13"/>
      <c r="Q55" s="26"/>
      <c r="R55" s="13"/>
    </row>
    <row r="56" spans="1:18" s="15" customFormat="1" x14ac:dyDescent="0.35">
      <c r="A56" s="7"/>
      <c r="B56" s="34" t="s">
        <v>314</v>
      </c>
      <c r="C56" s="7"/>
      <c r="D56" s="8">
        <f>SUM(OSRRefD21x_0)</f>
        <v>93851.200000000012</v>
      </c>
      <c r="E56" s="19"/>
      <c r="F56" s="8">
        <f>SUM(OSRRefF21x_0)</f>
        <v>48675.92</v>
      </c>
      <c r="G56" s="4"/>
      <c r="H56" s="8">
        <f>SUM(OSRRefH21x_0)</f>
        <v>3011.02</v>
      </c>
      <c r="I56" s="4"/>
      <c r="J56" s="8">
        <f>SUM(OSRRefJ21x_0)</f>
        <v>0</v>
      </c>
      <c r="K56" s="4"/>
      <c r="L56" s="8">
        <f>SUM(OSRRefL21x_0)</f>
        <v>0</v>
      </c>
      <c r="M56" s="4"/>
      <c r="N56" s="8">
        <f>SUM(OSRRefN21x_0)</f>
        <v>0</v>
      </c>
      <c r="O56" s="4"/>
      <c r="P56" s="8">
        <f>SUM(OSRRefP21x_0)</f>
        <v>0</v>
      </c>
      <c r="Q56" s="4"/>
      <c r="R56" s="8">
        <f>SUM(OSRRefR21x_0)</f>
        <v>0</v>
      </c>
    </row>
    <row r="57" spans="1:18" s="15" customFormat="1" outlineLevel="1" collapsed="1" x14ac:dyDescent="0.35">
      <c r="A57" s="7"/>
      <c r="B57" s="20" t="str">
        <f>CONCATENATE("     ","*Benefits                                         ")</f>
        <v xml:space="preserve">     *Benefits                                         </v>
      </c>
      <c r="C57" s="7"/>
      <c r="D57" s="1">
        <f>SUM(OSRRefD21_0x_0)</f>
        <v>16043.34</v>
      </c>
      <c r="E57" s="19"/>
      <c r="F57" s="1">
        <f>SUM(OSRRefF21_0x_0)</f>
        <v>9440.76</v>
      </c>
      <c r="G57" s="4"/>
      <c r="H57" s="1">
        <f>SUM(OSRRefH21_0x_0)</f>
        <v>0</v>
      </c>
      <c r="I57" s="4"/>
      <c r="J57" s="1">
        <f>SUM(OSRRefJ21_0x_0)</f>
        <v>0</v>
      </c>
      <c r="K57" s="4"/>
      <c r="L57" s="1">
        <f>SUM(OSRRefL21_0x_0)</f>
        <v>0</v>
      </c>
      <c r="M57" s="4"/>
      <c r="N57" s="1">
        <f>SUM(OSRRefN21_0x_0)</f>
        <v>0</v>
      </c>
      <c r="O57" s="4"/>
      <c r="P57" s="1">
        <f>SUM(OSRRefP21_0x_0)</f>
        <v>0</v>
      </c>
      <c r="Q57" s="4"/>
      <c r="R57" s="1">
        <f>SUM(OSRRefR21_0x_0)</f>
        <v>0</v>
      </c>
    </row>
    <row r="58" spans="1:18" s="16" customFormat="1" hidden="1" outlineLevel="2" x14ac:dyDescent="0.35">
      <c r="B58" s="11" t="str">
        <f>CONCATENATE("          ", "6111", " - ", "F.I.C.A.")</f>
        <v xml:space="preserve">          6111 - F.I.C.A.</v>
      </c>
      <c r="D58" s="2">
        <v>3287.18</v>
      </c>
      <c r="F58" s="2">
        <v>2452.91</v>
      </c>
      <c r="G58" s="3"/>
      <c r="H58" s="2"/>
      <c r="I58" s="3"/>
      <c r="J58" s="2"/>
      <c r="K58" s="3"/>
      <c r="L58" s="2"/>
      <c r="M58" s="3"/>
      <c r="N58" s="2"/>
      <c r="O58" s="3"/>
      <c r="P58" s="2"/>
      <c r="Q58" s="3"/>
      <c r="R58" s="2"/>
    </row>
    <row r="59" spans="1:18" s="16" customFormat="1" hidden="1" outlineLevel="2" x14ac:dyDescent="0.35">
      <c r="B59" s="11" t="str">
        <f>CONCATENATE("          ", "6112", " - ", "COMPENSATION INSURANCE")</f>
        <v xml:space="preserve">          6112 - COMPENSATION INSURANCE</v>
      </c>
      <c r="D59" s="2">
        <v>122.62</v>
      </c>
      <c r="F59" s="2">
        <v>643.19000000000005</v>
      </c>
      <c r="G59" s="3"/>
      <c r="H59" s="2"/>
      <c r="I59" s="3"/>
      <c r="J59" s="2"/>
      <c r="K59" s="3"/>
      <c r="L59" s="2"/>
      <c r="M59" s="3"/>
      <c r="N59" s="2"/>
      <c r="O59" s="3"/>
      <c r="P59" s="2"/>
      <c r="Q59" s="3"/>
      <c r="R59" s="2"/>
    </row>
    <row r="60" spans="1:18" s="16" customFormat="1" hidden="1" outlineLevel="2" x14ac:dyDescent="0.35">
      <c r="B60" s="11" t="str">
        <f>CONCATENATE("          ", "6113", " - ", "GROUP INSURANCE")</f>
        <v xml:space="preserve">          6113 - GROUP INSURANCE</v>
      </c>
      <c r="D60" s="2">
        <v>6274.52</v>
      </c>
      <c r="F60" s="2">
        <v>2111.42</v>
      </c>
      <c r="G60" s="3"/>
      <c r="H60" s="2"/>
      <c r="I60" s="3"/>
      <c r="J60" s="2"/>
      <c r="K60" s="3"/>
      <c r="L60" s="2"/>
      <c r="M60" s="3"/>
      <c r="N60" s="2"/>
      <c r="O60" s="3"/>
      <c r="P60" s="2"/>
      <c r="Q60" s="3"/>
      <c r="R60" s="2"/>
    </row>
    <row r="61" spans="1:18" s="16" customFormat="1" hidden="1" outlineLevel="2" x14ac:dyDescent="0.35">
      <c r="B61" s="11" t="str">
        <f>CONCATENATE("          ", "6114", " - ", "STATE UNEMPLOYMENT INSURANCE")</f>
        <v xml:space="preserve">          6114 - STATE UNEMPLOYMENT INSURANCE</v>
      </c>
      <c r="D61" s="2">
        <v>240.05</v>
      </c>
      <c r="F61" s="2">
        <v>177.79</v>
      </c>
      <c r="G61" s="3"/>
      <c r="H61" s="2"/>
      <c r="I61" s="3"/>
      <c r="J61" s="2"/>
      <c r="K61" s="3"/>
      <c r="L61" s="2"/>
      <c r="M61" s="3"/>
      <c r="N61" s="2"/>
      <c r="O61" s="3"/>
      <c r="P61" s="2"/>
      <c r="Q61" s="3"/>
      <c r="R61" s="2"/>
    </row>
    <row r="62" spans="1:18" s="16" customFormat="1" hidden="1" outlineLevel="2" x14ac:dyDescent="0.35">
      <c r="B62" s="11" t="str">
        <f>CONCATENATE("          ", "6115", " - ", "P.E.R.S.")</f>
        <v xml:space="preserve">          6115 - P.E.R.S.</v>
      </c>
      <c r="D62" s="2"/>
      <c r="F62" s="2">
        <v>1479.95</v>
      </c>
      <c r="G62" s="3"/>
      <c r="H62" s="2"/>
      <c r="I62" s="3"/>
      <c r="J62" s="2"/>
      <c r="K62" s="3"/>
      <c r="L62" s="2"/>
      <c r="M62" s="3"/>
      <c r="N62" s="2"/>
      <c r="O62" s="3"/>
      <c r="P62" s="2"/>
      <c r="Q62" s="3"/>
      <c r="R62" s="2"/>
    </row>
    <row r="63" spans="1:18" s="16" customFormat="1" hidden="1" outlineLevel="2" x14ac:dyDescent="0.35">
      <c r="B63" s="11" t="str">
        <f>CONCATENATE("          ", "6117", " - ", "RETIREMENT STAFF HOURLY")</f>
        <v xml:space="preserve">          6117 - RETIREMENT STAFF HOURLY</v>
      </c>
      <c r="D63" s="2">
        <v>1112.67</v>
      </c>
      <c r="F63" s="2"/>
      <c r="G63" s="3"/>
      <c r="H63" s="2"/>
      <c r="I63" s="3"/>
      <c r="J63" s="2"/>
      <c r="K63" s="3"/>
      <c r="L63" s="2"/>
      <c r="M63" s="3"/>
      <c r="N63" s="2"/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"6118", " - ", "VACATION")</f>
        <v xml:space="preserve">          6118 - VACATION</v>
      </c>
      <c r="D64" s="2">
        <v>1473.53</v>
      </c>
      <c r="F64" s="2">
        <v>1242.76</v>
      </c>
      <c r="G64" s="3"/>
      <c r="H64" s="2"/>
      <c r="I64" s="3"/>
      <c r="J64" s="2"/>
      <c r="K64" s="3"/>
      <c r="L64" s="2"/>
      <c r="M64" s="3"/>
      <c r="N64" s="2"/>
      <c r="O64" s="3"/>
      <c r="P64" s="2"/>
      <c r="Q64" s="3"/>
      <c r="R64" s="2"/>
    </row>
    <row r="65" spans="1:18" s="16" customFormat="1" hidden="1" outlineLevel="2" x14ac:dyDescent="0.35">
      <c r="B65" s="11" t="str">
        <f>CONCATENATE("          ", "6119", " - ", "SICK LEAVE")</f>
        <v xml:space="preserve">          6119 - SICK LEAVE</v>
      </c>
      <c r="D65" s="2">
        <v>1747.58</v>
      </c>
      <c r="F65" s="2">
        <v>834.76</v>
      </c>
      <c r="G65" s="3"/>
      <c r="H65" s="2"/>
      <c r="I65" s="3"/>
      <c r="J65" s="2"/>
      <c r="K65" s="3"/>
      <c r="L65" s="2"/>
      <c r="M65" s="3"/>
      <c r="N65" s="2"/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"6156", " - ", "EMPLOYEE MEALS")</f>
        <v xml:space="preserve">          6156 - EMPLOYEE MEALS</v>
      </c>
      <c r="D66" s="2">
        <v>1785.19</v>
      </c>
      <c r="F66" s="2">
        <v>497.98</v>
      </c>
      <c r="G66" s="3"/>
      <c r="H66" s="2"/>
      <c r="I66" s="3"/>
      <c r="J66" s="2"/>
      <c r="K66" s="3"/>
      <c r="L66" s="2"/>
      <c r="M66" s="3"/>
      <c r="N66" s="2"/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","*Payroll                                          ")</f>
        <v xml:space="preserve">     *Payroll                                          </v>
      </c>
      <c r="C67" s="7"/>
      <c r="D67" s="1">
        <f>SUM(OSRRefD21_1x_0)</f>
        <v>44836.61</v>
      </c>
      <c r="E67" s="19"/>
      <c r="F67" s="1">
        <f>SUM(OSRRefF21_1x_0)</f>
        <v>27814.600000000002</v>
      </c>
      <c r="G67" s="4"/>
      <c r="H67" s="1">
        <f>SUM(OSRRefH21_1x_0)</f>
        <v>0</v>
      </c>
      <c r="I67" s="4"/>
      <c r="J67" s="1">
        <f>SUM(OSRRefJ21_1x_0)</f>
        <v>0</v>
      </c>
      <c r="K67" s="4"/>
      <c r="L67" s="1">
        <f>SUM(OSRRefL21_1x_0)</f>
        <v>0</v>
      </c>
      <c r="M67" s="4"/>
      <c r="N67" s="1">
        <f>SUM(OSRRefN21_1x_0)</f>
        <v>0</v>
      </c>
      <c r="O67" s="4"/>
      <c r="P67" s="1">
        <f>SUM(OSRRefP21_1x_0)</f>
        <v>0</v>
      </c>
      <c r="Q67" s="4"/>
      <c r="R67" s="1">
        <f>SUM(OSRRefR21_1x_0)</f>
        <v>0</v>
      </c>
    </row>
    <row r="68" spans="1:18" s="16" customFormat="1" hidden="1" outlineLevel="2" x14ac:dyDescent="0.35">
      <c r="B68" s="11" t="str">
        <f>CONCATENATE("          ", "6002", " - ", "STAFF SALARIES")</f>
        <v xml:space="preserve">          6002 - STAFF SALARIES</v>
      </c>
      <c r="D68" s="2">
        <v>-40.479999999999997</v>
      </c>
      <c r="F68" s="2">
        <v>20778.810000000001</v>
      </c>
      <c r="G68" s="3"/>
      <c r="H68" s="2"/>
      <c r="I68" s="3"/>
      <c r="J68" s="2"/>
      <c r="K68" s="3"/>
      <c r="L68" s="2"/>
      <c r="M68" s="3"/>
      <c r="N68" s="2"/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"6004", " - ", "STAFF HOURLY")</f>
        <v xml:space="preserve">          6004 - STAFF HOURLY</v>
      </c>
      <c r="D69" s="2">
        <v>34357.75</v>
      </c>
      <c r="F69" s="2"/>
      <c r="G69" s="3"/>
      <c r="H69" s="2"/>
      <c r="I69" s="3"/>
      <c r="J69" s="2"/>
      <c r="K69" s="3"/>
      <c r="L69" s="2"/>
      <c r="M69" s="3"/>
      <c r="N69" s="2"/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"6005", " - ", "TEMPORARY WAGES-HOURLY")</f>
        <v xml:space="preserve">          6005 - TEMPORARY WAGES-HOURLY</v>
      </c>
      <c r="D70" s="2"/>
      <c r="F70" s="2">
        <v>3739.45</v>
      </c>
      <c r="G70" s="3"/>
      <c r="H70" s="2"/>
      <c r="I70" s="3"/>
      <c r="J70" s="2"/>
      <c r="K70" s="3"/>
      <c r="L70" s="2"/>
      <c r="M70" s="3"/>
      <c r="N70" s="2"/>
      <c r="O70" s="3"/>
      <c r="P70" s="2"/>
      <c r="Q70" s="3"/>
      <c r="R70" s="2"/>
    </row>
    <row r="71" spans="1:18" s="16" customFormat="1" hidden="1" outlineLevel="2" x14ac:dyDescent="0.35">
      <c r="B71" s="11" t="str">
        <f>CONCATENATE("          ", "6006", " - ", "TEMPORARY PART TIME")</f>
        <v xml:space="preserve">          6006 - TEMPORARY PART TIME</v>
      </c>
      <c r="D71" s="2">
        <v>2693.11</v>
      </c>
      <c r="F71" s="2">
        <v>1837.88</v>
      </c>
      <c r="G71" s="3"/>
      <c r="H71" s="2"/>
      <c r="I71" s="3"/>
      <c r="J71" s="2"/>
      <c r="K71" s="3"/>
      <c r="L71" s="2"/>
      <c r="M71" s="3"/>
      <c r="N71" s="2"/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"6007", " - ", "STUDENT HOURLY")</f>
        <v xml:space="preserve">          6007 - STUDENT HOURLY</v>
      </c>
      <c r="D72" s="2">
        <v>7826.23</v>
      </c>
      <c r="F72" s="2">
        <v>1458.46</v>
      </c>
      <c r="G72" s="3"/>
      <c r="H72" s="2"/>
      <c r="I72" s="3"/>
      <c r="J72" s="2"/>
      <c r="K72" s="3"/>
      <c r="L72" s="2"/>
      <c r="M72" s="3"/>
      <c r="N72" s="2"/>
      <c r="O72" s="3"/>
      <c r="P72" s="2"/>
      <c r="Q72" s="3"/>
      <c r="R72" s="2"/>
    </row>
    <row r="73" spans="1:18" s="15" customFormat="1" outlineLevel="1" collapsed="1" x14ac:dyDescent="0.35">
      <c r="A73" s="7"/>
      <c r="B73" s="20" t="str">
        <f>CONCATENATE("     ","Advertising/Promo                                 ")</f>
        <v xml:space="preserve">     Advertising/Promo                                 </v>
      </c>
      <c r="C73" s="7"/>
      <c r="D73" s="1">
        <f>SUM(OSRRefD21_2x_0)</f>
        <v>59.05</v>
      </c>
      <c r="E73" s="19"/>
      <c r="F73" s="1">
        <f>SUM(OSRRefF21_2x_0)</f>
        <v>127.97</v>
      </c>
      <c r="G73" s="4"/>
      <c r="H73" s="1">
        <f>SUM(OSRRefH21_2x_0)</f>
        <v>54.17</v>
      </c>
      <c r="I73" s="4"/>
      <c r="J73" s="1">
        <f>SUM(OSRRefJ21_2x_0)</f>
        <v>0</v>
      </c>
      <c r="K73" s="4"/>
      <c r="L73" s="1">
        <f>SUM(OSRRefL21_2x_0)</f>
        <v>0</v>
      </c>
      <c r="M73" s="4"/>
      <c r="N73" s="1">
        <f>SUM(OSRRefN21_2x_0)</f>
        <v>0</v>
      </c>
      <c r="O73" s="4"/>
      <c r="P73" s="1">
        <f>SUM(OSRRefP21_2x_0)</f>
        <v>0</v>
      </c>
      <c r="Q73" s="4"/>
      <c r="R73" s="1">
        <f>SUM(OSRRefR21_2x_0)</f>
        <v>0</v>
      </c>
    </row>
    <row r="74" spans="1:18" s="16" customFormat="1" hidden="1" outlineLevel="2" x14ac:dyDescent="0.35">
      <c r="B74" s="11" t="str">
        <f>CONCATENATE("          ", "6362", " - ", "ADVERTISING EXPENSE")</f>
        <v xml:space="preserve">          6362 - ADVERTISING EXPENSE</v>
      </c>
      <c r="D74" s="2">
        <v>59.05</v>
      </c>
      <c r="F74" s="2">
        <v>127.97</v>
      </c>
      <c r="G74" s="3"/>
      <c r="H74" s="2">
        <v>54.17</v>
      </c>
      <c r="I74" s="3"/>
      <c r="J74" s="2"/>
      <c r="K74" s="3"/>
      <c r="L74" s="2"/>
      <c r="M74" s="3"/>
      <c r="N74" s="2"/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","Discounts and Markdowns                           ")</f>
        <v xml:space="preserve">     Discounts and Markdowns                           </v>
      </c>
      <c r="C75" s="7"/>
      <c r="D75" s="1">
        <f>SUM(OSRRefD21_3x_0)</f>
        <v>19067.63</v>
      </c>
      <c r="E75" s="19"/>
      <c r="F75" s="1">
        <f>SUM(OSRRefF21_3x_0)</f>
        <v>11369.2</v>
      </c>
      <c r="G75" s="4"/>
      <c r="H75" s="1">
        <f>SUM(OSRRefH21_3x_0)</f>
        <v>3782.7</v>
      </c>
      <c r="I75" s="4"/>
      <c r="J75" s="1">
        <f>SUM(OSRRefJ21_3x_0)</f>
        <v>0</v>
      </c>
      <c r="K75" s="4"/>
      <c r="L75" s="1">
        <f>SUM(OSRRefL21_3x_0)</f>
        <v>0</v>
      </c>
      <c r="M75" s="4"/>
      <c r="N75" s="1">
        <f>SUM(OSRRefN21_3x_0)</f>
        <v>0</v>
      </c>
      <c r="O75" s="4"/>
      <c r="P75" s="1">
        <f>SUM(OSRRefP21_3x_0)</f>
        <v>0</v>
      </c>
      <c r="Q75" s="4"/>
      <c r="R75" s="1">
        <f>SUM(OSRRefR21_3x_0)</f>
        <v>0</v>
      </c>
    </row>
    <row r="76" spans="1:18" s="16" customFormat="1" hidden="1" outlineLevel="2" x14ac:dyDescent="0.35">
      <c r="B76" s="11" t="str">
        <f>CONCATENATE("          ", "6382", " - ", "DISCOUNTS/MARK DOWNS")</f>
        <v xml:space="preserve">          6382 - DISCOUNTS/MARK DOWNS</v>
      </c>
      <c r="D76" s="2">
        <v>19067.63</v>
      </c>
      <c r="F76" s="2">
        <v>11369.2</v>
      </c>
      <c r="G76" s="3"/>
      <c r="H76" s="2">
        <v>3782.7</v>
      </c>
      <c r="I76" s="3"/>
      <c r="J76" s="2"/>
      <c r="K76" s="3"/>
      <c r="L76" s="2"/>
      <c r="M76" s="3"/>
      <c r="N76" s="2"/>
      <c r="O76" s="3"/>
      <c r="P76" s="2"/>
      <c r="Q76" s="3"/>
      <c r="R76" s="2"/>
    </row>
    <row r="77" spans="1:18" s="15" customFormat="1" outlineLevel="1" collapsed="1" x14ac:dyDescent="0.35">
      <c r="A77" s="7"/>
      <c r="B77" s="20" t="str">
        <f>CONCATENATE("     ","Freight out/Postage                               ")</f>
        <v xml:space="preserve">     Freight out/Postage                               </v>
      </c>
      <c r="C77" s="7"/>
      <c r="D77" s="1">
        <f>SUM(OSRRefD21_4x_0)</f>
        <v>26.41</v>
      </c>
      <c r="E77" s="19"/>
      <c r="F77" s="1">
        <f>SUM(OSRRefF21_4x_0)</f>
        <v>20.49</v>
      </c>
      <c r="G77" s="4"/>
      <c r="H77" s="1">
        <f>SUM(OSRRefH21_4x_0)</f>
        <v>0</v>
      </c>
      <c r="I77" s="4"/>
      <c r="J77" s="1">
        <f>SUM(OSRRefJ21_4x_0)</f>
        <v>0</v>
      </c>
      <c r="K77" s="4"/>
      <c r="L77" s="1">
        <f>SUM(OSRRefL21_4x_0)</f>
        <v>0</v>
      </c>
      <c r="M77" s="4"/>
      <c r="N77" s="1">
        <f>SUM(OSRRefN21_4x_0)</f>
        <v>0</v>
      </c>
      <c r="O77" s="4"/>
      <c r="P77" s="1">
        <f>SUM(OSRRefP21_4x_0)</f>
        <v>0</v>
      </c>
      <c r="Q77" s="4"/>
      <c r="R77" s="1">
        <f>SUM(OSRRefR21_4x_0)</f>
        <v>0</v>
      </c>
    </row>
    <row r="78" spans="1:18" s="16" customFormat="1" hidden="1" outlineLevel="2" x14ac:dyDescent="0.35">
      <c r="B78" s="11" t="str">
        <f>CONCATENATE("          ", "6305", " - ", "FREIGHT OUT")</f>
        <v xml:space="preserve">          6305 - FREIGHT OUT</v>
      </c>
      <c r="D78" s="2">
        <v>31.88</v>
      </c>
      <c r="F78" s="2">
        <v>20.49</v>
      </c>
      <c r="G78" s="3"/>
      <c r="H78" s="2"/>
      <c r="I78" s="3"/>
      <c r="J78" s="2"/>
      <c r="K78" s="3"/>
      <c r="L78" s="2"/>
      <c r="M78" s="3"/>
      <c r="N78" s="2"/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"6307", " - ", "POSTAGE")</f>
        <v xml:space="preserve">          6307 - POSTAGE</v>
      </c>
      <c r="D79" s="2">
        <v>-5.47</v>
      </c>
      <c r="F79" s="2"/>
      <c r="G79" s="3"/>
      <c r="H79" s="2"/>
      <c r="I79" s="3"/>
      <c r="J79" s="2"/>
      <c r="K79" s="3"/>
      <c r="L79" s="2"/>
      <c r="M79" s="3"/>
      <c r="N79" s="2"/>
      <c r="O79" s="3"/>
      <c r="P79" s="2"/>
      <c r="Q79" s="3"/>
      <c r="R79" s="2"/>
    </row>
    <row r="80" spans="1:18" s="15" customFormat="1" outlineLevel="1" collapsed="1" x14ac:dyDescent="0.35">
      <c r="A80" s="7"/>
      <c r="B80" s="20" t="str">
        <f>CONCATENATE("     ","Inventory Adjustment                              ")</f>
        <v xml:space="preserve">     Inventory Adjustment                              </v>
      </c>
      <c r="C80" s="7"/>
      <c r="D80" s="1">
        <f>SUM(OSRRefD21_5x_0)</f>
        <v>11545</v>
      </c>
      <c r="E80" s="19"/>
      <c r="F80" s="1">
        <f>SUM(OSRRefF21_5x_0)</f>
        <v>-995</v>
      </c>
      <c r="G80" s="4"/>
      <c r="H80" s="1">
        <f>SUM(OSRRefH21_5x_0)</f>
        <v>-1253</v>
      </c>
      <c r="I80" s="4"/>
      <c r="J80" s="1">
        <f>SUM(OSRRefJ21_5x_0)</f>
        <v>0</v>
      </c>
      <c r="K80" s="4"/>
      <c r="L80" s="1">
        <f>SUM(OSRRefL21_5x_0)</f>
        <v>0</v>
      </c>
      <c r="M80" s="4"/>
      <c r="N80" s="1">
        <f>SUM(OSRRefN21_5x_0)</f>
        <v>0</v>
      </c>
      <c r="O80" s="4"/>
      <c r="P80" s="1">
        <f>SUM(OSRRefP21_5x_0)</f>
        <v>0</v>
      </c>
      <c r="Q80" s="4"/>
      <c r="R80" s="1">
        <f>SUM(OSRRefR21_5x_0)</f>
        <v>0</v>
      </c>
    </row>
    <row r="81" spans="1:18" s="16" customFormat="1" hidden="1" outlineLevel="2" x14ac:dyDescent="0.35">
      <c r="B81" s="11" t="str">
        <f>CONCATENATE("          ", "6408", " - ", "INVENTORY ADJUSTMENT")</f>
        <v xml:space="preserve">          6408 - INVENTORY ADJUSTMENT</v>
      </c>
      <c r="D81" s="2">
        <v>0</v>
      </c>
      <c r="F81" s="2">
        <v>0</v>
      </c>
      <c r="G81" s="3"/>
      <c r="H81" s="2"/>
      <c r="I81" s="3"/>
      <c r="J81" s="2"/>
      <c r="K81" s="3"/>
      <c r="L81" s="2"/>
      <c r="M81" s="3"/>
      <c r="N81" s="2"/>
      <c r="O81" s="3"/>
      <c r="P81" s="2"/>
      <c r="Q81" s="3"/>
      <c r="R81" s="2"/>
    </row>
    <row r="82" spans="1:18" s="16" customFormat="1" hidden="1" outlineLevel="2" x14ac:dyDescent="0.35">
      <c r="B82" s="11" t="str">
        <f>CONCATENATE("          ", "7711", " - ", "INV. SHRINKAGE-NO VALUE TEXT")</f>
        <v xml:space="preserve">          7711 - INV. SHRINKAGE-NO VALUE TEXT</v>
      </c>
      <c r="D82" s="2"/>
      <c r="F82" s="2">
        <v>-191</v>
      </c>
      <c r="G82" s="3"/>
      <c r="H82" s="2">
        <v>6</v>
      </c>
      <c r="I82" s="3"/>
      <c r="J82" s="2"/>
      <c r="K82" s="3"/>
      <c r="L82" s="2"/>
      <c r="M82" s="3"/>
      <c r="N82" s="2"/>
      <c r="O82" s="3"/>
      <c r="P82" s="2"/>
      <c r="Q82" s="3"/>
      <c r="R82" s="2"/>
    </row>
    <row r="83" spans="1:18" s="16" customFormat="1" hidden="1" outlineLevel="2" x14ac:dyDescent="0.35">
      <c r="B83" s="11" t="str">
        <f>CONCATENATE("          ", "7712", " - ", "INV. SHRINKAGE-MAGAZINES")</f>
        <v xml:space="preserve">          7712 - INV. SHRINKAGE-MAGAZINES</v>
      </c>
      <c r="D83" s="2">
        <v>-54</v>
      </c>
      <c r="F83" s="2">
        <v>-15</v>
      </c>
      <c r="G83" s="3"/>
      <c r="H83" s="2">
        <v>-27</v>
      </c>
      <c r="I83" s="3"/>
      <c r="J83" s="2"/>
      <c r="K83" s="3"/>
      <c r="L83" s="2"/>
      <c r="M83" s="3"/>
      <c r="N83" s="2"/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"7713", " - ", "INV. SHRINKAGE-TRADE BOOKS")</f>
        <v xml:space="preserve">          7713 - INV. SHRINKAGE-TRADE BOOKS</v>
      </c>
      <c r="D84" s="2">
        <v>10694</v>
      </c>
      <c r="F84" s="2">
        <v>-962</v>
      </c>
      <c r="G84" s="3"/>
      <c r="H84" s="2">
        <v>-496</v>
      </c>
      <c r="I84" s="3"/>
      <c r="J84" s="2"/>
      <c r="K84" s="3"/>
      <c r="L84" s="2"/>
      <c r="M84" s="3"/>
      <c r="N84" s="2"/>
      <c r="O84" s="3"/>
      <c r="P84" s="2"/>
      <c r="Q84" s="3"/>
      <c r="R84" s="2"/>
    </row>
    <row r="85" spans="1:18" s="16" customFormat="1" hidden="1" outlineLevel="2" x14ac:dyDescent="0.35">
      <c r="B85" s="11" t="str">
        <f>CONCATENATE("          ", "7714", " - ", "INV. SHRINKAGE-REMAINDERS")</f>
        <v xml:space="preserve">          7714 - INV. SHRINKAGE-REMAINDERS</v>
      </c>
      <c r="D85" s="2">
        <v>-182</v>
      </c>
      <c r="F85" s="2">
        <v>-97</v>
      </c>
      <c r="G85" s="3"/>
      <c r="H85" s="2">
        <v>-110</v>
      </c>
      <c r="I85" s="3"/>
      <c r="J85" s="2"/>
      <c r="K85" s="3"/>
      <c r="L85" s="2"/>
      <c r="M85" s="3"/>
      <c r="N85" s="2"/>
      <c r="O85" s="3"/>
      <c r="P85" s="2"/>
      <c r="Q85" s="3"/>
      <c r="R85" s="2"/>
    </row>
    <row r="86" spans="1:18" s="16" customFormat="1" hidden="1" outlineLevel="2" x14ac:dyDescent="0.35">
      <c r="B86" s="11" t="str">
        <f>CONCATENATE("          ", "7715", " - ", "INV. SHRINKAGE-CALENDARS")</f>
        <v xml:space="preserve">          7715 - INV. SHRINKAGE-CALENDARS</v>
      </c>
      <c r="D86" s="2">
        <v>-12</v>
      </c>
      <c r="F86" s="2">
        <v>-383</v>
      </c>
      <c r="G86" s="3"/>
      <c r="H86" s="2">
        <v>-154</v>
      </c>
      <c r="I86" s="3"/>
      <c r="J86" s="2"/>
      <c r="K86" s="3"/>
      <c r="L86" s="2"/>
      <c r="M86" s="3"/>
      <c r="N86" s="2"/>
      <c r="O86" s="3"/>
      <c r="P86" s="2"/>
      <c r="Q86" s="3"/>
      <c r="R86" s="2"/>
    </row>
    <row r="87" spans="1:18" s="16" customFormat="1" hidden="1" outlineLevel="2" x14ac:dyDescent="0.35">
      <c r="B87" s="11" t="str">
        <f>CONCATENATE("          ", "7717", " - ", "INV. SHRINKAGE-DORM/HOUSEWARES")</f>
        <v xml:space="preserve">          7717 - INV. SHRINKAGE-DORM/HOUSEWARES</v>
      </c>
      <c r="D87" s="2">
        <v>62</v>
      </c>
      <c r="F87" s="2">
        <v>-148</v>
      </c>
      <c r="G87" s="3"/>
      <c r="H87" s="2">
        <v>-513</v>
      </c>
      <c r="I87" s="3"/>
      <c r="J87" s="2"/>
      <c r="K87" s="3"/>
      <c r="L87" s="2"/>
      <c r="M87" s="3"/>
      <c r="N87" s="2"/>
      <c r="O87" s="3"/>
      <c r="P87" s="2"/>
      <c r="Q87" s="3"/>
      <c r="R87" s="2"/>
    </row>
    <row r="88" spans="1:18" s="16" customFormat="1" hidden="1" outlineLevel="2" x14ac:dyDescent="0.35">
      <c r="B88" s="11" t="str">
        <f>CONCATENATE("          ", "7718", " - ", "INV. SHRINKAGE-STUDY GUIDES")</f>
        <v xml:space="preserve">          7718 - INV. SHRINKAGE-STUDY GUIDES</v>
      </c>
      <c r="D88" s="2">
        <v>599</v>
      </c>
      <c r="F88" s="2">
        <v>368</v>
      </c>
      <c r="G88" s="3"/>
      <c r="H88" s="2">
        <v>-28</v>
      </c>
      <c r="I88" s="3"/>
      <c r="J88" s="2"/>
      <c r="K88" s="3"/>
      <c r="L88" s="2"/>
      <c r="M88" s="3"/>
      <c r="N88" s="2"/>
      <c r="O88" s="3"/>
      <c r="P88" s="2"/>
      <c r="Q88" s="3"/>
      <c r="R88" s="2"/>
    </row>
    <row r="89" spans="1:18" s="16" customFormat="1" hidden="1" outlineLevel="2" x14ac:dyDescent="0.35">
      <c r="B89" s="11" t="str">
        <f>CONCATENATE("          ", "7719", " - ", "INV. SHRINKAGE-BOOK RELATED")</f>
        <v xml:space="preserve">          7719 - INV. SHRINKAGE-BOOK RELATED</v>
      </c>
      <c r="D89" s="2">
        <v>438</v>
      </c>
      <c r="F89" s="2">
        <v>433</v>
      </c>
      <c r="G89" s="3"/>
      <c r="H89" s="2">
        <v>69</v>
      </c>
      <c r="I89" s="3"/>
      <c r="J89" s="2"/>
      <c r="K89" s="3"/>
      <c r="L89" s="2"/>
      <c r="M89" s="3"/>
      <c r="N89" s="2"/>
      <c r="O89" s="3"/>
      <c r="P89" s="2"/>
      <c r="Q89" s="3"/>
      <c r="R89" s="2"/>
    </row>
    <row r="90" spans="1:18" s="15" customFormat="1" outlineLevel="1" collapsed="1" x14ac:dyDescent="0.35">
      <c r="A90" s="7"/>
      <c r="B90" s="20" t="str">
        <f>CONCATENATE("     ","Supplies                                          ")</f>
        <v xml:space="preserve">     Supplies                                          </v>
      </c>
      <c r="C90" s="7"/>
      <c r="D90" s="1">
        <f>SUM(OSRRefD21_6x_0)</f>
        <v>387.71000000000004</v>
      </c>
      <c r="E90" s="19"/>
      <c r="F90" s="1">
        <f>SUM(OSRRefF21_6x_0)</f>
        <v>81.44</v>
      </c>
      <c r="G90" s="4"/>
      <c r="H90" s="1">
        <f>SUM(OSRRefH21_6x_0)</f>
        <v>0</v>
      </c>
      <c r="I90" s="4"/>
      <c r="J90" s="1">
        <f>SUM(OSRRefJ21_6x_0)</f>
        <v>0</v>
      </c>
      <c r="K90" s="4"/>
      <c r="L90" s="1">
        <f>SUM(OSRRefL21_6x_0)</f>
        <v>0</v>
      </c>
      <c r="M90" s="4"/>
      <c r="N90" s="1">
        <f>SUM(OSRRefN21_6x_0)</f>
        <v>0</v>
      </c>
      <c r="O90" s="4"/>
      <c r="P90" s="1">
        <f>SUM(OSRRefP21_6x_0)</f>
        <v>0</v>
      </c>
      <c r="Q90" s="4"/>
      <c r="R90" s="1">
        <f>SUM(OSRRefR21_6x_0)</f>
        <v>0</v>
      </c>
    </row>
    <row r="91" spans="1:18" s="16" customFormat="1" hidden="1" outlineLevel="2" x14ac:dyDescent="0.35">
      <c r="B91" s="11" t="str">
        <f>CONCATENATE("          ", "6241", " - ", "OFFICE EXPENSE")</f>
        <v xml:space="preserve">          6241 - OFFICE EXPENSE</v>
      </c>
      <c r="D91" s="2">
        <v>252.71</v>
      </c>
      <c r="F91" s="2">
        <v>37.56</v>
      </c>
      <c r="G91" s="3"/>
      <c r="H91" s="2"/>
      <c r="I91" s="3"/>
      <c r="J91" s="2"/>
      <c r="K91" s="3"/>
      <c r="L91" s="2"/>
      <c r="M91" s="3"/>
      <c r="N91" s="2"/>
      <c r="O91" s="3"/>
      <c r="P91" s="2"/>
      <c r="Q91" s="3"/>
      <c r="R91" s="2"/>
    </row>
    <row r="92" spans="1:18" s="16" customFormat="1" hidden="1" outlineLevel="2" x14ac:dyDescent="0.35">
      <c r="B92" s="11" t="str">
        <f>CONCATENATE("          ", "6247", " - ", "STORE SUPPLIES")</f>
        <v xml:space="preserve">          6247 - STORE SUPPLIES</v>
      </c>
      <c r="D92" s="2">
        <v>135</v>
      </c>
      <c r="F92" s="2">
        <v>43.88</v>
      </c>
      <c r="G92" s="3"/>
      <c r="H92" s="2"/>
      <c r="I92" s="3"/>
      <c r="J92" s="2"/>
      <c r="K92" s="3"/>
      <c r="L92" s="2"/>
      <c r="M92" s="3"/>
      <c r="N92" s="2"/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","Telephone/Data Lines                              ")</f>
        <v xml:space="preserve">     Telephone/Data Lines                              </v>
      </c>
      <c r="C93" s="7"/>
      <c r="D93" s="1">
        <f>SUM(OSRRefD21_7x_0)</f>
        <v>489.45</v>
      </c>
      <c r="E93" s="19"/>
      <c r="F93" s="1">
        <f>SUM(OSRRefF21_7x_0)</f>
        <v>537.79999999999995</v>
      </c>
      <c r="G93" s="4"/>
      <c r="H93" s="1">
        <f>SUM(OSRRefH21_7x_0)</f>
        <v>427.15</v>
      </c>
      <c r="I93" s="4"/>
      <c r="J93" s="1">
        <f>SUM(OSRRefJ21_7x_0)</f>
        <v>0</v>
      </c>
      <c r="K93" s="4"/>
      <c r="L93" s="1">
        <f>SUM(OSRRefL21_7x_0)</f>
        <v>0</v>
      </c>
      <c r="M93" s="4"/>
      <c r="N93" s="1">
        <f>SUM(OSRRefN21_7x_0)</f>
        <v>0</v>
      </c>
      <c r="O93" s="4"/>
      <c r="P93" s="1">
        <f>SUM(OSRRefP21_7x_0)</f>
        <v>0</v>
      </c>
      <c r="Q93" s="4"/>
      <c r="R93" s="1">
        <f>SUM(OSRRefR21_7x_0)</f>
        <v>0</v>
      </c>
    </row>
    <row r="94" spans="1:18" s="16" customFormat="1" hidden="1" outlineLevel="2" x14ac:dyDescent="0.35">
      <c r="B94" s="11" t="str">
        <f>CONCATENATE("          ", "6309", " - ", "TELEPHONE")</f>
        <v xml:space="preserve">          6309 - TELEPHONE</v>
      </c>
      <c r="D94" s="2">
        <v>489.45</v>
      </c>
      <c r="F94" s="2">
        <v>537.79999999999995</v>
      </c>
      <c r="G94" s="3"/>
      <c r="H94" s="2">
        <v>427.15</v>
      </c>
      <c r="I94" s="3"/>
      <c r="J94" s="2"/>
      <c r="K94" s="3"/>
      <c r="L94" s="2"/>
      <c r="M94" s="3"/>
      <c r="N94" s="2"/>
      <c r="O94" s="3"/>
      <c r="P94" s="2"/>
      <c r="Q94" s="3"/>
      <c r="R94" s="2"/>
    </row>
    <row r="95" spans="1:18" s="15" customFormat="1" outlineLevel="1" collapsed="1" x14ac:dyDescent="0.35">
      <c r="A95" s="7"/>
      <c r="B95" s="20" t="str">
        <f>CONCATENATE("     ","Training                                          ")</f>
        <v xml:space="preserve">     Training                                          </v>
      </c>
      <c r="C95" s="7"/>
      <c r="D95" s="1">
        <f>SUM(OSRRefD21_8x_0)</f>
        <v>709.54</v>
      </c>
      <c r="E95" s="19"/>
      <c r="F95" s="1">
        <f>SUM(OSRRefF21_8x_0)</f>
        <v>0</v>
      </c>
      <c r="G95" s="4"/>
      <c r="H95" s="1">
        <f>SUM(OSRRefH21_8x_0)</f>
        <v>0</v>
      </c>
      <c r="I95" s="4"/>
      <c r="J95" s="1">
        <f>SUM(OSRRefJ21_8x_0)</f>
        <v>0</v>
      </c>
      <c r="K95" s="4"/>
      <c r="L95" s="1">
        <f>SUM(OSRRefL21_8x_0)</f>
        <v>0</v>
      </c>
      <c r="M95" s="4"/>
      <c r="N95" s="1">
        <f>SUM(OSRRefN21_8x_0)</f>
        <v>0</v>
      </c>
      <c r="O95" s="4"/>
      <c r="P95" s="1">
        <f>SUM(OSRRefP21_8x_0)</f>
        <v>0</v>
      </c>
      <c r="Q95" s="4"/>
      <c r="R95" s="1">
        <f>SUM(OSRRefR21_8x_0)</f>
        <v>0</v>
      </c>
    </row>
    <row r="96" spans="1:18" s="16" customFormat="1" hidden="1" outlineLevel="2" x14ac:dyDescent="0.35">
      <c r="B96" s="11" t="str">
        <f>CONCATENATE("          ", "6376", " - ", "TRAINING")</f>
        <v xml:space="preserve">          6376 - TRAINING</v>
      </c>
      <c r="D96" s="2">
        <v>709.54</v>
      </c>
      <c r="F96" s="2"/>
      <c r="G96" s="3"/>
      <c r="H96" s="2"/>
      <c r="I96" s="3"/>
      <c r="J96" s="2"/>
      <c r="K96" s="3"/>
      <c r="L96" s="2"/>
      <c r="M96" s="3"/>
      <c r="N96" s="2"/>
      <c r="O96" s="3"/>
      <c r="P96" s="2"/>
      <c r="Q96" s="3"/>
      <c r="R96" s="2"/>
    </row>
    <row r="97" spans="1:18" s="15" customFormat="1" outlineLevel="1" collapsed="1" x14ac:dyDescent="0.35">
      <c r="A97" s="7"/>
      <c r="B97" s="20" t="str">
        <f>CONCATENATE("     ","Travel                                            ")</f>
        <v xml:space="preserve">     Travel                                            </v>
      </c>
      <c r="C97" s="7"/>
      <c r="D97" s="1">
        <f>SUM(OSRRefD21_9x_0)</f>
        <v>686.46</v>
      </c>
      <c r="E97" s="19"/>
      <c r="F97" s="1">
        <f>SUM(OSRRefF21_9x_0)</f>
        <v>278.66000000000003</v>
      </c>
      <c r="G97" s="4"/>
      <c r="H97" s="1">
        <f>SUM(OSRRefH21_9x_0)</f>
        <v>0</v>
      </c>
      <c r="I97" s="4"/>
      <c r="J97" s="1">
        <f>SUM(OSRRefJ21_9x_0)</f>
        <v>0</v>
      </c>
      <c r="K97" s="4"/>
      <c r="L97" s="1">
        <f>SUM(OSRRefL21_9x_0)</f>
        <v>0</v>
      </c>
      <c r="M97" s="4"/>
      <c r="N97" s="1">
        <f>SUM(OSRRefN21_9x_0)</f>
        <v>0</v>
      </c>
      <c r="O97" s="4"/>
      <c r="P97" s="1">
        <f>SUM(OSRRefP21_9x_0)</f>
        <v>0</v>
      </c>
      <c r="Q97" s="4"/>
      <c r="R97" s="1">
        <f>SUM(OSRRefR21_9x_0)</f>
        <v>0</v>
      </c>
    </row>
    <row r="98" spans="1:18" s="16" customFormat="1" hidden="1" outlineLevel="2" x14ac:dyDescent="0.35">
      <c r="B98" s="11" t="str">
        <f>CONCATENATE("          ", "6292", " - ", "TRAVEL/CONFERENCE")</f>
        <v xml:space="preserve">          6292 - TRAVEL/CONFERENCE</v>
      </c>
      <c r="D98" s="2">
        <v>686.46</v>
      </c>
      <c r="F98" s="2">
        <v>278.66000000000003</v>
      </c>
      <c r="G98" s="3"/>
      <c r="H98" s="2"/>
      <c r="I98" s="3"/>
      <c r="J98" s="2"/>
      <c r="K98" s="3"/>
      <c r="L98" s="2"/>
      <c r="M98" s="3"/>
      <c r="N98" s="2"/>
      <c r="O98" s="3"/>
      <c r="P98" s="2"/>
      <c r="Q98" s="3"/>
      <c r="R98" s="2"/>
    </row>
    <row r="99" spans="1:18" x14ac:dyDescent="0.35">
      <c r="A99" s="12"/>
      <c r="B99" s="12"/>
      <c r="C99" s="12"/>
      <c r="D99" s="1"/>
      <c r="F99" s="1"/>
      <c r="H99" s="1"/>
      <c r="J99" s="1"/>
      <c r="L99" s="1"/>
      <c r="N99" s="1"/>
      <c r="P99" s="1"/>
      <c r="R99" s="1"/>
    </row>
    <row r="100" spans="1:18" s="7" customFormat="1" collapsed="1" x14ac:dyDescent="0.35">
      <c r="A100" s="36"/>
      <c r="B100" s="34" t="s">
        <v>295</v>
      </c>
      <c r="D100" s="6">
        <f>SUM(OSRRefD24x_0)</f>
        <v>600</v>
      </c>
      <c r="E100" s="12"/>
      <c r="F100" s="6">
        <f>SUM(OSRRefF24x_0)</f>
        <v>0</v>
      </c>
      <c r="G100" s="5"/>
      <c r="H100" s="6">
        <f>SUM(OSRRefH24x_0)</f>
        <v>351.2</v>
      </c>
      <c r="I100" s="5"/>
      <c r="J100" s="6">
        <f>SUM(OSRRefJ24x_0)</f>
        <v>0</v>
      </c>
      <c r="K100" s="5"/>
      <c r="L100" s="6">
        <f>SUM(OSRRefL24x_0)</f>
        <v>0</v>
      </c>
      <c r="M100" s="5"/>
      <c r="N100" s="6">
        <f>SUM(OSRRefN24x_0)</f>
        <v>0</v>
      </c>
      <c r="O100" s="5"/>
      <c r="P100" s="6">
        <f>SUM(OSRRefP24x_0)</f>
        <v>0</v>
      </c>
      <c r="Q100" s="5"/>
      <c r="R100" s="6">
        <f>SUM(OSRRefR24x_0)</f>
        <v>0</v>
      </c>
    </row>
    <row r="101" spans="1:18" s="7" customFormat="1" hidden="1" outlineLevel="1" x14ac:dyDescent="0.35">
      <c r="A101" s="36"/>
      <c r="B101" s="11" t="str">
        <f>CONCATENATE("          ", "9150", " - ", "MISC. INCOME")</f>
        <v xml:space="preserve">          9150 - MISC. INCOME</v>
      </c>
      <c r="D101" s="11">
        <f>--600</f>
        <v>600</v>
      </c>
      <c r="E101" s="16"/>
      <c r="F101" s="11">
        <f>0</f>
        <v>0</v>
      </c>
      <c r="G101" s="3"/>
      <c r="H101" s="11">
        <f>--351.2</f>
        <v>351.2</v>
      </c>
      <c r="I101" s="3"/>
      <c r="J101" s="11">
        <f>0</f>
        <v>0</v>
      </c>
      <c r="K101" s="3"/>
      <c r="L101" s="11">
        <f>0</f>
        <v>0</v>
      </c>
      <c r="M101" s="3"/>
      <c r="N101" s="11">
        <f>0</f>
        <v>0</v>
      </c>
      <c r="O101" s="3"/>
      <c r="P101" s="11"/>
      <c r="Q101" s="3"/>
      <c r="R101" s="11"/>
    </row>
    <row r="102" spans="1:18" x14ac:dyDescent="0.35">
      <c r="A102" s="12"/>
      <c r="B102" s="7"/>
      <c r="C102" s="7"/>
      <c r="D102" s="6"/>
      <c r="F102" s="6"/>
      <c r="H102" s="6"/>
      <c r="J102" s="6"/>
      <c r="L102" s="6"/>
      <c r="N102" s="6"/>
      <c r="P102" s="6"/>
      <c r="R102" s="6"/>
    </row>
    <row r="103" spans="1:18" s="15" customFormat="1" x14ac:dyDescent="0.35">
      <c r="A103" s="7"/>
      <c r="B103" s="22" t="s">
        <v>279</v>
      </c>
      <c r="C103" s="22"/>
      <c r="D103" s="10">
        <f>+D53-D56+D100</f>
        <v>-33628.57999999998</v>
      </c>
      <c r="E103" s="12"/>
      <c r="F103" s="10">
        <f>+F53-F56+F100</f>
        <v>11752.189999999988</v>
      </c>
      <c r="G103" s="5"/>
      <c r="H103" s="10">
        <f>+H53-H56+H100</f>
        <v>47251.96</v>
      </c>
      <c r="I103" s="5"/>
      <c r="J103" s="10">
        <f>+J53-J56+J100</f>
        <v>0</v>
      </c>
      <c r="K103" s="5"/>
      <c r="L103" s="10">
        <f>+L53-L56+L100</f>
        <v>0</v>
      </c>
      <c r="M103" s="5"/>
      <c r="N103" s="10">
        <f>+N53-N56+N100</f>
        <v>0</v>
      </c>
      <c r="O103" s="5"/>
      <c r="P103" s="10">
        <f>+P53-P56+P100</f>
        <v>0</v>
      </c>
      <c r="Q103" s="5"/>
      <c r="R103" s="10">
        <f>+R53-R56+R100</f>
        <v>0</v>
      </c>
    </row>
    <row r="104" spans="1:18" s="27" customFormat="1" x14ac:dyDescent="0.35">
      <c r="A104" s="18"/>
      <c r="B104" s="31"/>
      <c r="C104" s="18"/>
      <c r="D104" s="9">
        <f>IFERROR(D103/D10, 0)</f>
        <v>-0.29709987182554398</v>
      </c>
      <c r="E104" s="18"/>
      <c r="F104" s="9">
        <f>IFERROR(F103/F10, 0)</f>
        <v>0.11261197293523451</v>
      </c>
      <c r="G104" s="14"/>
      <c r="H104" s="9">
        <f>IFERROR(H103/H10, 0)</f>
        <v>0.63835867163138249</v>
      </c>
      <c r="I104" s="14"/>
      <c r="J104" s="9">
        <f>IFERROR(J103/J10, 0)</f>
        <v>0</v>
      </c>
      <c r="K104" s="14"/>
      <c r="L104" s="9">
        <f>IFERROR(L103/L10, 0)</f>
        <v>0</v>
      </c>
      <c r="M104" s="14"/>
      <c r="N104" s="9">
        <f>IFERROR(N103/N10, 0)</f>
        <v>0</v>
      </c>
      <c r="O104" s="14"/>
      <c r="P104" s="9">
        <f>IFERROR(P103/P10, 0)</f>
        <v>0</v>
      </c>
      <c r="Q104" s="14"/>
      <c r="R104" s="9">
        <f>IFERROR(R103/R10, 0)</f>
        <v>0</v>
      </c>
    </row>
    <row r="105" spans="1:18" s="27" customFormat="1" x14ac:dyDescent="0.35">
      <c r="A105" s="18"/>
      <c r="B105" s="31"/>
      <c r="C105" s="18"/>
      <c r="D105" s="13"/>
      <c r="E105" s="18"/>
      <c r="F105" s="13"/>
      <c r="G105" s="14"/>
      <c r="H105" s="13"/>
      <c r="I105" s="14"/>
      <c r="J105" s="13"/>
      <c r="K105" s="14"/>
      <c r="L105" s="13"/>
      <c r="M105" s="14"/>
      <c r="N105" s="13"/>
      <c r="O105" s="14"/>
      <c r="P105" s="13"/>
      <c r="Q105" s="14"/>
      <c r="R105" s="13"/>
    </row>
    <row r="106" spans="1:18" s="15" customFormat="1" x14ac:dyDescent="0.35">
      <c r="A106" s="37"/>
      <c r="B106" s="7" t="s">
        <v>127</v>
      </c>
      <c r="C106" s="7"/>
      <c r="D106" s="6">
        <v>24596.92</v>
      </c>
      <c r="E106" s="12"/>
      <c r="F106" s="6">
        <v>14856.37</v>
      </c>
      <c r="G106" s="5"/>
      <c r="H106" s="6">
        <v>9897.0400000000009</v>
      </c>
      <c r="I106" s="5"/>
      <c r="J106" s="6"/>
      <c r="K106" s="5"/>
      <c r="L106" s="6"/>
      <c r="M106" s="5"/>
      <c r="N106" s="6"/>
      <c r="O106" s="5"/>
      <c r="P106" s="6"/>
      <c r="Q106" s="5"/>
      <c r="R106" s="6"/>
    </row>
    <row r="107" spans="1:18" x14ac:dyDescent="0.35">
      <c r="A107" s="12"/>
      <c r="B107" s="7"/>
      <c r="C107" s="7"/>
      <c r="D107" s="6"/>
      <c r="F107" s="6"/>
      <c r="H107" s="6"/>
      <c r="J107" s="6"/>
      <c r="L107" s="6"/>
      <c r="N107" s="6"/>
      <c r="P107" s="6"/>
      <c r="R107" s="6"/>
    </row>
    <row r="108" spans="1:18" s="15" customFormat="1" x14ac:dyDescent="0.35">
      <c r="A108" s="7"/>
      <c r="B108" s="22" t="s">
        <v>126</v>
      </c>
      <c r="C108" s="22"/>
      <c r="D108" s="10">
        <f>+D103-D106</f>
        <v>-58225.499999999978</v>
      </c>
      <c r="E108" s="12"/>
      <c r="F108" s="10">
        <f>+F103-F106</f>
        <v>-3104.180000000013</v>
      </c>
      <c r="G108" s="5"/>
      <c r="H108" s="10">
        <f>+H103-H106</f>
        <v>37354.92</v>
      </c>
      <c r="I108" s="5"/>
      <c r="J108" s="10">
        <f>+J103-J106</f>
        <v>0</v>
      </c>
      <c r="K108" s="5"/>
      <c r="L108" s="10">
        <f>+L103-L106</f>
        <v>0</v>
      </c>
      <c r="M108" s="5"/>
      <c r="N108" s="10">
        <f>+N103-N106</f>
        <v>0</v>
      </c>
      <c r="O108" s="5"/>
      <c r="P108" s="10">
        <f>+P103-P106</f>
        <v>0</v>
      </c>
      <c r="Q108" s="5"/>
      <c r="R108" s="10">
        <f>+R103-R106</f>
        <v>0</v>
      </c>
    </row>
    <row r="109" spans="1:18" s="27" customFormat="1" x14ac:dyDescent="0.35">
      <c r="A109" s="18"/>
      <c r="B109" s="18"/>
      <c r="C109" s="18"/>
      <c r="D109" s="9">
        <f>IFERROR(D108/D10, 0)</f>
        <v>-0.51440734598303628</v>
      </c>
      <c r="E109" s="18"/>
      <c r="F109" s="9">
        <f>IFERROR(F108/F10, 0)</f>
        <v>-2.9744910024948376E-2</v>
      </c>
      <c r="G109" s="14"/>
      <c r="H109" s="9">
        <f>IFERROR(H108/H10, 0)</f>
        <v>0.50465286752330618</v>
      </c>
      <c r="I109" s="14"/>
      <c r="J109" s="9">
        <f>IFERROR(J108/J10, 0)</f>
        <v>0</v>
      </c>
      <c r="K109" s="14"/>
      <c r="L109" s="9">
        <f>IFERROR(L108/L10, 0)</f>
        <v>0</v>
      </c>
      <c r="M109" s="14"/>
      <c r="N109" s="9">
        <f>IFERROR(N108/N10, 0)</f>
        <v>0</v>
      </c>
      <c r="O109" s="14"/>
      <c r="P109" s="9">
        <f>IFERROR(P108/P10, 0)</f>
        <v>0</v>
      </c>
      <c r="Q109" s="14"/>
      <c r="R109" s="9">
        <f>IFERROR(R108/R10, 0)</f>
        <v>0</v>
      </c>
    </row>
    <row r="110" spans="1:18" s="27" customFormat="1" x14ac:dyDescent="0.35">
      <c r="A110" s="18"/>
      <c r="B110" s="18"/>
      <c r="C110" s="18"/>
      <c r="D110" s="13"/>
      <c r="E110" s="18"/>
      <c r="F110" s="13"/>
      <c r="G110" s="14"/>
      <c r="H110" s="13"/>
      <c r="I110" s="14"/>
      <c r="J110" s="13"/>
      <c r="K110" s="14"/>
      <c r="L110" s="13"/>
      <c r="M110" s="14"/>
      <c r="N110" s="13"/>
      <c r="O110" s="14"/>
      <c r="P110" s="13"/>
      <c r="Q110" s="14"/>
      <c r="R110" s="13"/>
    </row>
    <row r="111" spans="1:18" x14ac:dyDescent="0.35">
      <c r="A111" s="12"/>
      <c r="B111" s="12"/>
      <c r="C111" s="12"/>
      <c r="D111" s="6"/>
      <c r="F111" s="6"/>
      <c r="H111" s="6"/>
      <c r="J111" s="6"/>
      <c r="L111" s="6"/>
      <c r="N111" s="6"/>
      <c r="P111" s="6"/>
      <c r="R111" s="6"/>
    </row>
    <row r="112" spans="1:18" s="15" customFormat="1" x14ac:dyDescent="0.35">
      <c r="A112" s="7"/>
      <c r="B112" s="22" t="s">
        <v>296</v>
      </c>
      <c r="C112" s="22"/>
      <c r="D112" s="10">
        <f>SUM(D108:D111)</f>
        <v>-58226.01440734596</v>
      </c>
      <c r="E112" s="12"/>
      <c r="F112" s="10">
        <f>SUM(F108:F111)</f>
        <v>-3104.2097449100379</v>
      </c>
      <c r="G112" s="5"/>
      <c r="H112" s="10">
        <f>SUM(H108:H111)</f>
        <v>37355.424652867521</v>
      </c>
      <c r="I112" s="5"/>
      <c r="J112" s="10">
        <f>SUM(J108:J111)</f>
        <v>0</v>
      </c>
      <c r="K112" s="5"/>
      <c r="L112" s="10">
        <f>SUM(L108:L111)</f>
        <v>0</v>
      </c>
      <c r="M112" s="5"/>
      <c r="N112" s="10">
        <f>SUM(N108:N111)</f>
        <v>0</v>
      </c>
      <c r="O112" s="5"/>
      <c r="P112" s="10">
        <f>SUM(P108:P111)</f>
        <v>0</v>
      </c>
      <c r="Q112" s="5"/>
      <c r="R112" s="10">
        <f>SUM(R108:R111)</f>
        <v>0</v>
      </c>
    </row>
    <row r="113" spans="1:18" s="27" customFormat="1" x14ac:dyDescent="0.35">
      <c r="A113" s="18"/>
      <c r="B113" s="41"/>
      <c r="C113" s="18"/>
      <c r="D113" s="9">
        <f>IFERROR(D112/D10, 0)</f>
        <v>-0.51441189063988935</v>
      </c>
      <c r="E113" s="18"/>
      <c r="F113" s="9">
        <f>IFERROR(F112/F10, 0)</f>
        <v>-2.9745195046974288E-2</v>
      </c>
      <c r="G113" s="14"/>
      <c r="H113" s="9">
        <f>IFERROR(H112/H10, 0)</f>
        <v>0.50465968522005666</v>
      </c>
      <c r="I113" s="14"/>
      <c r="J113" s="9">
        <f>IFERROR(J112/J10, 0)</f>
        <v>0</v>
      </c>
      <c r="K113" s="14"/>
      <c r="L113" s="9">
        <f>IFERROR(L112/L10, 0)</f>
        <v>0</v>
      </c>
      <c r="M113" s="14"/>
      <c r="N113" s="9">
        <f>IFERROR(N112/N10, 0)</f>
        <v>0</v>
      </c>
      <c r="O113" s="14"/>
      <c r="P113" s="9">
        <f>IFERROR(P112/P10, 0)</f>
        <v>0</v>
      </c>
      <c r="Q113" s="14"/>
      <c r="R113" s="9">
        <f>IFERROR(R112/R10, 0)</f>
        <v>0</v>
      </c>
    </row>
    <row r="114" spans="1:18" x14ac:dyDescent="0.35">
      <c r="A114" s="12"/>
      <c r="B114" s="40">
        <v>44319.883572604165</v>
      </c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A115" s="12"/>
      <c r="B115" s="39" t="s">
        <v>23</v>
      </c>
      <c r="D115" s="24"/>
      <c r="F115" s="24"/>
      <c r="H115" s="24"/>
      <c r="J115" s="24"/>
      <c r="L115" s="24"/>
      <c r="N115" s="24"/>
      <c r="P115" s="24"/>
      <c r="R115" s="24"/>
    </row>
    <row r="116" spans="1:18" x14ac:dyDescent="0.35">
      <c r="A116" s="12"/>
      <c r="D116" s="24"/>
      <c r="F116" s="24"/>
      <c r="H116" s="24"/>
      <c r="J116" s="24"/>
      <c r="L116" s="24"/>
      <c r="N116" s="24"/>
      <c r="P116" s="24"/>
      <c r="R116" s="24"/>
    </row>
    <row r="117" spans="1:18" x14ac:dyDescent="0.35">
      <c r="D117" s="24"/>
      <c r="F117" s="24"/>
      <c r="H117" s="24"/>
      <c r="J117" s="24"/>
      <c r="L117" s="24"/>
      <c r="N117" s="24"/>
      <c r="P117" s="24"/>
      <c r="R117" s="24"/>
    </row>
  </sheetData>
  <pageMargins left="0.5" right="0.5" top="0.5" bottom="0.5" header="0.3" footer="0.3"/>
  <pageSetup scale="59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","313", " - ", "Convenience Store")</f>
        <v>Department 313 - Convenience Store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681946.92999999993</v>
      </c>
      <c r="F10" s="8">
        <f>SUM(OSRRefF11x_0)</f>
        <v>654406.00999999989</v>
      </c>
      <c r="G10" s="8"/>
      <c r="H10" s="8">
        <f>SUM(OSRRefH11x_0)</f>
        <v>698458.18</v>
      </c>
      <c r="I10" s="8"/>
      <c r="J10" s="8">
        <f>SUM(OSRRefJ11x_0)</f>
        <v>624088.08000000007</v>
      </c>
      <c r="K10" s="8"/>
      <c r="L10" s="8">
        <f>SUM(OSRRefL11x_0)</f>
        <v>632249.79</v>
      </c>
      <c r="M10" s="8"/>
      <c r="N10" s="8">
        <f>SUM(OSRRefN11x_0)</f>
        <v>496002.20000000007</v>
      </c>
      <c r="O10" s="8"/>
      <c r="P10" s="8">
        <f>SUM(OSRRefP11x_0)</f>
        <v>213087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"4032", " - ", "TAXABLE SALES-JUICE")</f>
        <v xml:space="preserve">          4032 - TAXABLE SALES-JUICE</v>
      </c>
      <c r="D11" s="11">
        <f>-177854.8*-1</f>
        <v>177854.8</v>
      </c>
      <c r="F11" s="11">
        <f>-117465.23*-1</f>
        <v>117465.23</v>
      </c>
      <c r="G11" s="3"/>
      <c r="H11" s="11">
        <f>-123413.58*-1</f>
        <v>123413.58</v>
      </c>
      <c r="I11" s="3"/>
      <c r="J11" s="11">
        <f>--119812.35</f>
        <v>119812.35</v>
      </c>
      <c r="K11" s="3"/>
      <c r="L11" s="11">
        <f>--133677.75</f>
        <v>133677.75</v>
      </c>
      <c r="M11" s="3"/>
      <c r="N11" s="11">
        <f>--104992.39</f>
        <v>104992.39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"4033", " - ", "TAXABLE SALES-CANDY")</f>
        <v xml:space="preserve">          4033 - TAXABLE SALES-CANDY</v>
      </c>
      <c r="D12" s="11">
        <f t="shared" ref="D12:D15" si="0">0*-1</f>
        <v>0</v>
      </c>
      <c r="F12" s="11">
        <f>-194.27*-1</f>
        <v>194.27</v>
      </c>
      <c r="G12" s="3"/>
      <c r="H12" s="11">
        <f>-27.04*-1</f>
        <v>27.04</v>
      </c>
      <c r="I12" s="3"/>
      <c r="J12" s="11">
        <f>--1.39</f>
        <v>1.39</v>
      </c>
      <c r="K12" s="3"/>
      <c r="L12" s="11">
        <f>--19.99</f>
        <v>19.989999999999998</v>
      </c>
      <c r="M12" s="3"/>
      <c r="N12" s="11">
        <f>0</f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"4034", " - ", "TAXABLE SALES-SODA")</f>
        <v xml:space="preserve">          4034 - TAXABLE SALES-SODA</v>
      </c>
      <c r="D13" s="11">
        <f t="shared" si="0"/>
        <v>0</v>
      </c>
      <c r="F13" s="11">
        <f>-1749.11*-1</f>
        <v>1749.11</v>
      </c>
      <c r="G13" s="3"/>
      <c r="H13" s="11">
        <f>-2660.29*-1</f>
        <v>2660.29</v>
      </c>
      <c r="I13" s="3"/>
      <c r="J13" s="11">
        <f>--2920.24</f>
        <v>2920.24</v>
      </c>
      <c r="K13" s="3"/>
      <c r="L13" s="11">
        <f>--2843.76</f>
        <v>2843.76</v>
      </c>
      <c r="M13" s="3"/>
      <c r="N13" s="11">
        <f>--3121.95</f>
        <v>3121.95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"4035", " - ", "TAXABLE SALES-HEALTH &amp; BEAUTY")</f>
        <v xml:space="preserve">          4035 - TAXABLE SALES-HEALTH &amp; BEAUTY</v>
      </c>
      <c r="D14" s="11">
        <f t="shared" si="0"/>
        <v>0</v>
      </c>
      <c r="F14" s="11">
        <f>-31.95*-1</f>
        <v>31.95</v>
      </c>
      <c r="G14" s="3"/>
      <c r="H14" s="11">
        <f>-11.31*-1</f>
        <v>11.31</v>
      </c>
      <c r="I14" s="3"/>
      <c r="J14" s="11">
        <f>--9.85</f>
        <v>9.85</v>
      </c>
      <c r="K14" s="3"/>
      <c r="L14" s="11">
        <f t="shared" ref="L14:L16" si="1">0</f>
        <v>0</v>
      </c>
      <c r="M14" s="3"/>
      <c r="N14" s="11">
        <f t="shared" ref="N14:N15" si="2">0</f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"4100", " - ", "NON-TAXABLE SALES")</f>
        <v xml:space="preserve">          4100 - NON-TAXABLE SALES</v>
      </c>
      <c r="D15" s="11">
        <f t="shared" si="0"/>
        <v>0</v>
      </c>
      <c r="F15" s="11">
        <f>0*-1</f>
        <v>0</v>
      </c>
      <c r="G15" s="3"/>
      <c r="H15" s="11">
        <f>0*-1</f>
        <v>0</v>
      </c>
      <c r="I15" s="3"/>
      <c r="J15" s="11">
        <f t="shared" ref="J15:J16" si="3">0</f>
        <v>0</v>
      </c>
      <c r="K15" s="3"/>
      <c r="L15" s="11">
        <f t="shared" si="1"/>
        <v>0</v>
      </c>
      <c r="M15" s="3"/>
      <c r="N15" s="11">
        <f t="shared" si="2"/>
        <v>0</v>
      </c>
      <c r="O15" s="3"/>
      <c r="P15" s="11">
        <v>213087</v>
      </c>
      <c r="Q15" s="3"/>
      <c r="R15" s="11"/>
    </row>
    <row r="16" spans="1:18" s="16" customFormat="1" hidden="1" outlineLevel="1" x14ac:dyDescent="0.35">
      <c r="B16" s="35" t="str">
        <f>CONCATENATE("          ", "4131", " - ", "NON-TAXABLE SALES-FOOD")</f>
        <v xml:space="preserve">          4131 - NON-TAXABLE SALES-FOOD</v>
      </c>
      <c r="D16" s="11">
        <f>-22.6*-1</f>
        <v>22.6</v>
      </c>
      <c r="F16" s="11">
        <f>-1083.06*-1</f>
        <v>1083.06</v>
      </c>
      <c r="G16" s="3"/>
      <c r="H16" s="11">
        <f>-69.99*-1</f>
        <v>69.989999999999995</v>
      </c>
      <c r="I16" s="3"/>
      <c r="J16" s="11">
        <f t="shared" si="3"/>
        <v>0</v>
      </c>
      <c r="K16" s="3"/>
      <c r="L16" s="11">
        <f t="shared" si="1"/>
        <v>0</v>
      </c>
      <c r="M16" s="3"/>
      <c r="N16" s="11">
        <f>--2.48</f>
        <v>2.48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"4132", " - ", "NON-TAXABLE SALES-JUICE")</f>
        <v xml:space="preserve">          4132 - NON-TAXABLE SALES-JUICE</v>
      </c>
      <c r="D17" s="11">
        <f>-504065.05*-1</f>
        <v>504065.05</v>
      </c>
      <c r="F17" s="11">
        <f>-525667.42*-1</f>
        <v>525667.42000000004</v>
      </c>
      <c r="G17" s="3"/>
      <c r="H17" s="11">
        <f>-568802.02*-1</f>
        <v>568802.02</v>
      </c>
      <c r="I17" s="3"/>
      <c r="J17" s="11">
        <f>--498070</f>
        <v>498070</v>
      </c>
      <c r="K17" s="3"/>
      <c r="L17" s="11">
        <f>--493335.36</f>
        <v>493335.36</v>
      </c>
      <c r="M17" s="3"/>
      <c r="N17" s="11">
        <f>--386208.28</f>
        <v>386208.28</v>
      </c>
      <c r="O17" s="3"/>
      <c r="P17" s="11"/>
      <c r="Q17" s="3"/>
      <c r="R17" s="11"/>
    </row>
    <row r="18" spans="1:18" s="16" customFormat="1" hidden="1" outlineLevel="1" x14ac:dyDescent="0.35">
      <c r="B18" s="35" t="str">
        <f>CONCATENATE("          ", "4133", " - ", "NON-TAXABLE SALES-CANDY")</f>
        <v xml:space="preserve">          4133 - NON-TAXABLE SALES-CANDY</v>
      </c>
      <c r="D18" s="11">
        <f t="shared" ref="D18:D19" si="4">0*-1</f>
        <v>0</v>
      </c>
      <c r="F18" s="11">
        <f>-5779.71*-1</f>
        <v>5779.71</v>
      </c>
      <c r="G18" s="3"/>
      <c r="H18" s="11">
        <f>-53.63*-1</f>
        <v>53.63</v>
      </c>
      <c r="I18" s="3"/>
      <c r="J18" s="11">
        <f>--7.25</f>
        <v>7.25</v>
      </c>
      <c r="K18" s="3"/>
      <c r="L18" s="11">
        <f>0</f>
        <v>0</v>
      </c>
      <c r="M18" s="3"/>
      <c r="N18" s="11">
        <f>--1.59</f>
        <v>1.59</v>
      </c>
      <c r="O18" s="3"/>
      <c r="P18" s="11"/>
      <c r="Q18" s="3"/>
      <c r="R18" s="11"/>
    </row>
    <row r="19" spans="1:18" s="16" customFormat="1" hidden="1" outlineLevel="1" x14ac:dyDescent="0.35">
      <c r="B19" s="35" t="str">
        <f>CONCATENATE("          ", "4134", " - ", "NON-TAXABLE SALES-SODA")</f>
        <v xml:space="preserve">          4134 - NON-TAXABLE SALES-SODA</v>
      </c>
      <c r="D19" s="11">
        <f t="shared" si="4"/>
        <v>0</v>
      </c>
      <c r="F19" s="11">
        <f>-298.62*-1</f>
        <v>298.62</v>
      </c>
      <c r="G19" s="3"/>
      <c r="H19" s="11">
        <f>-66.31*-1</f>
        <v>66.31</v>
      </c>
      <c r="I19" s="3"/>
      <c r="J19" s="11">
        <f>--36.01</f>
        <v>36.01</v>
      </c>
      <c r="K19" s="3"/>
      <c r="L19" s="11">
        <f>--55.83</f>
        <v>55.83</v>
      </c>
      <c r="M19" s="3"/>
      <c r="N19" s="11">
        <f>--99.83</f>
        <v>99.83</v>
      </c>
      <c r="O19" s="3"/>
      <c r="P19" s="11"/>
      <c r="Q19" s="3"/>
      <c r="R19" s="11"/>
    </row>
    <row r="20" spans="1:18" s="16" customFormat="1" hidden="1" outlineLevel="1" x14ac:dyDescent="0.35">
      <c r="B20" s="35" t="str">
        <f>CONCATENATE("          ", "4137", " - ", "NON-TAXABLE SALES-WATER")</f>
        <v xml:space="preserve">          4137 - NON-TAXABLE SALES-WATER</v>
      </c>
      <c r="D20" s="11">
        <f>-4.48*-1</f>
        <v>4.4800000000000004</v>
      </c>
      <c r="F20" s="11">
        <f>-2418.94*-1</f>
        <v>2418.94</v>
      </c>
      <c r="G20" s="3"/>
      <c r="H20" s="11">
        <f>-3356.89*-1</f>
        <v>3356.89</v>
      </c>
      <c r="I20" s="3"/>
      <c r="J20" s="11">
        <f>--3230.99</f>
        <v>3230.99</v>
      </c>
      <c r="K20" s="3"/>
      <c r="L20" s="11">
        <f>--2318.79</f>
        <v>2318.79</v>
      </c>
      <c r="M20" s="3"/>
      <c r="N20" s="11">
        <f>--1575.68</f>
        <v>1575.68</v>
      </c>
      <c r="O20" s="3"/>
      <c r="P20" s="11"/>
      <c r="Q20" s="3"/>
      <c r="R20" s="11"/>
    </row>
    <row r="21" spans="1:18" s="16" customFormat="1" hidden="1" outlineLevel="1" x14ac:dyDescent="0.35">
      <c r="B21" s="35" t="str">
        <f>CONCATENATE("          ", "4233", " - ", "SALES RETURN TAXABLE-CANDY")</f>
        <v xml:space="preserve">          4233 - SALES RETURN TAXABLE-CANDY</v>
      </c>
      <c r="D21" s="11">
        <f t="shared" ref="D21:D23" si="5">0*-1</f>
        <v>0</v>
      </c>
      <c r="F21" s="11">
        <f>12.04*-1</f>
        <v>-12.04</v>
      </c>
      <c r="G21" s="3"/>
      <c r="H21" s="11">
        <f>2.88*-1</f>
        <v>-2.88</v>
      </c>
      <c r="I21" s="3"/>
      <c r="J21" s="11">
        <f t="shared" ref="J21:J23" si="6">0</f>
        <v>0</v>
      </c>
      <c r="K21" s="3"/>
      <c r="L21" s="11">
        <f>-1.69</f>
        <v>-1.69</v>
      </c>
      <c r="M21" s="3"/>
      <c r="N21" s="11">
        <f t="shared" ref="N21:N23" si="7">0</f>
        <v>0</v>
      </c>
      <c r="O21" s="3"/>
      <c r="P21" s="11"/>
      <c r="Q21" s="3"/>
      <c r="R21" s="11"/>
    </row>
    <row r="22" spans="1:18" s="16" customFormat="1" hidden="1" outlineLevel="1" x14ac:dyDescent="0.35">
      <c r="B22" s="35" t="str">
        <f>CONCATENATE("          ", "4332", " - ", "SALES RETURN NON TAXABLE-JUICE")</f>
        <v xml:space="preserve">          4332 - SALES RETURN NON TAXABLE-JUICE</v>
      </c>
      <c r="D22" s="11">
        <f t="shared" si="5"/>
        <v>0</v>
      </c>
      <c r="F22" s="11">
        <f>268.26*-1</f>
        <v>-268.26</v>
      </c>
      <c r="G22" s="3"/>
      <c r="H22" s="11">
        <f t="shared" ref="H22:H23" si="8">0*-1</f>
        <v>0</v>
      </c>
      <c r="I22" s="3"/>
      <c r="J22" s="11">
        <f t="shared" si="6"/>
        <v>0</v>
      </c>
      <c r="K22" s="3"/>
      <c r="L22" s="11">
        <f t="shared" ref="L22:L23" si="9">0</f>
        <v>0</v>
      </c>
      <c r="M22" s="3"/>
      <c r="N22" s="11">
        <f t="shared" si="7"/>
        <v>0</v>
      </c>
      <c r="O22" s="3"/>
      <c r="P22" s="11"/>
      <c r="Q22" s="3"/>
      <c r="R22" s="11"/>
    </row>
    <row r="23" spans="1:18" s="16" customFormat="1" hidden="1" outlineLevel="1" x14ac:dyDescent="0.35">
      <c r="B23" s="35" t="str">
        <f>CONCATENATE("          ", "4333", " - ", "SALES RETURN NON TAXABLE-CANDY")</f>
        <v xml:space="preserve">          4333 - SALES RETURN NON TAXABLE-CANDY</v>
      </c>
      <c r="D23" s="11">
        <f t="shared" si="5"/>
        <v>0</v>
      </c>
      <c r="F23" s="11">
        <f>2*-1</f>
        <v>-2</v>
      </c>
      <c r="G23" s="3"/>
      <c r="H23" s="11">
        <f t="shared" si="8"/>
        <v>0</v>
      </c>
      <c r="I23" s="3"/>
      <c r="J23" s="11">
        <f t="shared" si="6"/>
        <v>0</v>
      </c>
      <c r="K23" s="3"/>
      <c r="L23" s="11">
        <f t="shared" si="9"/>
        <v>0</v>
      </c>
      <c r="M23" s="3"/>
      <c r="N23" s="11">
        <f t="shared" si="7"/>
        <v>0</v>
      </c>
      <c r="O23" s="3"/>
      <c r="P23" s="11"/>
      <c r="Q23" s="3"/>
      <c r="R23" s="11"/>
    </row>
    <row r="24" spans="1:18" s="12" customFormat="1" x14ac:dyDescent="0.35">
      <c r="B24" s="7"/>
      <c r="D24" s="6"/>
      <c r="F24" s="6"/>
      <c r="G24" s="5"/>
      <c r="H24" s="6"/>
      <c r="I24" s="5"/>
      <c r="J24" s="6"/>
      <c r="K24" s="5"/>
      <c r="L24" s="6"/>
      <c r="M24" s="5"/>
      <c r="N24" s="6"/>
      <c r="O24" s="5"/>
      <c r="P24" s="6"/>
      <c r="Q24" s="5"/>
      <c r="R24" s="6"/>
    </row>
    <row r="25" spans="1:18" s="12" customFormat="1" collapsed="1" x14ac:dyDescent="0.35">
      <c r="B25" s="7" t="s">
        <v>278</v>
      </c>
      <c r="D25" s="8">
        <f>SUM(OSRRefD14x_0)</f>
        <v>355059.6</v>
      </c>
      <c r="E25" s="8"/>
      <c r="F25" s="8">
        <f>SUM(OSRRefF14x_0)</f>
        <v>342589.86</v>
      </c>
      <c r="G25" s="8"/>
      <c r="H25" s="8">
        <f>SUM(OSRRefH14x_0)</f>
        <v>341006.95</v>
      </c>
      <c r="I25" s="8"/>
      <c r="J25" s="8">
        <f>SUM(OSRRefJ14x_0)</f>
        <v>326032.57</v>
      </c>
      <c r="K25" s="8"/>
      <c r="L25" s="8">
        <f>SUM(OSRRefL14x_0)</f>
        <v>311221.98</v>
      </c>
      <c r="M25" s="8"/>
      <c r="N25" s="8">
        <f>SUM(OSRRefN14x_0)</f>
        <v>243050.99</v>
      </c>
      <c r="O25" s="8"/>
      <c r="P25" s="8">
        <f>SUM(OSRRefP14x_0)</f>
        <v>101003</v>
      </c>
      <c r="Q25" s="8"/>
      <c r="R25" s="8">
        <f>SUM(OSRRefR14x_0)</f>
        <v>0</v>
      </c>
    </row>
    <row r="26" spans="1:18" s="44" customFormat="1" hidden="1" outlineLevel="1" x14ac:dyDescent="0.35">
      <c r="A26" s="16"/>
      <c r="B26" s="35" t="str">
        <f>CONCATENATE("          ", "5000", " - ", "PURCHASES @ COST")</f>
        <v xml:space="preserve">          5000 - PURCHASES @ COST</v>
      </c>
      <c r="C26" s="16"/>
      <c r="D26" s="11"/>
      <c r="E26" s="16"/>
      <c r="F26" s="11"/>
      <c r="G26" s="3"/>
      <c r="H26" s="11"/>
      <c r="I26" s="3"/>
      <c r="J26" s="11"/>
      <c r="K26" s="3"/>
      <c r="L26" s="11"/>
      <c r="M26" s="3"/>
      <c r="N26" s="11"/>
      <c r="O26" s="3"/>
      <c r="P26" s="11">
        <v>101003</v>
      </c>
      <c r="Q26" s="3"/>
      <c r="R26" s="11"/>
    </row>
    <row r="27" spans="1:18" s="44" customFormat="1" hidden="1" outlineLevel="1" x14ac:dyDescent="0.35">
      <c r="A27" s="16"/>
      <c r="B27" s="35" t="str">
        <f>CONCATENATE("          ", "5053", " - ", "PURCHASES @ COST-FOOD")</f>
        <v xml:space="preserve">          5053 - PURCHASES @ COST-FOOD</v>
      </c>
      <c r="C27" s="16"/>
      <c r="D27" s="11">
        <v>287749.69</v>
      </c>
      <c r="E27" s="16"/>
      <c r="F27" s="11">
        <v>306269.15999999997</v>
      </c>
      <c r="G27" s="3"/>
      <c r="H27" s="11">
        <v>315317.81</v>
      </c>
      <c r="I27" s="3"/>
      <c r="J27" s="11">
        <v>283169.44</v>
      </c>
      <c r="K27" s="3"/>
      <c r="L27" s="11">
        <v>279795.67</v>
      </c>
      <c r="M27" s="3"/>
      <c r="N27" s="11">
        <v>236675</v>
      </c>
      <c r="O27" s="3"/>
      <c r="P27" s="11"/>
      <c r="Q27" s="3"/>
      <c r="R27" s="11"/>
    </row>
    <row r="28" spans="1:18" s="44" customFormat="1" hidden="1" outlineLevel="1" x14ac:dyDescent="0.35">
      <c r="A28" s="16"/>
      <c r="B28" s="35" t="str">
        <f>CONCATENATE("          ", "5059", " - ", "PURCHASES @ COST-FOOD")</f>
        <v xml:space="preserve">          5059 - PURCHASES @ COST-FOOD</v>
      </c>
      <c r="C28" s="16"/>
      <c r="D28" s="11">
        <v>67309.91</v>
      </c>
      <c r="E28" s="16"/>
      <c r="F28" s="11">
        <v>36320.699999999997</v>
      </c>
      <c r="G28" s="3"/>
      <c r="H28" s="11">
        <v>25689.14</v>
      </c>
      <c r="I28" s="3"/>
      <c r="J28" s="11">
        <v>42863.13</v>
      </c>
      <c r="K28" s="3"/>
      <c r="L28" s="11">
        <v>31426.31</v>
      </c>
      <c r="M28" s="3"/>
      <c r="N28" s="11">
        <v>6375.99</v>
      </c>
      <c r="O28" s="3"/>
      <c r="P28" s="11"/>
      <c r="Q28" s="3"/>
      <c r="R28" s="11"/>
    </row>
    <row r="29" spans="1:18" x14ac:dyDescent="0.35">
      <c r="A29" s="12"/>
      <c r="B29" s="7"/>
      <c r="C29" s="7"/>
      <c r="D29" s="6"/>
      <c r="F29" s="6"/>
      <c r="H29" s="6"/>
      <c r="J29" s="6"/>
      <c r="L29" s="6"/>
      <c r="N29" s="6"/>
      <c r="P29" s="6"/>
      <c r="R29" s="6"/>
    </row>
    <row r="30" spans="1:18" s="15" customFormat="1" x14ac:dyDescent="0.35">
      <c r="A30" s="7"/>
      <c r="B30" s="22" t="s">
        <v>107</v>
      </c>
      <c r="C30" s="22"/>
      <c r="D30" s="10">
        <f>+D10-D25</f>
        <v>326887.32999999996</v>
      </c>
      <c r="E30" s="12"/>
      <c r="F30" s="10">
        <f>+F10-F25</f>
        <v>311816.14999999991</v>
      </c>
      <c r="G30" s="5"/>
      <c r="H30" s="10">
        <f>+H10-H25</f>
        <v>357451.23000000004</v>
      </c>
      <c r="I30" s="5"/>
      <c r="J30" s="10">
        <f>+J10-J25</f>
        <v>298055.51000000007</v>
      </c>
      <c r="K30" s="5"/>
      <c r="L30" s="10">
        <f>+L10-L25</f>
        <v>321027.81000000006</v>
      </c>
      <c r="M30" s="5"/>
      <c r="N30" s="10">
        <f>+N10-N25</f>
        <v>252951.21000000008</v>
      </c>
      <c r="O30" s="5"/>
      <c r="P30" s="10">
        <f>+P10-P25</f>
        <v>112084</v>
      </c>
      <c r="Q30" s="5"/>
      <c r="R30" s="10">
        <f>+R10-R25</f>
        <v>0</v>
      </c>
    </row>
    <row r="31" spans="1:18" s="27" customFormat="1" x14ac:dyDescent="0.35">
      <c r="A31" s="18"/>
      <c r="B31" s="31"/>
      <c r="C31" s="18"/>
      <c r="D31" s="9">
        <f>IFERROR(D30/D10, 0)</f>
        <v>0.47934423577506241</v>
      </c>
      <c r="E31" s="13"/>
      <c r="F31" s="9">
        <f>IFERROR(F30/F10, 0)</f>
        <v>0.47648729570805737</v>
      </c>
      <c r="G31" s="26"/>
      <c r="H31" s="9">
        <f>IFERROR(H30/H10, 0)</f>
        <v>0.5117718429469893</v>
      </c>
      <c r="I31" s="26"/>
      <c r="J31" s="9">
        <f>IFERROR(J30/J10, 0)</f>
        <v>0.47758564784637458</v>
      </c>
      <c r="K31" s="26"/>
      <c r="L31" s="9">
        <f>IFERROR(L30/L10, 0)</f>
        <v>0.50775471194699806</v>
      </c>
      <c r="M31" s="26"/>
      <c r="N31" s="9">
        <f>IFERROR(N30/N10, 0)</f>
        <v>0.50998001621767008</v>
      </c>
      <c r="O31" s="26"/>
      <c r="P31" s="9">
        <f>IFERROR(P30/P10, 0)</f>
        <v>0.52600111691468743</v>
      </c>
      <c r="Q31" s="26"/>
      <c r="R31" s="9">
        <f>IFERROR(R30/R10, 0)</f>
        <v>0</v>
      </c>
    </row>
    <row r="32" spans="1:18" s="27" customFormat="1" x14ac:dyDescent="0.35">
      <c r="A32" s="18"/>
      <c r="B32" s="31"/>
      <c r="C32" s="18"/>
      <c r="D32" s="13"/>
      <c r="E32" s="13"/>
      <c r="F32" s="13"/>
      <c r="G32" s="26"/>
      <c r="H32" s="13"/>
      <c r="I32" s="26"/>
      <c r="J32" s="13"/>
      <c r="K32" s="26"/>
      <c r="L32" s="13"/>
      <c r="M32" s="26"/>
      <c r="N32" s="13"/>
      <c r="O32" s="26"/>
      <c r="P32" s="13"/>
      <c r="Q32" s="26"/>
      <c r="R32" s="13"/>
    </row>
    <row r="33" spans="1:18" s="15" customFormat="1" x14ac:dyDescent="0.35">
      <c r="A33" s="7"/>
      <c r="B33" s="34" t="s">
        <v>314</v>
      </c>
      <c r="C33" s="7"/>
      <c r="D33" s="8">
        <f>SUM(OSRRefD21x_0)</f>
        <v>142485.94</v>
      </c>
      <c r="E33" s="19"/>
      <c r="F33" s="8">
        <f>SUM(OSRRefF21x_0)</f>
        <v>256302.77000000005</v>
      </c>
      <c r="G33" s="4"/>
      <c r="H33" s="8">
        <f>SUM(OSRRefH21x_0)</f>
        <v>258415.63000000006</v>
      </c>
      <c r="I33" s="4"/>
      <c r="J33" s="8">
        <f>SUM(OSRRefJ21x_0)</f>
        <v>248851.52</v>
      </c>
      <c r="K33" s="4"/>
      <c r="L33" s="8">
        <f>SUM(OSRRefL21x_0)</f>
        <v>254493.32999999987</v>
      </c>
      <c r="M33" s="4"/>
      <c r="N33" s="8">
        <f>SUM(OSRRefN21x_0)</f>
        <v>196130.65</v>
      </c>
      <c r="O33" s="4"/>
      <c r="P33" s="8">
        <f>SUM(OSRRefP21x_0)</f>
        <v>200396.31278179999</v>
      </c>
      <c r="Q33" s="4"/>
      <c r="R33" s="8">
        <f>SUM(OSRRefR21x_0)</f>
        <v>0</v>
      </c>
    </row>
    <row r="34" spans="1:18" s="15" customFormat="1" outlineLevel="1" collapsed="1" x14ac:dyDescent="0.35">
      <c r="A34" s="7"/>
      <c r="B34" s="20" t="str">
        <f>CONCATENATE("     ","*Benefits                                         ")</f>
        <v xml:space="preserve">     *Benefits                                         </v>
      </c>
      <c r="C34" s="7"/>
      <c r="D34" s="1">
        <f>SUM(OSRRefD21_0x_0)</f>
        <v>12459.65</v>
      </c>
      <c r="E34" s="19"/>
      <c r="F34" s="1">
        <f>SUM(OSRRefF21_0x_0)</f>
        <v>50165.03</v>
      </c>
      <c r="G34" s="4"/>
      <c r="H34" s="1">
        <f>SUM(OSRRefH21_0x_0)</f>
        <v>48556.990000000005</v>
      </c>
      <c r="I34" s="4"/>
      <c r="J34" s="1">
        <f>SUM(OSRRefJ21_0x_0)</f>
        <v>51855.86</v>
      </c>
      <c r="K34" s="4"/>
      <c r="L34" s="1">
        <f>SUM(OSRRefL21_0x_0)</f>
        <v>51500.06</v>
      </c>
      <c r="M34" s="4"/>
      <c r="N34" s="1">
        <f>SUM(OSRRefN21_0x_0)</f>
        <v>50448.2</v>
      </c>
      <c r="O34" s="4"/>
      <c r="P34" s="1">
        <f>SUM(OSRRefP21_0x_0)</f>
        <v>45668.8527818</v>
      </c>
      <c r="Q34" s="4"/>
      <c r="R34" s="1">
        <f>SUM(OSRRefR21_0x_0)</f>
        <v>0</v>
      </c>
    </row>
    <row r="35" spans="1:18" s="16" customFormat="1" hidden="1" outlineLevel="2" x14ac:dyDescent="0.35">
      <c r="B35" s="11" t="str">
        <f>CONCATENATE("          ", "6111", " - ", "F.I.C.A.")</f>
        <v xml:space="preserve">          6111 - F.I.C.A.</v>
      </c>
      <c r="D35" s="2">
        <v>2440.9299999999998</v>
      </c>
      <c r="F35" s="2">
        <v>8722.2199999999993</v>
      </c>
      <c r="G35" s="3"/>
      <c r="H35" s="2">
        <v>7803.36</v>
      </c>
      <c r="I35" s="3"/>
      <c r="J35" s="2">
        <v>9838.8799999999992</v>
      </c>
      <c r="K35" s="3"/>
      <c r="L35" s="2">
        <v>9064.93</v>
      </c>
      <c r="M35" s="3"/>
      <c r="N35" s="2">
        <v>5769.82</v>
      </c>
      <c r="O35" s="3"/>
      <c r="P35" s="2">
        <v>7153.2483857999996</v>
      </c>
      <c r="Q35" s="3"/>
      <c r="R35" s="2"/>
    </row>
    <row r="36" spans="1:18" s="16" customFormat="1" hidden="1" outlineLevel="2" x14ac:dyDescent="0.35">
      <c r="B36" s="11" t="str">
        <f>CONCATENATE("          ", "6112", " - ", "COMPENSATION INSURANCE")</f>
        <v xml:space="preserve">          6112 - COMPENSATION INSURANCE</v>
      </c>
      <c r="D36" s="2">
        <v>1383.15</v>
      </c>
      <c r="F36" s="2">
        <v>4110.2</v>
      </c>
      <c r="G36" s="3"/>
      <c r="H36" s="2">
        <v>2464.48</v>
      </c>
      <c r="I36" s="3"/>
      <c r="J36" s="2">
        <v>1211.49</v>
      </c>
      <c r="K36" s="3"/>
      <c r="L36" s="2">
        <v>1569.13</v>
      </c>
      <c r="M36" s="3"/>
      <c r="N36" s="2">
        <v>2033.9</v>
      </c>
      <c r="O36" s="3"/>
      <c r="P36" s="2">
        <v>2468.0546599999998</v>
      </c>
      <c r="Q36" s="3"/>
      <c r="R36" s="2"/>
    </row>
    <row r="37" spans="1:18" s="16" customFormat="1" hidden="1" outlineLevel="2" x14ac:dyDescent="0.35">
      <c r="B37" s="11" t="str">
        <f>CONCATENATE("          ", "6113", " - ", "GROUP INSURANCE")</f>
        <v xml:space="preserve">          6113 - GROUP INSURANCE</v>
      </c>
      <c r="D37" s="2">
        <v>3009.06</v>
      </c>
      <c r="F37" s="2">
        <v>19146</v>
      </c>
      <c r="G37" s="3"/>
      <c r="H37" s="2">
        <v>21575.47</v>
      </c>
      <c r="I37" s="3"/>
      <c r="J37" s="2">
        <v>23239.75</v>
      </c>
      <c r="K37" s="3"/>
      <c r="L37" s="2">
        <v>22969.11</v>
      </c>
      <c r="M37" s="3"/>
      <c r="N37" s="2">
        <v>24247.38</v>
      </c>
      <c r="O37" s="3"/>
      <c r="P37" s="2">
        <v>23760</v>
      </c>
      <c r="Q37" s="3"/>
      <c r="R37" s="2"/>
    </row>
    <row r="38" spans="1:18" s="16" customFormat="1" hidden="1" outlineLevel="2" x14ac:dyDescent="0.35">
      <c r="B38" s="11" t="str">
        <f>CONCATENATE("          ", "6114", " - ", "STATE UNEMPLOYMENT INSURANCE")</f>
        <v xml:space="preserve">          6114 - STATE UNEMPLOYMENT INSURANCE</v>
      </c>
      <c r="D38" s="2">
        <v>557.37</v>
      </c>
      <c r="F38" s="2">
        <v>993.67</v>
      </c>
      <c r="G38" s="3"/>
      <c r="H38" s="2">
        <v>474.83</v>
      </c>
      <c r="I38" s="3"/>
      <c r="J38" s="2">
        <v>463.33</v>
      </c>
      <c r="K38" s="3"/>
      <c r="L38" s="2">
        <v>459.11</v>
      </c>
      <c r="M38" s="3"/>
      <c r="N38" s="2">
        <v>0</v>
      </c>
      <c r="O38" s="3"/>
      <c r="P38" s="2">
        <v>346.86173600000001</v>
      </c>
      <c r="Q38" s="3"/>
      <c r="R38" s="2"/>
    </row>
    <row r="39" spans="1:18" s="16" customFormat="1" hidden="1" outlineLevel="2" x14ac:dyDescent="0.35">
      <c r="B39" s="11" t="str">
        <f>CONCATENATE("          ", "6115", " - ", "P.E.R.S.")</f>
        <v xml:space="preserve">          6115 - P.E.R.S.</v>
      </c>
      <c r="D39" s="2">
        <v>862.43</v>
      </c>
      <c r="F39" s="2">
        <v>5700.87</v>
      </c>
      <c r="G39" s="3"/>
      <c r="H39" s="2">
        <v>6532.37</v>
      </c>
      <c r="I39" s="3"/>
      <c r="J39" s="2">
        <v>6613.05</v>
      </c>
      <c r="K39" s="3"/>
      <c r="L39" s="2">
        <v>6557.47</v>
      </c>
      <c r="M39" s="3"/>
      <c r="N39" s="2">
        <v>7629.88</v>
      </c>
      <c r="O39" s="3"/>
      <c r="P39" s="2">
        <v>6222.7879999999996</v>
      </c>
      <c r="Q39" s="3"/>
      <c r="R39" s="2"/>
    </row>
    <row r="40" spans="1:18" s="16" customFormat="1" hidden="1" outlineLevel="2" x14ac:dyDescent="0.35">
      <c r="B40" s="11" t="str">
        <f>CONCATENATE("          ", "6116", " - ", "EDUCATIONAL BENEFITS")</f>
        <v xml:space="preserve">          6116 - EDUCATIONAL BENEFITS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"6118", " - ", "VACATION")</f>
        <v xml:space="preserve">          6118 - VACATION</v>
      </c>
      <c r="D41" s="2">
        <v>729.68</v>
      </c>
      <c r="F41" s="2">
        <v>4602.1400000000003</v>
      </c>
      <c r="G41" s="3"/>
      <c r="H41" s="2">
        <v>4890.34</v>
      </c>
      <c r="I41" s="3"/>
      <c r="J41" s="2">
        <v>5273.36</v>
      </c>
      <c r="K41" s="3"/>
      <c r="L41" s="2">
        <v>5377.38</v>
      </c>
      <c r="M41" s="3"/>
      <c r="N41" s="2">
        <v>5600.67</v>
      </c>
      <c r="O41" s="3"/>
      <c r="P41" s="2">
        <v>2170.7399999999998</v>
      </c>
      <c r="Q41" s="3"/>
      <c r="R41" s="2"/>
    </row>
    <row r="42" spans="1:18" s="16" customFormat="1" hidden="1" outlineLevel="2" x14ac:dyDescent="0.35">
      <c r="B42" s="11" t="str">
        <f>CONCATENATE("          ", "6119", " - ", "SICK LEAVE")</f>
        <v xml:space="preserve">          6119 - SICK LEAVE</v>
      </c>
      <c r="D42" s="2">
        <v>342.62</v>
      </c>
      <c r="F42" s="2">
        <v>3168.46</v>
      </c>
      <c r="G42" s="3"/>
      <c r="H42" s="2">
        <v>3084.64</v>
      </c>
      <c r="I42" s="3"/>
      <c r="J42" s="2">
        <v>3432.85</v>
      </c>
      <c r="K42" s="3"/>
      <c r="L42" s="2">
        <v>3570.37</v>
      </c>
      <c r="M42" s="3"/>
      <c r="N42" s="2">
        <v>3742.3</v>
      </c>
      <c r="O42" s="3"/>
      <c r="P42" s="2">
        <v>1447.16</v>
      </c>
      <c r="Q42" s="3"/>
      <c r="R42" s="2"/>
    </row>
    <row r="43" spans="1:18" s="16" customFormat="1" hidden="1" outlineLevel="2" x14ac:dyDescent="0.35">
      <c r="B43" s="11" t="str">
        <f>CONCATENATE("          ", "6156", " - ", "EMPLOYEE MEALS")</f>
        <v xml:space="preserve">          6156 - EMPLOYEE MEALS</v>
      </c>
      <c r="D43" s="2">
        <v>3134.41</v>
      </c>
      <c r="F43" s="2">
        <v>3721.47</v>
      </c>
      <c r="G43" s="3"/>
      <c r="H43" s="2">
        <v>1731.5</v>
      </c>
      <c r="I43" s="3"/>
      <c r="J43" s="2">
        <v>1783.15</v>
      </c>
      <c r="K43" s="3"/>
      <c r="L43" s="2">
        <v>1932.56</v>
      </c>
      <c r="M43" s="3"/>
      <c r="N43" s="2">
        <v>1424.25</v>
      </c>
      <c r="O43" s="3"/>
      <c r="P43" s="2">
        <v>2100</v>
      </c>
      <c r="Q43" s="3"/>
      <c r="R43" s="2"/>
    </row>
    <row r="44" spans="1:18" s="15" customFormat="1" outlineLevel="1" collapsed="1" x14ac:dyDescent="0.35">
      <c r="A44" s="7"/>
      <c r="B44" s="20" t="str">
        <f>CONCATENATE("     ","*Payroll                                          ")</f>
        <v xml:space="preserve">     *Payroll                                          </v>
      </c>
      <c r="C44" s="7"/>
      <c r="D44" s="1">
        <f>SUM(OSRRefD21_1x_0)</f>
        <v>90081.63</v>
      </c>
      <c r="E44" s="19"/>
      <c r="F44" s="1">
        <f>SUM(OSRRefF21_1x_0)</f>
        <v>162732.89000000001</v>
      </c>
      <c r="G44" s="4"/>
      <c r="H44" s="1">
        <f>SUM(OSRRefH21_1x_0)</f>
        <v>164273.62</v>
      </c>
      <c r="I44" s="4"/>
      <c r="J44" s="1">
        <f>SUM(OSRRefJ21_1x_0)</f>
        <v>162979.69999999998</v>
      </c>
      <c r="K44" s="4"/>
      <c r="L44" s="1">
        <f>SUM(OSRRefL21_1x_0)</f>
        <v>173375.03</v>
      </c>
      <c r="M44" s="4"/>
      <c r="N44" s="1">
        <f>SUM(OSRRefN21_1x_0)</f>
        <v>114162.33</v>
      </c>
      <c r="O44" s="4"/>
      <c r="P44" s="1">
        <f>SUM(OSRRefP21_1x_0)</f>
        <v>129790.46</v>
      </c>
      <c r="Q44" s="4"/>
      <c r="R44" s="1">
        <f>SUM(OSRRefR21_1x_0)</f>
        <v>0</v>
      </c>
    </row>
    <row r="45" spans="1:18" s="16" customFormat="1" hidden="1" outlineLevel="2" x14ac:dyDescent="0.35">
      <c r="B45" s="11" t="str">
        <f>CONCATENATE("          ", "6001", " - ", "ADMINISTRATIVE SALARIES")</f>
        <v xml:space="preserve">          6001 - ADMINISTRATIVE SALARIES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68740.100000000006</v>
      </c>
      <c r="Q45" s="3"/>
      <c r="R45" s="2"/>
    </row>
    <row r="46" spans="1:18" s="16" customFormat="1" hidden="1" outlineLevel="2" x14ac:dyDescent="0.35">
      <c r="B46" s="11" t="str">
        <f>CONCATENATE("          ", "6002", " - ", "STAFF SALARIES")</f>
        <v xml:space="preserve">          6002 - STAFF SALARIES</v>
      </c>
      <c r="D46" s="2">
        <v>8628.98</v>
      </c>
      <c r="F46" s="2">
        <v>58623.47</v>
      </c>
      <c r="G46" s="3"/>
      <c r="H46" s="2">
        <v>62245.07</v>
      </c>
      <c r="I46" s="3"/>
      <c r="J46" s="2">
        <v>65539.63</v>
      </c>
      <c r="K46" s="3"/>
      <c r="L46" s="2">
        <v>66104.009999999995</v>
      </c>
      <c r="M46" s="3"/>
      <c r="N46" s="2">
        <v>64138.37</v>
      </c>
      <c r="O46" s="3"/>
      <c r="P46" s="2">
        <v>0</v>
      </c>
      <c r="Q46" s="3"/>
      <c r="R46" s="2"/>
    </row>
    <row r="47" spans="1:18" s="16" customFormat="1" hidden="1" outlineLevel="2" x14ac:dyDescent="0.35">
      <c r="B47" s="11" t="str">
        <f>CONCATENATE("          ", "6003", " - ", "STAFF HOURLY-9 MONTH")</f>
        <v xml:space="preserve">          6003 - STAFF HOURLY-9 MONTH</v>
      </c>
      <c r="D47" s="2"/>
      <c r="F47" s="2"/>
      <c r="G47" s="3"/>
      <c r="H47" s="2"/>
      <c r="I47" s="3"/>
      <c r="J47" s="2"/>
      <c r="K47" s="3"/>
      <c r="L47" s="2"/>
      <c r="M47" s="3"/>
      <c r="N47" s="2"/>
      <c r="O47" s="3"/>
      <c r="P47" s="2">
        <v>0</v>
      </c>
      <c r="Q47" s="3"/>
      <c r="R47" s="2"/>
    </row>
    <row r="48" spans="1:18" s="16" customFormat="1" hidden="1" outlineLevel="2" x14ac:dyDescent="0.35">
      <c r="B48" s="11" t="str">
        <f>CONCATENATE("          ", "6004", " - ", "STAFF HOURLY")</f>
        <v xml:space="preserve">          6004 - STAFF HOURLY</v>
      </c>
      <c r="D48" s="2">
        <v>2981.81</v>
      </c>
      <c r="F48" s="2"/>
      <c r="G48" s="3"/>
      <c r="H48" s="2"/>
      <c r="I48" s="3"/>
      <c r="J48" s="2"/>
      <c r="K48" s="3"/>
      <c r="L48" s="2"/>
      <c r="M48" s="3"/>
      <c r="N48" s="2">
        <v>-3618.33</v>
      </c>
      <c r="O48" s="3"/>
      <c r="P48" s="2">
        <v>21111.86</v>
      </c>
      <c r="Q48" s="3"/>
      <c r="R48" s="2"/>
    </row>
    <row r="49" spans="1:18" s="16" customFormat="1" hidden="1" outlineLevel="2" x14ac:dyDescent="0.35">
      <c r="B49" s="11" t="str">
        <f>CONCATENATE("          ", "6005", " - ", "TEMPORARY WAGES-HOURLY")</f>
        <v xml:space="preserve">          6005 - TEMPORARY WAGES-HOURLY</v>
      </c>
      <c r="D49" s="2">
        <v>2325.5700000000002</v>
      </c>
      <c r="F49" s="2">
        <v>24487.93</v>
      </c>
      <c r="G49" s="3"/>
      <c r="H49" s="2">
        <v>27636.73</v>
      </c>
      <c r="I49" s="3"/>
      <c r="J49" s="2">
        <v>44639.46</v>
      </c>
      <c r="K49" s="3"/>
      <c r="L49" s="2">
        <v>53453.279999999999</v>
      </c>
      <c r="M49" s="3"/>
      <c r="N49" s="2">
        <v>1174.26</v>
      </c>
      <c r="O49" s="3"/>
      <c r="P49" s="2">
        <v>24958.5</v>
      </c>
      <c r="Q49" s="3"/>
      <c r="R49" s="2"/>
    </row>
    <row r="50" spans="1:18" s="16" customFormat="1" hidden="1" outlineLevel="2" x14ac:dyDescent="0.35">
      <c r="B50" s="11" t="str">
        <f>CONCATENATE("          ", "6006", " - ", "TEMPORARY PART TIME")</f>
        <v xml:space="preserve">          6006 - TEMPORARY PART TIME</v>
      </c>
      <c r="D50" s="2">
        <v>607.25</v>
      </c>
      <c r="F50" s="2">
        <v>22679.64</v>
      </c>
      <c r="G50" s="3"/>
      <c r="H50" s="2">
        <v>6026.9</v>
      </c>
      <c r="I50" s="3"/>
      <c r="J50" s="2">
        <v>13404.19</v>
      </c>
      <c r="K50" s="3"/>
      <c r="L50" s="2"/>
      <c r="M50" s="3"/>
      <c r="N50" s="2">
        <v>4878.2700000000004</v>
      </c>
      <c r="O50" s="3"/>
      <c r="P50" s="2">
        <v>0</v>
      </c>
      <c r="Q50" s="3"/>
      <c r="R50" s="2"/>
    </row>
    <row r="51" spans="1:18" s="16" customFormat="1" hidden="1" outlineLevel="2" x14ac:dyDescent="0.35">
      <c r="B51" s="11" t="str">
        <f>CONCATENATE("          ", "6007", " - ", "STUDENT HOURLY")</f>
        <v xml:space="preserve">          6007 - STUDENT HOURLY</v>
      </c>
      <c r="D51" s="2">
        <v>75502.02</v>
      </c>
      <c r="F51" s="2">
        <v>55663.839999999997</v>
      </c>
      <c r="G51" s="3"/>
      <c r="H51" s="2">
        <v>66165.14</v>
      </c>
      <c r="I51" s="3"/>
      <c r="J51" s="2">
        <v>33376.9</v>
      </c>
      <c r="K51" s="3"/>
      <c r="L51" s="2">
        <v>40704.019999999997</v>
      </c>
      <c r="M51" s="3"/>
      <c r="N51" s="2">
        <v>44034.28</v>
      </c>
      <c r="O51" s="3"/>
      <c r="P51" s="2">
        <v>0</v>
      </c>
      <c r="Q51" s="3"/>
      <c r="R51" s="2"/>
    </row>
    <row r="52" spans="1:18" s="16" customFormat="1" hidden="1" outlineLevel="2" x14ac:dyDescent="0.35">
      <c r="B52" s="11" t="str">
        <f>CONCATENATE("          ", "6008", " - ", "STUDENT HOURLY-FICA EXEMPT")</f>
        <v xml:space="preserve">          6008 - STUDENT HOURLY-FICA EXEMPT</v>
      </c>
      <c r="D52" s="2">
        <v>36</v>
      </c>
      <c r="F52" s="2">
        <v>1278.01</v>
      </c>
      <c r="G52" s="3"/>
      <c r="H52" s="2">
        <v>2199.7800000000002</v>
      </c>
      <c r="I52" s="3"/>
      <c r="J52" s="2">
        <v>6019.52</v>
      </c>
      <c r="K52" s="3"/>
      <c r="L52" s="2">
        <v>13113.72</v>
      </c>
      <c r="M52" s="3"/>
      <c r="N52" s="2">
        <v>3555.48</v>
      </c>
      <c r="O52" s="3"/>
      <c r="P52" s="2">
        <v>14980</v>
      </c>
      <c r="Q52" s="3"/>
      <c r="R52" s="2"/>
    </row>
    <row r="53" spans="1:18" s="16" customFormat="1" hidden="1" outlineLevel="2" x14ac:dyDescent="0.35">
      <c r="B53" s="11" t="str">
        <f>CONCATENATE("          ", "6009", " - ", "TEMPORARY-SEASONAL")</f>
        <v xml:space="preserve">          6009 - TEMPORARY-SEASONAL</v>
      </c>
      <c r="D53" s="2"/>
      <c r="F53" s="2"/>
      <c r="G53" s="3"/>
      <c r="H53" s="2"/>
      <c r="I53" s="3"/>
      <c r="J53" s="2"/>
      <c r="K53" s="3"/>
      <c r="L53" s="2"/>
      <c r="M53" s="3"/>
      <c r="N53" s="2"/>
      <c r="O53" s="3"/>
      <c r="P53" s="2">
        <v>0</v>
      </c>
      <c r="Q53" s="3"/>
      <c r="R53" s="2"/>
    </row>
    <row r="54" spans="1:18" s="16" customFormat="1" hidden="1" outlineLevel="2" x14ac:dyDescent="0.35">
      <c r="B54" s="11" t="str">
        <f>CONCATENATE("          ", "6010", " - ", "GRATUITY")</f>
        <v xml:space="preserve">          6010 - GRATUITY</v>
      </c>
      <c r="D54" s="2"/>
      <c r="F54" s="2"/>
      <c r="G54" s="3"/>
      <c r="H54" s="2"/>
      <c r="I54" s="3"/>
      <c r="J54" s="2"/>
      <c r="K54" s="3"/>
      <c r="L54" s="2"/>
      <c r="M54" s="3"/>
      <c r="N54" s="2"/>
      <c r="O54" s="3"/>
      <c r="P54" s="2">
        <v>0</v>
      </c>
      <c r="Q54" s="3"/>
      <c r="R54" s="2"/>
    </row>
    <row r="55" spans="1:18" s="15" customFormat="1" outlineLevel="1" collapsed="1" x14ac:dyDescent="0.35">
      <c r="A55" s="7"/>
      <c r="B55" s="20" t="str">
        <f>CONCATENATE("     ","Advertising/Promo                                 ")</f>
        <v xml:space="preserve">     Advertising/Promo                                 </v>
      </c>
      <c r="C55" s="7"/>
      <c r="D55" s="1">
        <f>SUM(OSRRefD21_2x_0)</f>
        <v>1495.69</v>
      </c>
      <c r="E55" s="19"/>
      <c r="F55" s="1">
        <f>SUM(OSRRefF21_2x_0)</f>
        <v>60.65</v>
      </c>
      <c r="G55" s="4"/>
      <c r="H55" s="1">
        <f>SUM(OSRRefH21_2x_0)</f>
        <v>540.69000000000005</v>
      </c>
      <c r="I55" s="4"/>
      <c r="J55" s="1">
        <f>SUM(OSRRefJ21_2x_0)</f>
        <v>1378.62</v>
      </c>
      <c r="K55" s="4"/>
      <c r="L55" s="1">
        <f>SUM(OSRRefL21_2x_0)</f>
        <v>112.21</v>
      </c>
      <c r="M55" s="4"/>
      <c r="N55" s="1">
        <f>SUM(OSRRefN21_2x_0)</f>
        <v>1464.31</v>
      </c>
      <c r="O55" s="4"/>
      <c r="P55" s="1">
        <f>SUM(OSRRefP21_2x_0)</f>
        <v>1200</v>
      </c>
      <c r="Q55" s="4"/>
      <c r="R55" s="1">
        <f>SUM(OSRRefR21_2x_0)</f>
        <v>0</v>
      </c>
    </row>
    <row r="56" spans="1:18" s="16" customFormat="1" hidden="1" outlineLevel="2" x14ac:dyDescent="0.35">
      <c r="B56" s="11" t="str">
        <f>CONCATENATE("          ", "6362", " - ", "ADVERTISING EXPENSE")</f>
        <v xml:space="preserve">          6362 - ADVERTISING EXPENSE</v>
      </c>
      <c r="D56" s="2">
        <v>1495.69</v>
      </c>
      <c r="F56" s="2">
        <v>60.65</v>
      </c>
      <c r="G56" s="3"/>
      <c r="H56" s="2">
        <v>540.69000000000005</v>
      </c>
      <c r="I56" s="3"/>
      <c r="J56" s="2">
        <v>1378.62</v>
      </c>
      <c r="K56" s="3"/>
      <c r="L56" s="2">
        <v>112.21</v>
      </c>
      <c r="M56" s="3"/>
      <c r="N56" s="2">
        <v>1464.31</v>
      </c>
      <c r="O56" s="3"/>
      <c r="P56" s="2">
        <v>1200</v>
      </c>
      <c r="Q56" s="3"/>
      <c r="R56" s="2"/>
    </row>
    <row r="57" spans="1:18" s="15" customFormat="1" outlineLevel="1" collapsed="1" x14ac:dyDescent="0.35">
      <c r="A57" s="7"/>
      <c r="B57" s="20" t="str">
        <f>CONCATENATE("     ","Bad Debts/Over/Short                              ")</f>
        <v xml:space="preserve">     Bad Debts/Over/Short                              </v>
      </c>
      <c r="C57" s="7"/>
      <c r="D57" s="1">
        <f>SUM(OSRRefD21_3x_0)</f>
        <v>332.94</v>
      </c>
      <c r="E57" s="19"/>
      <c r="F57" s="1">
        <f>SUM(OSRRefF21_3x_0)</f>
        <v>99.35</v>
      </c>
      <c r="G57" s="4"/>
      <c r="H57" s="1">
        <f>SUM(OSRRefH21_3x_0)</f>
        <v>-347.75</v>
      </c>
      <c r="I57" s="4"/>
      <c r="J57" s="1">
        <f>SUM(OSRRefJ21_3x_0)</f>
        <v>-348.34</v>
      </c>
      <c r="K57" s="4"/>
      <c r="L57" s="1">
        <f>SUM(OSRRefL21_3x_0)</f>
        <v>790.05</v>
      </c>
      <c r="M57" s="4"/>
      <c r="N57" s="1">
        <f>SUM(OSRRefN21_3x_0)</f>
        <v>-198.56</v>
      </c>
      <c r="O57" s="4"/>
      <c r="P57" s="1">
        <f>SUM(OSRRefP21_3x_0)</f>
        <v>0</v>
      </c>
      <c r="Q57" s="4"/>
      <c r="R57" s="1">
        <f>SUM(OSRRefR21_3x_0)</f>
        <v>0</v>
      </c>
    </row>
    <row r="58" spans="1:18" s="16" customFormat="1" hidden="1" outlineLevel="2" x14ac:dyDescent="0.35">
      <c r="B58" s="11" t="str">
        <f>CONCATENATE("          ", "6272", " - ", "CASH (OVER/SHORT)")</f>
        <v xml:space="preserve">          6272 - CASH (OVER/SHORT)</v>
      </c>
      <c r="D58" s="2">
        <v>332.94</v>
      </c>
      <c r="F58" s="2">
        <v>99.35</v>
      </c>
      <c r="G58" s="3"/>
      <c r="H58" s="2">
        <v>-347.75</v>
      </c>
      <c r="I58" s="3"/>
      <c r="J58" s="2">
        <v>-348.34</v>
      </c>
      <c r="K58" s="3"/>
      <c r="L58" s="2">
        <v>790.05</v>
      </c>
      <c r="M58" s="3"/>
      <c r="N58" s="2">
        <v>-198.56</v>
      </c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","Bank/card Fees                                    ")</f>
        <v xml:space="preserve">     Bank/card Fees                                    </v>
      </c>
      <c r="C59" s="7"/>
      <c r="D59" s="1">
        <f>SUM(OSRRefD21_4x_0)</f>
        <v>20843.22</v>
      </c>
      <c r="E59" s="19"/>
      <c r="F59" s="1">
        <f>SUM(OSRRefF21_4x_0)</f>
        <v>23151.5</v>
      </c>
      <c r="G59" s="4"/>
      <c r="H59" s="1">
        <f>SUM(OSRRefH21_4x_0)</f>
        <v>19912.14</v>
      </c>
      <c r="I59" s="4"/>
      <c r="J59" s="1">
        <f>SUM(OSRRefJ21_4x_0)</f>
        <v>19255.080000000002</v>
      </c>
      <c r="K59" s="4"/>
      <c r="L59" s="1">
        <f>SUM(OSRRefL21_4x_0)</f>
        <v>20124.46</v>
      </c>
      <c r="M59" s="4"/>
      <c r="N59" s="1">
        <f>SUM(OSRRefN21_4x_0)</f>
        <v>18253.439999999999</v>
      </c>
      <c r="O59" s="4"/>
      <c r="P59" s="1">
        <f>SUM(OSRRefP21_4x_0)</f>
        <v>13366</v>
      </c>
      <c r="Q59" s="4"/>
      <c r="R59" s="1">
        <f>SUM(OSRRefR21_4x_0)</f>
        <v>0</v>
      </c>
    </row>
    <row r="60" spans="1:18" s="16" customFormat="1" hidden="1" outlineLevel="2" x14ac:dyDescent="0.35">
      <c r="B60" s="11" t="str">
        <f>CONCATENATE("          ", "6381", " - ", "BANK/CREDIT CARD FEES")</f>
        <v xml:space="preserve">          6381 - BANK/CREDIT CARD FEES</v>
      </c>
      <c r="D60" s="2">
        <v>20843.22</v>
      </c>
      <c r="F60" s="2">
        <v>23151.5</v>
      </c>
      <c r="G60" s="3"/>
      <c r="H60" s="2">
        <v>19912.14</v>
      </c>
      <c r="I60" s="3"/>
      <c r="J60" s="2">
        <v>19255.080000000002</v>
      </c>
      <c r="K60" s="3"/>
      <c r="L60" s="2">
        <v>20124.46</v>
      </c>
      <c r="M60" s="3"/>
      <c r="N60" s="2">
        <v>18253.439999999999</v>
      </c>
      <c r="O60" s="3"/>
      <c r="P60" s="2">
        <v>13366</v>
      </c>
      <c r="Q60" s="3"/>
      <c r="R60" s="2"/>
    </row>
    <row r="61" spans="1:18" s="15" customFormat="1" outlineLevel="1" collapsed="1" x14ac:dyDescent="0.35">
      <c r="A61" s="7"/>
      <c r="B61" s="20" t="str">
        <f>CONCATENATE("     ","Discounts and Markdowns                           ")</f>
        <v xml:space="preserve">     Discounts and Markdowns                           </v>
      </c>
      <c r="C61" s="7"/>
      <c r="D61" s="1">
        <f>SUM(OSRRefD21_5x_0)</f>
        <v>2.96</v>
      </c>
      <c r="E61" s="19"/>
      <c r="F61" s="1">
        <f>SUM(OSRRefF21_5x_0)</f>
        <v>837.47</v>
      </c>
      <c r="G61" s="4"/>
      <c r="H61" s="1">
        <f>SUM(OSRRefH21_5x_0)</f>
        <v>184.62</v>
      </c>
      <c r="I61" s="4"/>
      <c r="J61" s="1">
        <f>SUM(OSRRefJ21_5x_0)</f>
        <v>209.29</v>
      </c>
      <c r="K61" s="4"/>
      <c r="L61" s="1">
        <f>SUM(OSRRefL21_5x_0)</f>
        <v>142.36000000000001</v>
      </c>
      <c r="M61" s="4"/>
      <c r="N61" s="1">
        <f>SUM(OSRRefN21_5x_0)</f>
        <v>125.87</v>
      </c>
      <c r="O61" s="4"/>
      <c r="P61" s="1">
        <f>SUM(OSRRefP21_5x_0)</f>
        <v>0</v>
      </c>
      <c r="Q61" s="4"/>
      <c r="R61" s="1">
        <f>SUM(OSRRefR21_5x_0)</f>
        <v>0</v>
      </c>
    </row>
    <row r="62" spans="1:18" s="16" customFormat="1" hidden="1" outlineLevel="2" x14ac:dyDescent="0.35">
      <c r="B62" s="11" t="str">
        <f>CONCATENATE("          ", "6382", " - ", "DISCOUNTS/MARK DOWNS")</f>
        <v xml:space="preserve">          6382 - DISCOUNTS/MARK DOWNS</v>
      </c>
      <c r="D62" s="2">
        <v>2.96</v>
      </c>
      <c r="F62" s="2">
        <v>837.47</v>
      </c>
      <c r="G62" s="3"/>
      <c r="H62" s="2">
        <v>184.62</v>
      </c>
      <c r="I62" s="3"/>
      <c r="J62" s="2">
        <v>209.29</v>
      </c>
      <c r="K62" s="3"/>
      <c r="L62" s="2">
        <v>142.36000000000001</v>
      </c>
      <c r="M62" s="3"/>
      <c r="N62" s="2">
        <v>125.87</v>
      </c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","Employees' Appreciation                           ")</f>
        <v xml:space="preserve">     Employees' Appreciation                           </v>
      </c>
      <c r="C63" s="7"/>
      <c r="D63" s="1">
        <f>SUM(OSRRefD21_6x_0)</f>
        <v>53.61</v>
      </c>
      <c r="E63" s="19"/>
      <c r="F63" s="1">
        <f>SUM(OSRRefF21_6x_0)</f>
        <v>189.42</v>
      </c>
      <c r="G63" s="4"/>
      <c r="H63" s="1">
        <f>SUM(OSRRefH21_6x_0)</f>
        <v>35.700000000000003</v>
      </c>
      <c r="I63" s="4"/>
      <c r="J63" s="1">
        <f>SUM(OSRRefJ21_6x_0)</f>
        <v>88.59</v>
      </c>
      <c r="K63" s="4"/>
      <c r="L63" s="1">
        <f>SUM(OSRRefL21_6x_0)</f>
        <v>142.80000000000001</v>
      </c>
      <c r="M63" s="4"/>
      <c r="N63" s="1">
        <f>SUM(OSRRefN21_6x_0)</f>
        <v>0</v>
      </c>
      <c r="O63" s="4"/>
      <c r="P63" s="1">
        <f>SUM(OSRRefP21_6x_0)</f>
        <v>0</v>
      </c>
      <c r="Q63" s="4"/>
      <c r="R63" s="1">
        <f>SUM(OSRRefR21_6x_0)</f>
        <v>0</v>
      </c>
    </row>
    <row r="64" spans="1:18" s="16" customFormat="1" hidden="1" outlineLevel="2" x14ac:dyDescent="0.35">
      <c r="B64" s="11" t="str">
        <f>CONCATENATE("          ", "6277", " - ", "EMPLOYEE APPRECIATION")</f>
        <v xml:space="preserve">          6277 - EMPLOYEE APPRECIATION</v>
      </c>
      <c r="D64" s="2">
        <v>53.61</v>
      </c>
      <c r="F64" s="2">
        <v>189.42</v>
      </c>
      <c r="G64" s="3"/>
      <c r="H64" s="2">
        <v>35.700000000000003</v>
      </c>
      <c r="I64" s="3"/>
      <c r="J64" s="2">
        <v>88.59</v>
      </c>
      <c r="K64" s="3"/>
      <c r="L64" s="2">
        <v>142.80000000000001</v>
      </c>
      <c r="M64" s="3"/>
      <c r="N64" s="2"/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","Freight out/Postage                               ")</f>
        <v xml:space="preserve">     Freight out/Postage                               </v>
      </c>
      <c r="C65" s="7"/>
      <c r="D65" s="1">
        <f>SUM(OSRRefD21_7x_0)</f>
        <v>306.14999999999998</v>
      </c>
      <c r="E65" s="19"/>
      <c r="F65" s="1">
        <f>SUM(OSRRefF21_7x_0)</f>
        <v>654.05000000000007</v>
      </c>
      <c r="G65" s="4"/>
      <c r="H65" s="1">
        <f>SUM(OSRRefH21_7x_0)</f>
        <v>317.74</v>
      </c>
      <c r="I65" s="4"/>
      <c r="J65" s="1">
        <f>SUM(OSRRefJ21_7x_0)</f>
        <v>318.67</v>
      </c>
      <c r="K65" s="4"/>
      <c r="L65" s="1">
        <f>SUM(OSRRefL21_7x_0)</f>
        <v>759.98</v>
      </c>
      <c r="M65" s="4"/>
      <c r="N65" s="1">
        <f>SUM(OSRRefN21_7x_0)</f>
        <v>331.18</v>
      </c>
      <c r="O65" s="4"/>
      <c r="P65" s="1">
        <f>SUM(OSRRefP21_7x_0)</f>
        <v>0</v>
      </c>
      <c r="Q65" s="4"/>
      <c r="R65" s="1">
        <f>SUM(OSRRefR21_7x_0)</f>
        <v>0</v>
      </c>
    </row>
    <row r="66" spans="1:18" s="16" customFormat="1" hidden="1" outlineLevel="2" x14ac:dyDescent="0.35">
      <c r="B66" s="11" t="str">
        <f>CONCATENATE("          ", "6305", " - ", "FREIGHT OUT")</f>
        <v xml:space="preserve">          6305 - FREIGHT OUT</v>
      </c>
      <c r="D66" s="2">
        <v>96.98</v>
      </c>
      <c r="F66" s="2">
        <v>121.97</v>
      </c>
      <c r="G66" s="3"/>
      <c r="H66" s="2">
        <v>286.79000000000002</v>
      </c>
      <c r="I66" s="3"/>
      <c r="J66" s="2">
        <v>318.67</v>
      </c>
      <c r="K66" s="3"/>
      <c r="L66" s="2">
        <v>728.36</v>
      </c>
      <c r="M66" s="3"/>
      <c r="N66" s="2">
        <v>331.18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"6307", " - ", "POSTAGE")</f>
        <v xml:space="preserve">          6307 - POSTAGE</v>
      </c>
      <c r="D67" s="2">
        <v>209.17</v>
      </c>
      <c r="F67" s="2">
        <v>532.08000000000004</v>
      </c>
      <c r="G67" s="3"/>
      <c r="H67" s="2">
        <v>30.95</v>
      </c>
      <c r="I67" s="3"/>
      <c r="J67" s="2"/>
      <c r="K67" s="3"/>
      <c r="L67" s="2">
        <v>31.62</v>
      </c>
      <c r="M67" s="3"/>
      <c r="N67" s="2"/>
      <c r="O67" s="3"/>
      <c r="P67" s="2"/>
      <c r="Q67" s="3"/>
      <c r="R67" s="2"/>
    </row>
    <row r="68" spans="1:18" s="15" customFormat="1" outlineLevel="1" collapsed="1" x14ac:dyDescent="0.35">
      <c r="A68" s="7"/>
      <c r="B68" s="20" t="str">
        <f>CONCATENATE("     ","General                                           ")</f>
        <v xml:space="preserve">     General                                           </v>
      </c>
      <c r="C68" s="7"/>
      <c r="D68" s="1">
        <f>SUM(OSRRefD21_8x_0)</f>
        <v>4251.8</v>
      </c>
      <c r="E68" s="19"/>
      <c r="F68" s="1">
        <f>SUM(OSRRefF21_8x_0)</f>
        <v>833.8</v>
      </c>
      <c r="G68" s="4"/>
      <c r="H68" s="1">
        <f>SUM(OSRRefH21_8x_0)</f>
        <v>833.8</v>
      </c>
      <c r="I68" s="4"/>
      <c r="J68" s="1">
        <f>SUM(OSRRefJ21_8x_0)</f>
        <v>857.95</v>
      </c>
      <c r="K68" s="4"/>
      <c r="L68" s="1">
        <f>SUM(OSRRefL21_8x_0)</f>
        <v>1306.3800000000001</v>
      </c>
      <c r="M68" s="4"/>
      <c r="N68" s="1">
        <f>SUM(OSRRefN21_8x_0)</f>
        <v>1192.3499999999999</v>
      </c>
      <c r="O68" s="4"/>
      <c r="P68" s="1">
        <f>SUM(OSRRefP21_8x_0)</f>
        <v>1350</v>
      </c>
      <c r="Q68" s="4"/>
      <c r="R68" s="1">
        <f>SUM(OSRRefR21_8x_0)</f>
        <v>0</v>
      </c>
    </row>
    <row r="69" spans="1:18" s="16" customFormat="1" hidden="1" outlineLevel="2" x14ac:dyDescent="0.35">
      <c r="B69" s="11" t="str">
        <f>CONCATENATE("          ", "6279", " - ", "GENERAL EXPENSE")</f>
        <v xml:space="preserve">          6279 - GENERAL EXPENSE</v>
      </c>
      <c r="D69" s="2">
        <v>4251.8</v>
      </c>
      <c r="F69" s="2">
        <v>833.8</v>
      </c>
      <c r="G69" s="3"/>
      <c r="H69" s="2">
        <v>833.8</v>
      </c>
      <c r="I69" s="3"/>
      <c r="J69" s="2">
        <v>857.95</v>
      </c>
      <c r="K69" s="3"/>
      <c r="L69" s="2">
        <v>1306.3800000000001</v>
      </c>
      <c r="M69" s="3"/>
      <c r="N69" s="2">
        <v>1192.3499999999999</v>
      </c>
      <c r="O69" s="3"/>
      <c r="P69" s="2">
        <v>1350</v>
      </c>
      <c r="Q69" s="3"/>
      <c r="R69" s="2"/>
    </row>
    <row r="70" spans="1:18" s="15" customFormat="1" outlineLevel="1" collapsed="1" x14ac:dyDescent="0.35">
      <c r="A70" s="7"/>
      <c r="B70" s="20" t="str">
        <f>CONCATENATE("     ","Professional Services                             ")</f>
        <v xml:space="preserve">     Professional Services                             </v>
      </c>
      <c r="C70" s="7"/>
      <c r="D70" s="1">
        <f>SUM(OSRRefD21_9x_0)</f>
        <v>750</v>
      </c>
      <c r="E70" s="19"/>
      <c r="F70" s="1">
        <f>SUM(OSRRefF21_9x_0)</f>
        <v>0</v>
      </c>
      <c r="G70" s="4"/>
      <c r="H70" s="1">
        <f>SUM(OSRRefH21_9x_0)</f>
        <v>6096.07</v>
      </c>
      <c r="I70" s="4"/>
      <c r="J70" s="1">
        <f>SUM(OSRRefJ21_9x_0)</f>
        <v>4241.9399999999996</v>
      </c>
      <c r="K70" s="4"/>
      <c r="L70" s="1">
        <f>SUM(OSRRefL21_9x_0)</f>
        <v>0</v>
      </c>
      <c r="M70" s="4"/>
      <c r="N70" s="1">
        <f>SUM(OSRRefN21_9x_0)</f>
        <v>0</v>
      </c>
      <c r="O70" s="4"/>
      <c r="P70" s="1">
        <f>SUM(OSRRefP21_9x_0)</f>
        <v>0</v>
      </c>
      <c r="Q70" s="4"/>
      <c r="R70" s="1">
        <f>SUM(OSRRefR21_9x_0)</f>
        <v>0</v>
      </c>
    </row>
    <row r="71" spans="1:18" s="16" customFormat="1" hidden="1" outlineLevel="2" x14ac:dyDescent="0.35">
      <c r="B71" s="11" t="str">
        <f>CONCATENATE("          ", "6336", " - ", "PROFESSIONAL SERVICES")</f>
        <v xml:space="preserve">          6336 - PROFESSIONAL SERVICES</v>
      </c>
      <c r="D71" s="2">
        <v>750</v>
      </c>
      <c r="F71" s="2"/>
      <c r="G71" s="3"/>
      <c r="H71" s="2">
        <v>6096.07</v>
      </c>
      <c r="I71" s="3"/>
      <c r="J71" s="2">
        <v>4241.9399999999996</v>
      </c>
      <c r="K71" s="3"/>
      <c r="L71" s="2"/>
      <c r="M71" s="3"/>
      <c r="N71" s="2"/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","Repair and Maintenance                            ")</f>
        <v xml:space="preserve">     Repair and Maintenance                            </v>
      </c>
      <c r="C72" s="7"/>
      <c r="D72" s="1">
        <f>SUM(OSRRefD21_10x_0)</f>
        <v>1183.95</v>
      </c>
      <c r="E72" s="19"/>
      <c r="F72" s="1">
        <f>SUM(OSRRefF21_10x_0)</f>
        <v>1618.45</v>
      </c>
      <c r="G72" s="4"/>
      <c r="H72" s="1">
        <f>SUM(OSRRefH21_10x_0)</f>
        <v>854.47</v>
      </c>
      <c r="I72" s="4"/>
      <c r="J72" s="1">
        <f>SUM(OSRRefJ21_10x_0)</f>
        <v>318.39999999999998</v>
      </c>
      <c r="K72" s="4"/>
      <c r="L72" s="1">
        <f>SUM(OSRRefL21_10x_0)</f>
        <v>563.51</v>
      </c>
      <c r="M72" s="4"/>
      <c r="N72" s="1">
        <f>SUM(OSRRefN21_10x_0)</f>
        <v>1112.74</v>
      </c>
      <c r="O72" s="4"/>
      <c r="P72" s="1">
        <f>SUM(OSRRefP21_10x_0)</f>
        <v>385</v>
      </c>
      <c r="Q72" s="4"/>
      <c r="R72" s="1">
        <f>SUM(OSRRefR21_10x_0)</f>
        <v>0</v>
      </c>
    </row>
    <row r="73" spans="1:18" s="16" customFormat="1" hidden="1" outlineLevel="2" x14ac:dyDescent="0.35">
      <c r="B73" s="11" t="str">
        <f>CONCATENATE("          ", "6371", " - ", "COMPUTER SOFTWARE MAINTENANCE")</f>
        <v xml:space="preserve">          6371 - COMPUTER SOFTWARE MAINTENANCE</v>
      </c>
      <c r="D73" s="2"/>
      <c r="F73" s="2"/>
      <c r="G73" s="3"/>
      <c r="H73" s="2"/>
      <c r="I73" s="3"/>
      <c r="J73" s="2"/>
      <c r="K73" s="3"/>
      <c r="L73" s="2"/>
      <c r="M73" s="3"/>
      <c r="N73" s="2">
        <v>437.31</v>
      </c>
      <c r="O73" s="3"/>
      <c r="P73" s="2"/>
      <c r="Q73" s="3"/>
      <c r="R73" s="2"/>
    </row>
    <row r="74" spans="1:18" s="16" customFormat="1" hidden="1" outlineLevel="2" x14ac:dyDescent="0.35">
      <c r="B74" s="11" t="str">
        <f>CONCATENATE("          ", "6373", " - ", "MAINTENANCE CONTRACTS")</f>
        <v xml:space="preserve">          6373 - MAINTENANCE CONTRACTS</v>
      </c>
      <c r="D74" s="2">
        <v>904.21</v>
      </c>
      <c r="F74" s="2">
        <v>132.69999999999999</v>
      </c>
      <c r="G74" s="3"/>
      <c r="H74" s="2"/>
      <c r="I74" s="3"/>
      <c r="J74" s="2">
        <v>175.79</v>
      </c>
      <c r="K74" s="3"/>
      <c r="L74" s="2">
        <v>89.96</v>
      </c>
      <c r="M74" s="3"/>
      <c r="N74" s="2">
        <v>94.85</v>
      </c>
      <c r="O74" s="3"/>
      <c r="P74" s="2"/>
      <c r="Q74" s="3"/>
      <c r="R74" s="2"/>
    </row>
    <row r="75" spans="1:18" s="16" customFormat="1" hidden="1" outlineLevel="2" x14ac:dyDescent="0.35">
      <c r="B75" s="11" t="str">
        <f>CONCATENATE("          ", "6375", " - ", "OUTSIDE REPAIRS &amp; MAINTENANCE")</f>
        <v xml:space="preserve">          6375 - OUTSIDE REPAIRS &amp; MAINTENANCE</v>
      </c>
      <c r="D75" s="2">
        <v>279.74</v>
      </c>
      <c r="F75" s="2">
        <v>1485.75</v>
      </c>
      <c r="G75" s="3"/>
      <c r="H75" s="2">
        <v>854.47</v>
      </c>
      <c r="I75" s="3"/>
      <c r="J75" s="2">
        <v>142.61000000000001</v>
      </c>
      <c r="K75" s="3"/>
      <c r="L75" s="2">
        <v>473.55</v>
      </c>
      <c r="M75" s="3"/>
      <c r="N75" s="2">
        <v>580.58000000000004</v>
      </c>
      <c r="O75" s="3"/>
      <c r="P75" s="2">
        <v>385</v>
      </c>
      <c r="Q75" s="3"/>
      <c r="R75" s="2"/>
    </row>
    <row r="76" spans="1:18" s="15" customFormat="1" outlineLevel="1" collapsed="1" x14ac:dyDescent="0.35">
      <c r="A76" s="7"/>
      <c r="B76" s="20" t="str">
        <f>CONCATENATE("     ","Services                                          ")</f>
        <v xml:space="preserve">     Services                                          </v>
      </c>
      <c r="C76" s="7"/>
      <c r="D76" s="1">
        <f>SUM(OSRRefD21_11x_0)</f>
        <v>1830.29</v>
      </c>
      <c r="E76" s="19"/>
      <c r="F76" s="1">
        <f>SUM(OSRRefF21_11x_0)</f>
        <v>969.76</v>
      </c>
      <c r="G76" s="4"/>
      <c r="H76" s="1">
        <f>SUM(OSRRefH21_11x_0)</f>
        <v>1343.16</v>
      </c>
      <c r="I76" s="4"/>
      <c r="J76" s="1">
        <f>SUM(OSRRefJ21_11x_0)</f>
        <v>1381.91</v>
      </c>
      <c r="K76" s="4"/>
      <c r="L76" s="1">
        <f>SUM(OSRRefL21_11x_0)</f>
        <v>1588.98</v>
      </c>
      <c r="M76" s="4"/>
      <c r="N76" s="1">
        <f>SUM(OSRRefN21_11x_0)</f>
        <v>1180.31</v>
      </c>
      <c r="O76" s="4"/>
      <c r="P76" s="1">
        <f>SUM(OSRRefP21_11x_0)</f>
        <v>1956</v>
      </c>
      <c r="Q76" s="4"/>
      <c r="R76" s="1">
        <f>SUM(OSRRefR21_11x_0)</f>
        <v>0</v>
      </c>
    </row>
    <row r="77" spans="1:18" s="16" customFormat="1" hidden="1" outlineLevel="2" x14ac:dyDescent="0.35">
      <c r="B77" s="11" t="str">
        <f>CONCATENATE("          ", "6285", " - ", "JANITORIAL SERVICES")</f>
        <v xml:space="preserve">          6285 - JANITORIAL SERVICES</v>
      </c>
      <c r="D77" s="2">
        <v>1830.29</v>
      </c>
      <c r="F77" s="2">
        <v>969.76</v>
      </c>
      <c r="G77" s="3"/>
      <c r="H77" s="2">
        <v>1343.16</v>
      </c>
      <c r="I77" s="3"/>
      <c r="J77" s="2">
        <v>1100.48</v>
      </c>
      <c r="K77" s="3"/>
      <c r="L77" s="2">
        <v>26.93</v>
      </c>
      <c r="M77" s="3"/>
      <c r="N77" s="2"/>
      <c r="O77" s="3"/>
      <c r="P77" s="2">
        <v>1956</v>
      </c>
      <c r="Q77" s="3"/>
      <c r="R77" s="2"/>
    </row>
    <row r="78" spans="1:18" s="16" customFormat="1" hidden="1" outlineLevel="2" x14ac:dyDescent="0.35">
      <c r="B78" s="11" t="str">
        <f>CONCATENATE("          ", "6286", " - ", "LAUNDRY EXPENSE")</f>
        <v xml:space="preserve">          6286 - LAUNDRY EXPENSE</v>
      </c>
      <c r="D78" s="2"/>
      <c r="F78" s="2"/>
      <c r="G78" s="3"/>
      <c r="H78" s="2"/>
      <c r="I78" s="3"/>
      <c r="J78" s="2">
        <v>281.43</v>
      </c>
      <c r="K78" s="3"/>
      <c r="L78" s="2">
        <v>1562.05</v>
      </c>
      <c r="M78" s="3"/>
      <c r="N78" s="2">
        <v>1180.31</v>
      </c>
      <c r="O78" s="3"/>
      <c r="P78" s="2"/>
      <c r="Q78" s="3"/>
      <c r="R78" s="2"/>
    </row>
    <row r="79" spans="1:18" s="15" customFormat="1" outlineLevel="1" collapsed="1" x14ac:dyDescent="0.35">
      <c r="A79" s="7"/>
      <c r="B79" s="20" t="str">
        <f>CONCATENATE("     ","Subscriptions &amp; Dues                              ")</f>
        <v xml:space="preserve">     Subscriptions &amp; Dues                              </v>
      </c>
      <c r="C79" s="7"/>
      <c r="D79" s="1">
        <f>SUM(OSRRefD21_12x_0)</f>
        <v>350</v>
      </c>
      <c r="E79" s="19"/>
      <c r="F79" s="1">
        <f>SUM(OSRRefF21_12x_0)</f>
        <v>1800</v>
      </c>
      <c r="G79" s="4"/>
      <c r="H79" s="1">
        <f>SUM(OSRRefH21_12x_0)</f>
        <v>-238.71</v>
      </c>
      <c r="I79" s="4"/>
      <c r="J79" s="1">
        <f>SUM(OSRRefJ21_12x_0)</f>
        <v>155</v>
      </c>
      <c r="K79" s="4"/>
      <c r="L79" s="1">
        <f>SUM(OSRRefL21_12x_0)</f>
        <v>43.18</v>
      </c>
      <c r="M79" s="4"/>
      <c r="N79" s="1">
        <f>SUM(OSRRefN21_12x_0)</f>
        <v>0</v>
      </c>
      <c r="O79" s="4"/>
      <c r="P79" s="1">
        <f>SUM(OSRRefP21_12x_0)</f>
        <v>0</v>
      </c>
      <c r="Q79" s="4"/>
      <c r="R79" s="1">
        <f>SUM(OSRRefR21_12x_0)</f>
        <v>0</v>
      </c>
    </row>
    <row r="80" spans="1:18" s="16" customFormat="1" hidden="1" outlineLevel="2" x14ac:dyDescent="0.35">
      <c r="B80" s="11" t="str">
        <f>CONCATENATE("          ", "6258", " - ", "MEMBERSHIP DUES")</f>
        <v xml:space="preserve">          6258 - MEMBERSHIP DUES</v>
      </c>
      <c r="D80" s="2"/>
      <c r="F80" s="2"/>
      <c r="G80" s="3"/>
      <c r="H80" s="2"/>
      <c r="I80" s="3"/>
      <c r="J80" s="2">
        <v>155</v>
      </c>
      <c r="K80" s="3"/>
      <c r="L80" s="2">
        <v>50</v>
      </c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"6275", " - ", "SUBSCRIPTIONS")</f>
        <v xml:space="preserve">          6275 - SUBSCRIPTIONS</v>
      </c>
      <c r="D81" s="2">
        <v>350</v>
      </c>
      <c r="F81" s="2">
        <v>1800</v>
      </c>
      <c r="G81" s="3"/>
      <c r="H81" s="2">
        <v>-238.71</v>
      </c>
      <c r="I81" s="3"/>
      <c r="J81" s="2"/>
      <c r="K81" s="3"/>
      <c r="L81" s="2">
        <v>-6.82</v>
      </c>
      <c r="M81" s="3"/>
      <c r="N81" s="2"/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","Supplies                                          ")</f>
        <v xml:space="preserve">     Supplies                                          </v>
      </c>
      <c r="C82" s="7"/>
      <c r="D82" s="1">
        <f>SUM(OSRRefD21_13x_0)</f>
        <v>6965.7000000000007</v>
      </c>
      <c r="E82" s="19"/>
      <c r="F82" s="1">
        <f>SUM(OSRRefF21_13x_0)</f>
        <v>11985.55</v>
      </c>
      <c r="G82" s="4"/>
      <c r="H82" s="1">
        <f>SUM(OSRRefH21_13x_0)</f>
        <v>14217.720000000001</v>
      </c>
      <c r="I82" s="4"/>
      <c r="J82" s="1">
        <f>SUM(OSRRefJ21_13x_0)</f>
        <v>4526.0499999999993</v>
      </c>
      <c r="K82" s="4"/>
      <c r="L82" s="1">
        <f>SUM(OSRRefL21_13x_0)</f>
        <v>2344.5100000000002</v>
      </c>
      <c r="M82" s="4"/>
      <c r="N82" s="1">
        <f>SUM(OSRRefN21_13x_0)</f>
        <v>6469.25</v>
      </c>
      <c r="O82" s="4"/>
      <c r="P82" s="1">
        <f>SUM(OSRRefP21_13x_0)</f>
        <v>5120</v>
      </c>
      <c r="Q82" s="4"/>
      <c r="R82" s="1">
        <f>SUM(OSRRefR21_13x_0)</f>
        <v>0</v>
      </c>
    </row>
    <row r="83" spans="1:18" s="16" customFormat="1" hidden="1" outlineLevel="2" x14ac:dyDescent="0.35">
      <c r="B83" s="11" t="str">
        <f>CONCATENATE("          ", "6234", " - ", "EXPENDABLE SUPPLIES &amp; EQUIPMEN")</f>
        <v xml:space="preserve">          6234 - EXPENDABLE SUPPLIES &amp; EQUIPMEN</v>
      </c>
      <c r="D83" s="2">
        <v>430.09</v>
      </c>
      <c r="F83" s="2">
        <v>2805.66</v>
      </c>
      <c r="G83" s="3"/>
      <c r="H83" s="2"/>
      <c r="I83" s="3"/>
      <c r="J83" s="2"/>
      <c r="K83" s="3"/>
      <c r="L83" s="2"/>
      <c r="M83" s="3"/>
      <c r="N83" s="2">
        <v>354.82</v>
      </c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"6235", " - ", "COVID-19 EXPENSES")</f>
        <v xml:space="preserve">          6235 - COVID-19 EXPENSES</v>
      </c>
      <c r="D84" s="2"/>
      <c r="F84" s="2"/>
      <c r="G84" s="3"/>
      <c r="H84" s="2"/>
      <c r="I84" s="3"/>
      <c r="J84" s="2"/>
      <c r="K84" s="3"/>
      <c r="L84" s="2"/>
      <c r="M84" s="3"/>
      <c r="N84" s="2"/>
      <c r="O84" s="3"/>
      <c r="P84" s="2">
        <v>0</v>
      </c>
      <c r="Q84" s="3"/>
      <c r="R84" s="2"/>
    </row>
    <row r="85" spans="1:18" s="16" customFormat="1" hidden="1" outlineLevel="2" x14ac:dyDescent="0.35">
      <c r="B85" s="11" t="str">
        <f>CONCATENATE("          ", "6237", " - ", "JANITORIAL SUPPLIES")</f>
        <v xml:space="preserve">          6237 - JANITORIAL SUPPLIES</v>
      </c>
      <c r="D85" s="2">
        <v>767.34</v>
      </c>
      <c r="F85" s="2">
        <v>45.91</v>
      </c>
      <c r="G85" s="3"/>
      <c r="H85" s="2"/>
      <c r="I85" s="3"/>
      <c r="J85" s="2">
        <v>126.61</v>
      </c>
      <c r="K85" s="3"/>
      <c r="L85" s="2">
        <v>161.81</v>
      </c>
      <c r="M85" s="3"/>
      <c r="N85" s="2">
        <v>151.25</v>
      </c>
      <c r="O85" s="3"/>
      <c r="P85" s="2"/>
      <c r="Q85" s="3"/>
      <c r="R85" s="2"/>
    </row>
    <row r="86" spans="1:18" s="16" customFormat="1" hidden="1" outlineLevel="2" x14ac:dyDescent="0.35">
      <c r="B86" s="11" t="str">
        <f>CONCATENATE("          ", "6241", " - ", "OFFICE EXPENSE")</f>
        <v xml:space="preserve">          6241 - OFFICE EXPENSE</v>
      </c>
      <c r="D86" s="2">
        <v>1151.19</v>
      </c>
      <c r="F86" s="2">
        <v>780.9</v>
      </c>
      <c r="G86" s="3"/>
      <c r="H86" s="2">
        <v>3016.64</v>
      </c>
      <c r="I86" s="3"/>
      <c r="J86" s="2">
        <v>765.81</v>
      </c>
      <c r="K86" s="3"/>
      <c r="L86" s="2">
        <v>367.7</v>
      </c>
      <c r="M86" s="3"/>
      <c r="N86" s="2">
        <v>328.56</v>
      </c>
      <c r="O86" s="3"/>
      <c r="P86" s="2"/>
      <c r="Q86" s="3"/>
      <c r="R86" s="2"/>
    </row>
    <row r="87" spans="1:18" s="16" customFormat="1" hidden="1" outlineLevel="2" x14ac:dyDescent="0.35">
      <c r="B87" s="11" t="str">
        <f>CONCATENATE("          ", "6245", " - ", "PRINTING")</f>
        <v xml:space="preserve">          6245 - PRINTING</v>
      </c>
      <c r="D87" s="2">
        <v>433.96</v>
      </c>
      <c r="F87" s="2">
        <v>88.95</v>
      </c>
      <c r="G87" s="3"/>
      <c r="H87" s="2">
        <v>16.559999999999999</v>
      </c>
      <c r="I87" s="3"/>
      <c r="J87" s="2">
        <v>5.91</v>
      </c>
      <c r="K87" s="3"/>
      <c r="L87" s="2"/>
      <c r="M87" s="3"/>
      <c r="N87" s="2">
        <v>81.739999999999995</v>
      </c>
      <c r="O87" s="3"/>
      <c r="P87" s="2"/>
      <c r="Q87" s="3"/>
      <c r="R87" s="2"/>
    </row>
    <row r="88" spans="1:18" s="16" customFormat="1" hidden="1" outlineLevel="2" x14ac:dyDescent="0.35">
      <c r="B88" s="11" t="str">
        <f>CONCATENATE("          ", "6247", " - ", "STORE SUPPLIES")</f>
        <v xml:space="preserve">          6247 - STORE SUPPLIES</v>
      </c>
      <c r="D88" s="2">
        <v>3999.02</v>
      </c>
      <c r="F88" s="2">
        <v>7984.95</v>
      </c>
      <c r="G88" s="3"/>
      <c r="H88" s="2">
        <v>11184.52</v>
      </c>
      <c r="I88" s="3"/>
      <c r="J88" s="2">
        <v>3627.72</v>
      </c>
      <c r="K88" s="3"/>
      <c r="L88" s="2">
        <v>1627.13</v>
      </c>
      <c r="M88" s="3"/>
      <c r="N88" s="2">
        <v>5518.43</v>
      </c>
      <c r="O88" s="3"/>
      <c r="P88" s="2">
        <v>5120</v>
      </c>
      <c r="Q88" s="3"/>
      <c r="R88" s="2"/>
    </row>
    <row r="89" spans="1:18" s="16" customFormat="1" hidden="1" outlineLevel="2" x14ac:dyDescent="0.35">
      <c r="B89" s="11" t="str">
        <f>CONCATENATE("          ", "6248", " - ", "UNIFORMS")</f>
        <v xml:space="preserve">          6248 - UNIFORMS</v>
      </c>
      <c r="D89" s="2">
        <v>184.1</v>
      </c>
      <c r="F89" s="2">
        <v>279.18</v>
      </c>
      <c r="G89" s="3"/>
      <c r="H89" s="2"/>
      <c r="I89" s="3"/>
      <c r="J89" s="2"/>
      <c r="K89" s="3"/>
      <c r="L89" s="2">
        <v>187.87</v>
      </c>
      <c r="M89" s="3"/>
      <c r="N89" s="2">
        <v>34.450000000000003</v>
      </c>
      <c r="O89" s="3"/>
      <c r="P89" s="2">
        <v>0</v>
      </c>
      <c r="Q89" s="3"/>
      <c r="R89" s="2"/>
    </row>
    <row r="90" spans="1:18" s="15" customFormat="1" outlineLevel="1" collapsed="1" x14ac:dyDescent="0.35">
      <c r="A90" s="7"/>
      <c r="B90" s="20" t="str">
        <f>CONCATENATE("     ","Telephone/Data Lines                              ")</f>
        <v xml:space="preserve">     Telephone/Data Lines                              </v>
      </c>
      <c r="C90" s="7"/>
      <c r="D90" s="1">
        <f>SUM(OSRRefD21_14x_0)</f>
        <v>990.7</v>
      </c>
      <c r="E90" s="19"/>
      <c r="F90" s="1">
        <f>SUM(OSRRefF21_14x_0)</f>
        <v>1044.8499999999999</v>
      </c>
      <c r="G90" s="4"/>
      <c r="H90" s="1">
        <f>SUM(OSRRefH21_14x_0)</f>
        <v>1239.5999999999999</v>
      </c>
      <c r="I90" s="4"/>
      <c r="J90" s="1">
        <f>SUM(OSRRefJ21_14x_0)</f>
        <v>1542.8</v>
      </c>
      <c r="K90" s="4"/>
      <c r="L90" s="1">
        <f>SUM(OSRRefL21_14x_0)</f>
        <v>1601</v>
      </c>
      <c r="M90" s="4"/>
      <c r="N90" s="1">
        <f>SUM(OSRRefN21_14x_0)</f>
        <v>1493.23</v>
      </c>
      <c r="O90" s="4"/>
      <c r="P90" s="1">
        <f>SUM(OSRRefP21_14x_0)</f>
        <v>1440</v>
      </c>
      <c r="Q90" s="4"/>
      <c r="R90" s="1">
        <f>SUM(OSRRefR21_14x_0)</f>
        <v>0</v>
      </c>
    </row>
    <row r="91" spans="1:18" s="16" customFormat="1" hidden="1" outlineLevel="2" x14ac:dyDescent="0.35">
      <c r="B91" s="11" t="str">
        <f>CONCATENATE("          ", "6303", " - ", "DATA PHONE LINES")</f>
        <v xml:space="preserve">          6303 - DATA PHONE LINES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1440</v>
      </c>
      <c r="Q91" s="3"/>
      <c r="R91" s="2"/>
    </row>
    <row r="92" spans="1:18" s="16" customFormat="1" hidden="1" outlineLevel="2" x14ac:dyDescent="0.35">
      <c r="B92" s="11" t="str">
        <f>CONCATENATE("          ", "6309", " - ", "TELEPHONE")</f>
        <v xml:space="preserve">          6309 - TELEPHONE</v>
      </c>
      <c r="D92" s="2">
        <v>990.7</v>
      </c>
      <c r="F92" s="2">
        <v>1044.8499999999999</v>
      </c>
      <c r="G92" s="3"/>
      <c r="H92" s="2">
        <v>1239.5999999999999</v>
      </c>
      <c r="I92" s="3"/>
      <c r="J92" s="2">
        <v>1542.8</v>
      </c>
      <c r="K92" s="3"/>
      <c r="L92" s="2">
        <v>1601</v>
      </c>
      <c r="M92" s="3"/>
      <c r="N92" s="2">
        <v>1493.23</v>
      </c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","Training                                          ")</f>
        <v xml:space="preserve">     Training                                          </v>
      </c>
      <c r="C93" s="7"/>
      <c r="D93" s="1">
        <f>SUM(OSRRefD21_15x_0)</f>
        <v>475</v>
      </c>
      <c r="E93" s="19"/>
      <c r="F93" s="1">
        <f>SUM(OSRRefF21_15x_0)</f>
        <v>160</v>
      </c>
      <c r="G93" s="4"/>
      <c r="H93" s="1">
        <f>SUM(OSRRefH21_15x_0)</f>
        <v>120</v>
      </c>
      <c r="I93" s="4"/>
      <c r="J93" s="1">
        <f>SUM(OSRRefJ21_15x_0)</f>
        <v>90</v>
      </c>
      <c r="K93" s="4"/>
      <c r="L93" s="1">
        <f>SUM(OSRRefL21_15x_0)</f>
        <v>98.82</v>
      </c>
      <c r="M93" s="4"/>
      <c r="N93" s="1">
        <f>SUM(OSRRefN21_15x_0)</f>
        <v>96</v>
      </c>
      <c r="O93" s="4"/>
      <c r="P93" s="1">
        <f>SUM(OSRRefP21_15x_0)</f>
        <v>120</v>
      </c>
      <c r="Q93" s="4"/>
      <c r="R93" s="1">
        <f>SUM(OSRRefR21_15x_0)</f>
        <v>0</v>
      </c>
    </row>
    <row r="94" spans="1:18" s="16" customFormat="1" hidden="1" outlineLevel="2" x14ac:dyDescent="0.35">
      <c r="B94" s="11" t="str">
        <f>CONCATENATE("          ", "6376", " - ", "TRAINING")</f>
        <v xml:space="preserve">          6376 - TRAINING</v>
      </c>
      <c r="D94" s="2">
        <v>475</v>
      </c>
      <c r="F94" s="2">
        <v>160</v>
      </c>
      <c r="G94" s="3"/>
      <c r="H94" s="2">
        <v>120</v>
      </c>
      <c r="I94" s="3"/>
      <c r="J94" s="2">
        <v>90</v>
      </c>
      <c r="K94" s="3"/>
      <c r="L94" s="2">
        <v>98.82</v>
      </c>
      <c r="M94" s="3"/>
      <c r="N94" s="2">
        <v>96</v>
      </c>
      <c r="O94" s="3"/>
      <c r="P94" s="2">
        <v>120</v>
      </c>
      <c r="Q94" s="3"/>
      <c r="R94" s="2"/>
    </row>
    <row r="95" spans="1:18" s="15" customFormat="1" outlineLevel="1" collapsed="1" x14ac:dyDescent="0.35">
      <c r="A95" s="7"/>
      <c r="B95" s="20" t="str">
        <f>CONCATENATE("     ","Travel                                            ")</f>
        <v xml:space="preserve">     Travel                                            </v>
      </c>
      <c r="C95" s="7"/>
      <c r="D95" s="1">
        <f>SUM(OSRRefD21_16x_0)</f>
        <v>112.65</v>
      </c>
      <c r="E95" s="19"/>
      <c r="F95" s="1">
        <f>SUM(OSRRefF21_16x_0)</f>
        <v>0</v>
      </c>
      <c r="G95" s="4"/>
      <c r="H95" s="1">
        <f>SUM(OSRRefH21_16x_0)</f>
        <v>475.77</v>
      </c>
      <c r="I95" s="4"/>
      <c r="J95" s="1">
        <f>SUM(OSRRefJ21_16x_0)</f>
        <v>0</v>
      </c>
      <c r="K95" s="4"/>
      <c r="L95" s="1">
        <f>SUM(OSRRefL21_16x_0)</f>
        <v>0</v>
      </c>
      <c r="M95" s="4"/>
      <c r="N95" s="1">
        <f>SUM(OSRRefN21_16x_0)</f>
        <v>0</v>
      </c>
      <c r="O95" s="4"/>
      <c r="P95" s="1">
        <f>SUM(OSRRefP21_16x_0)</f>
        <v>0</v>
      </c>
      <c r="Q95" s="4"/>
      <c r="R95" s="1">
        <f>SUM(OSRRefR21_16x_0)</f>
        <v>0</v>
      </c>
    </row>
    <row r="96" spans="1:18" s="16" customFormat="1" hidden="1" outlineLevel="2" x14ac:dyDescent="0.35">
      <c r="B96" s="11" t="str">
        <f>CONCATENATE("          ", "6292", " - ", "TRAVEL/CONFERENCE")</f>
        <v xml:space="preserve">          6292 - TRAVEL/CONFERENCE</v>
      </c>
      <c r="D96" s="2">
        <v>112.65</v>
      </c>
      <c r="F96" s="2"/>
      <c r="G96" s="3"/>
      <c r="H96" s="2">
        <v>341.89</v>
      </c>
      <c r="I96" s="3"/>
      <c r="J96" s="2"/>
      <c r="K96" s="3"/>
      <c r="L96" s="2"/>
      <c r="M96" s="3"/>
      <c r="N96" s="2"/>
      <c r="O96" s="3"/>
      <c r="P96" s="2">
        <v>0</v>
      </c>
      <c r="Q96" s="3"/>
      <c r="R96" s="2"/>
    </row>
    <row r="97" spans="1:18" s="16" customFormat="1" hidden="1" outlineLevel="2" x14ac:dyDescent="0.35">
      <c r="B97" s="11" t="str">
        <f>CONCATENATE("          ", "6294", " - ", "TRAVEL OPERATIONAL")</f>
        <v xml:space="preserve">          6294 - TRAVEL OPERATIONAL</v>
      </c>
      <c r="D97" s="2"/>
      <c r="F97" s="2"/>
      <c r="G97" s="3"/>
      <c r="H97" s="2">
        <v>133.88</v>
      </c>
      <c r="I97" s="3"/>
      <c r="J97" s="2"/>
      <c r="K97" s="3"/>
      <c r="L97" s="2"/>
      <c r="M97" s="3"/>
      <c r="N97" s="2"/>
      <c r="O97" s="3"/>
      <c r="P97" s="2"/>
      <c r="Q97" s="3"/>
      <c r="R97" s="2"/>
    </row>
    <row r="98" spans="1:18" x14ac:dyDescent="0.35">
      <c r="A98" s="12"/>
      <c r="B98" s="12"/>
      <c r="C98" s="12"/>
      <c r="D98" s="1"/>
      <c r="F98" s="1"/>
      <c r="H98" s="1"/>
      <c r="J98" s="1"/>
      <c r="L98" s="1"/>
      <c r="N98" s="1"/>
      <c r="P98" s="1"/>
      <c r="R98" s="1"/>
    </row>
    <row r="99" spans="1:18" s="7" customFormat="1" x14ac:dyDescent="0.35">
      <c r="A99" s="36"/>
      <c r="B99" s="34" t="s">
        <v>295</v>
      </c>
      <c r="D99" s="6">
        <f>SUM(0)</f>
        <v>0</v>
      </c>
      <c r="E99" s="12"/>
      <c r="F99" s="6">
        <f>SUM(0)</f>
        <v>0</v>
      </c>
      <c r="G99" s="5"/>
      <c r="H99" s="6">
        <f>SUM(0)</f>
        <v>0</v>
      </c>
      <c r="I99" s="5"/>
      <c r="J99" s="6">
        <f>SUM(0)</f>
        <v>0</v>
      </c>
      <c r="K99" s="5"/>
      <c r="L99" s="6">
        <f>SUM(0)</f>
        <v>0</v>
      </c>
      <c r="M99" s="5"/>
      <c r="N99" s="6">
        <f>SUM(0)</f>
        <v>0</v>
      </c>
      <c r="O99" s="5"/>
      <c r="P99" s="6">
        <f>SUM(0)</f>
        <v>0</v>
      </c>
      <c r="Q99" s="5"/>
      <c r="R99" s="6">
        <f>SUM(0)</f>
        <v>0</v>
      </c>
    </row>
    <row r="100" spans="1:18" x14ac:dyDescent="0.35">
      <c r="A100" s="12"/>
      <c r="B100" s="7"/>
      <c r="C100" s="7"/>
      <c r="D100" s="6"/>
      <c r="F100" s="6"/>
      <c r="H100" s="6"/>
      <c r="J100" s="6"/>
      <c r="L100" s="6"/>
      <c r="N100" s="6"/>
      <c r="P100" s="6"/>
      <c r="R100" s="6"/>
    </row>
    <row r="101" spans="1:18" s="15" customFormat="1" x14ac:dyDescent="0.35">
      <c r="A101" s="7"/>
      <c r="B101" s="22" t="s">
        <v>279</v>
      </c>
      <c r="C101" s="22"/>
      <c r="D101" s="10">
        <f>+D30-D33+D99</f>
        <v>184401.38999999996</v>
      </c>
      <c r="E101" s="12"/>
      <c r="F101" s="10">
        <f>+F30-F33+F99</f>
        <v>55513.379999999859</v>
      </c>
      <c r="G101" s="5"/>
      <c r="H101" s="10">
        <f>+H30-H33+H99</f>
        <v>99035.599999999977</v>
      </c>
      <c r="I101" s="5"/>
      <c r="J101" s="10">
        <f>+J30-J33+J99</f>
        <v>49203.990000000078</v>
      </c>
      <c r="K101" s="5"/>
      <c r="L101" s="10">
        <f>+L30-L33+L99</f>
        <v>66534.480000000185</v>
      </c>
      <c r="M101" s="5"/>
      <c r="N101" s="10">
        <f>+N30-N33+N99</f>
        <v>56820.560000000085</v>
      </c>
      <c r="O101" s="5"/>
      <c r="P101" s="10">
        <f>+P30-P33+P99</f>
        <v>-88312.312781799992</v>
      </c>
      <c r="Q101" s="5"/>
      <c r="R101" s="10">
        <f>+R30-R33+R99</f>
        <v>0</v>
      </c>
    </row>
    <row r="102" spans="1:18" s="27" customFormat="1" x14ac:dyDescent="0.35">
      <c r="A102" s="18"/>
      <c r="B102" s="31"/>
      <c r="C102" s="18"/>
      <c r="D102" s="9">
        <f>IFERROR(D101/D10, 0)</f>
        <v>0.27040431137361376</v>
      </c>
      <c r="E102" s="18"/>
      <c r="F102" s="9">
        <f>IFERROR(F101/F10, 0)</f>
        <v>8.4830180578567532E-2</v>
      </c>
      <c r="G102" s="14"/>
      <c r="H102" s="9">
        <f>IFERROR(H101/H10, 0)</f>
        <v>0.141791739055873</v>
      </c>
      <c r="I102" s="14"/>
      <c r="J102" s="9">
        <f>IFERROR(J101/J10, 0)</f>
        <v>7.8841419307351737E-2</v>
      </c>
      <c r="K102" s="14"/>
      <c r="L102" s="9">
        <f>IFERROR(L101/L10, 0)</f>
        <v>0.10523448335190461</v>
      </c>
      <c r="M102" s="14"/>
      <c r="N102" s="9">
        <f>IFERROR(N101/N10, 0)</f>
        <v>0.11455707252911394</v>
      </c>
      <c r="O102" s="14"/>
      <c r="P102" s="9">
        <f>IFERROR(P101/P10, 0)</f>
        <v>-0.41444251775941277</v>
      </c>
      <c r="Q102" s="14"/>
      <c r="R102" s="9">
        <f>IFERROR(R101/R10, 0)</f>
        <v>0</v>
      </c>
    </row>
    <row r="103" spans="1:18" s="27" customFormat="1" x14ac:dyDescent="0.35">
      <c r="A103" s="18"/>
      <c r="B103" s="31"/>
      <c r="C103" s="18"/>
      <c r="D103" s="13"/>
      <c r="E103" s="18"/>
      <c r="F103" s="13"/>
      <c r="G103" s="14"/>
      <c r="H103" s="13"/>
      <c r="I103" s="14"/>
      <c r="J103" s="13"/>
      <c r="K103" s="14"/>
      <c r="L103" s="13"/>
      <c r="M103" s="14"/>
      <c r="N103" s="13"/>
      <c r="O103" s="14"/>
      <c r="P103" s="13"/>
      <c r="Q103" s="14"/>
      <c r="R103" s="13"/>
    </row>
    <row r="104" spans="1:18" s="15" customFormat="1" x14ac:dyDescent="0.35">
      <c r="A104" s="37"/>
      <c r="B104" s="7" t="s">
        <v>127</v>
      </c>
      <c r="C104" s="7"/>
      <c r="D104" s="6">
        <v>148192.24</v>
      </c>
      <c r="E104" s="12"/>
      <c r="F104" s="6">
        <v>93159.23</v>
      </c>
      <c r="G104" s="5"/>
      <c r="H104" s="6">
        <v>93387.88</v>
      </c>
      <c r="I104" s="5"/>
      <c r="J104" s="6">
        <v>83761.03</v>
      </c>
      <c r="K104" s="5"/>
      <c r="L104" s="6">
        <v>45064.93</v>
      </c>
      <c r="M104" s="5"/>
      <c r="N104" s="6">
        <v>75105.95</v>
      </c>
      <c r="O104" s="5"/>
      <c r="P104" s="6">
        <v>36008</v>
      </c>
      <c r="Q104" s="5"/>
      <c r="R104" s="6"/>
    </row>
    <row r="105" spans="1:18" x14ac:dyDescent="0.35">
      <c r="A105" s="12"/>
      <c r="B105" s="7"/>
      <c r="C105" s="7"/>
      <c r="D105" s="6"/>
      <c r="F105" s="6"/>
      <c r="H105" s="6"/>
      <c r="J105" s="6"/>
      <c r="L105" s="6"/>
      <c r="N105" s="6"/>
      <c r="P105" s="6"/>
      <c r="R105" s="6"/>
    </row>
    <row r="106" spans="1:18" s="15" customFormat="1" x14ac:dyDescent="0.35">
      <c r="A106" s="7"/>
      <c r="B106" s="22" t="s">
        <v>126</v>
      </c>
      <c r="C106" s="22"/>
      <c r="D106" s="10">
        <f>+D101-D104</f>
        <v>36209.149999999965</v>
      </c>
      <c r="E106" s="12"/>
      <c r="F106" s="10">
        <f>+F101-F104</f>
        <v>-37645.850000000137</v>
      </c>
      <c r="G106" s="5"/>
      <c r="H106" s="10">
        <f>+H101-H104</f>
        <v>5647.7199999999721</v>
      </c>
      <c r="I106" s="5"/>
      <c r="J106" s="10">
        <f>+J101-J104</f>
        <v>-34557.039999999921</v>
      </c>
      <c r="K106" s="5"/>
      <c r="L106" s="10">
        <f>+L101-L104</f>
        <v>21469.550000000185</v>
      </c>
      <c r="M106" s="5"/>
      <c r="N106" s="10">
        <f>+N101-N104</f>
        <v>-18285.389999999912</v>
      </c>
      <c r="O106" s="5"/>
      <c r="P106" s="10">
        <f>+P101-P104</f>
        <v>-124320.31278179999</v>
      </c>
      <c r="Q106" s="5"/>
      <c r="R106" s="10">
        <f>+R101-R104</f>
        <v>0</v>
      </c>
    </row>
    <row r="107" spans="1:18" s="27" customFormat="1" x14ac:dyDescent="0.35">
      <c r="A107" s="18"/>
      <c r="B107" s="18"/>
      <c r="C107" s="18"/>
      <c r="D107" s="9">
        <f>IFERROR(D106/D10, 0)</f>
        <v>5.3096727042967945E-2</v>
      </c>
      <c r="E107" s="18"/>
      <c r="F107" s="9">
        <f>IFERROR(F106/F10, 0)</f>
        <v>-5.7526748570050787E-2</v>
      </c>
      <c r="G107" s="14"/>
      <c r="H107" s="9">
        <f>IFERROR(H106/H10, 0)</f>
        <v>8.0859816116692507E-3</v>
      </c>
      <c r="I107" s="14"/>
      <c r="J107" s="9">
        <f>IFERROR(J106/J10, 0)</f>
        <v>-5.5372055816223759E-2</v>
      </c>
      <c r="K107" s="14"/>
      <c r="L107" s="9">
        <f>IFERROR(L106/L10, 0)</f>
        <v>3.3957385735154111E-2</v>
      </c>
      <c r="M107" s="14"/>
      <c r="N107" s="9">
        <f>IFERROR(N106/N10, 0)</f>
        <v>-3.6865542128643604E-2</v>
      </c>
      <c r="O107" s="14"/>
      <c r="P107" s="9">
        <f>IFERROR(P106/P10, 0)</f>
        <v>-0.58342513988089373</v>
      </c>
      <c r="Q107" s="14"/>
      <c r="R107" s="9">
        <f>IFERROR(R106/R10, 0)</f>
        <v>0</v>
      </c>
    </row>
    <row r="108" spans="1:18" s="27" customFormat="1" x14ac:dyDescent="0.35">
      <c r="A108" s="18"/>
      <c r="B108" s="18"/>
      <c r="C108" s="18"/>
      <c r="D108" s="13"/>
      <c r="E108" s="18"/>
      <c r="F108" s="13"/>
      <c r="G108" s="14"/>
      <c r="H108" s="13"/>
      <c r="I108" s="14"/>
      <c r="J108" s="13"/>
      <c r="K108" s="14"/>
      <c r="L108" s="13"/>
      <c r="M108" s="14"/>
      <c r="N108" s="13"/>
      <c r="O108" s="14"/>
      <c r="P108" s="13"/>
      <c r="Q108" s="14"/>
      <c r="R108" s="13"/>
    </row>
    <row r="109" spans="1:18" x14ac:dyDescent="0.35">
      <c r="A109" s="12"/>
      <c r="B109" s="12"/>
      <c r="C109" s="12"/>
      <c r="D109" s="6"/>
      <c r="F109" s="6"/>
      <c r="H109" s="6"/>
      <c r="J109" s="6"/>
      <c r="L109" s="6"/>
      <c r="N109" s="6"/>
      <c r="P109" s="6"/>
      <c r="R109" s="6"/>
    </row>
    <row r="110" spans="1:18" s="15" customFormat="1" x14ac:dyDescent="0.35">
      <c r="A110" s="7"/>
      <c r="B110" s="22" t="s">
        <v>296</v>
      </c>
      <c r="C110" s="22"/>
      <c r="D110" s="10">
        <f>SUM(D106:D109)</f>
        <v>36209.203096727011</v>
      </c>
      <c r="E110" s="12"/>
      <c r="F110" s="10">
        <f>SUM(F106:F109)</f>
        <v>-37645.907526748706</v>
      </c>
      <c r="G110" s="5"/>
      <c r="H110" s="10">
        <f>SUM(H106:H109)</f>
        <v>5647.7280859815837</v>
      </c>
      <c r="I110" s="5"/>
      <c r="J110" s="10">
        <f>SUM(J106:J109)</f>
        <v>-34557.095372055737</v>
      </c>
      <c r="K110" s="5"/>
      <c r="L110" s="10">
        <f>SUM(L106:L109)</f>
        <v>21469.583957385919</v>
      </c>
      <c r="M110" s="5"/>
      <c r="N110" s="10">
        <f>SUM(N106:N109)</f>
        <v>-18285.426865542042</v>
      </c>
      <c r="O110" s="5"/>
      <c r="P110" s="10">
        <f>SUM(P106:P109)</f>
        <v>-124320.89620693987</v>
      </c>
      <c r="Q110" s="5"/>
      <c r="R110" s="10">
        <f>SUM(R106:R109)</f>
        <v>0</v>
      </c>
    </row>
    <row r="111" spans="1:18" s="27" customFormat="1" x14ac:dyDescent="0.35">
      <c r="A111" s="18"/>
      <c r="B111" s="41"/>
      <c r="C111" s="18"/>
      <c r="D111" s="9">
        <f>IFERROR(D110/D10, 0)</f>
        <v>5.3096804903465161E-2</v>
      </c>
      <c r="E111" s="18"/>
      <c r="F111" s="9">
        <f>IFERROR(F110/F10, 0)</f>
        <v>-5.7526836476866572E-2</v>
      </c>
      <c r="G111" s="14"/>
      <c r="H111" s="9">
        <f>IFERROR(H110/H10, 0)</f>
        <v>8.0859931885708374E-3</v>
      </c>
      <c r="I111" s="14"/>
      <c r="J111" s="9">
        <f>IFERROR(J110/J10, 0)</f>
        <v>-5.5372144540968851E-2</v>
      </c>
      <c r="K111" s="14"/>
      <c r="L111" s="9">
        <f>IFERROR(L110/L10, 0)</f>
        <v>3.3957439443967105E-2</v>
      </c>
      <c r="M111" s="14"/>
      <c r="N111" s="9">
        <f>IFERROR(N110/N10, 0)</f>
        <v>-3.6865616454003713E-2</v>
      </c>
      <c r="O111" s="14"/>
      <c r="P111" s="9">
        <f>IFERROR(P110/P10, 0)</f>
        <v>-0.58342787784773298</v>
      </c>
      <c r="Q111" s="14"/>
      <c r="R111" s="9">
        <f>IFERROR(R110/R10, 0)</f>
        <v>0</v>
      </c>
    </row>
    <row r="112" spans="1:18" x14ac:dyDescent="0.35">
      <c r="A112" s="12"/>
      <c r="B112" s="40">
        <v>44319.883572604165</v>
      </c>
      <c r="D112" s="24"/>
      <c r="F112" s="24"/>
      <c r="H112" s="24"/>
      <c r="J112" s="24"/>
      <c r="L112" s="24"/>
      <c r="N112" s="24"/>
      <c r="P112" s="24"/>
      <c r="R112" s="24"/>
    </row>
    <row r="113" spans="1:18" x14ac:dyDescent="0.35">
      <c r="A113" s="12"/>
      <c r="B113" s="39" t="s">
        <v>23</v>
      </c>
      <c r="D113" s="24"/>
      <c r="F113" s="24"/>
      <c r="H113" s="24"/>
      <c r="J113" s="24"/>
      <c r="L113" s="24"/>
      <c r="N113" s="24"/>
      <c r="P113" s="24"/>
      <c r="R113" s="24"/>
    </row>
    <row r="114" spans="1:18" x14ac:dyDescent="0.35">
      <c r="A114" s="12"/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D115" s="24"/>
      <c r="F115" s="24"/>
      <c r="H115" s="24"/>
      <c r="J115" s="24"/>
      <c r="L115" s="24"/>
      <c r="N115" s="24"/>
      <c r="P115" s="24"/>
      <c r="R115" s="24"/>
    </row>
  </sheetData>
  <pageMargins left="0.5" right="0.5" top="0.5" bottom="0.5" header="0.3" footer="0.3"/>
  <pageSetup scale="59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3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","314", " - ", "Tech/Supplies")</f>
        <v>Department 314 - Tech/Supplies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429111.17999999993</v>
      </c>
      <c r="F10" s="8">
        <f>SUM(OSRRefF11x_0)</f>
        <v>466971.58999999991</v>
      </c>
      <c r="G10" s="8"/>
      <c r="H10" s="8">
        <f>SUM(OSRRefH11x_0)</f>
        <v>456796.22000000015</v>
      </c>
      <c r="I10" s="8"/>
      <c r="J10" s="8">
        <f>SUM(OSRRefJ11x_0)</f>
        <v>446744.80999999982</v>
      </c>
      <c r="K10" s="8"/>
      <c r="L10" s="8">
        <f>SUM(OSRRefL11x_0)</f>
        <v>474044.11000000004</v>
      </c>
      <c r="M10" s="8"/>
      <c r="N10" s="8">
        <f>SUM(OSRRefN11x_0)</f>
        <v>421668.26999999996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"4017", " - ", "TAXABLE SALES-DORM/HOUSEWARES")</f>
        <v xml:space="preserve">          4017 - TAXABLE SALES-DORM/HOUSEWARES</v>
      </c>
      <c r="D11" s="11">
        <f t="shared" ref="D11:D12" si="0">0*-1</f>
        <v>0</v>
      </c>
      <c r="F11" s="11">
        <f t="shared" ref="F11:F12" si="1">0*-1</f>
        <v>0</v>
      </c>
      <c r="G11" s="3"/>
      <c r="H11" s="11">
        <f t="shared" ref="H11:H12" si="2">0*-1</f>
        <v>0</v>
      </c>
      <c r="I11" s="3"/>
      <c r="J11" s="11">
        <f>--524.99</f>
        <v>524.99</v>
      </c>
      <c r="K11" s="3"/>
      <c r="L11" s="11">
        <f>--1055.55</f>
        <v>1055.55</v>
      </c>
      <c r="M11" s="3"/>
      <c r="N11" s="11">
        <f>--276.15</f>
        <v>276.14999999999998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"4019", " - ", "TAXABLE SALES-BOOK RELATED")</f>
        <v xml:space="preserve">          4019 - TAXABLE SALES-BOOK RELATED</v>
      </c>
      <c r="D12" s="11">
        <f t="shared" si="0"/>
        <v>0</v>
      </c>
      <c r="F12" s="11">
        <f t="shared" si="1"/>
        <v>0</v>
      </c>
      <c r="G12" s="3"/>
      <c r="H12" s="11">
        <f t="shared" si="2"/>
        <v>0</v>
      </c>
      <c r="I12" s="3"/>
      <c r="J12" s="11">
        <f>--213.76</f>
        <v>213.76</v>
      </c>
      <c r="K12" s="3"/>
      <c r="L12" s="11">
        <f>--35.5</f>
        <v>35.5</v>
      </c>
      <c r="M12" s="3"/>
      <c r="N12" s="11">
        <f>--42.85</f>
        <v>42.85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"4025", " - ", "TAXABLE SALES-TEST FORMS")</f>
        <v xml:space="preserve">          4025 - TAXABLE SALES-TEST FORMS</v>
      </c>
      <c r="D13" s="11">
        <f>-50375.95*-1</f>
        <v>50375.95</v>
      </c>
      <c r="F13" s="11">
        <f>-47511.74*-1</f>
        <v>47511.74</v>
      </c>
      <c r="G13" s="3"/>
      <c r="H13" s="11">
        <f>-53152.01*-1</f>
        <v>53152.01</v>
      </c>
      <c r="I13" s="3"/>
      <c r="J13" s="11">
        <f>--58896.43</f>
        <v>58896.43</v>
      </c>
      <c r="K13" s="3"/>
      <c r="L13" s="11">
        <f>--58289.07</f>
        <v>58289.07</v>
      </c>
      <c r="M13" s="3"/>
      <c r="N13" s="11">
        <f>--55543.29</f>
        <v>55543.29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"4026", " - ", "TAXABLE SALES-WRITING INSTRUME")</f>
        <v xml:space="preserve">          4026 - TAXABLE SALES-WRITING INSTRUME</v>
      </c>
      <c r="D14" s="11">
        <f>-75993.85*-1</f>
        <v>75993.850000000006</v>
      </c>
      <c r="F14" s="11">
        <f>-89631.66*-1</f>
        <v>89631.66</v>
      </c>
      <c r="G14" s="3"/>
      <c r="H14" s="11">
        <f>-87201.34*-1</f>
        <v>87201.34</v>
      </c>
      <c r="I14" s="3"/>
      <c r="J14" s="11">
        <f>--76544.07</f>
        <v>76544.070000000007</v>
      </c>
      <c r="K14" s="3"/>
      <c r="L14" s="11">
        <f>--77801.48</f>
        <v>77801.48</v>
      </c>
      <c r="M14" s="3"/>
      <c r="N14" s="11">
        <f>--76448.59</f>
        <v>76448.59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"4027", " - ", "TAXABLE SALES-SCHOOL SUPPLIES")</f>
        <v xml:space="preserve">          4027 - TAXABLE SALES-SCHOOL SUPPLIES</v>
      </c>
      <c r="D15" s="11">
        <f>-304191.88*-1</f>
        <v>304191.88</v>
      </c>
      <c r="F15" s="11">
        <f>-319215.64*-1</f>
        <v>319215.64</v>
      </c>
      <c r="G15" s="3"/>
      <c r="H15" s="11">
        <f>-292454.08*-1</f>
        <v>292454.08</v>
      </c>
      <c r="I15" s="3"/>
      <c r="J15" s="11">
        <f>--279177.99</f>
        <v>279177.99</v>
      </c>
      <c r="K15" s="3"/>
      <c r="L15" s="11">
        <f>--302183.33</f>
        <v>302183.33</v>
      </c>
      <c r="M15" s="3"/>
      <c r="N15" s="11">
        <f>--271457.41</f>
        <v>271457.40999999997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"4028", " - ", "TAXABLE SALES-ART/TECH")</f>
        <v xml:space="preserve">          4028 - TAXABLE SALES-ART/TECH</v>
      </c>
      <c r="D16" s="11">
        <f>-6157.67*-1</f>
        <v>6157.67</v>
      </c>
      <c r="F16" s="11">
        <f>-10736.99*-1</f>
        <v>10736.99</v>
      </c>
      <c r="G16" s="3"/>
      <c r="H16" s="11">
        <f>-8457.46*-1</f>
        <v>8457.4599999999991</v>
      </c>
      <c r="I16" s="3"/>
      <c r="J16" s="11">
        <f>--14369.73</f>
        <v>14369.73</v>
      </c>
      <c r="K16" s="3"/>
      <c r="L16" s="11">
        <f>--16449.23</f>
        <v>16449.23</v>
      </c>
      <c r="M16" s="3"/>
      <c r="N16" s="11">
        <f>--13083.92</f>
        <v>13083.92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"4035", " - ", "TAXABLE SALES-HEALTH &amp; BEAUTY")</f>
        <v xml:space="preserve">          4035 - TAXABLE SALES-HEALTH &amp; BEAUTY</v>
      </c>
      <c r="D17" s="11">
        <f t="shared" ref="D17:D18" si="3">0*-1</f>
        <v>0</v>
      </c>
      <c r="F17" s="11">
        <f t="shared" ref="F17:F18" si="4">0*-1</f>
        <v>0</v>
      </c>
      <c r="G17" s="3"/>
      <c r="H17" s="11">
        <f>-223.02*-1</f>
        <v>223.02</v>
      </c>
      <c r="I17" s="3"/>
      <c r="J17" s="11">
        <f>--418.46</f>
        <v>418.46</v>
      </c>
      <c r="K17" s="3"/>
      <c r="L17" s="11">
        <f>--425.21</f>
        <v>425.21</v>
      </c>
      <c r="M17" s="3"/>
      <c r="N17" s="11">
        <f>--20.15</f>
        <v>20.149999999999999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"4100", " - ", "NON-TAXABLE SALES")</f>
        <v xml:space="preserve">          4100 - NON-TAXABLE SALES</v>
      </c>
      <c r="D18" s="11">
        <f t="shared" si="3"/>
        <v>0</v>
      </c>
      <c r="F18" s="11">
        <f t="shared" si="4"/>
        <v>0</v>
      </c>
      <c r="G18" s="3"/>
      <c r="H18" s="11">
        <f>0*-1</f>
        <v>0</v>
      </c>
      <c r="I18" s="3"/>
      <c r="J18" s="11">
        <f>0</f>
        <v>0</v>
      </c>
      <c r="K18" s="3"/>
      <c r="L18" s="11">
        <f>0</f>
        <v>0</v>
      </c>
      <c r="M18" s="3"/>
      <c r="N18" s="11">
        <f>0</f>
        <v>0</v>
      </c>
      <c r="O18" s="3"/>
      <c r="P18" s="11"/>
      <c r="Q18" s="3"/>
      <c r="R18" s="11">
        <v>0</v>
      </c>
    </row>
    <row r="19" spans="2:18" s="16" customFormat="1" hidden="1" outlineLevel="1" x14ac:dyDescent="0.35">
      <c r="B19" s="35" t="str">
        <f>CONCATENATE("          ", "4125", " - ", "NON-TAXABLE SALES-TEST FORMS")</f>
        <v xml:space="preserve">          4125 - NON-TAXABLE SALES-TEST FORMS</v>
      </c>
      <c r="D19" s="11">
        <f>-224.26*-1</f>
        <v>224.26</v>
      </c>
      <c r="F19" s="11">
        <f>-235.54*-1</f>
        <v>235.54</v>
      </c>
      <c r="G19" s="3"/>
      <c r="H19" s="11">
        <f>-283.63*-1</f>
        <v>283.63</v>
      </c>
      <c r="I19" s="3"/>
      <c r="J19" s="11">
        <f>--349.35</f>
        <v>349.35</v>
      </c>
      <c r="K19" s="3"/>
      <c r="L19" s="11">
        <f>--331.15</f>
        <v>331.15</v>
      </c>
      <c r="M19" s="3"/>
      <c r="N19" s="11">
        <f>--452.61</f>
        <v>452.61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"4126", " - ", "NON-TAXABLE SALES-WRITING INST")</f>
        <v xml:space="preserve">          4126 - NON-TAXABLE SALES-WRITING INST</v>
      </c>
      <c r="D20" s="11">
        <f>-1792.22*-1</f>
        <v>1792.22</v>
      </c>
      <c r="F20" s="11">
        <f>-2606.87*-1</f>
        <v>2606.87</v>
      </c>
      <c r="G20" s="3"/>
      <c r="H20" s="11">
        <f>-3599.05*-1</f>
        <v>3599.05</v>
      </c>
      <c r="I20" s="3"/>
      <c r="J20" s="11">
        <f>--3799.86</f>
        <v>3799.86</v>
      </c>
      <c r="K20" s="3"/>
      <c r="L20" s="11">
        <f>--4163.42</f>
        <v>4163.42</v>
      </c>
      <c r="M20" s="3"/>
      <c r="N20" s="11">
        <f>--3298.95</f>
        <v>3298.95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"4127", " - ", "NON-TAXABLE SALES-SCHOOL SUPPL")</f>
        <v xml:space="preserve">          4127 - NON-TAXABLE SALES-SCHOOL SUPPL</v>
      </c>
      <c r="D21" s="11">
        <f>-5306.27*-1</f>
        <v>5306.27</v>
      </c>
      <c r="F21" s="11">
        <f>-5884.96*-1</f>
        <v>5884.96</v>
      </c>
      <c r="G21" s="3"/>
      <c r="H21" s="11">
        <f>-14287.48*-1</f>
        <v>14287.48</v>
      </c>
      <c r="I21" s="3"/>
      <c r="J21" s="11">
        <f>--6297.47</f>
        <v>6297.47</v>
      </c>
      <c r="K21" s="3"/>
      <c r="L21" s="11">
        <f>--12602.05</f>
        <v>12602.05</v>
      </c>
      <c r="M21" s="3"/>
      <c r="N21" s="11">
        <f>--6454.88</f>
        <v>6454.88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"4128", " - ", "NON-TAXABLE SALES-ART/TECH")</f>
        <v xml:space="preserve">          4128 - NON-TAXABLE SALES-ART/TECH</v>
      </c>
      <c r="D22" s="11">
        <f>-1125.79*-1</f>
        <v>1125.79</v>
      </c>
      <c r="F22" s="11">
        <f>-151.57*-1</f>
        <v>151.57</v>
      </c>
      <c r="G22" s="3"/>
      <c r="H22" s="11">
        <f>-298.36*-1</f>
        <v>298.36</v>
      </c>
      <c r="I22" s="3"/>
      <c r="J22" s="11">
        <f>--626.95</f>
        <v>626.95000000000005</v>
      </c>
      <c r="K22" s="3"/>
      <c r="L22" s="11">
        <f>--582.65</f>
        <v>582.65</v>
      </c>
      <c r="M22" s="3"/>
      <c r="N22" s="11">
        <f>--489.27</f>
        <v>489.27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"4131", " - ", "NON-TAXABLE SALES-FOOD")</f>
        <v xml:space="preserve">          4131 - NON-TAXABLE SALES-FOOD</v>
      </c>
      <c r="D23" s="11">
        <f t="shared" ref="D23:D27" si="5">0*-1</f>
        <v>0</v>
      </c>
      <c r="F23" s="11">
        <f t="shared" ref="F23:F27" si="6">0*-1</f>
        <v>0</v>
      </c>
      <c r="G23" s="3"/>
      <c r="H23" s="11">
        <f>-4015.03*-1</f>
        <v>4015.03</v>
      </c>
      <c r="I23" s="3"/>
      <c r="J23" s="11">
        <f>--3923.67</f>
        <v>3923.67</v>
      </c>
      <c r="K23" s="3"/>
      <c r="L23" s="11">
        <f>--1822.19</f>
        <v>1822.19</v>
      </c>
      <c r="M23" s="3"/>
      <c r="N23" s="11">
        <f>--1647.7</f>
        <v>1647.7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"4133", " - ", "NON-TAXABLE SALES-CANDY")</f>
        <v xml:space="preserve">          4133 - NON-TAXABLE SALES-CANDY</v>
      </c>
      <c r="D24" s="11">
        <f t="shared" si="5"/>
        <v>0</v>
      </c>
      <c r="F24" s="11">
        <f t="shared" si="6"/>
        <v>0</v>
      </c>
      <c r="G24" s="3"/>
      <c r="H24" s="11">
        <f>-4903.63*-1</f>
        <v>4903.63</v>
      </c>
      <c r="I24" s="3"/>
      <c r="J24" s="11">
        <f>--7410.43</f>
        <v>7410.43</v>
      </c>
      <c r="K24" s="3"/>
      <c r="L24" s="11">
        <f>--6058.38</f>
        <v>6058.38</v>
      </c>
      <c r="M24" s="3"/>
      <c r="N24" s="11">
        <f>--2326.36</f>
        <v>2326.36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"4135", " - ", "NON-TAXABLE SALES")</f>
        <v xml:space="preserve">          4135 - NON-TAXABLE SALES</v>
      </c>
      <c r="D25" s="11">
        <f t="shared" si="5"/>
        <v>0</v>
      </c>
      <c r="F25" s="11">
        <f t="shared" si="6"/>
        <v>0</v>
      </c>
      <c r="G25" s="3"/>
      <c r="H25" s="11">
        <f>-378.71*-1</f>
        <v>378.71</v>
      </c>
      <c r="I25" s="3"/>
      <c r="J25" s="11">
        <f>--243.75</f>
        <v>243.75</v>
      </c>
      <c r="K25" s="3"/>
      <c r="L25" s="11">
        <f>--200.42</f>
        <v>200.42</v>
      </c>
      <c r="M25" s="3"/>
      <c r="N25" s="11">
        <f>--50.16</f>
        <v>50.16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"4217", " - ", "NON-TAXABLE SALES-DORM/HOUSEWA")</f>
        <v xml:space="preserve">          4217 - NON-TAXABLE SALES-DORM/HOUSEWA</v>
      </c>
      <c r="D26" s="11">
        <f t="shared" si="5"/>
        <v>0</v>
      </c>
      <c r="F26" s="11">
        <f t="shared" si="6"/>
        <v>0</v>
      </c>
      <c r="G26" s="3"/>
      <c r="H26" s="11">
        <f t="shared" ref="H26:H27" si="7">0*-1</f>
        <v>0</v>
      </c>
      <c r="I26" s="3"/>
      <c r="J26" s="11">
        <f>-5.96</f>
        <v>-5.96</v>
      </c>
      <c r="K26" s="3"/>
      <c r="L26" s="11">
        <f>-2.99</f>
        <v>-2.99</v>
      </c>
      <c r="M26" s="3"/>
      <c r="N26" s="11">
        <f>-2.98</f>
        <v>-2.98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"4219", " - ", "SALES RETURN TAXABLE-BOOK RELA")</f>
        <v xml:space="preserve">          4219 - SALES RETURN TAXABLE-BOOK RELA</v>
      </c>
      <c r="D27" s="11">
        <f t="shared" si="5"/>
        <v>0</v>
      </c>
      <c r="F27" s="11">
        <f t="shared" si="6"/>
        <v>0</v>
      </c>
      <c r="G27" s="3"/>
      <c r="H27" s="11">
        <f t="shared" si="7"/>
        <v>0</v>
      </c>
      <c r="I27" s="3"/>
      <c r="J27" s="11">
        <f>-12.69</f>
        <v>-12.69</v>
      </c>
      <c r="K27" s="3"/>
      <c r="L27" s="11">
        <f>0</f>
        <v>0</v>
      </c>
      <c r="M27" s="3"/>
      <c r="N27" s="11">
        <f>0</f>
        <v>0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"4225", " - ", "SALES RETURN TAXABLE-TEST FORM")</f>
        <v xml:space="preserve">          4225 - SALES RETURN TAXABLE-TEST FORM</v>
      </c>
      <c r="D28" s="11">
        <f>4449.2*-1</f>
        <v>-4449.2</v>
      </c>
      <c r="F28" s="11">
        <f>98.78*-1</f>
        <v>-98.78</v>
      </c>
      <c r="G28" s="3"/>
      <c r="H28" s="11">
        <f>108.22*-1</f>
        <v>-108.22</v>
      </c>
      <c r="I28" s="3"/>
      <c r="J28" s="11">
        <f>-435.79</f>
        <v>-435.79</v>
      </c>
      <c r="K28" s="3"/>
      <c r="L28" s="11">
        <f>-191.21</f>
        <v>-191.21</v>
      </c>
      <c r="M28" s="3"/>
      <c r="N28" s="11">
        <f>-170.78</f>
        <v>-170.78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"4226", " - ", "SALES RETURN TAXABLE-WRITING I")</f>
        <v xml:space="preserve">          4226 - SALES RETURN TAXABLE-WRITING I</v>
      </c>
      <c r="D29" s="11">
        <f>365.03*-1</f>
        <v>-365.03</v>
      </c>
      <c r="F29" s="11">
        <f>865.09*-1</f>
        <v>-865.09</v>
      </c>
      <c r="G29" s="3"/>
      <c r="H29" s="11">
        <f>1318.6*-1</f>
        <v>-1318.6</v>
      </c>
      <c r="I29" s="3"/>
      <c r="J29" s="11">
        <f>-497.45</f>
        <v>-497.45</v>
      </c>
      <c r="K29" s="3"/>
      <c r="L29" s="11">
        <f>-687.45</f>
        <v>-687.45</v>
      </c>
      <c r="M29" s="3"/>
      <c r="N29" s="11">
        <f>-778.59</f>
        <v>-778.59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"4227", " - ", "SALES RETURN TAXABLE-SCHOOL SU")</f>
        <v xml:space="preserve">          4227 - SALES RETURN TAXABLE-SCHOOL SU</v>
      </c>
      <c r="D30" s="11">
        <f>10884.49*-1</f>
        <v>-10884.49</v>
      </c>
      <c r="F30" s="11">
        <f>7864.53*-1</f>
        <v>-7864.53</v>
      </c>
      <c r="G30" s="3"/>
      <c r="H30" s="11">
        <f>10799.82*-1</f>
        <v>-10799.82</v>
      </c>
      <c r="I30" s="3"/>
      <c r="J30" s="11">
        <f>-4990.9</f>
        <v>-4990.8999999999996</v>
      </c>
      <c r="K30" s="3"/>
      <c r="L30" s="11">
        <f>-6913.38</f>
        <v>-6913.38</v>
      </c>
      <c r="M30" s="3"/>
      <c r="N30" s="11">
        <f>-8686.84</f>
        <v>-8686.84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"4228", " - ", "SALES RETURN TAXABLE-ART/TECH")</f>
        <v xml:space="preserve">          4228 - SALES RETURN TAXABLE-ART/TECH</v>
      </c>
      <c r="D31" s="11">
        <f>316.13*-1</f>
        <v>-316.13</v>
      </c>
      <c r="F31" s="11">
        <f>171.65*-1</f>
        <v>-171.65</v>
      </c>
      <c r="G31" s="3"/>
      <c r="H31" s="11">
        <f>145.76*-1</f>
        <v>-145.76</v>
      </c>
      <c r="I31" s="3"/>
      <c r="J31" s="11">
        <f>-94.75</f>
        <v>-94.75</v>
      </c>
      <c r="K31" s="3"/>
      <c r="L31" s="11">
        <f>-127.27</f>
        <v>-127.27</v>
      </c>
      <c r="M31" s="3"/>
      <c r="N31" s="11">
        <f>-259.98</f>
        <v>-259.98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"4325", " - ", "SALES RETURN NON TAXABLE-TEST")</f>
        <v xml:space="preserve">          4325 - SALES RETURN NON TAXABLE-TEST</v>
      </c>
      <c r="D32" s="11">
        <f t="shared" ref="D32:D33" si="8">0*-1</f>
        <v>0</v>
      </c>
      <c r="F32" s="11">
        <f>3.33*-1</f>
        <v>-3.33</v>
      </c>
      <c r="G32" s="3"/>
      <c r="H32" s="11">
        <f>0*-1</f>
        <v>0</v>
      </c>
      <c r="I32" s="3"/>
      <c r="J32" s="11">
        <f>0</f>
        <v>0</v>
      </c>
      <c r="K32" s="3"/>
      <c r="L32" s="11">
        <f>0</f>
        <v>0</v>
      </c>
      <c r="M32" s="3"/>
      <c r="N32" s="11">
        <f>0</f>
        <v>0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"4326", " - ", "SALES RETURN NON TAXABLE-WRITI")</f>
        <v xml:space="preserve">          4326 - SALES RETURN NON TAXABLE-WRITI</v>
      </c>
      <c r="D33" s="11">
        <f t="shared" si="8"/>
        <v>0</v>
      </c>
      <c r="F33" s="11">
        <f t="shared" ref="F33:F35" si="9">0*-1</f>
        <v>0</v>
      </c>
      <c r="G33" s="3"/>
      <c r="H33" s="11">
        <f>3.38*-1</f>
        <v>-3.38</v>
      </c>
      <c r="I33" s="3"/>
      <c r="J33" s="11">
        <f>-3.78</f>
        <v>-3.78</v>
      </c>
      <c r="K33" s="3"/>
      <c r="L33" s="11">
        <f>-28.23</f>
        <v>-28.23</v>
      </c>
      <c r="M33" s="3"/>
      <c r="N33" s="11">
        <f>-2.98</f>
        <v>-2.98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"4327", " - ", "SALES RETURN NON TAXABLE-SCHOO")</f>
        <v xml:space="preserve">          4327 - SALES RETURN NON TAXABLE-SCHOO</v>
      </c>
      <c r="D34" s="11">
        <f>30.57*-1</f>
        <v>-30.57</v>
      </c>
      <c r="F34" s="11">
        <f t="shared" si="9"/>
        <v>0</v>
      </c>
      <c r="G34" s="3"/>
      <c r="H34" s="11">
        <f>81.8*-1</f>
        <v>-81.8</v>
      </c>
      <c r="I34" s="3"/>
      <c r="J34" s="11">
        <f>-10.78</f>
        <v>-10.78</v>
      </c>
      <c r="K34" s="3"/>
      <c r="L34" s="11">
        <f>-4.99</f>
        <v>-4.99</v>
      </c>
      <c r="M34" s="3"/>
      <c r="N34" s="11">
        <f>-21.87</f>
        <v>-21.87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"4328", " - ", "SALES RETURN NON TAXABLE-ART/T")</f>
        <v xml:space="preserve">          4328 - SALES RETURN NON TAXABLE-ART/T</v>
      </c>
      <c r="D35" s="11">
        <f>11.29*-1</f>
        <v>-11.29</v>
      </c>
      <c r="F35" s="11">
        <f t="shared" si="9"/>
        <v>0</v>
      </c>
      <c r="G35" s="3"/>
      <c r="H35" s="11">
        <f>0*-1</f>
        <v>0</v>
      </c>
      <c r="I35" s="3"/>
      <c r="J35" s="11">
        <f>0</f>
        <v>0</v>
      </c>
      <c r="K35" s="3"/>
      <c r="L35" s="11">
        <f>0</f>
        <v>0</v>
      </c>
      <c r="M35" s="3"/>
      <c r="N35" s="11">
        <f>0</f>
        <v>0</v>
      </c>
      <c r="O35" s="3"/>
      <c r="P35" s="11"/>
      <c r="Q35" s="3"/>
      <c r="R35" s="11"/>
    </row>
    <row r="36" spans="1:18" s="12" customFormat="1" x14ac:dyDescent="0.35">
      <c r="B36" s="7"/>
      <c r="D36" s="6"/>
      <c r="F36" s="6"/>
      <c r="G36" s="5"/>
      <c r="H36" s="6"/>
      <c r="I36" s="5"/>
      <c r="J36" s="6"/>
      <c r="K36" s="5"/>
      <c r="L36" s="6"/>
      <c r="M36" s="5"/>
      <c r="N36" s="6"/>
      <c r="O36" s="5"/>
      <c r="P36" s="6"/>
      <c r="Q36" s="5"/>
      <c r="R36" s="6"/>
    </row>
    <row r="37" spans="1:18" s="12" customFormat="1" collapsed="1" x14ac:dyDescent="0.35">
      <c r="B37" s="7" t="s">
        <v>278</v>
      </c>
      <c r="D37" s="8">
        <f>SUM(OSRRefD14x_0)</f>
        <v>229620.02</v>
      </c>
      <c r="E37" s="8"/>
      <c r="F37" s="8">
        <f>SUM(OSRRefF14x_0)</f>
        <v>254315.91</v>
      </c>
      <c r="G37" s="8"/>
      <c r="H37" s="8">
        <f>SUM(OSRRefH14x_0)</f>
        <v>233821.95</v>
      </c>
      <c r="I37" s="8"/>
      <c r="J37" s="8">
        <f>SUM(OSRRefJ14x_0)</f>
        <v>233363.78999999998</v>
      </c>
      <c r="K37" s="8"/>
      <c r="L37" s="8">
        <f>SUM(OSRRefL14x_0)</f>
        <v>233602.79999999996</v>
      </c>
      <c r="M37" s="8"/>
      <c r="N37" s="8">
        <f>SUM(OSRRefN14x_0)</f>
        <v>228545.38999999998</v>
      </c>
      <c r="O37" s="8"/>
      <c r="P37" s="8">
        <f>SUM(OSRRefP14x_0)</f>
        <v>0</v>
      </c>
      <c r="Q37" s="8"/>
      <c r="R37" s="8">
        <f>SUM(OSRRefR14x_0)</f>
        <v>0</v>
      </c>
    </row>
    <row r="38" spans="1:18" s="44" customFormat="1" hidden="1" outlineLevel="1" x14ac:dyDescent="0.35">
      <c r="A38" s="16"/>
      <c r="B38" s="35" t="str">
        <f>CONCATENATE("          ", "5017", " - ", "PURCHASES @ COST-DORM/HOUSEWAR")</f>
        <v xml:space="preserve">          5017 - PURCHASES @ COST-DORM/HOUSEWAR</v>
      </c>
      <c r="C38" s="16"/>
      <c r="D38" s="11"/>
      <c r="E38" s="16"/>
      <c r="F38" s="11"/>
      <c r="G38" s="3"/>
      <c r="H38" s="11"/>
      <c r="I38" s="3"/>
      <c r="J38" s="11">
        <v>3451.82</v>
      </c>
      <c r="K38" s="3"/>
      <c r="L38" s="11">
        <v>239.9</v>
      </c>
      <c r="M38" s="3"/>
      <c r="N38" s="11">
        <v>14.46</v>
      </c>
      <c r="O38" s="3"/>
      <c r="P38" s="11"/>
      <c r="Q38" s="3"/>
      <c r="R38" s="11"/>
    </row>
    <row r="39" spans="1:18" s="44" customFormat="1" hidden="1" outlineLevel="1" x14ac:dyDescent="0.35">
      <c r="A39" s="16"/>
      <c r="B39" s="35" t="str">
        <f>CONCATENATE("          ", "5019", " - ", "PURCHASES @ COST-BOOK RELATED")</f>
        <v xml:space="preserve">          5019 - PURCHASES @ COST-BOOK RELATED</v>
      </c>
      <c r="C39" s="16"/>
      <c r="D39" s="11"/>
      <c r="E39" s="16"/>
      <c r="F39" s="11"/>
      <c r="G39" s="3"/>
      <c r="H39" s="11"/>
      <c r="I39" s="3"/>
      <c r="J39" s="11">
        <v>148.38</v>
      </c>
      <c r="K39" s="3"/>
      <c r="L39" s="11"/>
      <c r="M39" s="3"/>
      <c r="N39" s="11"/>
      <c r="O39" s="3"/>
      <c r="P39" s="11"/>
      <c r="Q39" s="3"/>
      <c r="R39" s="11"/>
    </row>
    <row r="40" spans="1:18" s="44" customFormat="1" hidden="1" outlineLevel="1" x14ac:dyDescent="0.35">
      <c r="A40" s="16"/>
      <c r="B40" s="35" t="str">
        <f>CONCATENATE("          ", "5025", " - ", "PURCHASES @ COST-TEST FORMS")</f>
        <v xml:space="preserve">          5025 - PURCHASES @ COST-TEST FORMS</v>
      </c>
      <c r="C40" s="16"/>
      <c r="D40" s="11">
        <v>20167.95</v>
      </c>
      <c r="E40" s="16"/>
      <c r="F40" s="11">
        <v>27109.29</v>
      </c>
      <c r="G40" s="3"/>
      <c r="H40" s="11">
        <v>25553.439999999999</v>
      </c>
      <c r="I40" s="3"/>
      <c r="J40" s="11">
        <v>27884.62</v>
      </c>
      <c r="K40" s="3"/>
      <c r="L40" s="11">
        <v>20223.57</v>
      </c>
      <c r="M40" s="3"/>
      <c r="N40" s="11">
        <v>25706.15</v>
      </c>
      <c r="O40" s="3"/>
      <c r="P40" s="11"/>
      <c r="Q40" s="3"/>
      <c r="R40" s="11"/>
    </row>
    <row r="41" spans="1:18" s="44" customFormat="1" hidden="1" outlineLevel="1" x14ac:dyDescent="0.35">
      <c r="A41" s="16"/>
      <c r="B41" s="35" t="str">
        <f>CONCATENATE("          ", "5026", " - ", "PURCHASES @ COST-WRITING INSTR")</f>
        <v xml:space="preserve">          5026 - PURCHASES @ COST-WRITING INSTR</v>
      </c>
      <c r="C41" s="16"/>
      <c r="D41" s="11">
        <v>41706.93</v>
      </c>
      <c r="E41" s="16"/>
      <c r="F41" s="11">
        <v>46718.51</v>
      </c>
      <c r="G41" s="3"/>
      <c r="H41" s="11">
        <v>51353.97</v>
      </c>
      <c r="I41" s="3"/>
      <c r="J41" s="11">
        <v>39948.06</v>
      </c>
      <c r="K41" s="3"/>
      <c r="L41" s="11">
        <v>51618.29</v>
      </c>
      <c r="M41" s="3"/>
      <c r="N41" s="11">
        <v>39626.85</v>
      </c>
      <c r="O41" s="3"/>
      <c r="P41" s="11"/>
      <c r="Q41" s="3"/>
      <c r="R41" s="11"/>
    </row>
    <row r="42" spans="1:18" s="44" customFormat="1" hidden="1" outlineLevel="1" x14ac:dyDescent="0.35">
      <c r="A42" s="16"/>
      <c r="B42" s="35" t="str">
        <f>CONCATENATE("          ", "5027", " - ", "PURCHASES @ COST-SCHOOL SUPPLI")</f>
        <v xml:space="preserve">          5027 - PURCHASES @ COST-SCHOOL SUPPLI</v>
      </c>
      <c r="C42" s="16"/>
      <c r="D42" s="11">
        <v>155636.76999999999</v>
      </c>
      <c r="E42" s="16"/>
      <c r="F42" s="11">
        <v>166432.01</v>
      </c>
      <c r="G42" s="3"/>
      <c r="H42" s="11">
        <v>143863.85999999999</v>
      </c>
      <c r="I42" s="3"/>
      <c r="J42" s="11">
        <v>167618.38</v>
      </c>
      <c r="K42" s="3"/>
      <c r="L42" s="11">
        <v>164846.69</v>
      </c>
      <c r="M42" s="3"/>
      <c r="N42" s="11">
        <v>149000.62</v>
      </c>
      <c r="O42" s="3"/>
      <c r="P42" s="11"/>
      <c r="Q42" s="3"/>
      <c r="R42" s="11"/>
    </row>
    <row r="43" spans="1:18" s="44" customFormat="1" hidden="1" outlineLevel="1" x14ac:dyDescent="0.35">
      <c r="A43" s="16"/>
      <c r="B43" s="35" t="str">
        <f>CONCATENATE("          ", "5028", " - ", "PURCHASES @ COST-ART/TECH")</f>
        <v xml:space="preserve">          5028 - PURCHASES @ COST-ART/TECH</v>
      </c>
      <c r="C43" s="16"/>
      <c r="D43" s="11">
        <v>4073.31</v>
      </c>
      <c r="E43" s="16"/>
      <c r="F43" s="11">
        <v>9523.01</v>
      </c>
      <c r="G43" s="3"/>
      <c r="H43" s="11">
        <v>6268.86</v>
      </c>
      <c r="I43" s="3"/>
      <c r="J43" s="11">
        <v>13022.77</v>
      </c>
      <c r="K43" s="3"/>
      <c r="L43" s="11">
        <v>5852.15</v>
      </c>
      <c r="M43" s="3"/>
      <c r="N43" s="11">
        <v>5398.13</v>
      </c>
      <c r="O43" s="3"/>
      <c r="P43" s="11"/>
      <c r="Q43" s="3"/>
      <c r="R43" s="11"/>
    </row>
    <row r="44" spans="1:18" s="44" customFormat="1" hidden="1" outlineLevel="1" x14ac:dyDescent="0.35">
      <c r="A44" s="16"/>
      <c r="B44" s="35" t="str">
        <f>CONCATENATE("          ", "5031", " - ", "PURCHASES @ COST-FOOD")</f>
        <v xml:space="preserve">          5031 - PURCHASES @ COST-FOOD</v>
      </c>
      <c r="C44" s="16"/>
      <c r="D44" s="11"/>
      <c r="E44" s="16"/>
      <c r="F44" s="11"/>
      <c r="G44" s="3"/>
      <c r="H44" s="11">
        <v>2523.73</v>
      </c>
      <c r="I44" s="3"/>
      <c r="J44" s="11">
        <v>2265.4899999999998</v>
      </c>
      <c r="K44" s="3"/>
      <c r="L44" s="11">
        <v>2140.2199999999998</v>
      </c>
      <c r="M44" s="3"/>
      <c r="N44" s="11">
        <v>780.53</v>
      </c>
      <c r="O44" s="3"/>
      <c r="P44" s="11"/>
      <c r="Q44" s="3"/>
      <c r="R44" s="11"/>
    </row>
    <row r="45" spans="1:18" s="44" customFormat="1" hidden="1" outlineLevel="1" x14ac:dyDescent="0.35">
      <c r="A45" s="16"/>
      <c r="B45" s="35" t="str">
        <f>CONCATENATE("          ", "5033", " - ", "PURCHASES @ COST-CANDY")</f>
        <v xml:space="preserve">          5033 - PURCHASES @ COST-CANDY</v>
      </c>
      <c r="C45" s="16"/>
      <c r="D45" s="11">
        <v>6.2</v>
      </c>
      <c r="E45" s="16"/>
      <c r="F45" s="11">
        <v>-190</v>
      </c>
      <c r="G45" s="3"/>
      <c r="H45" s="11">
        <v>2480.0300000000002</v>
      </c>
      <c r="I45" s="3"/>
      <c r="J45" s="11">
        <v>1958.66</v>
      </c>
      <c r="K45" s="3"/>
      <c r="L45" s="11">
        <v>1363.05</v>
      </c>
      <c r="M45" s="3"/>
      <c r="N45" s="11">
        <v>1119.08</v>
      </c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"5035", " - ", "PURCHASES @ COST-HEALTH &amp; BEAU")</f>
        <v xml:space="preserve">          5035 - PURCHASES @ COST-HEALTH &amp; BEAU</v>
      </c>
      <c r="C46" s="16"/>
      <c r="D46" s="11"/>
      <c r="E46" s="16"/>
      <c r="F46" s="11"/>
      <c r="G46" s="3"/>
      <c r="H46" s="11">
        <v>630.41999999999996</v>
      </c>
      <c r="I46" s="3"/>
      <c r="J46" s="11">
        <v>395.74</v>
      </c>
      <c r="K46" s="3"/>
      <c r="L46" s="11">
        <v>78.180000000000007</v>
      </c>
      <c r="M46" s="3"/>
      <c r="N46" s="11">
        <v>36.25</v>
      </c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"5200", " - ", "PURCHASES OFFSET")</f>
        <v xml:space="preserve">          5200 - PURCHASES OFFSET</v>
      </c>
      <c r="C47" s="16"/>
      <c r="D47" s="11">
        <v>-224125</v>
      </c>
      <c r="E47" s="16"/>
      <c r="F47" s="11">
        <v>-252759</v>
      </c>
      <c r="G47" s="3"/>
      <c r="H47" s="11">
        <v>-236773</v>
      </c>
      <c r="I47" s="3"/>
      <c r="J47" s="11">
        <v>-259122</v>
      </c>
      <c r="K47" s="3"/>
      <c r="L47" s="11">
        <v>-249042</v>
      </c>
      <c r="M47" s="3"/>
      <c r="N47" s="11">
        <v>-225111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"5300", " - ", "COG$ OFFSET")</f>
        <v xml:space="preserve">          5300 - COG$ OFFSET</v>
      </c>
      <c r="C48" s="16"/>
      <c r="D48" s="11">
        <v>229615</v>
      </c>
      <c r="E48" s="16"/>
      <c r="F48" s="11">
        <v>254504</v>
      </c>
      <c r="G48" s="3"/>
      <c r="H48" s="11">
        <v>233824</v>
      </c>
      <c r="I48" s="3"/>
      <c r="J48" s="11">
        <v>233361</v>
      </c>
      <c r="K48" s="3"/>
      <c r="L48" s="11">
        <v>233605</v>
      </c>
      <c r="M48" s="3"/>
      <c r="N48" s="11">
        <v>228540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"5500", " - ", "FREIGHT-IN")</f>
        <v xml:space="preserve">          5500 - FREIGHT-IN</v>
      </c>
      <c r="C49" s="16"/>
      <c r="D49" s="11"/>
      <c r="E49" s="16"/>
      <c r="F49" s="11"/>
      <c r="G49" s="3"/>
      <c r="H49" s="11"/>
      <c r="I49" s="3"/>
      <c r="J49" s="11"/>
      <c r="K49" s="3"/>
      <c r="L49" s="11"/>
      <c r="M49" s="3"/>
      <c r="N49" s="11">
        <v>6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"5517", " - ", "FREIGHT-IN-DORM/HOUSEWARES")</f>
        <v xml:space="preserve">          5517 - FREIGHT-IN-DORM/HOUSEWARES</v>
      </c>
      <c r="C50" s="16"/>
      <c r="D50" s="11"/>
      <c r="E50" s="16"/>
      <c r="F50" s="11"/>
      <c r="G50" s="3"/>
      <c r="H50" s="11"/>
      <c r="I50" s="3"/>
      <c r="J50" s="11">
        <v>21.57</v>
      </c>
      <c r="K50" s="3"/>
      <c r="L50" s="11"/>
      <c r="M50" s="3"/>
      <c r="N50" s="11"/>
      <c r="O50" s="3"/>
      <c r="P50" s="11"/>
      <c r="Q50" s="3"/>
      <c r="R50" s="11"/>
    </row>
    <row r="51" spans="1:18" s="44" customFormat="1" hidden="1" outlineLevel="1" x14ac:dyDescent="0.35">
      <c r="A51" s="16"/>
      <c r="B51" s="35" t="str">
        <f>CONCATENATE("          ", "5525", " - ", "FREIGHT-IN-TEST FORMS")</f>
        <v xml:space="preserve">          5525 - FREIGHT-IN-TEST FORMS</v>
      </c>
      <c r="C51" s="16"/>
      <c r="D51" s="11">
        <v>477.7</v>
      </c>
      <c r="E51" s="16"/>
      <c r="F51" s="11">
        <v>527.13</v>
      </c>
      <c r="G51" s="3"/>
      <c r="H51" s="11">
        <v>715.82</v>
      </c>
      <c r="I51" s="3"/>
      <c r="J51" s="11">
        <v>786.81</v>
      </c>
      <c r="K51" s="3"/>
      <c r="L51" s="11">
        <v>390.96</v>
      </c>
      <c r="M51" s="3"/>
      <c r="N51" s="11">
        <v>1614.32</v>
      </c>
      <c r="O51" s="3"/>
      <c r="P51" s="11"/>
      <c r="Q51" s="3"/>
      <c r="R51" s="11"/>
    </row>
    <row r="52" spans="1:18" s="44" customFormat="1" hidden="1" outlineLevel="1" x14ac:dyDescent="0.35">
      <c r="A52" s="16"/>
      <c r="B52" s="35" t="str">
        <f>CONCATENATE("          ", "5526", " - ", "FREIGHT-IN-WRITING INSTRUMENTS")</f>
        <v xml:space="preserve">          5526 - FREIGHT-IN-WRITING INSTRUMENTS</v>
      </c>
      <c r="C52" s="16"/>
      <c r="D52" s="11">
        <v>252.21</v>
      </c>
      <c r="E52" s="16"/>
      <c r="F52" s="11">
        <v>321.74</v>
      </c>
      <c r="G52" s="3"/>
      <c r="H52" s="11">
        <v>819.61</v>
      </c>
      <c r="I52" s="3"/>
      <c r="J52" s="11">
        <v>114.74</v>
      </c>
      <c r="K52" s="3"/>
      <c r="L52" s="11">
        <v>262.62</v>
      </c>
      <c r="M52" s="3"/>
      <c r="N52" s="11">
        <v>274.5</v>
      </c>
      <c r="O52" s="3"/>
      <c r="P52" s="11"/>
      <c r="Q52" s="3"/>
      <c r="R52" s="11"/>
    </row>
    <row r="53" spans="1:18" s="44" customFormat="1" hidden="1" outlineLevel="1" x14ac:dyDescent="0.35">
      <c r="A53" s="16"/>
      <c r="B53" s="35" t="str">
        <f>CONCATENATE("          ", "5527", " - ", "FREIGHT-IN-SCHOOL SUPPLIES")</f>
        <v xml:space="preserve">          5527 - FREIGHT-IN-SCHOOL SUPPLIES</v>
      </c>
      <c r="C53" s="16"/>
      <c r="D53" s="11">
        <v>1670.3</v>
      </c>
      <c r="E53" s="16"/>
      <c r="F53" s="11">
        <v>1948.74</v>
      </c>
      <c r="G53" s="3"/>
      <c r="H53" s="11">
        <v>2506.4499999999998</v>
      </c>
      <c r="I53" s="3"/>
      <c r="J53" s="11">
        <v>1412.02</v>
      </c>
      <c r="K53" s="3"/>
      <c r="L53" s="11">
        <v>1990.56</v>
      </c>
      <c r="M53" s="3"/>
      <c r="N53" s="11">
        <v>1438.72</v>
      </c>
      <c r="O53" s="3"/>
      <c r="P53" s="11"/>
      <c r="Q53" s="3"/>
      <c r="R53" s="11"/>
    </row>
    <row r="54" spans="1:18" s="44" customFormat="1" hidden="1" outlineLevel="1" x14ac:dyDescent="0.35">
      <c r="A54" s="16"/>
      <c r="B54" s="35" t="str">
        <f>CONCATENATE("          ", "5528", " - ", "FREIGHT-IN-ART/TECH")</f>
        <v xml:space="preserve">          5528 - FREIGHT-IN-ART/TECH</v>
      </c>
      <c r="C54" s="16"/>
      <c r="D54" s="11">
        <v>138.65</v>
      </c>
      <c r="E54" s="16"/>
      <c r="F54" s="11">
        <v>180.48</v>
      </c>
      <c r="G54" s="3"/>
      <c r="H54" s="11">
        <v>54.76</v>
      </c>
      <c r="I54" s="3"/>
      <c r="J54" s="11">
        <v>95.73</v>
      </c>
      <c r="K54" s="3"/>
      <c r="L54" s="11">
        <v>33.61</v>
      </c>
      <c r="M54" s="3"/>
      <c r="N54" s="11">
        <v>100.78</v>
      </c>
      <c r="O54" s="3"/>
      <c r="P54" s="11"/>
      <c r="Q54" s="3"/>
      <c r="R54" s="11"/>
    </row>
    <row r="55" spans="1:18" x14ac:dyDescent="0.35">
      <c r="A55" s="12"/>
      <c r="B55" s="7"/>
      <c r="C55" s="7"/>
      <c r="D55" s="6"/>
      <c r="F55" s="6"/>
      <c r="H55" s="6"/>
      <c r="J55" s="6"/>
      <c r="L55" s="6"/>
      <c r="N55" s="6"/>
      <c r="P55" s="6"/>
      <c r="R55" s="6"/>
    </row>
    <row r="56" spans="1:18" s="15" customFormat="1" x14ac:dyDescent="0.35">
      <c r="A56" s="7"/>
      <c r="B56" s="22" t="s">
        <v>107</v>
      </c>
      <c r="C56" s="22"/>
      <c r="D56" s="10">
        <f>+D10-D37</f>
        <v>199491.15999999995</v>
      </c>
      <c r="E56" s="12"/>
      <c r="F56" s="10">
        <f>+F10-F37</f>
        <v>212655.67999999991</v>
      </c>
      <c r="G56" s="5"/>
      <c r="H56" s="10">
        <f>+H10-H37</f>
        <v>222974.27000000014</v>
      </c>
      <c r="I56" s="5"/>
      <c r="J56" s="10">
        <f>+J10-J37</f>
        <v>213381.01999999984</v>
      </c>
      <c r="K56" s="5"/>
      <c r="L56" s="10">
        <f>+L10-L37</f>
        <v>240441.31000000008</v>
      </c>
      <c r="M56" s="5"/>
      <c r="N56" s="10">
        <f>+N10-N37</f>
        <v>193122.87999999998</v>
      </c>
      <c r="O56" s="5"/>
      <c r="P56" s="10">
        <f>+P10-P37</f>
        <v>0</v>
      </c>
      <c r="Q56" s="5"/>
      <c r="R56" s="10">
        <f>+R10-R37</f>
        <v>0</v>
      </c>
    </row>
    <row r="57" spans="1:18" s="27" customFormat="1" x14ac:dyDescent="0.35">
      <c r="A57" s="18"/>
      <c r="B57" s="31"/>
      <c r="C57" s="18"/>
      <c r="D57" s="9">
        <f>IFERROR(D56/D10, 0)</f>
        <v>0.46489387668715593</v>
      </c>
      <c r="E57" s="13"/>
      <c r="F57" s="9">
        <f>IFERROR(F56/F10, 0)</f>
        <v>0.45539318569679998</v>
      </c>
      <c r="G57" s="26"/>
      <c r="H57" s="9">
        <f>IFERROR(H56/H10, 0)</f>
        <v>0.48812634657966314</v>
      </c>
      <c r="I57" s="26"/>
      <c r="J57" s="9">
        <f>IFERROR(J56/J10, 0)</f>
        <v>0.47763514029407511</v>
      </c>
      <c r="K57" s="26"/>
      <c r="L57" s="9">
        <f>IFERROR(L56/L10, 0)</f>
        <v>0.50721294691331587</v>
      </c>
      <c r="M57" s="26"/>
      <c r="N57" s="9">
        <f>IFERROR(N56/N10, 0)</f>
        <v>0.45799718342572943</v>
      </c>
      <c r="O57" s="26"/>
      <c r="P57" s="9">
        <f>IFERROR(P56/P10, 0)</f>
        <v>0</v>
      </c>
      <c r="Q57" s="26"/>
      <c r="R57" s="9">
        <f>IFERROR(R56/R10, 0)</f>
        <v>0</v>
      </c>
    </row>
    <row r="58" spans="1:18" s="27" customFormat="1" x14ac:dyDescent="0.35">
      <c r="A58" s="18"/>
      <c r="B58" s="31"/>
      <c r="C58" s="18"/>
      <c r="D58" s="13"/>
      <c r="E58" s="13"/>
      <c r="F58" s="13"/>
      <c r="G58" s="26"/>
      <c r="H58" s="13"/>
      <c r="I58" s="26"/>
      <c r="J58" s="13"/>
      <c r="K58" s="26"/>
      <c r="L58" s="13"/>
      <c r="M58" s="26"/>
      <c r="N58" s="13"/>
      <c r="O58" s="26"/>
      <c r="P58" s="13"/>
      <c r="Q58" s="26"/>
      <c r="R58" s="13"/>
    </row>
    <row r="59" spans="1:18" s="15" customFormat="1" x14ac:dyDescent="0.35">
      <c r="A59" s="7"/>
      <c r="B59" s="34" t="s">
        <v>314</v>
      </c>
      <c r="C59" s="7"/>
      <c r="D59" s="8">
        <f>SUM(OSRRefD21x_0)</f>
        <v>117429.83</v>
      </c>
      <c r="E59" s="19"/>
      <c r="F59" s="8">
        <f>SUM(OSRRefF21x_0)</f>
        <v>116064.65</v>
      </c>
      <c r="G59" s="4"/>
      <c r="H59" s="8">
        <f>SUM(OSRRefH21x_0)</f>
        <v>50030.829999999994</v>
      </c>
      <c r="I59" s="4"/>
      <c r="J59" s="8">
        <f>SUM(OSRRefJ21x_0)</f>
        <v>99975.60000000002</v>
      </c>
      <c r="K59" s="4"/>
      <c r="L59" s="8">
        <f>SUM(OSRRefL21x_0)</f>
        <v>112471.34</v>
      </c>
      <c r="M59" s="4"/>
      <c r="N59" s="8">
        <f>SUM(OSRRefN21x_0)</f>
        <v>140416.29</v>
      </c>
      <c r="O59" s="4"/>
      <c r="P59" s="8">
        <f>SUM(OSRRefP21x_0)</f>
        <v>0</v>
      </c>
      <c r="Q59" s="4"/>
      <c r="R59" s="8">
        <f>SUM(OSRRefR21x_0)</f>
        <v>0</v>
      </c>
    </row>
    <row r="60" spans="1:18" s="15" customFormat="1" outlineLevel="1" collapsed="1" x14ac:dyDescent="0.35">
      <c r="A60" s="7"/>
      <c r="B60" s="20" t="str">
        <f>CONCATENATE("     ","*Benefits                                         ")</f>
        <v xml:space="preserve">     *Benefits                                         </v>
      </c>
      <c r="C60" s="7"/>
      <c r="D60" s="1">
        <f>SUM(OSRRefD21_0x_0)</f>
        <v>20716.059999999998</v>
      </c>
      <c r="E60" s="19"/>
      <c r="F60" s="1">
        <f>SUM(OSRRefF21_0x_0)</f>
        <v>17776.91</v>
      </c>
      <c r="G60" s="4"/>
      <c r="H60" s="1">
        <f>SUM(OSRRefH21_0x_0)</f>
        <v>3346.71</v>
      </c>
      <c r="I60" s="4"/>
      <c r="J60" s="1">
        <f>SUM(OSRRefJ21_0x_0)</f>
        <v>10885.919999999998</v>
      </c>
      <c r="K60" s="4"/>
      <c r="L60" s="1">
        <f>SUM(OSRRefL21_0x_0)</f>
        <v>21171.719999999998</v>
      </c>
      <c r="M60" s="4"/>
      <c r="N60" s="1">
        <f>SUM(OSRRefN21_0x_0)</f>
        <v>18557.940000000002</v>
      </c>
      <c r="O60" s="4"/>
      <c r="P60" s="1">
        <f>SUM(OSRRefP21_0x_0)</f>
        <v>0</v>
      </c>
      <c r="Q60" s="4"/>
      <c r="R60" s="1">
        <f>SUM(OSRRefR21_0x_0)</f>
        <v>0</v>
      </c>
    </row>
    <row r="61" spans="1:18" s="16" customFormat="1" hidden="1" outlineLevel="2" x14ac:dyDescent="0.35">
      <c r="B61" s="11" t="str">
        <f>CONCATENATE("          ", "6111", " - ", "F.I.C.A.")</f>
        <v xml:space="preserve">          6111 - F.I.C.A.</v>
      </c>
      <c r="D61" s="2">
        <v>3999.41</v>
      </c>
      <c r="F61" s="2">
        <v>3861.52</v>
      </c>
      <c r="G61" s="3"/>
      <c r="H61" s="2">
        <v>809.09</v>
      </c>
      <c r="I61" s="3"/>
      <c r="J61" s="2">
        <v>1896.51</v>
      </c>
      <c r="K61" s="3"/>
      <c r="L61" s="2">
        <v>3255.15</v>
      </c>
      <c r="M61" s="3"/>
      <c r="N61" s="2">
        <v>3894.14</v>
      </c>
      <c r="O61" s="3"/>
      <c r="P61" s="2"/>
      <c r="Q61" s="3"/>
      <c r="R61" s="2"/>
    </row>
    <row r="62" spans="1:18" s="16" customFormat="1" hidden="1" outlineLevel="2" x14ac:dyDescent="0.35">
      <c r="B62" s="11" t="str">
        <f>CONCATENATE("          ", "6112", " - ", "COMPENSATION INSURANCE")</f>
        <v xml:space="preserve">          6112 - COMPENSATION INSURANCE</v>
      </c>
      <c r="D62" s="2">
        <v>1473.71</v>
      </c>
      <c r="F62" s="2">
        <v>2250.34</v>
      </c>
      <c r="G62" s="3"/>
      <c r="H62" s="2">
        <v>643.04</v>
      </c>
      <c r="I62" s="3"/>
      <c r="J62" s="2">
        <v>329.01</v>
      </c>
      <c r="K62" s="3"/>
      <c r="L62" s="2">
        <v>913.71</v>
      </c>
      <c r="M62" s="3"/>
      <c r="N62" s="2">
        <v>1508.41</v>
      </c>
      <c r="O62" s="3"/>
      <c r="P62" s="2"/>
      <c r="Q62" s="3"/>
      <c r="R62" s="2"/>
    </row>
    <row r="63" spans="1:18" s="16" customFormat="1" hidden="1" outlineLevel="2" x14ac:dyDescent="0.35">
      <c r="B63" s="11" t="str">
        <f>CONCATENATE("          ", "6113", " - ", "GROUP INSURANCE")</f>
        <v xml:space="preserve">          6113 - GROUP INSURANCE</v>
      </c>
      <c r="D63" s="2">
        <v>3448.09</v>
      </c>
      <c r="F63" s="2">
        <v>1886.74</v>
      </c>
      <c r="G63" s="3"/>
      <c r="H63" s="2"/>
      <c r="I63" s="3"/>
      <c r="J63" s="2">
        <v>5930.64</v>
      </c>
      <c r="K63" s="3"/>
      <c r="L63" s="2">
        <v>10841.5</v>
      </c>
      <c r="M63" s="3"/>
      <c r="N63" s="2">
        <v>12765.44</v>
      </c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"6114", " - ", "STATE UNEMPLOYMENT INSURANCE")</f>
        <v xml:space="preserve">          6114 - STATE UNEMPLOYMENT INSURANCE</v>
      </c>
      <c r="D64" s="2">
        <v>600.62</v>
      </c>
      <c r="F64" s="2">
        <v>544.02</v>
      </c>
      <c r="G64" s="3"/>
      <c r="H64" s="2">
        <v>118.48</v>
      </c>
      <c r="I64" s="3"/>
      <c r="J64" s="2">
        <v>107.6</v>
      </c>
      <c r="K64" s="3"/>
      <c r="L64" s="2">
        <v>208.93</v>
      </c>
      <c r="M64" s="3"/>
      <c r="N64" s="2">
        <v>0</v>
      </c>
      <c r="O64" s="3"/>
      <c r="P64" s="2"/>
      <c r="Q64" s="3"/>
      <c r="R64" s="2"/>
    </row>
    <row r="65" spans="1:18" s="16" customFormat="1" hidden="1" outlineLevel="2" x14ac:dyDescent="0.35">
      <c r="B65" s="11" t="str">
        <f>CONCATENATE("          ", "6115", " - ", "P.E.R.S.")</f>
        <v xml:space="preserve">          6115 - P.E.R.S.</v>
      </c>
      <c r="D65" s="2">
        <v>5031.25</v>
      </c>
      <c r="F65" s="2">
        <v>2645.96</v>
      </c>
      <c r="G65" s="3"/>
      <c r="H65" s="2"/>
      <c r="I65" s="3"/>
      <c r="J65" s="2">
        <v>485.07</v>
      </c>
      <c r="K65" s="3"/>
      <c r="L65" s="2">
        <v>2090.4899999999998</v>
      </c>
      <c r="M65" s="3"/>
      <c r="N65" s="2">
        <v>3263.92</v>
      </c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"6117", " - ", "RETIREMENT STAFF HOURLY")</f>
        <v xml:space="preserve">          6117 - RETIREMENT STAFF HOURLY</v>
      </c>
      <c r="D66" s="2"/>
      <c r="F66" s="2"/>
      <c r="G66" s="3"/>
      <c r="H66" s="2"/>
      <c r="I66" s="3"/>
      <c r="J66" s="2"/>
      <c r="K66" s="3"/>
      <c r="L66" s="2"/>
      <c r="M66" s="3"/>
      <c r="N66" s="2">
        <v>46.65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"6118", " - ", "VACATION")</f>
        <v xml:space="preserve">          6118 - VACATION</v>
      </c>
      <c r="D67" s="2">
        <v>3118.18</v>
      </c>
      <c r="F67" s="2">
        <v>2592.7199999999998</v>
      </c>
      <c r="G67" s="3"/>
      <c r="H67" s="2"/>
      <c r="I67" s="3"/>
      <c r="J67" s="2">
        <v>855.72</v>
      </c>
      <c r="K67" s="3"/>
      <c r="L67" s="2">
        <v>2165.3200000000002</v>
      </c>
      <c r="M67" s="3"/>
      <c r="N67" s="2">
        <v>2749.48</v>
      </c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"6119", " - ", "SICK LEAVE")</f>
        <v xml:space="preserve">          6119 - SICK LEAVE</v>
      </c>
      <c r="D68" s="2">
        <v>1557.01</v>
      </c>
      <c r="F68" s="2">
        <v>1898.64</v>
      </c>
      <c r="G68" s="3"/>
      <c r="H68" s="2"/>
      <c r="I68" s="3"/>
      <c r="J68" s="2">
        <v>684.96</v>
      </c>
      <c r="K68" s="3"/>
      <c r="L68" s="2">
        <v>1696.62</v>
      </c>
      <c r="M68" s="3"/>
      <c r="N68" s="2">
        <v>-6282.95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"6156", " - ", "EMPLOYEE MEALS")</f>
        <v xml:space="preserve">          6156 - EMPLOYEE MEALS</v>
      </c>
      <c r="D69" s="2">
        <v>1487.79</v>
      </c>
      <c r="F69" s="2">
        <v>2096.9699999999998</v>
      </c>
      <c r="G69" s="3"/>
      <c r="H69" s="2">
        <v>1776.1</v>
      </c>
      <c r="I69" s="3"/>
      <c r="J69" s="2">
        <v>596.41</v>
      </c>
      <c r="K69" s="3"/>
      <c r="L69" s="2"/>
      <c r="M69" s="3"/>
      <c r="N69" s="2">
        <v>612.85</v>
      </c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","*Payroll                                          ")</f>
        <v xml:space="preserve">     *Payroll                                          </v>
      </c>
      <c r="C70" s="7"/>
      <c r="D70" s="1">
        <f>SUM(OSRRefD21_1x_0)</f>
        <v>78636.27</v>
      </c>
      <c r="E70" s="19"/>
      <c r="F70" s="1">
        <f>SUM(OSRRefF21_1x_0)</f>
        <v>73567.89</v>
      </c>
      <c r="G70" s="4"/>
      <c r="H70" s="1">
        <f>SUM(OSRRefH21_1x_0)</f>
        <v>42623.1</v>
      </c>
      <c r="I70" s="4"/>
      <c r="J70" s="1">
        <f>SUM(OSRRefJ21_1x_0)</f>
        <v>56616.49</v>
      </c>
      <c r="K70" s="4"/>
      <c r="L70" s="1">
        <f>SUM(OSRRefL21_1x_0)</f>
        <v>70341.89</v>
      </c>
      <c r="M70" s="4"/>
      <c r="N70" s="1">
        <f>SUM(OSRRefN21_1x_0)</f>
        <v>82930.86</v>
      </c>
      <c r="O70" s="4"/>
      <c r="P70" s="1">
        <f>SUM(OSRRefP21_1x_0)</f>
        <v>0</v>
      </c>
      <c r="Q70" s="4"/>
      <c r="R70" s="1">
        <f>SUM(OSRRefR21_1x_0)</f>
        <v>0</v>
      </c>
    </row>
    <row r="71" spans="1:18" s="16" customFormat="1" hidden="1" outlineLevel="2" x14ac:dyDescent="0.35">
      <c r="B71" s="11" t="str">
        <f>CONCATENATE("          ", "6002", " - ", "STAFF SALARIES")</f>
        <v xml:space="preserve">          6002 - STAFF SALARIES</v>
      </c>
      <c r="D71" s="2">
        <v>30250.22</v>
      </c>
      <c r="F71" s="2">
        <v>20472.12</v>
      </c>
      <c r="G71" s="3"/>
      <c r="H71" s="2"/>
      <c r="I71" s="3"/>
      <c r="J71" s="2">
        <v>14849.76</v>
      </c>
      <c r="K71" s="3"/>
      <c r="L71" s="2">
        <v>31100.49</v>
      </c>
      <c r="M71" s="3"/>
      <c r="N71" s="2">
        <v>38729.01</v>
      </c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"6004", " - ", "STAFF HOURLY")</f>
        <v xml:space="preserve">          6004 - STAFF HOURLY</v>
      </c>
      <c r="D72" s="2"/>
      <c r="F72" s="2"/>
      <c r="G72" s="3"/>
      <c r="H72" s="2"/>
      <c r="I72" s="3"/>
      <c r="J72" s="2">
        <v>-586.88</v>
      </c>
      <c r="K72" s="3"/>
      <c r="L72" s="2"/>
      <c r="M72" s="3"/>
      <c r="N72" s="2">
        <v>-48</v>
      </c>
      <c r="O72" s="3"/>
      <c r="P72" s="2"/>
      <c r="Q72" s="3"/>
      <c r="R72" s="2"/>
    </row>
    <row r="73" spans="1:18" s="16" customFormat="1" hidden="1" outlineLevel="2" x14ac:dyDescent="0.35">
      <c r="B73" s="11" t="str">
        <f>CONCATENATE("          ", "6005", " - ", "TEMPORARY WAGES-HOURLY")</f>
        <v xml:space="preserve">          6005 - TEMPORARY WAGES-HOURLY</v>
      </c>
      <c r="D73" s="2"/>
      <c r="F73" s="2">
        <v>1502.8</v>
      </c>
      <c r="G73" s="3"/>
      <c r="H73" s="2"/>
      <c r="I73" s="3"/>
      <c r="J73" s="2"/>
      <c r="K73" s="3"/>
      <c r="L73" s="2"/>
      <c r="M73" s="3"/>
      <c r="N73" s="2"/>
      <c r="O73" s="3"/>
      <c r="P73" s="2"/>
      <c r="Q73" s="3"/>
      <c r="R73" s="2"/>
    </row>
    <row r="74" spans="1:18" s="16" customFormat="1" hidden="1" outlineLevel="2" x14ac:dyDescent="0.35">
      <c r="B74" s="11" t="str">
        <f>CONCATENATE("          ", "6006", " - ", "TEMPORARY PART TIME")</f>
        <v xml:space="preserve">          6006 - TEMPORARY PART TIME</v>
      </c>
      <c r="D74" s="2">
        <v>5732.15</v>
      </c>
      <c r="F74" s="2">
        <v>7190.59</v>
      </c>
      <c r="G74" s="3"/>
      <c r="H74" s="2">
        <v>6007.26</v>
      </c>
      <c r="I74" s="3"/>
      <c r="J74" s="2">
        <v>1108.01</v>
      </c>
      <c r="K74" s="3"/>
      <c r="L74" s="2">
        <v>58.75</v>
      </c>
      <c r="M74" s="3"/>
      <c r="N74" s="2"/>
      <c r="O74" s="3"/>
      <c r="P74" s="2"/>
      <c r="Q74" s="3"/>
      <c r="R74" s="2"/>
    </row>
    <row r="75" spans="1:18" s="16" customFormat="1" hidden="1" outlineLevel="2" x14ac:dyDescent="0.35">
      <c r="B75" s="11" t="str">
        <f>CONCATENATE("          ", "6007", " - ", "STUDENT HOURLY")</f>
        <v xml:space="preserve">          6007 - STUDENT HOURLY</v>
      </c>
      <c r="D75" s="2">
        <v>42190.400000000001</v>
      </c>
      <c r="F75" s="2">
        <v>44402.38</v>
      </c>
      <c r="G75" s="3"/>
      <c r="H75" s="2">
        <v>36615.839999999997</v>
      </c>
      <c r="I75" s="3"/>
      <c r="J75" s="2">
        <v>41245.599999999999</v>
      </c>
      <c r="K75" s="3"/>
      <c r="L75" s="2">
        <v>39182.65</v>
      </c>
      <c r="M75" s="3"/>
      <c r="N75" s="2">
        <v>44249.85</v>
      </c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"6008", " - ", "STUDENT HOURLY-FICA EXEMPT")</f>
        <v xml:space="preserve">          6008 - STUDENT HOURLY-FICA EXEMPT</v>
      </c>
      <c r="D76" s="2">
        <v>463.5</v>
      </c>
      <c r="F76" s="2"/>
      <c r="G76" s="3"/>
      <c r="H76" s="2"/>
      <c r="I76" s="3"/>
      <c r="J76" s="2"/>
      <c r="K76" s="3"/>
      <c r="L76" s="2"/>
      <c r="M76" s="3"/>
      <c r="N76" s="2"/>
      <c r="O76" s="3"/>
      <c r="P76" s="2"/>
      <c r="Q76" s="3"/>
      <c r="R76" s="2"/>
    </row>
    <row r="77" spans="1:18" s="15" customFormat="1" outlineLevel="1" collapsed="1" x14ac:dyDescent="0.35">
      <c r="A77" s="7"/>
      <c r="B77" s="20" t="str">
        <f>CONCATENATE("     ","Advertising/Promo                                 ")</f>
        <v xml:space="preserve">     Advertising/Promo                                 </v>
      </c>
      <c r="C77" s="7"/>
      <c r="D77" s="1">
        <f>SUM(OSRRefD21_2x_0)</f>
        <v>579.30999999999995</v>
      </c>
      <c r="E77" s="19"/>
      <c r="F77" s="1">
        <f>SUM(OSRRefF21_2x_0)</f>
        <v>1178.53</v>
      </c>
      <c r="G77" s="4"/>
      <c r="H77" s="1">
        <f>SUM(OSRRefH21_2x_0)</f>
        <v>293.27999999999997</v>
      </c>
      <c r="I77" s="4"/>
      <c r="J77" s="1">
        <f>SUM(OSRRefJ21_2x_0)</f>
        <v>1859.11</v>
      </c>
      <c r="K77" s="4"/>
      <c r="L77" s="1">
        <f>SUM(OSRRefL21_2x_0)</f>
        <v>1967.86</v>
      </c>
      <c r="M77" s="4"/>
      <c r="N77" s="1">
        <f>SUM(OSRRefN21_2x_0)</f>
        <v>1181.76</v>
      </c>
      <c r="O77" s="4"/>
      <c r="P77" s="1">
        <f>SUM(OSRRefP21_2x_0)</f>
        <v>0</v>
      </c>
      <c r="Q77" s="4"/>
      <c r="R77" s="1">
        <f>SUM(OSRRefR21_2x_0)</f>
        <v>0</v>
      </c>
    </row>
    <row r="78" spans="1:18" s="16" customFormat="1" hidden="1" outlineLevel="2" x14ac:dyDescent="0.35">
      <c r="B78" s="11" t="str">
        <f>CONCATENATE("          ", "6362", " - ", "ADVERTISING EXPENSE")</f>
        <v xml:space="preserve">          6362 - ADVERTISING EXPENSE</v>
      </c>
      <c r="D78" s="2">
        <v>579.30999999999995</v>
      </c>
      <c r="F78" s="2">
        <v>1178.53</v>
      </c>
      <c r="G78" s="3"/>
      <c r="H78" s="2">
        <v>293.27999999999997</v>
      </c>
      <c r="I78" s="3"/>
      <c r="J78" s="2">
        <v>1859.11</v>
      </c>
      <c r="K78" s="3"/>
      <c r="L78" s="2">
        <v>1967.86</v>
      </c>
      <c r="M78" s="3"/>
      <c r="N78" s="2">
        <v>1181.76</v>
      </c>
      <c r="O78" s="3"/>
      <c r="P78" s="2"/>
      <c r="Q78" s="3"/>
      <c r="R78" s="2"/>
    </row>
    <row r="79" spans="1:18" s="15" customFormat="1" outlineLevel="1" collapsed="1" x14ac:dyDescent="0.35">
      <c r="A79" s="7"/>
      <c r="B79" s="20" t="str">
        <f>CONCATENATE("     ","Discounts and Markdowns                           ")</f>
        <v xml:space="preserve">     Discounts and Markdowns                           </v>
      </c>
      <c r="C79" s="7"/>
      <c r="D79" s="1">
        <f>SUM(OSRRefD21_3x_0)</f>
        <v>11433.29</v>
      </c>
      <c r="E79" s="19"/>
      <c r="F79" s="1">
        <f>SUM(OSRRefF21_3x_0)</f>
        <v>12107.06</v>
      </c>
      <c r="G79" s="4"/>
      <c r="H79" s="1">
        <f>SUM(OSRRefH21_3x_0)</f>
        <v>16279.44</v>
      </c>
      <c r="I79" s="4"/>
      <c r="J79" s="1">
        <f>SUM(OSRRefJ21_3x_0)</f>
        <v>12139.31</v>
      </c>
      <c r="K79" s="4"/>
      <c r="L79" s="1">
        <f>SUM(OSRRefL21_3x_0)</f>
        <v>23763.55</v>
      </c>
      <c r="M79" s="4"/>
      <c r="N79" s="1">
        <f>SUM(OSRRefN21_3x_0)</f>
        <v>16768.41</v>
      </c>
      <c r="O79" s="4"/>
      <c r="P79" s="1">
        <f>SUM(OSRRefP21_3x_0)</f>
        <v>0</v>
      </c>
      <c r="Q79" s="4"/>
      <c r="R79" s="1">
        <f>SUM(OSRRefR21_3x_0)</f>
        <v>0</v>
      </c>
    </row>
    <row r="80" spans="1:18" s="16" customFormat="1" hidden="1" outlineLevel="2" x14ac:dyDescent="0.35">
      <c r="B80" s="11" t="str">
        <f>CONCATENATE("          ", "6382", " - ", "DISCOUNTS/MARK DOWNS")</f>
        <v xml:space="preserve">          6382 - DISCOUNTS/MARK DOWNS</v>
      </c>
      <c r="D80" s="2">
        <v>11433.29</v>
      </c>
      <c r="F80" s="2">
        <v>12107.06</v>
      </c>
      <c r="G80" s="3"/>
      <c r="H80" s="2">
        <v>16279.44</v>
      </c>
      <c r="I80" s="3"/>
      <c r="J80" s="2">
        <v>12156.68</v>
      </c>
      <c r="K80" s="3"/>
      <c r="L80" s="2">
        <v>23128.639999999999</v>
      </c>
      <c r="M80" s="3"/>
      <c r="N80" s="2">
        <v>16768.41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"9175", " - ", "EARNED DISCOUNTS")</f>
        <v xml:space="preserve">          9175 - EARNED DISCOUNTS</v>
      </c>
      <c r="D81" s="2"/>
      <c r="F81" s="2"/>
      <c r="G81" s="3"/>
      <c r="H81" s="2"/>
      <c r="I81" s="3"/>
      <c r="J81" s="2">
        <v>-17.37</v>
      </c>
      <c r="K81" s="3"/>
      <c r="L81" s="2">
        <v>634.91</v>
      </c>
      <c r="M81" s="3"/>
      <c r="N81" s="2">
        <v>0</v>
      </c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","Employees' Appreciation                           ")</f>
        <v xml:space="preserve">     Employees' Appreciation                           </v>
      </c>
      <c r="C82" s="7"/>
      <c r="D82" s="1">
        <f>SUM(OSRRefD21_4x_0)</f>
        <v>35.94</v>
      </c>
      <c r="E82" s="19"/>
      <c r="F82" s="1">
        <f>SUM(OSRRefF21_4x_0)</f>
        <v>20</v>
      </c>
      <c r="G82" s="4"/>
      <c r="H82" s="1">
        <f>SUM(OSRRefH21_4x_0)</f>
        <v>96.27</v>
      </c>
      <c r="I82" s="4"/>
      <c r="J82" s="1">
        <f>SUM(OSRRefJ21_4x_0)</f>
        <v>0</v>
      </c>
      <c r="K82" s="4"/>
      <c r="L82" s="1">
        <f>SUM(OSRRefL21_4x_0)</f>
        <v>77.849999999999994</v>
      </c>
      <c r="M82" s="4"/>
      <c r="N82" s="1">
        <f>SUM(OSRRefN21_4x_0)</f>
        <v>0</v>
      </c>
      <c r="O82" s="4"/>
      <c r="P82" s="1">
        <f>SUM(OSRRefP21_4x_0)</f>
        <v>0</v>
      </c>
      <c r="Q82" s="4"/>
      <c r="R82" s="1">
        <f>SUM(OSRRefR21_4x_0)</f>
        <v>0</v>
      </c>
    </row>
    <row r="83" spans="1:18" s="16" customFormat="1" hidden="1" outlineLevel="2" x14ac:dyDescent="0.35">
      <c r="B83" s="11" t="str">
        <f>CONCATENATE("          ", "6277", " - ", "EMPLOYEE APPRECIATION")</f>
        <v xml:space="preserve">          6277 - EMPLOYEE APPRECIATION</v>
      </c>
      <c r="D83" s="2">
        <v>35.94</v>
      </c>
      <c r="F83" s="2">
        <v>20</v>
      </c>
      <c r="G83" s="3"/>
      <c r="H83" s="2">
        <v>96.27</v>
      </c>
      <c r="I83" s="3"/>
      <c r="J83" s="2"/>
      <c r="K83" s="3"/>
      <c r="L83" s="2">
        <v>77.849999999999994</v>
      </c>
      <c r="M83" s="3"/>
      <c r="N83" s="2"/>
      <c r="O83" s="3"/>
      <c r="P83" s="2"/>
      <c r="Q83" s="3"/>
      <c r="R83" s="2"/>
    </row>
    <row r="84" spans="1:18" s="15" customFormat="1" outlineLevel="1" collapsed="1" x14ac:dyDescent="0.35">
      <c r="A84" s="7"/>
      <c r="B84" s="20" t="str">
        <f>CONCATENATE("     ","Freight out/Postage                               ")</f>
        <v xml:space="preserve">     Freight out/Postage                               </v>
      </c>
      <c r="C84" s="7"/>
      <c r="D84" s="1">
        <f>SUM(OSRRefD21_5x_0)</f>
        <v>8.74</v>
      </c>
      <c r="E84" s="19"/>
      <c r="F84" s="1">
        <f>SUM(OSRRefF21_5x_0)</f>
        <v>29.11</v>
      </c>
      <c r="G84" s="4"/>
      <c r="H84" s="1">
        <f>SUM(OSRRefH21_5x_0)</f>
        <v>14.88</v>
      </c>
      <c r="I84" s="4"/>
      <c r="J84" s="1">
        <f>SUM(OSRRefJ21_5x_0)</f>
        <v>88.13</v>
      </c>
      <c r="K84" s="4"/>
      <c r="L84" s="1">
        <f>SUM(OSRRefL21_5x_0)</f>
        <v>28.02</v>
      </c>
      <c r="M84" s="4"/>
      <c r="N84" s="1">
        <f>SUM(OSRRefN21_5x_0)</f>
        <v>15.81</v>
      </c>
      <c r="O84" s="4"/>
      <c r="P84" s="1">
        <f>SUM(OSRRefP21_5x_0)</f>
        <v>0</v>
      </c>
      <c r="Q84" s="4"/>
      <c r="R84" s="1">
        <f>SUM(OSRRefR21_5x_0)</f>
        <v>0</v>
      </c>
    </row>
    <row r="85" spans="1:18" s="16" customFormat="1" hidden="1" outlineLevel="2" x14ac:dyDescent="0.35">
      <c r="B85" s="11" t="str">
        <f>CONCATENATE("          ", "6305", " - ", "FREIGHT OUT")</f>
        <v xml:space="preserve">          6305 - FREIGHT OUT</v>
      </c>
      <c r="D85" s="2">
        <v>8.74</v>
      </c>
      <c r="F85" s="2">
        <v>26.58</v>
      </c>
      <c r="G85" s="3"/>
      <c r="H85" s="2">
        <v>14.88</v>
      </c>
      <c r="I85" s="3"/>
      <c r="J85" s="2">
        <v>88.13</v>
      </c>
      <c r="K85" s="3"/>
      <c r="L85" s="2">
        <v>28.02</v>
      </c>
      <c r="M85" s="3"/>
      <c r="N85" s="2">
        <v>15.81</v>
      </c>
      <c r="O85" s="3"/>
      <c r="P85" s="2"/>
      <c r="Q85" s="3"/>
      <c r="R85" s="2"/>
    </row>
    <row r="86" spans="1:18" s="16" customFormat="1" hidden="1" outlineLevel="2" x14ac:dyDescent="0.35">
      <c r="B86" s="11" t="str">
        <f>CONCATENATE("          ", "6307", " - ", "POSTAGE")</f>
        <v xml:space="preserve">          6307 - POSTAGE</v>
      </c>
      <c r="D86" s="2"/>
      <c r="F86" s="2">
        <v>2.5299999999999998</v>
      </c>
      <c r="G86" s="3"/>
      <c r="H86" s="2"/>
      <c r="I86" s="3"/>
      <c r="J86" s="2"/>
      <c r="K86" s="3"/>
      <c r="L86" s="2"/>
      <c r="M86" s="3"/>
      <c r="N86" s="2"/>
      <c r="O86" s="3"/>
      <c r="P86" s="2"/>
      <c r="Q86" s="3"/>
      <c r="R86" s="2"/>
    </row>
    <row r="87" spans="1:18" s="15" customFormat="1" outlineLevel="1" collapsed="1" x14ac:dyDescent="0.35">
      <c r="A87" s="7"/>
      <c r="B87" s="20" t="str">
        <f>CONCATENATE("     ","Inventory Adjustment                              ")</f>
        <v xml:space="preserve">     Inventory Adjustment                              </v>
      </c>
      <c r="C87" s="7"/>
      <c r="D87" s="1">
        <f>SUM(OSRRefD21_6x_0)</f>
        <v>1579</v>
      </c>
      <c r="E87" s="19"/>
      <c r="F87" s="1">
        <f>SUM(OSRRefF21_6x_0)</f>
        <v>8083</v>
      </c>
      <c r="G87" s="4"/>
      <c r="H87" s="1">
        <f>SUM(OSRRefH21_6x_0)</f>
        <v>-15861</v>
      </c>
      <c r="I87" s="4"/>
      <c r="J87" s="1">
        <f>SUM(OSRRefJ21_6x_0)</f>
        <v>16111</v>
      </c>
      <c r="K87" s="4"/>
      <c r="L87" s="1">
        <f>SUM(OSRRefL21_6x_0)</f>
        <v>-6122</v>
      </c>
      <c r="M87" s="4"/>
      <c r="N87" s="1">
        <f>SUM(OSRRefN21_6x_0)</f>
        <v>20749</v>
      </c>
      <c r="O87" s="4"/>
      <c r="P87" s="1">
        <f>SUM(OSRRefP21_6x_0)</f>
        <v>0</v>
      </c>
      <c r="Q87" s="4"/>
      <c r="R87" s="1">
        <f>SUM(OSRRefR21_6x_0)</f>
        <v>0</v>
      </c>
    </row>
    <row r="88" spans="1:18" s="16" customFormat="1" hidden="1" outlineLevel="2" x14ac:dyDescent="0.35">
      <c r="B88" s="11" t="str">
        <f>CONCATENATE("          ", "6408", " - ", "INVENTORY ADJUSTMENT")</f>
        <v xml:space="preserve">          6408 - INVENTORY ADJUSTMENT</v>
      </c>
      <c r="D88" s="2">
        <v>0</v>
      </c>
      <c r="F88" s="2">
        <v>0</v>
      </c>
      <c r="G88" s="3"/>
      <c r="H88" s="2">
        <v>0</v>
      </c>
      <c r="I88" s="3"/>
      <c r="J88" s="2"/>
      <c r="K88" s="3"/>
      <c r="L88" s="2"/>
      <c r="M88" s="3"/>
      <c r="N88" s="2"/>
      <c r="O88" s="3"/>
      <c r="P88" s="2"/>
      <c r="Q88" s="3"/>
      <c r="R88" s="2"/>
    </row>
    <row r="89" spans="1:18" s="16" customFormat="1" hidden="1" outlineLevel="2" x14ac:dyDescent="0.35">
      <c r="B89" s="11" t="str">
        <f>CONCATENATE("          ", "7717", " - ", "INV. SHRINKAGE-DORM/HOUSEWARES")</f>
        <v xml:space="preserve">          7717 - INV. SHRINKAGE-DORM/HOUSEWARES</v>
      </c>
      <c r="D89" s="2"/>
      <c r="F89" s="2"/>
      <c r="G89" s="3"/>
      <c r="H89" s="2"/>
      <c r="I89" s="3"/>
      <c r="J89" s="2">
        <v>3654</v>
      </c>
      <c r="K89" s="3"/>
      <c r="L89" s="2">
        <v>-22</v>
      </c>
      <c r="M89" s="3"/>
      <c r="N89" s="2">
        <v>-150</v>
      </c>
      <c r="O89" s="3"/>
      <c r="P89" s="2"/>
      <c r="Q89" s="3"/>
      <c r="R89" s="2"/>
    </row>
    <row r="90" spans="1:18" s="16" customFormat="1" hidden="1" outlineLevel="2" x14ac:dyDescent="0.35">
      <c r="B90" s="11" t="str">
        <f>CONCATENATE("          ", "7719", " - ", "INV. SHRINKAGE-BOOK RELATED")</f>
        <v xml:space="preserve">          7719 - INV. SHRINKAGE-BOOK RELATED</v>
      </c>
      <c r="D90" s="2"/>
      <c r="F90" s="2"/>
      <c r="G90" s="3"/>
      <c r="H90" s="2"/>
      <c r="I90" s="3"/>
      <c r="J90" s="2">
        <v>270</v>
      </c>
      <c r="K90" s="3"/>
      <c r="L90" s="2">
        <v>-36</v>
      </c>
      <c r="M90" s="3"/>
      <c r="N90" s="2">
        <v>-43</v>
      </c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"7725", " - ", "INV. SHRINKAGE-TEST FORMS")</f>
        <v xml:space="preserve">          7725 - INV. SHRINKAGE-TEST FORMS</v>
      </c>
      <c r="D91" s="2">
        <v>178</v>
      </c>
      <c r="F91" s="2">
        <v>2219</v>
      </c>
      <c r="G91" s="3"/>
      <c r="H91" s="2">
        <v>-3205</v>
      </c>
      <c r="I91" s="3"/>
      <c r="J91" s="2">
        <v>-9800</v>
      </c>
      <c r="K91" s="3"/>
      <c r="L91" s="2">
        <v>79</v>
      </c>
      <c r="M91" s="3"/>
      <c r="N91" s="2">
        <v>4307</v>
      </c>
      <c r="O91" s="3"/>
      <c r="P91" s="2"/>
      <c r="Q91" s="3"/>
      <c r="R91" s="2"/>
    </row>
    <row r="92" spans="1:18" s="16" customFormat="1" hidden="1" outlineLevel="2" x14ac:dyDescent="0.35">
      <c r="B92" s="11" t="str">
        <f>CONCATENATE("          ", "7726", " - ", "INV. SHRINKAGE-WRITING INSTRUM")</f>
        <v xml:space="preserve">          7726 - INV. SHRINKAGE-WRITING INSTRUM</v>
      </c>
      <c r="D92" s="2">
        <v>1428</v>
      </c>
      <c r="F92" s="2">
        <v>2026</v>
      </c>
      <c r="G92" s="3"/>
      <c r="H92" s="2">
        <v>160</v>
      </c>
      <c r="I92" s="3"/>
      <c r="J92" s="2">
        <v>966</v>
      </c>
      <c r="K92" s="3"/>
      <c r="L92" s="2">
        <v>477</v>
      </c>
      <c r="M92" s="3"/>
      <c r="N92" s="2">
        <v>7931</v>
      </c>
      <c r="O92" s="3"/>
      <c r="P92" s="2"/>
      <c r="Q92" s="3"/>
      <c r="R92" s="2"/>
    </row>
    <row r="93" spans="1:18" s="16" customFormat="1" hidden="1" outlineLevel="2" x14ac:dyDescent="0.35">
      <c r="B93" s="11" t="str">
        <f>CONCATENATE("          ", "7727", " - ", "INV. SHRINKAGE-SCHOOL SUPPLIES")</f>
        <v xml:space="preserve">          7727 - INV. SHRINKAGE-SCHOOL SUPPLIES</v>
      </c>
      <c r="D93" s="2">
        <v>384</v>
      </c>
      <c r="F93" s="2">
        <v>-4403</v>
      </c>
      <c r="G93" s="3"/>
      <c r="H93" s="2">
        <v>-13306</v>
      </c>
      <c r="I93" s="3"/>
      <c r="J93" s="2">
        <v>9908</v>
      </c>
      <c r="K93" s="3"/>
      <c r="L93" s="2">
        <v>-1177</v>
      </c>
      <c r="M93" s="3"/>
      <c r="N93" s="2">
        <v>12707</v>
      </c>
      <c r="O93" s="3"/>
      <c r="P93" s="2"/>
      <c r="Q93" s="3"/>
      <c r="R93" s="2"/>
    </row>
    <row r="94" spans="1:18" s="16" customFormat="1" hidden="1" outlineLevel="2" x14ac:dyDescent="0.35">
      <c r="B94" s="11" t="str">
        <f>CONCATENATE("          ", "7728", " - ", "INV. SHRINKAGE-ART/TECH")</f>
        <v xml:space="preserve">          7728 - INV. SHRINKAGE-ART/TECH</v>
      </c>
      <c r="D94" s="2">
        <v>-411</v>
      </c>
      <c r="F94" s="2">
        <v>8241</v>
      </c>
      <c r="G94" s="3"/>
      <c r="H94" s="2">
        <v>-463</v>
      </c>
      <c r="I94" s="3"/>
      <c r="J94" s="2">
        <v>11988</v>
      </c>
      <c r="K94" s="3"/>
      <c r="L94" s="2">
        <v>-4689</v>
      </c>
      <c r="M94" s="3"/>
      <c r="N94" s="2">
        <v>-4554</v>
      </c>
      <c r="O94" s="3"/>
      <c r="P94" s="2"/>
      <c r="Q94" s="3"/>
      <c r="R94" s="2"/>
    </row>
    <row r="95" spans="1:18" s="16" customFormat="1" hidden="1" outlineLevel="2" x14ac:dyDescent="0.35">
      <c r="B95" s="11" t="str">
        <f>CONCATENATE("          ", "7731", " - ", "INV. SHRINKAGE-FOOD")</f>
        <v xml:space="preserve">          7731 - INV. SHRINKAGE-FOOD</v>
      </c>
      <c r="D95" s="2"/>
      <c r="F95" s="2"/>
      <c r="G95" s="3"/>
      <c r="H95" s="2">
        <v>702</v>
      </c>
      <c r="I95" s="3"/>
      <c r="J95" s="2">
        <v>667</v>
      </c>
      <c r="K95" s="3"/>
      <c r="L95" s="2">
        <v>1284</v>
      </c>
      <c r="M95" s="3"/>
      <c r="N95" s="2">
        <v>-193</v>
      </c>
      <c r="O95" s="3"/>
      <c r="P95" s="2"/>
      <c r="Q95" s="3"/>
      <c r="R95" s="2"/>
    </row>
    <row r="96" spans="1:18" s="16" customFormat="1" hidden="1" outlineLevel="2" x14ac:dyDescent="0.35">
      <c r="B96" s="11" t="str">
        <f>CONCATENATE("          ", "7733", " - ", "INV. SHRINKAGE-CANDY")</f>
        <v xml:space="preserve">          7733 - INV. SHRINKAGE-CANDY</v>
      </c>
      <c r="D96" s="2"/>
      <c r="F96" s="2"/>
      <c r="G96" s="3"/>
      <c r="H96" s="2">
        <v>-9</v>
      </c>
      <c r="I96" s="3"/>
      <c r="J96" s="2">
        <v>-1665</v>
      </c>
      <c r="K96" s="3"/>
      <c r="L96" s="2">
        <v>-1860</v>
      </c>
      <c r="M96" s="3"/>
      <c r="N96" s="2">
        <v>421</v>
      </c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"7735", " - ", "INV. SHRINKAGE-HEALTH/BEAUTY")</f>
        <v xml:space="preserve">          7735 - INV. SHRINKAGE-HEALTH/BEAUTY</v>
      </c>
      <c r="D97" s="2"/>
      <c r="F97" s="2"/>
      <c r="G97" s="3"/>
      <c r="H97" s="2">
        <v>260</v>
      </c>
      <c r="I97" s="3"/>
      <c r="J97" s="2">
        <v>123</v>
      </c>
      <c r="K97" s="3"/>
      <c r="L97" s="2">
        <v>-178</v>
      </c>
      <c r="M97" s="3"/>
      <c r="N97" s="2">
        <v>323</v>
      </c>
      <c r="O97" s="3"/>
      <c r="P97" s="2"/>
      <c r="Q97" s="3"/>
      <c r="R97" s="2"/>
    </row>
    <row r="98" spans="1:18" s="15" customFormat="1" outlineLevel="1" collapsed="1" x14ac:dyDescent="0.35">
      <c r="A98" s="7"/>
      <c r="B98" s="20" t="str">
        <f>CONCATENATE("     ","Repair and Maintenance                            ")</f>
        <v xml:space="preserve">     Repair and Maintenance                            </v>
      </c>
      <c r="C98" s="7"/>
      <c r="D98" s="1">
        <f>SUM(OSRRefD21_7x_0)</f>
        <v>401.05</v>
      </c>
      <c r="E98" s="19"/>
      <c r="F98" s="1">
        <f>SUM(OSRRefF21_7x_0)</f>
        <v>0</v>
      </c>
      <c r="G98" s="4"/>
      <c r="H98" s="1">
        <f>SUM(OSRRefH21_7x_0)</f>
        <v>0</v>
      </c>
      <c r="I98" s="4"/>
      <c r="J98" s="1">
        <f>SUM(OSRRefJ21_7x_0)</f>
        <v>0</v>
      </c>
      <c r="K98" s="4"/>
      <c r="L98" s="1">
        <f>SUM(OSRRefL21_7x_0)</f>
        <v>0</v>
      </c>
      <c r="M98" s="4"/>
      <c r="N98" s="1">
        <f>SUM(OSRRefN21_7x_0)</f>
        <v>0</v>
      </c>
      <c r="O98" s="4"/>
      <c r="P98" s="1">
        <f>SUM(OSRRefP21_7x_0)</f>
        <v>0</v>
      </c>
      <c r="Q98" s="4"/>
      <c r="R98" s="1">
        <f>SUM(OSRRefR21_7x_0)</f>
        <v>0</v>
      </c>
    </row>
    <row r="99" spans="1:18" s="16" customFormat="1" hidden="1" outlineLevel="2" x14ac:dyDescent="0.35">
      <c r="B99" s="11" t="str">
        <f>CONCATENATE("          ", "6375", " - ", "OUTSIDE REPAIRS &amp; MAINTENANCE")</f>
        <v xml:space="preserve">          6375 - OUTSIDE REPAIRS &amp; MAINTENANCE</v>
      </c>
      <c r="D99" s="2">
        <v>401.05</v>
      </c>
      <c r="F99" s="2">
        <v>0</v>
      </c>
      <c r="G99" s="3"/>
      <c r="H99" s="2"/>
      <c r="I99" s="3"/>
      <c r="J99" s="2"/>
      <c r="K99" s="3"/>
      <c r="L99" s="2"/>
      <c r="M99" s="3"/>
      <c r="N99" s="2"/>
      <c r="O99" s="3"/>
      <c r="P99" s="2"/>
      <c r="Q99" s="3"/>
      <c r="R99" s="2"/>
    </row>
    <row r="100" spans="1:18" s="15" customFormat="1" outlineLevel="1" collapsed="1" x14ac:dyDescent="0.35">
      <c r="A100" s="7"/>
      <c r="B100" s="20" t="str">
        <f>CONCATENATE("     ","Services                                          ")</f>
        <v xml:space="preserve">     Services                                          </v>
      </c>
      <c r="C100" s="7"/>
      <c r="D100" s="1">
        <f>SUM(OSRRefD21_8x_0)</f>
        <v>0</v>
      </c>
      <c r="E100" s="19"/>
      <c r="F100" s="1">
        <f>SUM(OSRRefF21_8x_0)</f>
        <v>0</v>
      </c>
      <c r="G100" s="4"/>
      <c r="H100" s="1">
        <f>SUM(OSRRefH21_8x_0)</f>
        <v>66.86</v>
      </c>
      <c r="I100" s="4"/>
      <c r="J100" s="1">
        <f>SUM(OSRRefJ21_8x_0)</f>
        <v>0</v>
      </c>
      <c r="K100" s="4"/>
      <c r="L100" s="1">
        <f>SUM(OSRRefL21_8x_0)</f>
        <v>0</v>
      </c>
      <c r="M100" s="4"/>
      <c r="N100" s="1">
        <f>SUM(OSRRefN21_8x_0)</f>
        <v>0</v>
      </c>
      <c r="O100" s="4"/>
      <c r="P100" s="1">
        <f>SUM(OSRRefP21_8x_0)</f>
        <v>0</v>
      </c>
      <c r="Q100" s="4"/>
      <c r="R100" s="1">
        <f>SUM(OSRRefR21_8x_0)</f>
        <v>0</v>
      </c>
    </row>
    <row r="101" spans="1:18" s="16" customFormat="1" hidden="1" outlineLevel="2" x14ac:dyDescent="0.35">
      <c r="B101" s="11" t="str">
        <f>CONCATENATE("          ", "6282", " - ", "JANITORIAL/EXTERMINATOR EXPENS")</f>
        <v xml:space="preserve">          6282 - JANITORIAL/EXTERMINATOR EXPENS</v>
      </c>
      <c r="D101" s="2"/>
      <c r="F101" s="2"/>
      <c r="G101" s="3"/>
      <c r="H101" s="2">
        <v>66.86</v>
      </c>
      <c r="I101" s="3"/>
      <c r="J101" s="2"/>
      <c r="K101" s="3"/>
      <c r="L101" s="2"/>
      <c r="M101" s="3"/>
      <c r="N101" s="2"/>
      <c r="O101" s="3"/>
      <c r="P101" s="2"/>
      <c r="Q101" s="3"/>
      <c r="R101" s="2"/>
    </row>
    <row r="102" spans="1:18" s="15" customFormat="1" outlineLevel="1" collapsed="1" x14ac:dyDescent="0.35">
      <c r="A102" s="7"/>
      <c r="B102" s="20" t="str">
        <f>CONCATENATE("     ","Subscriptions &amp; Dues                              ")</f>
        <v xml:space="preserve">     Subscriptions &amp; Dues                              </v>
      </c>
      <c r="C102" s="7"/>
      <c r="D102" s="1">
        <f>SUM(OSRRefD21_9x_0)</f>
        <v>0</v>
      </c>
      <c r="E102" s="19"/>
      <c r="F102" s="1">
        <f>SUM(OSRRefF21_9x_0)</f>
        <v>0</v>
      </c>
      <c r="G102" s="4"/>
      <c r="H102" s="1">
        <f>SUM(OSRRefH21_9x_0)</f>
        <v>110</v>
      </c>
      <c r="I102" s="4"/>
      <c r="J102" s="1">
        <f>SUM(OSRRefJ21_9x_0)</f>
        <v>136.71</v>
      </c>
      <c r="K102" s="4"/>
      <c r="L102" s="1">
        <f>SUM(OSRRefL21_9x_0)</f>
        <v>172.34</v>
      </c>
      <c r="M102" s="4"/>
      <c r="N102" s="1">
        <f>SUM(OSRRefN21_9x_0)</f>
        <v>120</v>
      </c>
      <c r="O102" s="4"/>
      <c r="P102" s="1">
        <f>SUM(OSRRefP21_9x_0)</f>
        <v>0</v>
      </c>
      <c r="Q102" s="4"/>
      <c r="R102" s="1">
        <f>SUM(OSRRefR21_9x_0)</f>
        <v>0</v>
      </c>
    </row>
    <row r="103" spans="1:18" s="16" customFormat="1" hidden="1" outlineLevel="2" x14ac:dyDescent="0.35">
      <c r="B103" s="11" t="str">
        <f>CONCATENATE("          ", "6258", " - ", "MEMBERSHIP DUES")</f>
        <v xml:space="preserve">          6258 - MEMBERSHIP DUES</v>
      </c>
      <c r="D103" s="2"/>
      <c r="F103" s="2"/>
      <c r="G103" s="3"/>
      <c r="H103" s="2">
        <v>110</v>
      </c>
      <c r="I103" s="3"/>
      <c r="J103" s="2">
        <v>136.71</v>
      </c>
      <c r="K103" s="3"/>
      <c r="L103" s="2">
        <v>172.34</v>
      </c>
      <c r="M103" s="3"/>
      <c r="N103" s="2">
        <v>120</v>
      </c>
      <c r="O103" s="3"/>
      <c r="P103" s="2"/>
      <c r="Q103" s="3"/>
      <c r="R103" s="2"/>
    </row>
    <row r="104" spans="1:18" s="15" customFormat="1" outlineLevel="1" collapsed="1" x14ac:dyDescent="0.35">
      <c r="A104" s="7"/>
      <c r="B104" s="20" t="str">
        <f>CONCATENATE("     ","Supplies                                          ")</f>
        <v xml:space="preserve">     Supplies                                          </v>
      </c>
      <c r="C104" s="7"/>
      <c r="D104" s="1">
        <f>SUM(OSRRefD21_10x_0)</f>
        <v>1226.01</v>
      </c>
      <c r="E104" s="19"/>
      <c r="F104" s="1">
        <f>SUM(OSRRefF21_10x_0)</f>
        <v>1072.26</v>
      </c>
      <c r="G104" s="4"/>
      <c r="H104" s="1">
        <f>SUM(OSRRefH21_10x_0)</f>
        <v>2574.2399999999998</v>
      </c>
      <c r="I104" s="4"/>
      <c r="J104" s="1">
        <f>SUM(OSRRefJ21_10x_0)</f>
        <v>1672.93</v>
      </c>
      <c r="K104" s="4"/>
      <c r="L104" s="1">
        <f>SUM(OSRRefL21_10x_0)</f>
        <v>718.68</v>
      </c>
      <c r="M104" s="4"/>
      <c r="N104" s="1">
        <f>SUM(OSRRefN21_10x_0)</f>
        <v>355.52</v>
      </c>
      <c r="O104" s="4"/>
      <c r="P104" s="1">
        <f>SUM(OSRRefP21_10x_0)</f>
        <v>0</v>
      </c>
      <c r="Q104" s="4"/>
      <c r="R104" s="1">
        <f>SUM(OSRRefR21_10x_0)</f>
        <v>0</v>
      </c>
    </row>
    <row r="105" spans="1:18" s="16" customFormat="1" hidden="1" outlineLevel="2" x14ac:dyDescent="0.35">
      <c r="B105" s="11" t="str">
        <f>CONCATENATE("          ", "6234", " - ", "EXPENDABLE SUPPLIES &amp; EQUIPMEN")</f>
        <v xml:space="preserve">          6234 - EXPENDABLE SUPPLIES &amp; EQUIPMEN</v>
      </c>
      <c r="D105" s="2"/>
      <c r="F105" s="2"/>
      <c r="G105" s="3"/>
      <c r="H105" s="2">
        <v>667.88</v>
      </c>
      <c r="I105" s="3"/>
      <c r="J105" s="2"/>
      <c r="K105" s="3"/>
      <c r="L105" s="2"/>
      <c r="M105" s="3"/>
      <c r="N105" s="2"/>
      <c r="O105" s="3"/>
      <c r="P105" s="2"/>
      <c r="Q105" s="3"/>
      <c r="R105" s="2"/>
    </row>
    <row r="106" spans="1:18" s="16" customFormat="1" hidden="1" outlineLevel="2" x14ac:dyDescent="0.35">
      <c r="B106" s="11" t="str">
        <f>CONCATENATE("          ", "6241", " - ", "OFFICE EXPENSE")</f>
        <v xml:space="preserve">          6241 - OFFICE EXPENSE</v>
      </c>
      <c r="D106" s="2">
        <v>438.03</v>
      </c>
      <c r="F106" s="2">
        <v>357.27</v>
      </c>
      <c r="G106" s="3"/>
      <c r="H106" s="2">
        <v>318.67</v>
      </c>
      <c r="I106" s="3"/>
      <c r="J106" s="2">
        <v>431.48</v>
      </c>
      <c r="K106" s="3"/>
      <c r="L106" s="2">
        <v>541.23</v>
      </c>
      <c r="M106" s="3"/>
      <c r="N106" s="2">
        <v>252.29</v>
      </c>
      <c r="O106" s="3"/>
      <c r="P106" s="2"/>
      <c r="Q106" s="3"/>
      <c r="R106" s="2"/>
    </row>
    <row r="107" spans="1:18" s="16" customFormat="1" hidden="1" outlineLevel="2" x14ac:dyDescent="0.35">
      <c r="B107" s="11" t="str">
        <f>CONCATENATE("          ", "6245", " - ", "PRINTING")</f>
        <v xml:space="preserve">          6245 - PRINTING</v>
      </c>
      <c r="D107" s="2"/>
      <c r="F107" s="2"/>
      <c r="G107" s="3"/>
      <c r="H107" s="2">
        <v>700.8</v>
      </c>
      <c r="I107" s="3"/>
      <c r="J107" s="2"/>
      <c r="K107" s="3"/>
      <c r="L107" s="2">
        <v>3.53</v>
      </c>
      <c r="M107" s="3"/>
      <c r="N107" s="2"/>
      <c r="O107" s="3"/>
      <c r="P107" s="2"/>
      <c r="Q107" s="3"/>
      <c r="R107" s="2"/>
    </row>
    <row r="108" spans="1:18" s="16" customFormat="1" hidden="1" outlineLevel="2" x14ac:dyDescent="0.35">
      <c r="B108" s="11" t="str">
        <f>CONCATENATE("          ", "6247", " - ", "STORE SUPPLIES")</f>
        <v xml:space="preserve">          6247 - STORE SUPPLIES</v>
      </c>
      <c r="D108" s="2">
        <v>787.98</v>
      </c>
      <c r="F108" s="2">
        <v>714.99</v>
      </c>
      <c r="G108" s="3"/>
      <c r="H108" s="2">
        <v>886.89</v>
      </c>
      <c r="I108" s="3"/>
      <c r="J108" s="2">
        <v>1241.45</v>
      </c>
      <c r="K108" s="3"/>
      <c r="L108" s="2">
        <v>173.92</v>
      </c>
      <c r="M108" s="3"/>
      <c r="N108" s="2">
        <v>103.23</v>
      </c>
      <c r="O108" s="3"/>
      <c r="P108" s="2"/>
      <c r="Q108" s="3"/>
      <c r="R108" s="2"/>
    </row>
    <row r="109" spans="1:18" s="15" customFormat="1" outlineLevel="1" collapsed="1" x14ac:dyDescent="0.35">
      <c r="A109" s="7"/>
      <c r="B109" s="20" t="str">
        <f>CONCATENATE("     ","Telephone/Data Lines                              ")</f>
        <v xml:space="preserve">     Telephone/Data Lines                              </v>
      </c>
      <c r="C109" s="7"/>
      <c r="D109" s="1">
        <f>SUM(OSRRefD21_11x_0)</f>
        <v>1084.3599999999999</v>
      </c>
      <c r="E109" s="19"/>
      <c r="F109" s="1">
        <f>SUM(OSRRefF21_11x_0)</f>
        <v>1000.64</v>
      </c>
      <c r="G109" s="4"/>
      <c r="H109" s="1">
        <f>SUM(OSRRefH21_11x_0)</f>
        <v>487.05</v>
      </c>
      <c r="I109" s="4"/>
      <c r="J109" s="1">
        <f>SUM(OSRRefJ21_11x_0)</f>
        <v>440</v>
      </c>
      <c r="K109" s="4"/>
      <c r="L109" s="1">
        <f>SUM(OSRRefL21_11x_0)</f>
        <v>351.43</v>
      </c>
      <c r="M109" s="4"/>
      <c r="N109" s="1">
        <f>SUM(OSRRefN21_11x_0)</f>
        <v>0</v>
      </c>
      <c r="O109" s="4"/>
      <c r="P109" s="1">
        <f>SUM(OSRRefP21_11x_0)</f>
        <v>0</v>
      </c>
      <c r="Q109" s="4"/>
      <c r="R109" s="1">
        <f>SUM(OSRRefR21_11x_0)</f>
        <v>0</v>
      </c>
    </row>
    <row r="110" spans="1:18" s="16" customFormat="1" hidden="1" outlineLevel="2" x14ac:dyDescent="0.35">
      <c r="B110" s="11" t="str">
        <f>CONCATENATE("          ", "6309", " - ", "TELEPHONE")</f>
        <v xml:space="preserve">          6309 - TELEPHONE</v>
      </c>
      <c r="D110" s="2">
        <v>1084.3599999999999</v>
      </c>
      <c r="F110" s="2">
        <v>1000.64</v>
      </c>
      <c r="G110" s="3"/>
      <c r="H110" s="2">
        <v>487.05</v>
      </c>
      <c r="I110" s="3"/>
      <c r="J110" s="2">
        <v>440</v>
      </c>
      <c r="K110" s="3"/>
      <c r="L110" s="2">
        <v>351.43</v>
      </c>
      <c r="M110" s="3"/>
      <c r="N110" s="2"/>
      <c r="O110" s="3"/>
      <c r="P110" s="2"/>
      <c r="Q110" s="3"/>
      <c r="R110" s="2"/>
    </row>
    <row r="111" spans="1:18" s="15" customFormat="1" outlineLevel="1" collapsed="1" x14ac:dyDescent="0.35">
      <c r="A111" s="7"/>
      <c r="B111" s="20" t="str">
        <f>CONCATENATE("     ","Training                                          ")</f>
        <v xml:space="preserve">     Training                                          </v>
      </c>
      <c r="C111" s="7"/>
      <c r="D111" s="1">
        <f>SUM(OSRRefD21_12x_0)</f>
        <v>655.53</v>
      </c>
      <c r="E111" s="19"/>
      <c r="F111" s="1">
        <f>SUM(OSRRefF21_12x_0)</f>
        <v>579.87</v>
      </c>
      <c r="G111" s="4"/>
      <c r="H111" s="1">
        <f>SUM(OSRRefH21_12x_0)</f>
        <v>0</v>
      </c>
      <c r="I111" s="4"/>
      <c r="J111" s="1">
        <f>SUM(OSRRefJ21_12x_0)</f>
        <v>26</v>
      </c>
      <c r="K111" s="4"/>
      <c r="L111" s="1">
        <f>SUM(OSRRefL21_12x_0)</f>
        <v>0</v>
      </c>
      <c r="M111" s="4"/>
      <c r="N111" s="1">
        <f>SUM(OSRRefN21_12x_0)</f>
        <v>60</v>
      </c>
      <c r="O111" s="4"/>
      <c r="P111" s="1">
        <f>SUM(OSRRefP21_12x_0)</f>
        <v>0</v>
      </c>
      <c r="Q111" s="4"/>
      <c r="R111" s="1">
        <f>SUM(OSRRefR21_12x_0)</f>
        <v>0</v>
      </c>
    </row>
    <row r="112" spans="1:18" s="16" customFormat="1" hidden="1" outlineLevel="2" x14ac:dyDescent="0.35">
      <c r="B112" s="11" t="str">
        <f>CONCATENATE("          ", "6376", " - ", "TRAINING")</f>
        <v xml:space="preserve">          6376 - TRAINING</v>
      </c>
      <c r="D112" s="2">
        <v>655.53</v>
      </c>
      <c r="F112" s="2">
        <v>579.87</v>
      </c>
      <c r="G112" s="3"/>
      <c r="H112" s="2"/>
      <c r="I112" s="3"/>
      <c r="J112" s="2">
        <v>26</v>
      </c>
      <c r="K112" s="3"/>
      <c r="L112" s="2"/>
      <c r="M112" s="3"/>
      <c r="N112" s="2">
        <v>60</v>
      </c>
      <c r="O112" s="3"/>
      <c r="P112" s="2"/>
      <c r="Q112" s="3"/>
      <c r="R112" s="2"/>
    </row>
    <row r="113" spans="1:18" s="15" customFormat="1" outlineLevel="1" collapsed="1" x14ac:dyDescent="0.35">
      <c r="A113" s="7"/>
      <c r="B113" s="20" t="str">
        <f>CONCATENATE("     ","Travel                                            ")</f>
        <v xml:space="preserve">     Travel                                            </v>
      </c>
      <c r="C113" s="7"/>
      <c r="D113" s="1">
        <f>SUM(OSRRefD21_13x_0)</f>
        <v>1074.27</v>
      </c>
      <c r="E113" s="19"/>
      <c r="F113" s="1">
        <f>SUM(OSRRefF21_13x_0)</f>
        <v>649.38</v>
      </c>
      <c r="G113" s="4"/>
      <c r="H113" s="1">
        <f>SUM(OSRRefH21_13x_0)</f>
        <v>0</v>
      </c>
      <c r="I113" s="4"/>
      <c r="J113" s="1">
        <f>SUM(OSRRefJ21_13x_0)</f>
        <v>0</v>
      </c>
      <c r="K113" s="4"/>
      <c r="L113" s="1">
        <f>SUM(OSRRefL21_13x_0)</f>
        <v>0</v>
      </c>
      <c r="M113" s="4"/>
      <c r="N113" s="1">
        <f>SUM(OSRRefN21_13x_0)</f>
        <v>-323.01</v>
      </c>
      <c r="O113" s="4"/>
      <c r="P113" s="1">
        <f>SUM(OSRRefP21_13x_0)</f>
        <v>0</v>
      </c>
      <c r="Q113" s="4"/>
      <c r="R113" s="1">
        <f>SUM(OSRRefR21_13x_0)</f>
        <v>0</v>
      </c>
    </row>
    <row r="114" spans="1:18" s="16" customFormat="1" hidden="1" outlineLevel="2" x14ac:dyDescent="0.35">
      <c r="B114" s="11" t="str">
        <f>CONCATENATE("          ", "6292", " - ", "TRAVEL/CONFERENCE")</f>
        <v xml:space="preserve">          6292 - TRAVEL/CONFERENCE</v>
      </c>
      <c r="D114" s="2">
        <v>1074.27</v>
      </c>
      <c r="F114" s="2">
        <v>649.38</v>
      </c>
      <c r="G114" s="3"/>
      <c r="H114" s="2"/>
      <c r="I114" s="3"/>
      <c r="J114" s="2"/>
      <c r="K114" s="3"/>
      <c r="L114" s="2"/>
      <c r="M114" s="3"/>
      <c r="N114" s="2">
        <v>-323.01</v>
      </c>
      <c r="O114" s="3"/>
      <c r="P114" s="2"/>
      <c r="Q114" s="3"/>
      <c r="R114" s="2"/>
    </row>
    <row r="115" spans="1:18" x14ac:dyDescent="0.35">
      <c r="A115" s="12"/>
      <c r="B115" s="12"/>
      <c r="C115" s="12"/>
      <c r="D115" s="1"/>
      <c r="F115" s="1"/>
      <c r="H115" s="1"/>
      <c r="J115" s="1"/>
      <c r="L115" s="1"/>
      <c r="N115" s="1"/>
      <c r="P115" s="1"/>
      <c r="R115" s="1"/>
    </row>
    <row r="116" spans="1:18" s="7" customFormat="1" collapsed="1" x14ac:dyDescent="0.35">
      <c r="A116" s="36"/>
      <c r="B116" s="34" t="s">
        <v>295</v>
      </c>
      <c r="D116" s="6">
        <f>SUM(OSRRefD24x_0)</f>
        <v>0</v>
      </c>
      <c r="E116" s="12"/>
      <c r="F116" s="6">
        <f>SUM(OSRRefF24x_0)</f>
        <v>0</v>
      </c>
      <c r="G116" s="5"/>
      <c r="H116" s="6">
        <f>SUM(OSRRefH24x_0)</f>
        <v>0</v>
      </c>
      <c r="I116" s="5"/>
      <c r="J116" s="6">
        <f>SUM(OSRRefJ24x_0)</f>
        <v>0</v>
      </c>
      <c r="K116" s="5"/>
      <c r="L116" s="6">
        <f>SUM(OSRRefL24x_0)</f>
        <v>0</v>
      </c>
      <c r="M116" s="5"/>
      <c r="N116" s="6">
        <f>SUM(OSRRefN24x_0)</f>
        <v>0</v>
      </c>
      <c r="O116" s="5"/>
      <c r="P116" s="6">
        <f>SUM(OSRRefP24x_0)</f>
        <v>0</v>
      </c>
      <c r="Q116" s="5"/>
      <c r="R116" s="6">
        <f>SUM(OSRRefR24x_0)</f>
        <v>0</v>
      </c>
    </row>
    <row r="117" spans="1:18" s="7" customFormat="1" hidden="1" outlineLevel="1" x14ac:dyDescent="0.35">
      <c r="A117" s="36"/>
      <c r="B117" s="11" t="str">
        <f>CONCATENATE("          ", "9150", " - ", "MISC. INCOME")</f>
        <v xml:space="preserve">          9150 - MISC. INCOME</v>
      </c>
      <c r="D117" s="11">
        <f>0</f>
        <v>0</v>
      </c>
      <c r="E117" s="16"/>
      <c r="F117" s="11">
        <f>0</f>
        <v>0</v>
      </c>
      <c r="G117" s="3"/>
      <c r="H117" s="11">
        <f>0</f>
        <v>0</v>
      </c>
      <c r="I117" s="3"/>
      <c r="J117" s="11">
        <f>0</f>
        <v>0</v>
      </c>
      <c r="K117" s="3"/>
      <c r="L117" s="11">
        <f>0</f>
        <v>0</v>
      </c>
      <c r="M117" s="3"/>
      <c r="N117" s="11">
        <f>0</f>
        <v>0</v>
      </c>
      <c r="O117" s="3"/>
      <c r="P117" s="11"/>
      <c r="Q117" s="3"/>
      <c r="R117" s="11"/>
    </row>
    <row r="118" spans="1:18" x14ac:dyDescent="0.35">
      <c r="A118" s="12"/>
      <c r="B118" s="7"/>
      <c r="C118" s="7"/>
      <c r="D118" s="6"/>
      <c r="F118" s="6"/>
      <c r="H118" s="6"/>
      <c r="J118" s="6"/>
      <c r="L118" s="6"/>
      <c r="N118" s="6"/>
      <c r="P118" s="6"/>
      <c r="R118" s="6"/>
    </row>
    <row r="119" spans="1:18" s="15" customFormat="1" x14ac:dyDescent="0.35">
      <c r="A119" s="7"/>
      <c r="B119" s="22" t="s">
        <v>279</v>
      </c>
      <c r="C119" s="22"/>
      <c r="D119" s="10">
        <f>+D56-D59+D116</f>
        <v>82061.329999999944</v>
      </c>
      <c r="E119" s="12"/>
      <c r="F119" s="10">
        <f>+F56-F59+F116</f>
        <v>96591.029999999912</v>
      </c>
      <c r="G119" s="5"/>
      <c r="H119" s="10">
        <f>+H56-H59+H116</f>
        <v>172943.44000000015</v>
      </c>
      <c r="I119" s="5"/>
      <c r="J119" s="10">
        <f>+J56-J59+J116</f>
        <v>113405.41999999982</v>
      </c>
      <c r="K119" s="5"/>
      <c r="L119" s="10">
        <f>+L56-L59+L116</f>
        <v>127969.97000000009</v>
      </c>
      <c r="M119" s="5"/>
      <c r="N119" s="10">
        <f>+N56-N59+N116</f>
        <v>52706.589999999967</v>
      </c>
      <c r="O119" s="5"/>
      <c r="P119" s="10">
        <f>+P56-P59+P116</f>
        <v>0</v>
      </c>
      <c r="Q119" s="5"/>
      <c r="R119" s="10">
        <f>+R56-R59+R116</f>
        <v>0</v>
      </c>
    </row>
    <row r="120" spans="1:18" s="27" customFormat="1" x14ac:dyDescent="0.35">
      <c r="A120" s="18"/>
      <c r="B120" s="31"/>
      <c r="C120" s="18"/>
      <c r="D120" s="9">
        <f>IFERROR(D119/D10, 0)</f>
        <v>0.19123559073897808</v>
      </c>
      <c r="E120" s="18"/>
      <c r="F120" s="9">
        <f>IFERROR(F119/F10, 0)</f>
        <v>0.20684562416313149</v>
      </c>
      <c r="G120" s="14"/>
      <c r="H120" s="9">
        <f>IFERROR(H119/H10, 0)</f>
        <v>0.3786008561979784</v>
      </c>
      <c r="I120" s="14"/>
      <c r="J120" s="9">
        <f>IFERROR(J119/J10, 0)</f>
        <v>0.25384832114781564</v>
      </c>
      <c r="K120" s="14"/>
      <c r="L120" s="9">
        <f>IFERROR(L119/L10, 0)</f>
        <v>0.26995371802003842</v>
      </c>
      <c r="M120" s="14"/>
      <c r="N120" s="9">
        <f>IFERROR(N119/N10, 0)</f>
        <v>0.12499539033373314</v>
      </c>
      <c r="O120" s="14"/>
      <c r="P120" s="9">
        <f>IFERROR(P119/P10, 0)</f>
        <v>0</v>
      </c>
      <c r="Q120" s="14"/>
      <c r="R120" s="9">
        <f>IFERROR(R119/R10, 0)</f>
        <v>0</v>
      </c>
    </row>
    <row r="121" spans="1:18" s="27" customFormat="1" x14ac:dyDescent="0.35">
      <c r="A121" s="18"/>
      <c r="B121" s="31"/>
      <c r="C121" s="18"/>
      <c r="D121" s="13"/>
      <c r="E121" s="18"/>
      <c r="F121" s="13"/>
      <c r="G121" s="14"/>
      <c r="H121" s="13"/>
      <c r="I121" s="14"/>
      <c r="J121" s="13"/>
      <c r="K121" s="14"/>
      <c r="L121" s="13"/>
      <c r="M121" s="14"/>
      <c r="N121" s="13"/>
      <c r="O121" s="14"/>
      <c r="P121" s="13"/>
      <c r="Q121" s="14"/>
      <c r="R121" s="13"/>
    </row>
    <row r="122" spans="1:18" s="15" customFormat="1" x14ac:dyDescent="0.35">
      <c r="A122" s="37"/>
      <c r="B122" s="7" t="s">
        <v>127</v>
      </c>
      <c r="C122" s="7"/>
      <c r="D122" s="6">
        <v>93249.1</v>
      </c>
      <c r="E122" s="12"/>
      <c r="F122" s="6">
        <v>66476.639999999999</v>
      </c>
      <c r="G122" s="5"/>
      <c r="H122" s="6">
        <v>61076.28</v>
      </c>
      <c r="I122" s="5"/>
      <c r="J122" s="6">
        <v>59959.17</v>
      </c>
      <c r="K122" s="5"/>
      <c r="L122" s="6">
        <v>33788.49</v>
      </c>
      <c r="M122" s="5"/>
      <c r="N122" s="6">
        <v>63850.12</v>
      </c>
      <c r="O122" s="5"/>
      <c r="P122" s="6"/>
      <c r="Q122" s="5"/>
      <c r="R122" s="6"/>
    </row>
    <row r="123" spans="1:18" x14ac:dyDescent="0.35">
      <c r="A123" s="12"/>
      <c r="B123" s="7"/>
      <c r="C123" s="7"/>
      <c r="D123" s="6"/>
      <c r="F123" s="6"/>
      <c r="H123" s="6"/>
      <c r="J123" s="6"/>
      <c r="L123" s="6"/>
      <c r="N123" s="6"/>
      <c r="P123" s="6"/>
      <c r="R123" s="6"/>
    </row>
    <row r="124" spans="1:18" s="15" customFormat="1" x14ac:dyDescent="0.35">
      <c r="A124" s="7"/>
      <c r="B124" s="22" t="s">
        <v>126</v>
      </c>
      <c r="C124" s="22"/>
      <c r="D124" s="10">
        <f>+D119-D122</f>
        <v>-11187.770000000062</v>
      </c>
      <c r="E124" s="12"/>
      <c r="F124" s="10">
        <f>+F119-F122</f>
        <v>30114.389999999912</v>
      </c>
      <c r="G124" s="5"/>
      <c r="H124" s="10">
        <f>+H119-H122</f>
        <v>111867.16000000015</v>
      </c>
      <c r="I124" s="5"/>
      <c r="J124" s="10">
        <f>+J119-J122</f>
        <v>53446.249999999825</v>
      </c>
      <c r="K124" s="5"/>
      <c r="L124" s="10">
        <f>+L119-L122</f>
        <v>94181.480000000098</v>
      </c>
      <c r="M124" s="5"/>
      <c r="N124" s="10">
        <f>+N119-N122</f>
        <v>-11143.530000000035</v>
      </c>
      <c r="O124" s="5"/>
      <c r="P124" s="10">
        <f>+P119-P122</f>
        <v>0</v>
      </c>
      <c r="Q124" s="5"/>
      <c r="R124" s="10">
        <f>+R119-R122</f>
        <v>0</v>
      </c>
    </row>
    <row r="125" spans="1:18" s="27" customFormat="1" x14ac:dyDescent="0.35">
      <c r="A125" s="18"/>
      <c r="B125" s="18"/>
      <c r="C125" s="18"/>
      <c r="D125" s="9">
        <f>IFERROR(D124/D10, 0)</f>
        <v>-2.6071961117396344E-2</v>
      </c>
      <c r="E125" s="18"/>
      <c r="F125" s="9">
        <f>IFERROR(F124/F10, 0)</f>
        <v>6.4488698338157832E-2</v>
      </c>
      <c r="G125" s="14"/>
      <c r="H125" s="9">
        <f>IFERROR(H124/H10, 0)</f>
        <v>0.24489510880803722</v>
      </c>
      <c r="I125" s="14"/>
      <c r="J125" s="9">
        <f>IFERROR(J124/J10, 0)</f>
        <v>0.11963485373226797</v>
      </c>
      <c r="K125" s="14"/>
      <c r="L125" s="9">
        <f>IFERROR(L124/L10, 0)</f>
        <v>0.19867661682369619</v>
      </c>
      <c r="M125" s="14"/>
      <c r="N125" s="9">
        <f>IFERROR(N124/N10, 0)</f>
        <v>-2.6427243387319697E-2</v>
      </c>
      <c r="O125" s="14"/>
      <c r="P125" s="9">
        <f>IFERROR(P124/P10, 0)</f>
        <v>0</v>
      </c>
      <c r="Q125" s="14"/>
      <c r="R125" s="9">
        <f>IFERROR(R124/R10, 0)</f>
        <v>0</v>
      </c>
    </row>
    <row r="126" spans="1:18" s="27" customFormat="1" x14ac:dyDescent="0.35">
      <c r="A126" s="18"/>
      <c r="B126" s="18"/>
      <c r="C126" s="18"/>
      <c r="D126" s="13"/>
      <c r="E126" s="18"/>
      <c r="F126" s="13"/>
      <c r="G126" s="14"/>
      <c r="H126" s="13"/>
      <c r="I126" s="14"/>
      <c r="J126" s="13"/>
      <c r="K126" s="14"/>
      <c r="L126" s="13"/>
      <c r="M126" s="14"/>
      <c r="N126" s="13"/>
      <c r="O126" s="14"/>
      <c r="P126" s="13"/>
      <c r="Q126" s="14"/>
      <c r="R126" s="13"/>
    </row>
    <row r="127" spans="1:18" x14ac:dyDescent="0.35">
      <c r="A127" s="12"/>
      <c r="B127" s="12"/>
      <c r="C127" s="12"/>
      <c r="D127" s="6"/>
      <c r="F127" s="6"/>
      <c r="H127" s="6"/>
      <c r="J127" s="6"/>
      <c r="L127" s="6"/>
      <c r="N127" s="6"/>
      <c r="P127" s="6"/>
      <c r="R127" s="6"/>
    </row>
    <row r="128" spans="1:18" s="15" customFormat="1" x14ac:dyDescent="0.35">
      <c r="A128" s="7"/>
      <c r="B128" s="22" t="s">
        <v>296</v>
      </c>
      <c r="C128" s="22"/>
      <c r="D128" s="10">
        <f>SUM(D124:D127)</f>
        <v>-11187.79607196118</v>
      </c>
      <c r="E128" s="12"/>
      <c r="F128" s="10">
        <f>SUM(F124:F127)</f>
        <v>30114.454488698251</v>
      </c>
      <c r="G128" s="5"/>
      <c r="H128" s="10">
        <f>SUM(H124:H127)</f>
        <v>111867.40489510895</v>
      </c>
      <c r="I128" s="5"/>
      <c r="J128" s="10">
        <f>SUM(J124:J127)</f>
        <v>53446.36963485356</v>
      </c>
      <c r="K128" s="5"/>
      <c r="L128" s="10">
        <f>SUM(L124:L127)</f>
        <v>94181.678676616924</v>
      </c>
      <c r="M128" s="5"/>
      <c r="N128" s="10">
        <f>SUM(N124:N127)</f>
        <v>-11143.556427243422</v>
      </c>
      <c r="O128" s="5"/>
      <c r="P128" s="10">
        <f>SUM(P124:P127)</f>
        <v>0</v>
      </c>
      <c r="Q128" s="5"/>
      <c r="R128" s="10">
        <f>SUM(R124:R127)</f>
        <v>0</v>
      </c>
    </row>
    <row r="129" spans="1:18" s="27" customFormat="1" x14ac:dyDescent="0.35">
      <c r="A129" s="18"/>
      <c r="B129" s="41"/>
      <c r="C129" s="18"/>
      <c r="D129" s="9">
        <f>IFERROR(D128/D10, 0)</f>
        <v>-2.6072021875452375E-2</v>
      </c>
      <c r="E129" s="18"/>
      <c r="F129" s="9">
        <f>IFERROR(F128/F10, 0)</f>
        <v>6.4488836437990277E-2</v>
      </c>
      <c r="G129" s="14"/>
      <c r="H129" s="9">
        <f>IFERROR(H128/H10, 0)</f>
        <v>0.24489564492260665</v>
      </c>
      <c r="I129" s="14"/>
      <c r="J129" s="9">
        <f>IFERROR(J128/J10, 0)</f>
        <v>0.11963512152464308</v>
      </c>
      <c r="K129" s="14"/>
      <c r="L129" s="9">
        <f>IFERROR(L128/L10, 0)</f>
        <v>0.19867703593367486</v>
      </c>
      <c r="M129" s="14"/>
      <c r="N129" s="9">
        <f>IFERROR(N128/N10, 0)</f>
        <v>-2.6427306060385864E-2</v>
      </c>
      <c r="O129" s="14"/>
      <c r="P129" s="9">
        <f>IFERROR(P128/P10, 0)</f>
        <v>0</v>
      </c>
      <c r="Q129" s="14"/>
      <c r="R129" s="9">
        <f>IFERROR(R128/R10, 0)</f>
        <v>0</v>
      </c>
    </row>
    <row r="130" spans="1:18" x14ac:dyDescent="0.35">
      <c r="A130" s="12"/>
      <c r="B130" s="40">
        <v>44319.883572604165</v>
      </c>
      <c r="D130" s="24"/>
      <c r="F130" s="24"/>
      <c r="H130" s="24"/>
      <c r="J130" s="24"/>
      <c r="L130" s="24"/>
      <c r="N130" s="24"/>
      <c r="P130" s="24"/>
      <c r="R130" s="24"/>
    </row>
    <row r="131" spans="1:18" x14ac:dyDescent="0.35">
      <c r="A131" s="12"/>
      <c r="B131" s="39" t="s">
        <v>23</v>
      </c>
      <c r="D131" s="24"/>
      <c r="F131" s="24"/>
      <c r="H131" s="24"/>
      <c r="J131" s="24"/>
      <c r="L131" s="24"/>
      <c r="N131" s="24"/>
      <c r="P131" s="24"/>
      <c r="R131" s="24"/>
    </row>
    <row r="132" spans="1:18" x14ac:dyDescent="0.35">
      <c r="A132" s="12"/>
      <c r="D132" s="24"/>
      <c r="F132" s="24"/>
      <c r="H132" s="24"/>
      <c r="J132" s="24"/>
      <c r="L132" s="24"/>
      <c r="N132" s="24"/>
      <c r="P132" s="24"/>
      <c r="R132" s="24"/>
    </row>
    <row r="133" spans="1:18" x14ac:dyDescent="0.35">
      <c r="D133" s="24"/>
      <c r="F133" s="24"/>
      <c r="H133" s="24"/>
      <c r="J133" s="24"/>
      <c r="L133" s="24"/>
      <c r="N133" s="24"/>
      <c r="P133" s="24"/>
      <c r="R133" s="24"/>
    </row>
  </sheetData>
  <pageMargins left="0.5" right="0.5" top="0.5" bottom="0.5" header="0.3" footer="0.3"/>
  <pageSetup scale="5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51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","315", " - ", "Beach Shop")</f>
        <v>Department 315 - Beach Shop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2390664.3600000003</v>
      </c>
      <c r="F10" s="8">
        <f>SUM(OSRRefF11x_0)</f>
        <v>2720453.4899999993</v>
      </c>
      <c r="G10" s="8"/>
      <c r="H10" s="8">
        <f>SUM(OSRRefH11x_0)</f>
        <v>2951897.53</v>
      </c>
      <c r="I10" s="8"/>
      <c r="J10" s="8">
        <f>SUM(OSRRefJ11x_0)</f>
        <v>3033662.56</v>
      </c>
      <c r="K10" s="8"/>
      <c r="L10" s="8">
        <f>SUM(OSRRefL11x_0)</f>
        <v>3166368.1599999997</v>
      </c>
      <c r="M10" s="8"/>
      <c r="N10" s="8">
        <f>SUM(OSRRefN11x_0)</f>
        <v>2506400.3400000003</v>
      </c>
      <c r="O10" s="8"/>
      <c r="P10" s="8">
        <f>SUM(OSRRefP11x_0)</f>
        <v>3514750</v>
      </c>
      <c r="Q10" s="8"/>
      <c r="R10" s="8">
        <f>SUM(OSRRefR11x_0)</f>
        <v>2792423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3514750</v>
      </c>
      <c r="Q11" s="3"/>
      <c r="R11" s="11">
        <v>2792423</v>
      </c>
    </row>
    <row r="12" spans="1:18" s="16" customFormat="1" hidden="1" outlineLevel="1" x14ac:dyDescent="0.35">
      <c r="B12" s="35" t="str">
        <f>CONCATENATE("          ", "4040", " - ", "TAXABLE SALES-LOGO CLOTHING")</f>
        <v xml:space="preserve">          4040 - TAXABLE SALES-LOGO CLOTHING</v>
      </c>
      <c r="D12" s="11">
        <f>-1616568.13*-1</f>
        <v>1616568.13</v>
      </c>
      <c r="F12" s="11">
        <f>-1872540.94*-1</f>
        <v>1872540.94</v>
      </c>
      <c r="G12" s="3"/>
      <c r="H12" s="11">
        <f>-2019602.87*-1</f>
        <v>2019602.87</v>
      </c>
      <c r="I12" s="3"/>
      <c r="J12" s="11">
        <f>--2012717.85</f>
        <v>2012717.85</v>
      </c>
      <c r="K12" s="3"/>
      <c r="L12" s="11">
        <f>--2086505.31</f>
        <v>2086505.31</v>
      </c>
      <c r="M12" s="3"/>
      <c r="N12" s="11">
        <f>--1579400.75</f>
        <v>1579400.75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"4041", " - ", "TAXABLE SALES-LOGO GIFTS")</f>
        <v xml:space="preserve">          4041 - TAXABLE SALES-LOGO GIFTS</v>
      </c>
      <c r="D13" s="11">
        <f>-500736.27*-1</f>
        <v>500736.27</v>
      </c>
      <c r="F13" s="11">
        <f>-568290.49*-1</f>
        <v>568290.49</v>
      </c>
      <c r="G13" s="3"/>
      <c r="H13" s="11">
        <f>-620213.65*-1</f>
        <v>620213.65</v>
      </c>
      <c r="I13" s="3"/>
      <c r="J13" s="11">
        <f>--625591.3</f>
        <v>625591.30000000005</v>
      </c>
      <c r="K13" s="3"/>
      <c r="L13" s="11">
        <f>--596440.87</f>
        <v>596440.87</v>
      </c>
      <c r="M13" s="3"/>
      <c r="N13" s="11">
        <f>--331913.65</f>
        <v>331913.65000000002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"4042", " - ", "TAXABLE SALES-EVERYDAY GIFTS")</f>
        <v xml:space="preserve">          4042 - TAXABLE SALES-EVERYDAY GIFTS</v>
      </c>
      <c r="D14" s="11">
        <f>-81102.07*-1</f>
        <v>81102.070000000007</v>
      </c>
      <c r="F14" s="11">
        <f>-100789.67*-1</f>
        <v>100789.67</v>
      </c>
      <c r="G14" s="3"/>
      <c r="H14" s="11">
        <f>-108658.19*-1</f>
        <v>108658.19</v>
      </c>
      <c r="I14" s="3"/>
      <c r="J14" s="11">
        <f>--195988.94</f>
        <v>195988.94</v>
      </c>
      <c r="K14" s="3"/>
      <c r="L14" s="11">
        <f>--207202.67</f>
        <v>207202.67</v>
      </c>
      <c r="M14" s="3"/>
      <c r="N14" s="11">
        <f>--177666.21</f>
        <v>177666.21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"4043", " - ", "TAXABLE SALES-CARDS")</f>
        <v xml:space="preserve">          4043 - TAXABLE SALES-CARDS</v>
      </c>
      <c r="D15" s="11">
        <f>-28341.57*-1</f>
        <v>28341.57</v>
      </c>
      <c r="F15" s="11">
        <f>-29302.39*-1</f>
        <v>29302.39</v>
      </c>
      <c r="G15" s="3"/>
      <c r="H15" s="11">
        <f>-10069.39*-1</f>
        <v>10069.39</v>
      </c>
      <c r="I15" s="3"/>
      <c r="J15" s="11">
        <f>--4133.48</f>
        <v>4133.4799999999996</v>
      </c>
      <c r="K15" s="3"/>
      <c r="L15" s="11">
        <f>--3384.58</f>
        <v>3384.58</v>
      </c>
      <c r="M15" s="3"/>
      <c r="N15" s="11">
        <f>--74858.4</f>
        <v>74858.399999999994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"4044", " - ", "TAXABLE SALES-ACCESSORIES")</f>
        <v xml:space="preserve">          4044 - TAXABLE SALES-ACCESSORIES</v>
      </c>
      <c r="D16" s="11">
        <f>-67004.19*-1</f>
        <v>67004.19</v>
      </c>
      <c r="F16" s="11">
        <f>-81529.78*-1</f>
        <v>81529.78</v>
      </c>
      <c r="G16" s="3"/>
      <c r="H16" s="11">
        <f>-75855.6*-1</f>
        <v>75855.600000000006</v>
      </c>
      <c r="I16" s="3"/>
      <c r="J16" s="11">
        <f>--68700.88</f>
        <v>68700.88</v>
      </c>
      <c r="K16" s="3"/>
      <c r="L16" s="11">
        <f>--81705.3</f>
        <v>81705.3</v>
      </c>
      <c r="M16" s="3"/>
      <c r="N16" s="11">
        <f>--69264.33</f>
        <v>69264.33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"4045", " - ", "TAXABLE SALES-SPECIAL ORDERS")</f>
        <v xml:space="preserve">          4045 - TAXABLE SALES-SPECIAL ORDERS</v>
      </c>
      <c r="D17" s="11">
        <f>-121532.64*-1</f>
        <v>121532.64</v>
      </c>
      <c r="F17" s="11">
        <f>-102828.85*-1</f>
        <v>102828.85</v>
      </c>
      <c r="G17" s="3"/>
      <c r="H17" s="11">
        <f>-191978.02*-1</f>
        <v>191978.02</v>
      </c>
      <c r="I17" s="3"/>
      <c r="J17" s="11">
        <f>--183507.36</f>
        <v>183507.36</v>
      </c>
      <c r="K17" s="3"/>
      <c r="L17" s="11">
        <f>--216834.59</f>
        <v>216834.59</v>
      </c>
      <c r="M17" s="3"/>
      <c r="N17" s="11">
        <f>--122635.49</f>
        <v>122635.49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"4140", " - ", "NON-TAXABLE SALES-LOGO CLOTHIN")</f>
        <v xml:space="preserve">          4140 - NON-TAXABLE SALES-LOGO CLOTHIN</v>
      </c>
      <c r="D18" s="11">
        <f>-66637.18*-1</f>
        <v>66637.179999999993</v>
      </c>
      <c r="F18" s="11">
        <f>-54768.83*-1</f>
        <v>54768.83</v>
      </c>
      <c r="G18" s="3"/>
      <c r="H18" s="11">
        <f>-68197.21*-1</f>
        <v>68197.210000000006</v>
      </c>
      <c r="I18" s="3"/>
      <c r="J18" s="11">
        <f>--67516.34</f>
        <v>67516.34</v>
      </c>
      <c r="K18" s="3"/>
      <c r="L18" s="11">
        <f>--62811.11</f>
        <v>62811.11</v>
      </c>
      <c r="M18" s="3"/>
      <c r="N18" s="11">
        <f>--176221.13</f>
        <v>176221.13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"4141", " - ", "NON-TAXABLE SALES-LOGO GIFTS")</f>
        <v xml:space="preserve">          4141 - NON-TAXABLE SALES-LOGO GIFTS</v>
      </c>
      <c r="D19" s="11">
        <f>-9151.07*-1</f>
        <v>9151.07</v>
      </c>
      <c r="F19" s="11">
        <f>-5903.68*-1</f>
        <v>5903.68</v>
      </c>
      <c r="G19" s="3"/>
      <c r="H19" s="11">
        <f>-4562.95*-1</f>
        <v>4562.95</v>
      </c>
      <c r="I19" s="3"/>
      <c r="J19" s="11">
        <f>--4091.31</f>
        <v>4091.31</v>
      </c>
      <c r="K19" s="3"/>
      <c r="L19" s="11">
        <f>--4788.33</f>
        <v>4788.33</v>
      </c>
      <c r="M19" s="3"/>
      <c r="N19" s="11">
        <f>--22573.35</f>
        <v>22573.35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"4142", " - ", "NON-TAXABLE SALES-EVERYDAY GIF")</f>
        <v xml:space="preserve">          4142 - NON-TAXABLE SALES-EVERYDAY GIF</v>
      </c>
      <c r="D20" s="11">
        <f>-11.85*-1</f>
        <v>11.85</v>
      </c>
      <c r="F20" s="11">
        <f>-1984.12*-1</f>
        <v>1984.12</v>
      </c>
      <c r="G20" s="3"/>
      <c r="H20" s="11">
        <f>-1610.76*-1</f>
        <v>1610.76</v>
      </c>
      <c r="I20" s="3"/>
      <c r="J20" s="11">
        <f>--5554.86</f>
        <v>5554.86</v>
      </c>
      <c r="K20" s="3"/>
      <c r="L20" s="11">
        <f>--6908.33</f>
        <v>6908.33</v>
      </c>
      <c r="M20" s="3"/>
      <c r="N20" s="11">
        <f>--6834.86</f>
        <v>6834.86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"4143", " - ", "NON-TAXABLE SALES-CARDS")</f>
        <v xml:space="preserve">          4143 - NON-TAXABLE SALES-CARDS</v>
      </c>
      <c r="D21" s="11">
        <f>-1.5*-1</f>
        <v>1.5</v>
      </c>
      <c r="F21" s="11">
        <f>-7.95*-1</f>
        <v>7.95</v>
      </c>
      <c r="G21" s="3"/>
      <c r="H21" s="11">
        <f>0*-1</f>
        <v>0</v>
      </c>
      <c r="I21" s="3"/>
      <c r="J21" s="11">
        <f>0</f>
        <v>0</v>
      </c>
      <c r="K21" s="3"/>
      <c r="L21" s="11">
        <f>0</f>
        <v>0</v>
      </c>
      <c r="M21" s="3"/>
      <c r="N21" s="11">
        <f>--19.98</f>
        <v>19.98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"4144", " - ", "NON-TAXABLE SALES-ACCESSORIES")</f>
        <v xml:space="preserve">          4144 - NON-TAXABLE SALES-ACCESSORIES</v>
      </c>
      <c r="D22" s="11">
        <f>-1524.08*-1</f>
        <v>1524.08</v>
      </c>
      <c r="F22" s="11">
        <f>-1919.05*-1</f>
        <v>1919.05</v>
      </c>
      <c r="G22" s="3"/>
      <c r="H22" s="11">
        <f>-7162.32*-1</f>
        <v>7162.32</v>
      </c>
      <c r="I22" s="3"/>
      <c r="J22" s="11">
        <f>--1934.37</f>
        <v>1934.37</v>
      </c>
      <c r="K22" s="3"/>
      <c r="L22" s="11">
        <f>--659.84</f>
        <v>659.84</v>
      </c>
      <c r="M22" s="3"/>
      <c r="N22" s="11">
        <f>--3710.92</f>
        <v>3710.92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"4145", " - ", "NON-TAXABLE SALES-SPECIAL ORDE")</f>
        <v xml:space="preserve">          4145 - NON-TAXABLE SALES-SPECIAL ORDE</v>
      </c>
      <c r="D23" s="11">
        <f>-207*-1</f>
        <v>207</v>
      </c>
      <c r="F23" s="11">
        <f>270*-1</f>
        <v>-270</v>
      </c>
      <c r="G23" s="3"/>
      <c r="H23" s="11">
        <f>-183*-1</f>
        <v>183</v>
      </c>
      <c r="I23" s="3"/>
      <c r="J23" s="11">
        <f>--5341.94</f>
        <v>5341.94</v>
      </c>
      <c r="K23" s="3"/>
      <c r="L23" s="11">
        <f>--2382.85</f>
        <v>2382.85</v>
      </c>
      <c r="M23" s="3"/>
      <c r="N23" s="11">
        <f>--27208.18</f>
        <v>27208.18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"4240", " - ", "SALES RETURN TAXABLE-LOGO CLOT")</f>
        <v xml:space="preserve">          4240 - SALES RETURN TAXABLE-LOGO CLOT</v>
      </c>
      <c r="D24" s="11">
        <f>73218.75*-1</f>
        <v>-73218.75</v>
      </c>
      <c r="F24" s="11">
        <f>77619.12*-1</f>
        <v>-77619.12</v>
      </c>
      <c r="G24" s="3"/>
      <c r="H24" s="11">
        <f>82937.21*-1</f>
        <v>-82937.210000000006</v>
      </c>
      <c r="I24" s="3"/>
      <c r="J24" s="11">
        <f>-85607.44</f>
        <v>-85607.44</v>
      </c>
      <c r="K24" s="3"/>
      <c r="L24" s="11">
        <f>-76773.14</f>
        <v>-76773.14</v>
      </c>
      <c r="M24" s="3"/>
      <c r="N24" s="11">
        <f>-64264.92</f>
        <v>-64264.92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"4241", " - ", "SALES RETURN TAXABLE-LOGO GIFT")</f>
        <v xml:space="preserve">          4241 - SALES RETURN TAXABLE-LOGO GIFT</v>
      </c>
      <c r="D25" s="11">
        <f>12940.63*-1</f>
        <v>-12940.63</v>
      </c>
      <c r="F25" s="11">
        <f>12825.22*-1</f>
        <v>-12825.22</v>
      </c>
      <c r="G25" s="3"/>
      <c r="H25" s="11">
        <f>56496.01*-1</f>
        <v>-56496.01</v>
      </c>
      <c r="I25" s="3"/>
      <c r="J25" s="11">
        <f>-44465.37</f>
        <v>-44465.37</v>
      </c>
      <c r="K25" s="3"/>
      <c r="L25" s="11">
        <f>-13782.98</f>
        <v>-13782.98</v>
      </c>
      <c r="M25" s="3"/>
      <c r="N25" s="11">
        <f>-5671.27</f>
        <v>-5671.27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"4242", " - ", "SALES RETURN TAXABLE-EVERYDAY")</f>
        <v xml:space="preserve">          4242 - SALES RETURN TAXABLE-EVERYDAY</v>
      </c>
      <c r="D26" s="11">
        <f>1566.53*-1</f>
        <v>-1566.53</v>
      </c>
      <c r="F26" s="11">
        <f>1392.81*-1</f>
        <v>-1392.81</v>
      </c>
      <c r="G26" s="3"/>
      <c r="H26" s="11">
        <f>1333.5*-1</f>
        <v>-1333.5</v>
      </c>
      <c r="I26" s="3"/>
      <c r="J26" s="11">
        <f>-3451.74</f>
        <v>-3451.74</v>
      </c>
      <c r="K26" s="3"/>
      <c r="L26" s="11">
        <f>-4732.4</f>
        <v>-4732.3999999999996</v>
      </c>
      <c r="M26" s="3"/>
      <c r="N26" s="11">
        <f>-3154.84</f>
        <v>-3154.84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"4243", " - ", "SALES RETURN TAXABLE-CARDS")</f>
        <v xml:space="preserve">          4243 - SALES RETURN TAXABLE-CARDS</v>
      </c>
      <c r="D27" s="11">
        <f>203.48*-1</f>
        <v>-203.48</v>
      </c>
      <c r="F27" s="11">
        <f>314.58*-1</f>
        <v>-314.58</v>
      </c>
      <c r="G27" s="3"/>
      <c r="H27" s="11">
        <f>63.25*-1</f>
        <v>-63.25</v>
      </c>
      <c r="I27" s="3"/>
      <c r="J27" s="11">
        <f>-60.95</f>
        <v>-60.95</v>
      </c>
      <c r="K27" s="3"/>
      <c r="L27" s="11">
        <f>-25.94</f>
        <v>-25.94</v>
      </c>
      <c r="M27" s="3"/>
      <c r="N27" s="11">
        <f>-3026.3</f>
        <v>-3026.3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"4244", " - ", "SALES RETURN TAXABLE-ACCESSORI")</f>
        <v xml:space="preserve">          4244 - SALES RETURN TAXABLE-ACCESSORI</v>
      </c>
      <c r="D28" s="11">
        <f>2403.11*-1</f>
        <v>-2403.11</v>
      </c>
      <c r="F28" s="11">
        <f>3039.33*-1</f>
        <v>-3039.33</v>
      </c>
      <c r="G28" s="3"/>
      <c r="H28" s="11">
        <f>3569.98*-1</f>
        <v>-3569.98</v>
      </c>
      <c r="I28" s="3"/>
      <c r="J28" s="11">
        <f>-2835.75</f>
        <v>-2835.75</v>
      </c>
      <c r="K28" s="3"/>
      <c r="L28" s="11">
        <f>-3756.12</f>
        <v>-3756.12</v>
      </c>
      <c r="M28" s="3"/>
      <c r="N28" s="11">
        <f>-2595.61</f>
        <v>-2595.61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"4245", " - ", "SALES RETURN TAXABLE-SPECIAL O")</f>
        <v xml:space="preserve">          4245 - SALES RETURN TAXABLE-SPECIAL O</v>
      </c>
      <c r="D29" s="11">
        <f>9720.55*-1</f>
        <v>-9720.5499999999993</v>
      </c>
      <c r="F29" s="11">
        <f>2945.35*-1</f>
        <v>-2945.35</v>
      </c>
      <c r="G29" s="3"/>
      <c r="H29" s="11">
        <f>10797.43*-1</f>
        <v>-10797.43</v>
      </c>
      <c r="I29" s="3"/>
      <c r="J29" s="11">
        <f>-4335.36</f>
        <v>-4335.3599999999997</v>
      </c>
      <c r="K29" s="3"/>
      <c r="L29" s="11">
        <f>-2712.32</f>
        <v>-2712.32</v>
      </c>
      <c r="M29" s="3"/>
      <c r="N29" s="11">
        <f>-4087.54</f>
        <v>-4087.54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"4340", " - ", "SALES RETURN NON TAXABLE-LOGO")</f>
        <v xml:space="preserve">          4340 - SALES RETURN NON TAXABLE-LOGO</v>
      </c>
      <c r="D30" s="11">
        <f>1278.54*-1</f>
        <v>-1278.54</v>
      </c>
      <c r="F30" s="11">
        <f>973.95*-1</f>
        <v>-973.95</v>
      </c>
      <c r="G30" s="3"/>
      <c r="H30" s="11">
        <f>937.35*-1</f>
        <v>-937.35</v>
      </c>
      <c r="I30" s="3"/>
      <c r="J30" s="11">
        <f>-602.86</f>
        <v>-602.86</v>
      </c>
      <c r="K30" s="3"/>
      <c r="L30" s="11">
        <f>-1132.72</f>
        <v>-1132.72</v>
      </c>
      <c r="M30" s="3"/>
      <c r="N30" s="11">
        <f>-2664.48</f>
        <v>-2664.48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"4341", " - ", "SALES RETURN NON TAXABLE-LOGO")</f>
        <v xml:space="preserve">          4341 - SALES RETURN NON TAXABLE-LOGO</v>
      </c>
      <c r="D31" s="11">
        <f>821.6*-1</f>
        <v>-821.6</v>
      </c>
      <c r="F31" s="11">
        <f>31.9*-1</f>
        <v>-31.9</v>
      </c>
      <c r="G31" s="3"/>
      <c r="H31" s="11">
        <f>61.7*-1</f>
        <v>-61.7</v>
      </c>
      <c r="I31" s="3"/>
      <c r="J31" s="11">
        <f>-19.8</f>
        <v>-19.8</v>
      </c>
      <c r="K31" s="3"/>
      <c r="L31" s="11">
        <f>-211.45</f>
        <v>-211.45</v>
      </c>
      <c r="M31" s="3"/>
      <c r="N31" s="11">
        <f>-295.35</f>
        <v>-295.35000000000002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"4342", " - ", "SALES RETURN NON TAXABLE-EVERY")</f>
        <v xml:space="preserve">          4342 - SALES RETURN NON TAXABLE-EVERY</v>
      </c>
      <c r="D32" s="11">
        <f>0*-1</f>
        <v>0</v>
      </c>
      <c r="F32" s="11">
        <f>0*-1</f>
        <v>0</v>
      </c>
      <c r="G32" s="3"/>
      <c r="H32" s="11">
        <f>0*-1</f>
        <v>0</v>
      </c>
      <c r="I32" s="3"/>
      <c r="J32" s="11">
        <f>-36.8</f>
        <v>-36.799999999999997</v>
      </c>
      <c r="K32" s="3"/>
      <c r="L32" s="11">
        <f>-128.55</f>
        <v>-128.55000000000001</v>
      </c>
      <c r="M32" s="3"/>
      <c r="N32" s="11">
        <f>-146.6</f>
        <v>-146.6</v>
      </c>
      <c r="O32" s="3"/>
      <c r="P32" s="11"/>
      <c r="Q32" s="3"/>
      <c r="R32" s="11"/>
    </row>
    <row r="33" spans="1:18" s="12" customFormat="1" x14ac:dyDescent="0.35">
      <c r="B33" s="7"/>
      <c r="D33" s="6"/>
      <c r="F33" s="6"/>
      <c r="G33" s="5"/>
      <c r="H33" s="6"/>
      <c r="I33" s="5"/>
      <c r="J33" s="6"/>
      <c r="K33" s="5"/>
      <c r="L33" s="6"/>
      <c r="M33" s="5"/>
      <c r="N33" s="6"/>
      <c r="O33" s="5"/>
      <c r="P33" s="6"/>
      <c r="Q33" s="5"/>
      <c r="R33" s="6"/>
    </row>
    <row r="34" spans="1:18" s="12" customFormat="1" collapsed="1" x14ac:dyDescent="0.35">
      <c r="B34" s="7" t="s">
        <v>278</v>
      </c>
      <c r="D34" s="8">
        <f>SUM(OSRRefD14x_0)</f>
        <v>1089659.3800000001</v>
      </c>
      <c r="E34" s="8"/>
      <c r="F34" s="8">
        <f>SUM(OSRRefF14x_0)</f>
        <v>1238381.57</v>
      </c>
      <c r="G34" s="8"/>
      <c r="H34" s="8">
        <f>SUM(OSRRefH14x_0)</f>
        <v>1352565.7399999998</v>
      </c>
      <c r="I34" s="8"/>
      <c r="J34" s="8">
        <f>SUM(OSRRefJ14x_0)</f>
        <v>1386505.5799999998</v>
      </c>
      <c r="K34" s="8"/>
      <c r="L34" s="8">
        <f>SUM(OSRRefL14x_0)</f>
        <v>1480424.35</v>
      </c>
      <c r="M34" s="8"/>
      <c r="N34" s="8">
        <f>SUM(OSRRefN14x_0)</f>
        <v>1202402.3299999998</v>
      </c>
      <c r="O34" s="8"/>
      <c r="P34" s="8">
        <f>SUM(OSRRefP14x_0)</f>
        <v>1625572</v>
      </c>
      <c r="Q34" s="8"/>
      <c r="R34" s="8">
        <f>SUM(OSRRefR14x_0)</f>
        <v>1442639</v>
      </c>
    </row>
    <row r="35" spans="1:18" s="44" customFormat="1" hidden="1" outlineLevel="1" x14ac:dyDescent="0.35">
      <c r="A35" s="16"/>
      <c r="B35" s="35" t="str">
        <f>CONCATENATE("          ", "5000", " - ", "PURCHASES @ COST")</f>
        <v xml:space="preserve">          5000 - PURCHASES @ COST</v>
      </c>
      <c r="C35" s="16"/>
      <c r="D35" s="11"/>
      <c r="E35" s="16"/>
      <c r="F35" s="11"/>
      <c r="G35" s="3"/>
      <c r="H35" s="11"/>
      <c r="I35" s="3"/>
      <c r="J35" s="11"/>
      <c r="K35" s="3"/>
      <c r="L35" s="11">
        <v>0</v>
      </c>
      <c r="M35" s="3"/>
      <c r="N35" s="11">
        <v>0</v>
      </c>
      <c r="O35" s="3"/>
      <c r="P35" s="11">
        <v>1625572</v>
      </c>
      <c r="Q35" s="3"/>
      <c r="R35" s="11">
        <v>1442639</v>
      </c>
    </row>
    <row r="36" spans="1:18" s="44" customFormat="1" hidden="1" outlineLevel="1" x14ac:dyDescent="0.35">
      <c r="A36" s="16"/>
      <c r="B36" s="35" t="str">
        <f>CONCATENATE("          ", "5040", " - ", "PURCHASES @ COST-LOGO CLOTHING")</f>
        <v xml:space="preserve">          5040 - PURCHASES @ COST-LOGO CLOTHING</v>
      </c>
      <c r="C36" s="16"/>
      <c r="D36" s="11">
        <v>668763.72</v>
      </c>
      <c r="E36" s="16"/>
      <c r="F36" s="11">
        <v>794923.16</v>
      </c>
      <c r="G36" s="3"/>
      <c r="H36" s="11">
        <v>891846.83</v>
      </c>
      <c r="I36" s="3"/>
      <c r="J36" s="11">
        <v>883474.1</v>
      </c>
      <c r="K36" s="3"/>
      <c r="L36" s="11">
        <v>885489.95</v>
      </c>
      <c r="M36" s="3"/>
      <c r="N36" s="11">
        <v>838896.02</v>
      </c>
      <c r="O36" s="3"/>
      <c r="P36" s="11"/>
      <c r="Q36" s="3"/>
      <c r="R36" s="11"/>
    </row>
    <row r="37" spans="1:18" s="44" customFormat="1" hidden="1" outlineLevel="1" x14ac:dyDescent="0.35">
      <c r="A37" s="16"/>
      <c r="B37" s="35" t="str">
        <f>CONCATENATE("          ", "5041", " - ", "PURCHASES @ COST-LOGO GIFTS")</f>
        <v xml:space="preserve">          5041 - PURCHASES @ COST-LOGO GIFTS</v>
      </c>
      <c r="C37" s="16"/>
      <c r="D37" s="11">
        <v>216626.11</v>
      </c>
      <c r="E37" s="16"/>
      <c r="F37" s="11">
        <v>232472.86</v>
      </c>
      <c r="G37" s="3"/>
      <c r="H37" s="11">
        <v>255340.07</v>
      </c>
      <c r="I37" s="3"/>
      <c r="J37" s="11">
        <v>257202.91</v>
      </c>
      <c r="K37" s="3"/>
      <c r="L37" s="11">
        <v>293141.40000000002</v>
      </c>
      <c r="M37" s="3"/>
      <c r="N37" s="11">
        <v>144446.13</v>
      </c>
      <c r="O37" s="3"/>
      <c r="P37" s="11"/>
      <c r="Q37" s="3"/>
      <c r="R37" s="11"/>
    </row>
    <row r="38" spans="1:18" s="44" customFormat="1" hidden="1" outlineLevel="1" x14ac:dyDescent="0.35">
      <c r="A38" s="16"/>
      <c r="B38" s="35" t="str">
        <f>CONCATENATE("          ", "5042", " - ", "PURCHASES @ COST-EVERYDAY GIFT")</f>
        <v xml:space="preserve">          5042 - PURCHASES @ COST-EVERYDAY GIFT</v>
      </c>
      <c r="C38" s="16"/>
      <c r="D38" s="11">
        <v>43654.5</v>
      </c>
      <c r="E38" s="16"/>
      <c r="F38" s="11">
        <v>52697.94</v>
      </c>
      <c r="G38" s="3"/>
      <c r="H38" s="11">
        <v>56816.25</v>
      </c>
      <c r="I38" s="3"/>
      <c r="J38" s="11">
        <v>108320.44</v>
      </c>
      <c r="K38" s="3"/>
      <c r="L38" s="11">
        <v>129922.13</v>
      </c>
      <c r="M38" s="3"/>
      <c r="N38" s="11">
        <v>106138.08</v>
      </c>
      <c r="O38" s="3"/>
      <c r="P38" s="11"/>
      <c r="Q38" s="3"/>
      <c r="R38" s="11"/>
    </row>
    <row r="39" spans="1:18" s="44" customFormat="1" hidden="1" outlineLevel="1" x14ac:dyDescent="0.35">
      <c r="A39" s="16"/>
      <c r="B39" s="35" t="str">
        <f>CONCATENATE("          ", "5043", " - ", "PURCHASES @ COST-CARDS")</f>
        <v xml:space="preserve">          5043 - PURCHASES @ COST-CARDS</v>
      </c>
      <c r="C39" s="16"/>
      <c r="D39" s="11">
        <v>17952.52</v>
      </c>
      <c r="E39" s="16"/>
      <c r="F39" s="11">
        <v>15647.94</v>
      </c>
      <c r="G39" s="3"/>
      <c r="H39" s="11">
        <v>873.2</v>
      </c>
      <c r="I39" s="3"/>
      <c r="J39" s="11">
        <v>3770.08</v>
      </c>
      <c r="K39" s="3"/>
      <c r="L39" s="11">
        <v>3378.54</v>
      </c>
      <c r="M39" s="3"/>
      <c r="N39" s="11">
        <v>30766.7</v>
      </c>
      <c r="O39" s="3"/>
      <c r="P39" s="11"/>
      <c r="Q39" s="3"/>
      <c r="R39" s="11"/>
    </row>
    <row r="40" spans="1:18" s="44" customFormat="1" hidden="1" outlineLevel="1" x14ac:dyDescent="0.35">
      <c r="A40" s="16"/>
      <c r="B40" s="35" t="str">
        <f>CONCATENATE("          ", "5044", " - ", "PURCHASES @ COST-ACCESSORIES")</f>
        <v xml:space="preserve">          5044 - PURCHASES @ COST-ACCESSORIES</v>
      </c>
      <c r="C40" s="16"/>
      <c r="D40" s="11">
        <v>35714.69</v>
      </c>
      <c r="E40" s="16"/>
      <c r="F40" s="11">
        <v>40992.43</v>
      </c>
      <c r="G40" s="3"/>
      <c r="H40" s="11">
        <v>26367.45</v>
      </c>
      <c r="I40" s="3"/>
      <c r="J40" s="11">
        <v>36468.82</v>
      </c>
      <c r="K40" s="3"/>
      <c r="L40" s="11">
        <v>35773.85</v>
      </c>
      <c r="M40" s="3"/>
      <c r="N40" s="11">
        <v>43605.63</v>
      </c>
      <c r="O40" s="3"/>
      <c r="P40" s="11"/>
      <c r="Q40" s="3"/>
      <c r="R40" s="11"/>
    </row>
    <row r="41" spans="1:18" s="44" customFormat="1" hidden="1" outlineLevel="1" x14ac:dyDescent="0.35">
      <c r="A41" s="16"/>
      <c r="B41" s="35" t="str">
        <f>CONCATENATE("          ", "5045", " - ", "PURCHASES @ COST-SPECIAL ORDER")</f>
        <v xml:space="preserve">          5045 - PURCHASES @ COST-SPECIAL ORDER</v>
      </c>
      <c r="C41" s="16"/>
      <c r="D41" s="11">
        <v>80402.06</v>
      </c>
      <c r="E41" s="16"/>
      <c r="F41" s="11">
        <v>75494.820000000007</v>
      </c>
      <c r="G41" s="3"/>
      <c r="H41" s="11">
        <v>137974.93</v>
      </c>
      <c r="I41" s="3"/>
      <c r="J41" s="11">
        <v>124622.98</v>
      </c>
      <c r="K41" s="3"/>
      <c r="L41" s="11">
        <v>156366.49</v>
      </c>
      <c r="M41" s="3"/>
      <c r="N41" s="11">
        <v>132613.01</v>
      </c>
      <c r="O41" s="3"/>
      <c r="P41" s="11"/>
      <c r="Q41" s="3"/>
      <c r="R41" s="11"/>
    </row>
    <row r="42" spans="1:18" s="44" customFormat="1" hidden="1" outlineLevel="1" x14ac:dyDescent="0.35">
      <c r="A42" s="16"/>
      <c r="B42" s="35" t="str">
        <f>CONCATENATE("          ", "5200", " - ", "PURCHASES OFFSET")</f>
        <v xml:space="preserve">          5200 - PURCHASES OFFSET</v>
      </c>
      <c r="C42" s="16"/>
      <c r="D42" s="11">
        <v>-1097713</v>
      </c>
      <c r="E42" s="16"/>
      <c r="F42" s="11">
        <v>-1258880</v>
      </c>
      <c r="G42" s="3"/>
      <c r="H42" s="11">
        <v>-1408743</v>
      </c>
      <c r="I42" s="3"/>
      <c r="J42" s="11">
        <v>-1451080</v>
      </c>
      <c r="K42" s="3"/>
      <c r="L42" s="11">
        <v>-1554421</v>
      </c>
      <c r="M42" s="3"/>
      <c r="N42" s="11">
        <v>-1341591</v>
      </c>
      <c r="O42" s="3"/>
      <c r="P42" s="11"/>
      <c r="Q42" s="3"/>
      <c r="R42" s="11"/>
    </row>
    <row r="43" spans="1:18" s="44" customFormat="1" hidden="1" outlineLevel="1" x14ac:dyDescent="0.35">
      <c r="A43" s="16"/>
      <c r="B43" s="35" t="str">
        <f>CONCATENATE("          ", "5300", " - ", "COG$ OFFSET")</f>
        <v xml:space="preserve">          5300 - COG$ OFFSET</v>
      </c>
      <c r="C43" s="16"/>
      <c r="D43" s="11">
        <v>1089661</v>
      </c>
      <c r="E43" s="16"/>
      <c r="F43" s="11">
        <v>1238380</v>
      </c>
      <c r="G43" s="3"/>
      <c r="H43" s="11">
        <v>1352566</v>
      </c>
      <c r="I43" s="3"/>
      <c r="J43" s="11">
        <v>1386466</v>
      </c>
      <c r="K43" s="3"/>
      <c r="L43" s="11">
        <v>1480410</v>
      </c>
      <c r="M43" s="3"/>
      <c r="N43" s="11">
        <v>1202377</v>
      </c>
      <c r="O43" s="3"/>
      <c r="P43" s="11"/>
      <c r="Q43" s="3"/>
      <c r="R43" s="11"/>
    </row>
    <row r="44" spans="1:18" s="44" customFormat="1" hidden="1" outlineLevel="1" x14ac:dyDescent="0.35">
      <c r="A44" s="16"/>
      <c r="B44" s="35" t="str">
        <f>CONCATENATE("          ", "5500", " - ", "FREIGHT-IN")</f>
        <v xml:space="preserve">          5500 - FREIGHT-IN</v>
      </c>
      <c r="C44" s="16"/>
      <c r="D44" s="11"/>
      <c r="E44" s="16"/>
      <c r="F44" s="11"/>
      <c r="G44" s="3"/>
      <c r="H44" s="11"/>
      <c r="I44" s="3"/>
      <c r="J44" s="11">
        <v>37.700000000000003</v>
      </c>
      <c r="K44" s="3"/>
      <c r="L44" s="11">
        <v>14.08</v>
      </c>
      <c r="M44" s="3"/>
      <c r="N44" s="11">
        <v>29.23</v>
      </c>
      <c r="O44" s="3"/>
      <c r="P44" s="11"/>
      <c r="Q44" s="3"/>
      <c r="R44" s="11"/>
    </row>
    <row r="45" spans="1:18" s="44" customFormat="1" hidden="1" outlineLevel="1" x14ac:dyDescent="0.35">
      <c r="A45" s="16"/>
      <c r="B45" s="35" t="str">
        <f>CONCATENATE("          ", "5540", " - ", "FREIGHT-IN-LOGO CLOTHING")</f>
        <v xml:space="preserve">          5540 - FREIGHT-IN-LOGO CLOTHING</v>
      </c>
      <c r="C45" s="16"/>
      <c r="D45" s="11">
        <v>21210.19</v>
      </c>
      <c r="E45" s="16"/>
      <c r="F45" s="11">
        <v>34315.83</v>
      </c>
      <c r="G45" s="3"/>
      <c r="H45" s="11">
        <v>27831.279999999999</v>
      </c>
      <c r="I45" s="3"/>
      <c r="J45" s="11">
        <v>25916.16</v>
      </c>
      <c r="K45" s="3"/>
      <c r="L45" s="11">
        <v>35739.980000000003</v>
      </c>
      <c r="M45" s="3"/>
      <c r="N45" s="11">
        <v>32492.79</v>
      </c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"5541", " - ", "FREIGHT-IN-LOGO GIFTS")</f>
        <v xml:space="preserve">          5541 - FREIGHT-IN-LOGO GIFTS</v>
      </c>
      <c r="C46" s="16"/>
      <c r="D46" s="11">
        <v>9598.33</v>
      </c>
      <c r="E46" s="16"/>
      <c r="F46" s="11">
        <v>7755.4</v>
      </c>
      <c r="G46" s="3"/>
      <c r="H46" s="11">
        <v>6647.69</v>
      </c>
      <c r="I46" s="3"/>
      <c r="J46" s="11">
        <v>6736.78</v>
      </c>
      <c r="K46" s="3"/>
      <c r="L46" s="11">
        <v>8438.06</v>
      </c>
      <c r="M46" s="3"/>
      <c r="N46" s="11">
        <v>5574.41</v>
      </c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"5542", " - ", "FREIGHT-IN-EVERYDAY GIFTS")</f>
        <v xml:space="preserve">          5542 - FREIGHT-IN-EVERYDAY GIFTS</v>
      </c>
      <c r="C47" s="16"/>
      <c r="D47" s="11">
        <v>1401.93</v>
      </c>
      <c r="E47" s="16"/>
      <c r="F47" s="11">
        <v>2793.76</v>
      </c>
      <c r="G47" s="3"/>
      <c r="H47" s="11">
        <v>2300.5500000000002</v>
      </c>
      <c r="I47" s="3"/>
      <c r="J47" s="11">
        <v>1584.63</v>
      </c>
      <c r="K47" s="3"/>
      <c r="L47" s="11">
        <v>2008.93</v>
      </c>
      <c r="M47" s="3"/>
      <c r="N47" s="11">
        <v>2223.5100000000002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"5543", " - ", "FREIGHT-IN-CARDS")</f>
        <v xml:space="preserve">          5543 - FREIGHT-IN-CARDS</v>
      </c>
      <c r="C48" s="16"/>
      <c r="D48" s="11">
        <v>47.8</v>
      </c>
      <c r="E48" s="16"/>
      <c r="F48" s="11">
        <v>10.06</v>
      </c>
      <c r="G48" s="3"/>
      <c r="H48" s="11">
        <v>7.19</v>
      </c>
      <c r="I48" s="3"/>
      <c r="J48" s="11">
        <v>123.84</v>
      </c>
      <c r="K48" s="3"/>
      <c r="L48" s="11">
        <v>57.18</v>
      </c>
      <c r="M48" s="3"/>
      <c r="N48" s="11">
        <v>2926.76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"5544", " - ", "FREIGHT-IN-ACCESSORIES")</f>
        <v xml:space="preserve">          5544 - FREIGHT-IN-ACCESSORIES</v>
      </c>
      <c r="C49" s="16"/>
      <c r="D49" s="11">
        <v>807.33</v>
      </c>
      <c r="E49" s="16"/>
      <c r="F49" s="11">
        <v>349.62</v>
      </c>
      <c r="G49" s="3"/>
      <c r="H49" s="11">
        <v>845.08</v>
      </c>
      <c r="I49" s="3"/>
      <c r="J49" s="11">
        <v>635.88</v>
      </c>
      <c r="K49" s="3"/>
      <c r="L49" s="11">
        <v>1360.08</v>
      </c>
      <c r="M49" s="3"/>
      <c r="N49" s="11">
        <v>483.44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"5545", " - ", "FREIGHT-IN-SPECIAL ORDERS")</f>
        <v xml:space="preserve">          5545 - FREIGHT-IN-SPECIAL ORDERS</v>
      </c>
      <c r="C50" s="16"/>
      <c r="D50" s="11">
        <v>1532.2</v>
      </c>
      <c r="E50" s="16"/>
      <c r="F50" s="11">
        <v>1427.75</v>
      </c>
      <c r="G50" s="3"/>
      <c r="H50" s="11">
        <v>1892.22</v>
      </c>
      <c r="I50" s="3"/>
      <c r="J50" s="11">
        <v>2225.2600000000002</v>
      </c>
      <c r="K50" s="3"/>
      <c r="L50" s="11">
        <v>2744.68</v>
      </c>
      <c r="M50" s="3"/>
      <c r="N50" s="11">
        <v>1420.62</v>
      </c>
      <c r="O50" s="3"/>
      <c r="P50" s="11"/>
      <c r="Q50" s="3"/>
      <c r="R50" s="11"/>
    </row>
    <row r="51" spans="1:18" x14ac:dyDescent="0.35">
      <c r="A51" s="12"/>
      <c r="B51" s="7"/>
      <c r="C51" s="7"/>
      <c r="D51" s="6"/>
      <c r="F51" s="6"/>
      <c r="H51" s="6"/>
      <c r="J51" s="6"/>
      <c r="L51" s="6"/>
      <c r="N51" s="6"/>
      <c r="P51" s="6"/>
      <c r="R51" s="6"/>
    </row>
    <row r="52" spans="1:18" s="15" customFormat="1" x14ac:dyDescent="0.35">
      <c r="A52" s="7"/>
      <c r="B52" s="22" t="s">
        <v>107</v>
      </c>
      <c r="C52" s="22"/>
      <c r="D52" s="10">
        <f>+D10-D34</f>
        <v>1301004.9800000002</v>
      </c>
      <c r="E52" s="12"/>
      <c r="F52" s="10">
        <f>+F10-F34</f>
        <v>1482071.9199999992</v>
      </c>
      <c r="G52" s="5"/>
      <c r="H52" s="10">
        <f>+H10-H34</f>
        <v>1599331.79</v>
      </c>
      <c r="I52" s="5"/>
      <c r="J52" s="10">
        <f>+J10-J34</f>
        <v>1647156.9800000002</v>
      </c>
      <c r="K52" s="5"/>
      <c r="L52" s="10">
        <f>+L10-L34</f>
        <v>1685943.8099999996</v>
      </c>
      <c r="M52" s="5"/>
      <c r="N52" s="10">
        <f>+N10-N34</f>
        <v>1303998.0100000005</v>
      </c>
      <c r="O52" s="5"/>
      <c r="P52" s="10">
        <f>+P10-P34</f>
        <v>1889178</v>
      </c>
      <c r="Q52" s="5"/>
      <c r="R52" s="10">
        <f>+R10-R34</f>
        <v>1349784</v>
      </c>
    </row>
    <row r="53" spans="1:18" s="27" customFormat="1" x14ac:dyDescent="0.35">
      <c r="A53" s="18"/>
      <c r="B53" s="31"/>
      <c r="C53" s="18"/>
      <c r="D53" s="9">
        <f>IFERROR(D52/D10, 0)</f>
        <v>0.5442022735470905</v>
      </c>
      <c r="E53" s="13"/>
      <c r="F53" s="9">
        <f>IFERROR(F52/F10, 0)</f>
        <v>0.54478855288204164</v>
      </c>
      <c r="G53" s="26"/>
      <c r="H53" s="9">
        <f>IFERROR(H52/H10, 0)</f>
        <v>0.5417978685730328</v>
      </c>
      <c r="I53" s="26"/>
      <c r="J53" s="9">
        <f>IFERROR(J52/J10, 0)</f>
        <v>0.54295985378149647</v>
      </c>
      <c r="K53" s="26"/>
      <c r="L53" s="9">
        <f>IFERROR(L52/L10, 0)</f>
        <v>0.53245350029037675</v>
      </c>
      <c r="M53" s="26"/>
      <c r="N53" s="9">
        <f>IFERROR(N52/N10, 0)</f>
        <v>0.52026724908599409</v>
      </c>
      <c r="O53" s="26"/>
      <c r="P53" s="9">
        <f>IFERROR(P52/P10, 0)</f>
        <v>0.53749996443559289</v>
      </c>
      <c r="Q53" s="26"/>
      <c r="R53" s="9">
        <f>IFERROR(R52/R10, 0)</f>
        <v>0.48337375820210621</v>
      </c>
    </row>
    <row r="54" spans="1:18" s="27" customFormat="1" x14ac:dyDescent="0.35">
      <c r="A54" s="18"/>
      <c r="B54" s="31"/>
      <c r="C54" s="18"/>
      <c r="D54" s="13"/>
      <c r="E54" s="13"/>
      <c r="F54" s="13"/>
      <c r="G54" s="26"/>
      <c r="H54" s="13"/>
      <c r="I54" s="26"/>
      <c r="J54" s="13"/>
      <c r="K54" s="26"/>
      <c r="L54" s="13"/>
      <c r="M54" s="26"/>
      <c r="N54" s="13"/>
      <c r="O54" s="26"/>
      <c r="P54" s="13"/>
      <c r="Q54" s="26"/>
      <c r="R54" s="13"/>
    </row>
    <row r="55" spans="1:18" s="15" customFormat="1" x14ac:dyDescent="0.35">
      <c r="A55" s="7"/>
      <c r="B55" s="34" t="s">
        <v>314</v>
      </c>
      <c r="C55" s="7"/>
      <c r="D55" s="8">
        <f>SUM(OSRRefD21x_0)</f>
        <v>546861.67000000004</v>
      </c>
      <c r="E55" s="19"/>
      <c r="F55" s="8">
        <f>SUM(OSRRefF21x_0)</f>
        <v>591345.69999999972</v>
      </c>
      <c r="G55" s="4"/>
      <c r="H55" s="8">
        <f>SUM(OSRRefH21x_0)</f>
        <v>656923.49</v>
      </c>
      <c r="I55" s="4"/>
      <c r="J55" s="8">
        <f>SUM(OSRRefJ21x_0)</f>
        <v>614610.59999999986</v>
      </c>
      <c r="K55" s="4"/>
      <c r="L55" s="8">
        <f>SUM(OSRRefL21x_0)</f>
        <v>601672.9800000001</v>
      </c>
      <c r="M55" s="4"/>
      <c r="N55" s="8">
        <f>SUM(OSRRefN21x_0)</f>
        <v>779662.7300000001</v>
      </c>
      <c r="O55" s="4"/>
      <c r="P55" s="8">
        <f>SUM(OSRRefP21x_0)</f>
        <v>1224815.0525928999</v>
      </c>
      <c r="Q55" s="4"/>
      <c r="R55" s="8">
        <f>SUM(OSRRefR21x_0)</f>
        <v>1036034.047489</v>
      </c>
    </row>
    <row r="56" spans="1:18" s="15" customFormat="1" outlineLevel="1" collapsed="1" x14ac:dyDescent="0.35">
      <c r="A56" s="7"/>
      <c r="B56" s="20" t="str">
        <f>CONCATENATE("     ","*Benefits                                         ")</f>
        <v xml:space="preserve">     *Benefits                                         </v>
      </c>
      <c r="C56" s="7"/>
      <c r="D56" s="1">
        <f>SUM(OSRRefD21_0x_0)</f>
        <v>59140.929999999993</v>
      </c>
      <c r="E56" s="19"/>
      <c r="F56" s="1">
        <f>SUM(OSRRefF21_0x_0)</f>
        <v>60775.42</v>
      </c>
      <c r="G56" s="4"/>
      <c r="H56" s="1">
        <f>SUM(OSRRefH21_0x_0)</f>
        <v>52813.170000000006</v>
      </c>
      <c r="I56" s="4"/>
      <c r="J56" s="1">
        <f>SUM(OSRRefJ21_0x_0)</f>
        <v>62719.839999999997</v>
      </c>
      <c r="K56" s="4"/>
      <c r="L56" s="1">
        <f>SUM(OSRRefL21_0x_0)</f>
        <v>64418.679999999993</v>
      </c>
      <c r="M56" s="4"/>
      <c r="N56" s="1">
        <f>SUM(OSRRefN21_0x_0)</f>
        <v>77796.89</v>
      </c>
      <c r="O56" s="4"/>
      <c r="P56" s="1">
        <f>SUM(OSRRefP21_0x_0)</f>
        <v>153873.27759290001</v>
      </c>
      <c r="Q56" s="4"/>
      <c r="R56" s="1">
        <f>SUM(OSRRefR21_0x_0)</f>
        <v>216593.53748899998</v>
      </c>
    </row>
    <row r="57" spans="1:18" s="16" customFormat="1" hidden="1" outlineLevel="2" x14ac:dyDescent="0.35">
      <c r="B57" s="11" t="str">
        <f>CONCATENATE("          ", "6111", " - ", "F.I.C.A.")</f>
        <v xml:space="preserve">          6111 - F.I.C.A.</v>
      </c>
      <c r="D57" s="2">
        <v>9624.9500000000007</v>
      </c>
      <c r="F57" s="2">
        <v>10392.67</v>
      </c>
      <c r="G57" s="3"/>
      <c r="H57" s="2">
        <v>10627.44</v>
      </c>
      <c r="I57" s="3"/>
      <c r="J57" s="2">
        <v>13168.83</v>
      </c>
      <c r="K57" s="3"/>
      <c r="L57" s="2">
        <v>13960.71</v>
      </c>
      <c r="M57" s="3"/>
      <c r="N57" s="2">
        <v>14734.01</v>
      </c>
      <c r="O57" s="3"/>
      <c r="P57" s="2">
        <v>26931.7740849</v>
      </c>
      <c r="Q57" s="3"/>
      <c r="R57" s="2">
        <v>49502.228979</v>
      </c>
    </row>
    <row r="58" spans="1:18" s="16" customFormat="1" hidden="1" outlineLevel="2" x14ac:dyDescent="0.35">
      <c r="B58" s="11" t="str">
        <f>CONCATENATE("          ", "6112", " - ", "COMPENSATION INSURANCE")</f>
        <v xml:space="preserve">          6112 - COMPENSATION INSURANCE</v>
      </c>
      <c r="D58" s="2">
        <v>2876.2</v>
      </c>
      <c r="F58" s="2">
        <v>5339.85</v>
      </c>
      <c r="G58" s="3"/>
      <c r="H58" s="2">
        <v>3417.16</v>
      </c>
      <c r="I58" s="3"/>
      <c r="J58" s="2">
        <v>2265.0100000000002</v>
      </c>
      <c r="K58" s="3"/>
      <c r="L58" s="2">
        <v>2898.59</v>
      </c>
      <c r="M58" s="3"/>
      <c r="N58" s="2">
        <v>4540.79</v>
      </c>
      <c r="O58" s="3"/>
      <c r="P58" s="2">
        <v>13057.231180000001</v>
      </c>
      <c r="Q58" s="3"/>
      <c r="R58" s="2">
        <v>11520.074280000001</v>
      </c>
    </row>
    <row r="59" spans="1:18" s="16" customFormat="1" hidden="1" outlineLevel="2" x14ac:dyDescent="0.35">
      <c r="B59" s="11" t="str">
        <f>CONCATENATE("          ", "6113", " - ", "GROUP INSURANCE")</f>
        <v xml:space="preserve">          6113 - GROUP INSURANCE</v>
      </c>
      <c r="D59" s="2">
        <v>21042.77</v>
      </c>
      <c r="F59" s="2">
        <v>20798.79</v>
      </c>
      <c r="G59" s="3"/>
      <c r="H59" s="2">
        <v>18462.11</v>
      </c>
      <c r="I59" s="3"/>
      <c r="J59" s="2">
        <v>23664.25</v>
      </c>
      <c r="K59" s="3"/>
      <c r="L59" s="2">
        <v>24986.63</v>
      </c>
      <c r="M59" s="3"/>
      <c r="N59" s="2">
        <v>22506.22</v>
      </c>
      <c r="O59" s="3"/>
      <c r="P59" s="2">
        <v>60240</v>
      </c>
      <c r="Q59" s="3"/>
      <c r="R59" s="2">
        <v>83850</v>
      </c>
    </row>
    <row r="60" spans="1:18" s="16" customFormat="1" hidden="1" outlineLevel="2" x14ac:dyDescent="0.35">
      <c r="B60" s="11" t="str">
        <f>CONCATENATE("          ", "6114", " - ", "STATE UNEMPLOYMENT INSURANCE")</f>
        <v xml:space="preserve">          6114 - STATE UNEMPLOYMENT INSURANCE</v>
      </c>
      <c r="D60" s="2">
        <v>1173.97</v>
      </c>
      <c r="F60" s="2">
        <v>1290.95</v>
      </c>
      <c r="G60" s="3"/>
      <c r="H60" s="2">
        <v>649.69000000000005</v>
      </c>
      <c r="I60" s="3"/>
      <c r="J60" s="2">
        <v>718.42</v>
      </c>
      <c r="K60" s="3"/>
      <c r="L60" s="2">
        <v>695.31</v>
      </c>
      <c r="M60" s="3"/>
      <c r="N60" s="2">
        <v>0</v>
      </c>
      <c r="O60" s="3"/>
      <c r="P60" s="2">
        <v>1835.070328</v>
      </c>
      <c r="Q60" s="3"/>
      <c r="R60" s="2">
        <v>1550.7792300000001</v>
      </c>
    </row>
    <row r="61" spans="1:18" s="16" customFormat="1" hidden="1" outlineLevel="2" x14ac:dyDescent="0.35">
      <c r="B61" s="11" t="str">
        <f>CONCATENATE("          ", "6115", " - ", "P.E.R.S.")</f>
        <v xml:space="preserve">          6115 - P.E.R.S.</v>
      </c>
      <c r="D61" s="2">
        <v>10470.73</v>
      </c>
      <c r="F61" s="2">
        <v>7128.9</v>
      </c>
      <c r="G61" s="3"/>
      <c r="H61" s="2">
        <v>6691.47</v>
      </c>
      <c r="I61" s="3"/>
      <c r="J61" s="2">
        <v>7705.17</v>
      </c>
      <c r="K61" s="3"/>
      <c r="L61" s="2">
        <v>7493.91</v>
      </c>
      <c r="M61" s="3"/>
      <c r="N61" s="2">
        <v>9508.2800000000007</v>
      </c>
      <c r="O61" s="3"/>
      <c r="P61" s="2">
        <v>15023.6152</v>
      </c>
      <c r="Q61" s="3"/>
      <c r="R61" s="2">
        <v>15693.924999999999</v>
      </c>
    </row>
    <row r="62" spans="1:18" s="16" customFormat="1" hidden="1" outlineLevel="2" x14ac:dyDescent="0.35">
      <c r="B62" s="11" t="str">
        <f>CONCATENATE("          ", "6116", " - ", "EDUCATIONAL BENEFITS")</f>
        <v xml:space="preserve">          6116 - EDUCATIONAL BENEFITS</v>
      </c>
      <c r="D62" s="2"/>
      <c r="F62" s="2"/>
      <c r="G62" s="3"/>
      <c r="H62" s="2"/>
      <c r="I62" s="3"/>
      <c r="J62" s="2"/>
      <c r="K62" s="3"/>
      <c r="L62" s="2"/>
      <c r="M62" s="3"/>
      <c r="N62" s="2"/>
      <c r="O62" s="3"/>
      <c r="P62" s="2">
        <v>0</v>
      </c>
      <c r="Q62" s="3"/>
      <c r="R62" s="2">
        <v>0</v>
      </c>
    </row>
    <row r="63" spans="1:18" s="16" customFormat="1" hidden="1" outlineLevel="2" x14ac:dyDescent="0.35">
      <c r="B63" s="11" t="str">
        <f>CONCATENATE("          ", "6118", " - ", "VACATION")</f>
        <v xml:space="preserve">          6118 - VACATION</v>
      </c>
      <c r="D63" s="2">
        <v>6180.49</v>
      </c>
      <c r="F63" s="2">
        <v>6378.73</v>
      </c>
      <c r="G63" s="3"/>
      <c r="H63" s="2">
        <v>5828.46</v>
      </c>
      <c r="I63" s="3"/>
      <c r="J63" s="2">
        <v>7960.77</v>
      </c>
      <c r="K63" s="3"/>
      <c r="L63" s="2">
        <v>7515.71</v>
      </c>
      <c r="M63" s="3"/>
      <c r="N63" s="2">
        <v>10468.94</v>
      </c>
      <c r="O63" s="3"/>
      <c r="P63" s="2">
        <v>11268.1</v>
      </c>
      <c r="Q63" s="3"/>
      <c r="R63" s="2">
        <v>14480.375</v>
      </c>
    </row>
    <row r="64" spans="1:18" s="16" customFormat="1" hidden="1" outlineLevel="2" x14ac:dyDescent="0.35">
      <c r="B64" s="11" t="str">
        <f>CONCATENATE("          ", "6119", " - ", "SICK LEAVE")</f>
        <v xml:space="preserve">          6119 - SICK LEAVE</v>
      </c>
      <c r="D64" s="2">
        <v>4366.26</v>
      </c>
      <c r="F64" s="2">
        <v>5947.19</v>
      </c>
      <c r="G64" s="3"/>
      <c r="H64" s="2">
        <v>3638.01</v>
      </c>
      <c r="I64" s="3"/>
      <c r="J64" s="2">
        <v>5623.47</v>
      </c>
      <c r="K64" s="3"/>
      <c r="L64" s="2">
        <v>5593.54</v>
      </c>
      <c r="M64" s="3"/>
      <c r="N64" s="2">
        <v>13775.37</v>
      </c>
      <c r="O64" s="3"/>
      <c r="P64" s="2">
        <v>17117.486799999999</v>
      </c>
      <c r="Q64" s="3"/>
      <c r="R64" s="2">
        <v>29496.154999999999</v>
      </c>
    </row>
    <row r="65" spans="1:18" s="16" customFormat="1" hidden="1" outlineLevel="2" x14ac:dyDescent="0.35">
      <c r="B65" s="11" t="str">
        <f>CONCATENATE("          ", "6156", " - ", "EMPLOYEE MEALS")</f>
        <v xml:space="preserve">          6156 - EMPLOYEE MEALS</v>
      </c>
      <c r="D65" s="2">
        <v>3405.56</v>
      </c>
      <c r="F65" s="2">
        <v>3498.34</v>
      </c>
      <c r="G65" s="3"/>
      <c r="H65" s="2">
        <v>3498.83</v>
      </c>
      <c r="I65" s="3"/>
      <c r="J65" s="2">
        <v>1613.92</v>
      </c>
      <c r="K65" s="3"/>
      <c r="L65" s="2">
        <v>1274.28</v>
      </c>
      <c r="M65" s="3"/>
      <c r="N65" s="2">
        <v>2263.2800000000002</v>
      </c>
      <c r="O65" s="3"/>
      <c r="P65" s="2">
        <v>8400</v>
      </c>
      <c r="Q65" s="3"/>
      <c r="R65" s="2">
        <v>10500</v>
      </c>
    </row>
    <row r="66" spans="1:18" s="15" customFormat="1" outlineLevel="1" collapsed="1" x14ac:dyDescent="0.35">
      <c r="A66" s="7"/>
      <c r="B66" s="20" t="str">
        <f>CONCATENATE("     ","*Payroll                                          ")</f>
        <v xml:space="preserve">     *Payroll                                          </v>
      </c>
      <c r="C66" s="7"/>
      <c r="D66" s="1">
        <f>SUM(OSRRefD21_1x_0)</f>
        <v>181824.31</v>
      </c>
      <c r="E66" s="19"/>
      <c r="F66" s="1">
        <f>SUM(OSRRefF21_1x_0)</f>
        <v>203635.47</v>
      </c>
      <c r="G66" s="4"/>
      <c r="H66" s="1">
        <f>SUM(OSRRefH21_1x_0)</f>
        <v>220318.79</v>
      </c>
      <c r="I66" s="4"/>
      <c r="J66" s="1">
        <f>SUM(OSRRefJ21_1x_0)</f>
        <v>240577.68000000002</v>
      </c>
      <c r="K66" s="4"/>
      <c r="L66" s="1">
        <f>SUM(OSRRefL21_1x_0)</f>
        <v>272455.26</v>
      </c>
      <c r="M66" s="4"/>
      <c r="N66" s="1">
        <f>SUM(OSRRefN21_1x_0)</f>
        <v>254454.91</v>
      </c>
      <c r="O66" s="4"/>
      <c r="P66" s="1">
        <f>SUM(OSRRefP21_1x_0)</f>
        <v>681953.77500000002</v>
      </c>
      <c r="Q66" s="4"/>
      <c r="R66" s="1">
        <f>SUM(OSRRefR21_1x_0)</f>
        <v>705630.51</v>
      </c>
    </row>
    <row r="67" spans="1:18" s="16" customFormat="1" hidden="1" outlineLevel="2" x14ac:dyDescent="0.35">
      <c r="B67" s="11" t="str">
        <f>CONCATENATE("          ", "6001", " - ", "ADMINISTRATIVE SALARIES")</f>
        <v xml:space="preserve">          6001 - ADMINISTRATIVE SALARIES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>
        <v>0</v>
      </c>
      <c r="Q67" s="3"/>
      <c r="R67" s="2">
        <v>0</v>
      </c>
    </row>
    <row r="68" spans="1:18" s="16" customFormat="1" hidden="1" outlineLevel="2" x14ac:dyDescent="0.35">
      <c r="B68" s="11" t="str">
        <f>CONCATENATE("          ", "6002", " - ", "STAFF SALARIES")</f>
        <v xml:space="preserve">          6002 - STAFF SALARIES</v>
      </c>
      <c r="D68" s="2">
        <v>86204.01</v>
      </c>
      <c r="F68" s="2">
        <v>84426.83</v>
      </c>
      <c r="G68" s="3"/>
      <c r="H68" s="2">
        <v>73839.56</v>
      </c>
      <c r="I68" s="3"/>
      <c r="J68" s="2">
        <v>83718.990000000005</v>
      </c>
      <c r="K68" s="3"/>
      <c r="L68" s="2">
        <v>99921.64</v>
      </c>
      <c r="M68" s="3"/>
      <c r="N68" s="2">
        <v>86209.58</v>
      </c>
      <c r="O68" s="3"/>
      <c r="P68" s="2">
        <v>157223.88</v>
      </c>
      <c r="Q68" s="3"/>
      <c r="R68" s="2">
        <v>164238.75</v>
      </c>
    </row>
    <row r="69" spans="1:18" s="16" customFormat="1" hidden="1" outlineLevel="2" x14ac:dyDescent="0.35">
      <c r="B69" s="11" t="str">
        <f>CONCATENATE("          ", "6003", " - ", "STAFF HOURLY-9 MONTH")</f>
        <v xml:space="preserve">          6003 - STAFF HOURLY-9 MONTH</v>
      </c>
      <c r="D69" s="2"/>
      <c r="F69" s="2"/>
      <c r="G69" s="3"/>
      <c r="H69" s="2"/>
      <c r="I69" s="3"/>
      <c r="J69" s="2"/>
      <c r="K69" s="3"/>
      <c r="L69" s="2"/>
      <c r="M69" s="3"/>
      <c r="N69" s="2"/>
      <c r="O69" s="3"/>
      <c r="P69" s="2">
        <v>0</v>
      </c>
      <c r="Q69" s="3"/>
      <c r="R69" s="2">
        <v>0</v>
      </c>
    </row>
    <row r="70" spans="1:18" s="16" customFormat="1" hidden="1" outlineLevel="2" x14ac:dyDescent="0.35">
      <c r="B70" s="11" t="str">
        <f>CONCATENATE("          ", "6004", " - ", "STAFF HOURLY")</f>
        <v xml:space="preserve">          6004 - STAFF HOURLY</v>
      </c>
      <c r="D70" s="2"/>
      <c r="F70" s="2"/>
      <c r="G70" s="3"/>
      <c r="H70" s="2"/>
      <c r="I70" s="3"/>
      <c r="J70" s="2"/>
      <c r="K70" s="3"/>
      <c r="L70" s="2"/>
      <c r="M70" s="3"/>
      <c r="N70" s="2">
        <v>20401.43</v>
      </c>
      <c r="O70" s="3"/>
      <c r="P70" s="2">
        <v>70421.714999999997</v>
      </c>
      <c r="Q70" s="3"/>
      <c r="R70" s="2">
        <v>170033.76</v>
      </c>
    </row>
    <row r="71" spans="1:18" s="16" customFormat="1" hidden="1" outlineLevel="2" x14ac:dyDescent="0.35">
      <c r="B71" s="11" t="str">
        <f>CONCATENATE("          ", "6005", " - ", "TEMPORARY WAGES-HOURLY")</f>
        <v xml:space="preserve">          6005 - TEMPORARY WAGES-HOURLY</v>
      </c>
      <c r="D71" s="2">
        <v>465.51</v>
      </c>
      <c r="F71" s="2">
        <v>6150.17</v>
      </c>
      <c r="G71" s="3"/>
      <c r="H71" s="2">
        <v>21264.29</v>
      </c>
      <c r="I71" s="3"/>
      <c r="J71" s="2">
        <v>22430.14</v>
      </c>
      <c r="K71" s="3"/>
      <c r="L71" s="2">
        <v>51137.04</v>
      </c>
      <c r="M71" s="3"/>
      <c r="N71" s="2">
        <v>30444.18</v>
      </c>
      <c r="O71" s="3"/>
      <c r="P71" s="2">
        <v>0</v>
      </c>
      <c r="Q71" s="3"/>
      <c r="R71" s="2">
        <v>0</v>
      </c>
    </row>
    <row r="72" spans="1:18" s="16" customFormat="1" hidden="1" outlineLevel="2" x14ac:dyDescent="0.35">
      <c r="B72" s="11" t="str">
        <f>CONCATENATE("          ", "6006", " - ", "TEMPORARY PART TIME")</f>
        <v xml:space="preserve">          6006 - TEMPORARY PART TIME</v>
      </c>
      <c r="D72" s="2">
        <v>3509.5</v>
      </c>
      <c r="F72" s="2">
        <v>6236.76</v>
      </c>
      <c r="G72" s="3"/>
      <c r="H72" s="2">
        <v>6304.62</v>
      </c>
      <c r="I72" s="3"/>
      <c r="J72" s="2">
        <v>16840.98</v>
      </c>
      <c r="K72" s="3"/>
      <c r="L72" s="2">
        <v>11032.62</v>
      </c>
      <c r="M72" s="3"/>
      <c r="N72" s="2">
        <v>911.29</v>
      </c>
      <c r="O72" s="3"/>
      <c r="P72" s="2">
        <v>0</v>
      </c>
      <c r="Q72" s="3"/>
      <c r="R72" s="2">
        <v>0</v>
      </c>
    </row>
    <row r="73" spans="1:18" s="16" customFormat="1" hidden="1" outlineLevel="2" x14ac:dyDescent="0.35">
      <c r="B73" s="11" t="str">
        <f>CONCATENATE("          ", "6007", " - ", "STUDENT HOURLY")</f>
        <v xml:space="preserve">          6007 - STUDENT HOURLY</v>
      </c>
      <c r="D73" s="2">
        <v>90289.66</v>
      </c>
      <c r="F73" s="2">
        <v>106288.46</v>
      </c>
      <c r="G73" s="3"/>
      <c r="H73" s="2">
        <v>116298.41</v>
      </c>
      <c r="I73" s="3"/>
      <c r="J73" s="2">
        <v>111778.4</v>
      </c>
      <c r="K73" s="3"/>
      <c r="L73" s="2">
        <v>109542.71</v>
      </c>
      <c r="M73" s="3"/>
      <c r="N73" s="2">
        <v>116293.43</v>
      </c>
      <c r="O73" s="3"/>
      <c r="P73" s="2">
        <v>100423.23</v>
      </c>
      <c r="Q73" s="3"/>
      <c r="R73" s="2">
        <v>279726</v>
      </c>
    </row>
    <row r="74" spans="1:18" s="16" customFormat="1" hidden="1" outlineLevel="2" x14ac:dyDescent="0.35">
      <c r="B74" s="11" t="str">
        <f>CONCATENATE("          ", "6008", " - ", "STUDENT HOURLY-FICA EXEMPT")</f>
        <v xml:space="preserve">          6008 - STUDENT HOURLY-FICA EXEMPT</v>
      </c>
      <c r="D74" s="2">
        <v>1125</v>
      </c>
      <c r="F74" s="2">
        <v>533.25</v>
      </c>
      <c r="G74" s="3"/>
      <c r="H74" s="2">
        <v>2611.91</v>
      </c>
      <c r="I74" s="3"/>
      <c r="J74" s="2">
        <v>5809.17</v>
      </c>
      <c r="K74" s="3"/>
      <c r="L74" s="2">
        <v>821.25</v>
      </c>
      <c r="M74" s="3"/>
      <c r="N74" s="2">
        <v>195</v>
      </c>
      <c r="O74" s="3"/>
      <c r="P74" s="2">
        <v>353884.95</v>
      </c>
      <c r="Q74" s="3"/>
      <c r="R74" s="2">
        <v>91632</v>
      </c>
    </row>
    <row r="75" spans="1:18" s="16" customFormat="1" hidden="1" outlineLevel="2" x14ac:dyDescent="0.35">
      <c r="B75" s="11" t="str">
        <f>CONCATENATE("          ", "6009", " - ", "TEMPORARY-SEASONAL")</f>
        <v xml:space="preserve">          6009 - TEMPORARY-SEASONAL</v>
      </c>
      <c r="D75" s="2">
        <v>230.63</v>
      </c>
      <c r="F75" s="2"/>
      <c r="G75" s="3"/>
      <c r="H75" s="2"/>
      <c r="I75" s="3"/>
      <c r="J75" s="2"/>
      <c r="K75" s="3"/>
      <c r="L75" s="2"/>
      <c r="M75" s="3"/>
      <c r="N75" s="2"/>
      <c r="O75" s="3"/>
      <c r="P75" s="2">
        <v>0</v>
      </c>
      <c r="Q75" s="3"/>
      <c r="R75" s="2">
        <v>0</v>
      </c>
    </row>
    <row r="76" spans="1:18" s="16" customFormat="1" hidden="1" outlineLevel="2" x14ac:dyDescent="0.35">
      <c r="B76" s="11" t="str">
        <f>CONCATENATE("          ", "6010", " - ", "GRATUITY")</f>
        <v xml:space="preserve">          6010 - GRATUITY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>
        <v>0</v>
      </c>
      <c r="Q76" s="3"/>
      <c r="R76" s="2">
        <v>0</v>
      </c>
    </row>
    <row r="77" spans="1:18" s="15" customFormat="1" outlineLevel="1" collapsed="1" x14ac:dyDescent="0.35">
      <c r="A77" s="7"/>
      <c r="B77" s="20" t="str">
        <f>CONCATENATE("     ","Advertising/Promo                                 ")</f>
        <v xml:space="preserve">     Advertising/Promo                                 </v>
      </c>
      <c r="C77" s="7"/>
      <c r="D77" s="1">
        <f>SUM(OSRRefD21_2x_0)</f>
        <v>5883.43</v>
      </c>
      <c r="E77" s="19"/>
      <c r="F77" s="1">
        <f>SUM(OSRRefF21_2x_0)</f>
        <v>4685.22</v>
      </c>
      <c r="G77" s="4"/>
      <c r="H77" s="1">
        <f>SUM(OSRRefH21_2x_0)</f>
        <v>10379.39</v>
      </c>
      <c r="I77" s="4"/>
      <c r="J77" s="1">
        <f>SUM(OSRRefJ21_2x_0)</f>
        <v>7123.43</v>
      </c>
      <c r="K77" s="4"/>
      <c r="L77" s="1">
        <f>SUM(OSRRefL21_2x_0)</f>
        <v>7789.2</v>
      </c>
      <c r="M77" s="4"/>
      <c r="N77" s="1">
        <f>SUM(OSRRefN21_2x_0)</f>
        <v>19215.2</v>
      </c>
      <c r="O77" s="4"/>
      <c r="P77" s="1">
        <f>SUM(OSRRefP21_2x_0)</f>
        <v>9960</v>
      </c>
      <c r="Q77" s="4"/>
      <c r="R77" s="1">
        <f>SUM(OSRRefR21_2x_0)</f>
        <v>2000</v>
      </c>
    </row>
    <row r="78" spans="1:18" s="16" customFormat="1" hidden="1" outlineLevel="2" x14ac:dyDescent="0.35">
      <c r="B78" s="11" t="str">
        <f>CONCATENATE("          ", "6362", " - ", "ADVERTISING EXPENSE")</f>
        <v xml:space="preserve">          6362 - ADVERTISING EXPENSE</v>
      </c>
      <c r="D78" s="2">
        <v>5883.43</v>
      </c>
      <c r="F78" s="2">
        <v>4685.22</v>
      </c>
      <c r="G78" s="3"/>
      <c r="H78" s="2">
        <v>10379.39</v>
      </c>
      <c r="I78" s="3"/>
      <c r="J78" s="2">
        <v>7123.43</v>
      </c>
      <c r="K78" s="3"/>
      <c r="L78" s="2">
        <v>7789.2</v>
      </c>
      <c r="M78" s="3"/>
      <c r="N78" s="2">
        <v>19215.2</v>
      </c>
      <c r="O78" s="3"/>
      <c r="P78" s="2">
        <v>9960</v>
      </c>
      <c r="Q78" s="3"/>
      <c r="R78" s="2">
        <v>2000</v>
      </c>
    </row>
    <row r="79" spans="1:18" s="15" customFormat="1" outlineLevel="1" collapsed="1" x14ac:dyDescent="0.35">
      <c r="A79" s="7"/>
      <c r="B79" s="20" t="str">
        <f>CONCATENATE("     ","Bad Debts/Over/Short                              ")</f>
        <v xml:space="preserve">     Bad Debts/Over/Short                              </v>
      </c>
      <c r="C79" s="7"/>
      <c r="D79" s="1">
        <f>SUM(OSRRefD21_3x_0)</f>
        <v>0</v>
      </c>
      <c r="E79" s="19"/>
      <c r="F79" s="1">
        <f>SUM(OSRRefF21_3x_0)</f>
        <v>0</v>
      </c>
      <c r="G79" s="4"/>
      <c r="H79" s="1">
        <f>SUM(OSRRefH21_3x_0)</f>
        <v>0</v>
      </c>
      <c r="I79" s="4"/>
      <c r="J79" s="1">
        <f>SUM(OSRRefJ21_3x_0)</f>
        <v>0</v>
      </c>
      <c r="K79" s="4"/>
      <c r="L79" s="1">
        <f>SUM(OSRRefL21_3x_0)</f>
        <v>0</v>
      </c>
      <c r="M79" s="4"/>
      <c r="N79" s="1">
        <f>SUM(OSRRefN21_3x_0)</f>
        <v>0</v>
      </c>
      <c r="O79" s="4"/>
      <c r="P79" s="1">
        <f>SUM(OSRRefP21_3x_0)</f>
        <v>0</v>
      </c>
      <c r="Q79" s="4"/>
      <c r="R79" s="1">
        <f>SUM(OSRRefR21_3x_0)</f>
        <v>0</v>
      </c>
    </row>
    <row r="80" spans="1:18" s="16" customFormat="1" hidden="1" outlineLevel="2" x14ac:dyDescent="0.35">
      <c r="B80" s="11" t="str">
        <f>CONCATENATE("          ", "6272", " - ", "CASH (OVER/SHORT)")</f>
        <v xml:space="preserve">          6272 - CASH (OVER/SHORT)</v>
      </c>
      <c r="D80" s="2"/>
      <c r="F80" s="2"/>
      <c r="G80" s="3"/>
      <c r="H80" s="2"/>
      <c r="I80" s="3"/>
      <c r="J80" s="2"/>
      <c r="K80" s="3"/>
      <c r="L80" s="2"/>
      <c r="M80" s="3"/>
      <c r="N80" s="2"/>
      <c r="O80" s="3"/>
      <c r="P80" s="2">
        <v>0</v>
      </c>
      <c r="Q80" s="3"/>
      <c r="R80" s="2">
        <v>0</v>
      </c>
    </row>
    <row r="81" spans="1:18" s="15" customFormat="1" outlineLevel="1" collapsed="1" x14ac:dyDescent="0.35">
      <c r="A81" s="7"/>
      <c r="B81" s="20" t="str">
        <f>CONCATENATE("     ","Bank/card Fees                                    ")</f>
        <v xml:space="preserve">     Bank/card Fees                                    </v>
      </c>
      <c r="C81" s="7"/>
      <c r="D81" s="1">
        <f>SUM(OSRRefD21_4x_0)</f>
        <v>0</v>
      </c>
      <c r="E81" s="19"/>
      <c r="F81" s="1">
        <f>SUM(OSRRefF21_4x_0)</f>
        <v>0</v>
      </c>
      <c r="G81" s="4"/>
      <c r="H81" s="1">
        <f>SUM(OSRRefH21_4x_0)</f>
        <v>0</v>
      </c>
      <c r="I81" s="4"/>
      <c r="J81" s="1">
        <f>SUM(OSRRefJ21_4x_0)</f>
        <v>0</v>
      </c>
      <c r="K81" s="4"/>
      <c r="L81" s="1">
        <f>SUM(OSRRefL21_4x_0)</f>
        <v>0</v>
      </c>
      <c r="M81" s="4"/>
      <c r="N81" s="1">
        <f>SUM(OSRRefN21_4x_0)</f>
        <v>0</v>
      </c>
      <c r="O81" s="4"/>
      <c r="P81" s="1">
        <f>SUM(OSRRefP21_4x_0)</f>
        <v>0</v>
      </c>
      <c r="Q81" s="4"/>
      <c r="R81" s="1">
        <f>SUM(OSRRefR21_4x_0)</f>
        <v>0</v>
      </c>
    </row>
    <row r="82" spans="1:18" s="16" customFormat="1" hidden="1" outlineLevel="2" x14ac:dyDescent="0.35">
      <c r="B82" s="11" t="str">
        <f>CONCATENATE("          ", "6381", " - ", "BANK/CREDIT CARD FEES")</f>
        <v xml:space="preserve">          6381 - BANK/CREDIT CARD FEES</v>
      </c>
      <c r="D82" s="2"/>
      <c r="F82" s="2"/>
      <c r="G82" s="3"/>
      <c r="H82" s="2"/>
      <c r="I82" s="3"/>
      <c r="J82" s="2"/>
      <c r="K82" s="3"/>
      <c r="L82" s="2"/>
      <c r="M82" s="3"/>
      <c r="N82" s="2"/>
      <c r="O82" s="3"/>
      <c r="P82" s="2">
        <v>0</v>
      </c>
      <c r="Q82" s="3"/>
      <c r="R82" s="2">
        <v>0</v>
      </c>
    </row>
    <row r="83" spans="1:18" s="15" customFormat="1" outlineLevel="1" collapsed="1" x14ac:dyDescent="0.35">
      <c r="A83" s="7"/>
      <c r="B83" s="20" t="str">
        <f>CONCATENATE("     ","Discounts and Markdowns                           ")</f>
        <v xml:space="preserve">     Discounts and Markdowns                           </v>
      </c>
      <c r="C83" s="7"/>
      <c r="D83" s="1">
        <f>SUM(OSRRefD21_5x_0)</f>
        <v>231166.23</v>
      </c>
      <c r="E83" s="19"/>
      <c r="F83" s="1">
        <f>SUM(OSRRefF21_5x_0)</f>
        <v>232018.87</v>
      </c>
      <c r="G83" s="4"/>
      <c r="H83" s="1">
        <f>SUM(OSRRefH21_5x_0)</f>
        <v>256250.2</v>
      </c>
      <c r="I83" s="4"/>
      <c r="J83" s="1">
        <f>SUM(OSRRefJ21_5x_0)</f>
        <v>186491.6</v>
      </c>
      <c r="K83" s="4"/>
      <c r="L83" s="1">
        <f>SUM(OSRRefL21_5x_0)</f>
        <v>240325.30000000002</v>
      </c>
      <c r="M83" s="4"/>
      <c r="N83" s="1">
        <f>SUM(OSRRefN21_5x_0)</f>
        <v>293529.58999999997</v>
      </c>
      <c r="O83" s="4"/>
      <c r="P83" s="1">
        <f>SUM(OSRRefP21_5x_0)</f>
        <v>263606</v>
      </c>
      <c r="Q83" s="4"/>
      <c r="R83" s="1">
        <f>SUM(OSRRefR21_5x_0)</f>
        <v>0</v>
      </c>
    </row>
    <row r="84" spans="1:18" s="16" customFormat="1" hidden="1" outlineLevel="2" x14ac:dyDescent="0.35">
      <c r="B84" s="11" t="str">
        <f>CONCATENATE("          ", "6382", " - ", "DISCOUNTS/MARK DOWNS")</f>
        <v xml:space="preserve">          6382 - DISCOUNTS/MARK DOWNS</v>
      </c>
      <c r="D84" s="2">
        <v>231166.23</v>
      </c>
      <c r="F84" s="2">
        <v>232018.87</v>
      </c>
      <c r="G84" s="3"/>
      <c r="H84" s="2">
        <v>256250.2</v>
      </c>
      <c r="I84" s="3"/>
      <c r="J84" s="2">
        <v>186505.97</v>
      </c>
      <c r="K84" s="3"/>
      <c r="L84" s="2">
        <v>240331.16</v>
      </c>
      <c r="M84" s="3"/>
      <c r="N84" s="2">
        <v>293548.98</v>
      </c>
      <c r="O84" s="3"/>
      <c r="P84" s="2">
        <v>263606</v>
      </c>
      <c r="Q84" s="3"/>
      <c r="R84" s="2"/>
    </row>
    <row r="85" spans="1:18" s="16" customFormat="1" hidden="1" outlineLevel="2" x14ac:dyDescent="0.35">
      <c r="B85" s="11" t="str">
        <f>CONCATENATE("          ", "9175", " - ", "EARNED DISCOUNTS")</f>
        <v xml:space="preserve">          9175 - EARNED DISCOUNTS</v>
      </c>
      <c r="D85" s="2"/>
      <c r="F85" s="2"/>
      <c r="G85" s="3"/>
      <c r="H85" s="2"/>
      <c r="I85" s="3"/>
      <c r="J85" s="2">
        <v>-14.37</v>
      </c>
      <c r="K85" s="3"/>
      <c r="L85" s="2">
        <v>-5.86</v>
      </c>
      <c r="M85" s="3"/>
      <c r="N85" s="2">
        <v>-19.39</v>
      </c>
      <c r="O85" s="3"/>
      <c r="P85" s="2"/>
      <c r="Q85" s="3"/>
      <c r="R85" s="2"/>
    </row>
    <row r="86" spans="1:18" s="15" customFormat="1" outlineLevel="1" collapsed="1" x14ac:dyDescent="0.35">
      <c r="A86" s="7"/>
      <c r="B86" s="20" t="str">
        <f>CONCATENATE("     ","Employees' Appreciation                           ")</f>
        <v xml:space="preserve">     Employees' Appreciation                           </v>
      </c>
      <c r="C86" s="7"/>
      <c r="D86" s="1">
        <f>SUM(OSRRefD21_6x_0)</f>
        <v>702.5</v>
      </c>
      <c r="E86" s="19"/>
      <c r="F86" s="1">
        <f>SUM(OSRRefF21_6x_0)</f>
        <v>755.99</v>
      </c>
      <c r="G86" s="4"/>
      <c r="H86" s="1">
        <f>SUM(OSRRefH21_6x_0)</f>
        <v>860.96</v>
      </c>
      <c r="I86" s="4"/>
      <c r="J86" s="1">
        <f>SUM(OSRRefJ21_6x_0)</f>
        <v>433.22</v>
      </c>
      <c r="K86" s="4"/>
      <c r="L86" s="1">
        <f>SUM(OSRRefL21_6x_0)</f>
        <v>746.67</v>
      </c>
      <c r="M86" s="4"/>
      <c r="N86" s="1">
        <f>SUM(OSRRefN21_6x_0)</f>
        <v>255.44</v>
      </c>
      <c r="O86" s="4"/>
      <c r="P86" s="1">
        <f>SUM(OSRRefP21_6x_0)</f>
        <v>1800</v>
      </c>
      <c r="Q86" s="4"/>
      <c r="R86" s="1">
        <f>SUM(OSRRefR21_6x_0)</f>
        <v>600</v>
      </c>
    </row>
    <row r="87" spans="1:18" s="16" customFormat="1" hidden="1" outlineLevel="2" x14ac:dyDescent="0.35">
      <c r="B87" s="11" t="str">
        <f>CONCATENATE("          ", "6277", " - ", "EMPLOYEE APPRECIATION")</f>
        <v xml:space="preserve">          6277 - EMPLOYEE APPRECIATION</v>
      </c>
      <c r="D87" s="2">
        <v>702.5</v>
      </c>
      <c r="F87" s="2">
        <v>755.99</v>
      </c>
      <c r="G87" s="3"/>
      <c r="H87" s="2">
        <v>860.96</v>
      </c>
      <c r="I87" s="3"/>
      <c r="J87" s="2">
        <v>433.22</v>
      </c>
      <c r="K87" s="3"/>
      <c r="L87" s="2">
        <v>746.67</v>
      </c>
      <c r="M87" s="3"/>
      <c r="N87" s="2">
        <v>255.44</v>
      </c>
      <c r="O87" s="3"/>
      <c r="P87" s="2">
        <v>1800</v>
      </c>
      <c r="Q87" s="3"/>
      <c r="R87" s="2">
        <v>600</v>
      </c>
    </row>
    <row r="88" spans="1:18" s="15" customFormat="1" outlineLevel="1" collapsed="1" x14ac:dyDescent="0.35">
      <c r="A88" s="7"/>
      <c r="B88" s="20" t="str">
        <f>CONCATENATE("     ","Freight out/Postage                               ")</f>
        <v xml:space="preserve">     Freight out/Postage                               </v>
      </c>
      <c r="C88" s="7"/>
      <c r="D88" s="1">
        <f>SUM(OSRRefD21_7x_0)</f>
        <v>17.72</v>
      </c>
      <c r="E88" s="19"/>
      <c r="F88" s="1">
        <f>SUM(OSRRefF21_7x_0)</f>
        <v>96.42</v>
      </c>
      <c r="G88" s="4"/>
      <c r="H88" s="1">
        <f>SUM(OSRRefH21_7x_0)</f>
        <v>167.31</v>
      </c>
      <c r="I88" s="4"/>
      <c r="J88" s="1">
        <f>SUM(OSRRefJ21_7x_0)</f>
        <v>229.18</v>
      </c>
      <c r="K88" s="4"/>
      <c r="L88" s="1">
        <f>SUM(OSRRefL21_7x_0)</f>
        <v>50.5</v>
      </c>
      <c r="M88" s="4"/>
      <c r="N88" s="1">
        <f>SUM(OSRRefN21_7x_0)</f>
        <v>163.83000000000001</v>
      </c>
      <c r="O88" s="4"/>
      <c r="P88" s="1">
        <f>SUM(OSRRefP21_7x_0)</f>
        <v>120</v>
      </c>
      <c r="Q88" s="4"/>
      <c r="R88" s="1">
        <f>SUM(OSRRefR21_7x_0)</f>
        <v>600</v>
      </c>
    </row>
    <row r="89" spans="1:18" s="16" customFormat="1" hidden="1" outlineLevel="2" x14ac:dyDescent="0.35">
      <c r="B89" s="11" t="str">
        <f>CONCATENATE("          ", "6305", " - ", "FREIGHT OUT")</f>
        <v xml:space="preserve">          6305 - FREIGHT OUT</v>
      </c>
      <c r="D89" s="2">
        <v>11.57</v>
      </c>
      <c r="F89" s="2">
        <v>42.36</v>
      </c>
      <c r="G89" s="3"/>
      <c r="H89" s="2">
        <v>151.84</v>
      </c>
      <c r="I89" s="3"/>
      <c r="J89" s="2">
        <v>134.5</v>
      </c>
      <c r="K89" s="3"/>
      <c r="L89" s="2">
        <v>50.5</v>
      </c>
      <c r="M89" s="3"/>
      <c r="N89" s="2">
        <v>163.33000000000001</v>
      </c>
      <c r="O89" s="3"/>
      <c r="P89" s="2"/>
      <c r="Q89" s="3"/>
      <c r="R89" s="2">
        <v>600</v>
      </c>
    </row>
    <row r="90" spans="1:18" s="16" customFormat="1" hidden="1" outlineLevel="2" x14ac:dyDescent="0.35">
      <c r="B90" s="11" t="str">
        <f>CONCATENATE("          ", "6307", " - ", "POSTAGE")</f>
        <v xml:space="preserve">          6307 - POSTAGE</v>
      </c>
      <c r="D90" s="2">
        <v>6.15</v>
      </c>
      <c r="F90" s="2">
        <v>54.06</v>
      </c>
      <c r="G90" s="3"/>
      <c r="H90" s="2">
        <v>15.47</v>
      </c>
      <c r="I90" s="3"/>
      <c r="J90" s="2">
        <v>94.68</v>
      </c>
      <c r="K90" s="3"/>
      <c r="L90" s="2"/>
      <c r="M90" s="3"/>
      <c r="N90" s="2">
        <v>0.5</v>
      </c>
      <c r="O90" s="3"/>
      <c r="P90" s="2">
        <v>120</v>
      </c>
      <c r="Q90" s="3"/>
      <c r="R90" s="2"/>
    </row>
    <row r="91" spans="1:18" s="15" customFormat="1" outlineLevel="1" collapsed="1" x14ac:dyDescent="0.35">
      <c r="A91" s="7"/>
      <c r="B91" s="20" t="str">
        <f>CONCATENATE("     ","General                                           ")</f>
        <v xml:space="preserve">     General                                           </v>
      </c>
      <c r="C91" s="7"/>
      <c r="D91" s="1">
        <f>SUM(OSRRefD21_8x_0)</f>
        <v>0</v>
      </c>
      <c r="E91" s="19"/>
      <c r="F91" s="1">
        <f>SUM(OSRRefF21_8x_0)</f>
        <v>0</v>
      </c>
      <c r="G91" s="4"/>
      <c r="H91" s="1">
        <f>SUM(OSRRefH21_8x_0)</f>
        <v>26.71</v>
      </c>
      <c r="I91" s="4"/>
      <c r="J91" s="1">
        <f>SUM(OSRRefJ21_8x_0)</f>
        <v>377.78</v>
      </c>
      <c r="K91" s="4"/>
      <c r="L91" s="1">
        <f>SUM(OSRRefL21_8x_0)</f>
        <v>33.06</v>
      </c>
      <c r="M91" s="4"/>
      <c r="N91" s="1">
        <f>SUM(OSRRefN21_8x_0)</f>
        <v>0</v>
      </c>
      <c r="O91" s="4"/>
      <c r="P91" s="1">
        <f>SUM(OSRRefP21_8x_0)</f>
        <v>1500</v>
      </c>
      <c r="Q91" s="4"/>
      <c r="R91" s="1">
        <f>SUM(OSRRefR21_8x_0)</f>
        <v>1000</v>
      </c>
    </row>
    <row r="92" spans="1:18" s="16" customFormat="1" hidden="1" outlineLevel="2" x14ac:dyDescent="0.35">
      <c r="B92" s="11" t="str">
        <f>CONCATENATE("          ", "6279", " - ", "GENERAL EXPENSE")</f>
        <v xml:space="preserve">          6279 - GENERAL EXPENSE</v>
      </c>
      <c r="D92" s="2"/>
      <c r="F92" s="2"/>
      <c r="G92" s="3"/>
      <c r="H92" s="2">
        <v>26.71</v>
      </c>
      <c r="I92" s="3"/>
      <c r="J92" s="2">
        <v>377.78</v>
      </c>
      <c r="K92" s="3"/>
      <c r="L92" s="2">
        <v>33.06</v>
      </c>
      <c r="M92" s="3"/>
      <c r="N92" s="2"/>
      <c r="O92" s="3"/>
      <c r="P92" s="2">
        <v>1500</v>
      </c>
      <c r="Q92" s="3"/>
      <c r="R92" s="2">
        <v>1000</v>
      </c>
    </row>
    <row r="93" spans="1:18" s="15" customFormat="1" outlineLevel="1" collapsed="1" x14ac:dyDescent="0.35">
      <c r="A93" s="7"/>
      <c r="B93" s="20" t="str">
        <f>CONCATENATE("     ","Inventory Adjustment                              ")</f>
        <v xml:space="preserve">     Inventory Adjustment                              </v>
      </c>
      <c r="C93" s="7"/>
      <c r="D93" s="1">
        <f>SUM(OSRRefD21_9x_0)</f>
        <v>6903</v>
      </c>
      <c r="E93" s="19"/>
      <c r="F93" s="1">
        <f>SUM(OSRRefF21_9x_0)</f>
        <v>13875</v>
      </c>
      <c r="G93" s="4"/>
      <c r="H93" s="1">
        <f>SUM(OSRRefH21_9x_0)</f>
        <v>29854</v>
      </c>
      <c r="I93" s="4"/>
      <c r="J93" s="1">
        <f>SUM(OSRRefJ21_9x_0)</f>
        <v>35789</v>
      </c>
      <c r="K93" s="4"/>
      <c r="L93" s="1">
        <f>SUM(OSRRefL21_9x_0)</f>
        <v>-56430</v>
      </c>
      <c r="M93" s="4"/>
      <c r="N93" s="1">
        <f>SUM(OSRRefN21_9x_0)</f>
        <v>76432</v>
      </c>
      <c r="O93" s="4"/>
      <c r="P93" s="1">
        <f>SUM(OSRRefP21_9x_0)</f>
        <v>12000</v>
      </c>
      <c r="Q93" s="4"/>
      <c r="R93" s="1">
        <f>SUM(OSRRefR21_9x_0)</f>
        <v>40200</v>
      </c>
    </row>
    <row r="94" spans="1:18" s="16" customFormat="1" hidden="1" outlineLevel="2" x14ac:dyDescent="0.35">
      <c r="B94" s="11" t="str">
        <f>CONCATENATE("          ", "6408", " - ", "INVENTORY ADJUSTMENT")</f>
        <v xml:space="preserve">          6408 - INVENTORY ADJUSTMENT</v>
      </c>
      <c r="D94" s="2">
        <v>0</v>
      </c>
      <c r="F94" s="2">
        <v>0</v>
      </c>
      <c r="G94" s="3"/>
      <c r="H94" s="2">
        <v>0</v>
      </c>
      <c r="I94" s="3"/>
      <c r="J94" s="2">
        <v>0</v>
      </c>
      <c r="K94" s="3"/>
      <c r="L94" s="2">
        <v>0</v>
      </c>
      <c r="M94" s="3"/>
      <c r="N94" s="2">
        <v>0</v>
      </c>
      <c r="O94" s="3"/>
      <c r="P94" s="2">
        <v>12000</v>
      </c>
      <c r="Q94" s="3"/>
      <c r="R94" s="2">
        <v>40200</v>
      </c>
    </row>
    <row r="95" spans="1:18" s="16" customFormat="1" hidden="1" outlineLevel="2" x14ac:dyDescent="0.35">
      <c r="B95" s="11" t="str">
        <f>CONCATENATE("          ", "7740", " - ", "INV. SHRINKAGE-LOGO CLOTHING")</f>
        <v xml:space="preserve">          7740 - INV. SHRINKAGE-LOGO CLOTHING</v>
      </c>
      <c r="D95" s="2">
        <v>5490</v>
      </c>
      <c r="F95" s="2">
        <v>14410</v>
      </c>
      <c r="G95" s="3"/>
      <c r="H95" s="2">
        <v>40498</v>
      </c>
      <c r="I95" s="3"/>
      <c r="J95" s="2">
        <v>35971</v>
      </c>
      <c r="K95" s="3"/>
      <c r="L95" s="2">
        <v>-27751</v>
      </c>
      <c r="M95" s="3"/>
      <c r="N95" s="2">
        <v>-12967</v>
      </c>
      <c r="O95" s="3"/>
      <c r="P95" s="2"/>
      <c r="Q95" s="3"/>
      <c r="R95" s="2"/>
    </row>
    <row r="96" spans="1:18" s="16" customFormat="1" hidden="1" outlineLevel="2" x14ac:dyDescent="0.35">
      <c r="B96" s="11" t="str">
        <f>CONCATENATE("          ", "7741", " - ", "INV. SHRINKAGE-LOGO GIFTS")</f>
        <v xml:space="preserve">          7741 - INV. SHRINKAGE-LOGO GIFTS</v>
      </c>
      <c r="D96" s="2">
        <v>66</v>
      </c>
      <c r="F96" s="2">
        <v>624</v>
      </c>
      <c r="G96" s="3"/>
      <c r="H96" s="2">
        <v>-12058</v>
      </c>
      <c r="I96" s="3"/>
      <c r="J96" s="2">
        <v>14311</v>
      </c>
      <c r="K96" s="3"/>
      <c r="L96" s="2">
        <v>-38317</v>
      </c>
      <c r="M96" s="3"/>
      <c r="N96" s="2">
        <v>33363</v>
      </c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"7742", " - ", "INV. SHRINKAGE-EVERYDAY GIFTS")</f>
        <v xml:space="preserve">          7742 - INV. SHRINKAGE-EVERYDAY GIFTS</v>
      </c>
      <c r="D97" s="2">
        <v>4716</v>
      </c>
      <c r="F97" s="2">
        <v>276</v>
      </c>
      <c r="G97" s="3"/>
      <c r="H97" s="2">
        <v>228</v>
      </c>
      <c r="I97" s="3"/>
      <c r="J97" s="2">
        <v>-242</v>
      </c>
      <c r="K97" s="3"/>
      <c r="L97" s="2">
        <v>11936</v>
      </c>
      <c r="M97" s="3"/>
      <c r="N97" s="2">
        <v>24230</v>
      </c>
      <c r="O97" s="3"/>
      <c r="P97" s="2"/>
      <c r="Q97" s="3"/>
      <c r="R97" s="2"/>
    </row>
    <row r="98" spans="1:18" s="16" customFormat="1" hidden="1" outlineLevel="2" x14ac:dyDescent="0.35">
      <c r="B98" s="11" t="str">
        <f>CONCATENATE("          ", "7743", " - ", "INV. SHRINKAGE-CARDS")</f>
        <v xml:space="preserve">          7743 - INV. SHRINKAGE-CARDS</v>
      </c>
      <c r="D98" s="2">
        <v>1909</v>
      </c>
      <c r="F98" s="2">
        <v>1355</v>
      </c>
      <c r="G98" s="3"/>
      <c r="H98" s="2">
        <v>-2191</v>
      </c>
      <c r="I98" s="3"/>
      <c r="J98" s="2">
        <v>254</v>
      </c>
      <c r="K98" s="3"/>
      <c r="L98" s="2">
        <v>-913</v>
      </c>
      <c r="M98" s="3"/>
      <c r="N98" s="2">
        <v>-11529</v>
      </c>
      <c r="O98" s="3"/>
      <c r="P98" s="2"/>
      <c r="Q98" s="3"/>
      <c r="R98" s="2"/>
    </row>
    <row r="99" spans="1:18" s="16" customFormat="1" hidden="1" outlineLevel="2" x14ac:dyDescent="0.35">
      <c r="B99" s="11" t="str">
        <f>CONCATENATE("          ", "7744", " - ", "INV. SHRINKAGE-ACCESSORIES")</f>
        <v xml:space="preserve">          7744 - INV. SHRINKAGE-ACCESSORIES</v>
      </c>
      <c r="D99" s="2">
        <v>-1016</v>
      </c>
      <c r="F99" s="2">
        <v>-6074</v>
      </c>
      <c r="G99" s="3"/>
      <c r="H99" s="2">
        <v>-1090</v>
      </c>
      <c r="I99" s="3"/>
      <c r="J99" s="2">
        <v>-1421</v>
      </c>
      <c r="K99" s="3"/>
      <c r="L99" s="2">
        <v>-1606</v>
      </c>
      <c r="M99" s="3"/>
      <c r="N99" s="2">
        <v>249</v>
      </c>
      <c r="O99" s="3"/>
      <c r="P99" s="2"/>
      <c r="Q99" s="3"/>
      <c r="R99" s="2"/>
    </row>
    <row r="100" spans="1:18" s="16" customFormat="1" hidden="1" outlineLevel="2" x14ac:dyDescent="0.35">
      <c r="B100" s="11" t="str">
        <f>CONCATENATE("          ", "7745", " - ", "INV. SHRINKAGE-SPECIAL ORDERS")</f>
        <v xml:space="preserve">          7745 - INV. SHRINKAGE-SPECIAL ORDERS</v>
      </c>
      <c r="D100" s="2">
        <v>-4262</v>
      </c>
      <c r="F100" s="2">
        <v>3284</v>
      </c>
      <c r="G100" s="3"/>
      <c r="H100" s="2">
        <v>4467</v>
      </c>
      <c r="I100" s="3"/>
      <c r="J100" s="2">
        <v>-13084</v>
      </c>
      <c r="K100" s="3"/>
      <c r="L100" s="2">
        <v>221</v>
      </c>
      <c r="M100" s="3"/>
      <c r="N100" s="2">
        <v>43086</v>
      </c>
      <c r="O100" s="3"/>
      <c r="P100" s="2"/>
      <c r="Q100" s="3"/>
      <c r="R100" s="2"/>
    </row>
    <row r="101" spans="1:18" s="15" customFormat="1" outlineLevel="1" collapsed="1" x14ac:dyDescent="0.35">
      <c r="A101" s="7"/>
      <c r="B101" s="20" t="str">
        <f>CONCATENATE("     ","Professional Services                             ")</f>
        <v xml:space="preserve">     Professional Services                             </v>
      </c>
      <c r="C101" s="7"/>
      <c r="D101" s="1">
        <f>SUM(OSRRefD21_10x_0)</f>
        <v>0</v>
      </c>
      <c r="E101" s="19"/>
      <c r="F101" s="1">
        <f>SUM(OSRRefF21_10x_0)</f>
        <v>0</v>
      </c>
      <c r="G101" s="4"/>
      <c r="H101" s="1">
        <f>SUM(OSRRefH21_10x_0)</f>
        <v>1915.49</v>
      </c>
      <c r="I101" s="4"/>
      <c r="J101" s="1">
        <f>SUM(OSRRefJ21_10x_0)</f>
        <v>216.52</v>
      </c>
      <c r="K101" s="4"/>
      <c r="L101" s="1">
        <f>SUM(OSRRefL21_10x_0)</f>
        <v>0</v>
      </c>
      <c r="M101" s="4"/>
      <c r="N101" s="1">
        <f>SUM(OSRRefN21_10x_0)</f>
        <v>2930</v>
      </c>
      <c r="O101" s="4"/>
      <c r="P101" s="1">
        <f>SUM(OSRRefP21_10x_0)</f>
        <v>5750</v>
      </c>
      <c r="Q101" s="4"/>
      <c r="R101" s="1">
        <f>SUM(OSRRefR21_10x_0)</f>
        <v>1000</v>
      </c>
    </row>
    <row r="102" spans="1:18" s="16" customFormat="1" hidden="1" outlineLevel="2" x14ac:dyDescent="0.35">
      <c r="B102" s="11" t="str">
        <f>CONCATENATE("          ", "6336", " - ", "PROFESSIONAL SERVICES")</f>
        <v xml:space="preserve">          6336 - PROFESSIONAL SERVICES</v>
      </c>
      <c r="D102" s="2"/>
      <c r="F102" s="2"/>
      <c r="G102" s="3"/>
      <c r="H102" s="2">
        <v>1915.49</v>
      </c>
      <c r="I102" s="3"/>
      <c r="J102" s="2">
        <v>216.52</v>
      </c>
      <c r="K102" s="3"/>
      <c r="L102" s="2"/>
      <c r="M102" s="3"/>
      <c r="N102" s="2">
        <v>2930</v>
      </c>
      <c r="O102" s="3"/>
      <c r="P102" s="2">
        <v>5750</v>
      </c>
      <c r="Q102" s="3"/>
      <c r="R102" s="2">
        <v>1000</v>
      </c>
    </row>
    <row r="103" spans="1:18" s="15" customFormat="1" outlineLevel="1" collapsed="1" x14ac:dyDescent="0.35">
      <c r="A103" s="7"/>
      <c r="B103" s="20" t="str">
        <f>CONCATENATE("     ","Repair and Maintenance                            ")</f>
        <v xml:space="preserve">     Repair and Maintenance                            </v>
      </c>
      <c r="C103" s="7"/>
      <c r="D103" s="1">
        <f>SUM(OSRRefD21_11x_0)</f>
        <v>141.02000000000001</v>
      </c>
      <c r="E103" s="19"/>
      <c r="F103" s="1">
        <f>SUM(OSRRefF21_11x_0)</f>
        <v>790.29</v>
      </c>
      <c r="G103" s="4"/>
      <c r="H103" s="1">
        <f>SUM(OSRRefH21_11x_0)</f>
        <v>-119.85</v>
      </c>
      <c r="I103" s="4"/>
      <c r="J103" s="1">
        <f>SUM(OSRRefJ21_11x_0)</f>
        <v>440.2</v>
      </c>
      <c r="K103" s="4"/>
      <c r="L103" s="1">
        <f>SUM(OSRRefL21_11x_0)</f>
        <v>208.67000000000002</v>
      </c>
      <c r="M103" s="4"/>
      <c r="N103" s="1">
        <f>SUM(OSRRefN21_11x_0)</f>
        <v>309.77999999999997</v>
      </c>
      <c r="O103" s="4"/>
      <c r="P103" s="1">
        <f>SUM(OSRRefP21_11x_0)</f>
        <v>1500</v>
      </c>
      <c r="Q103" s="4"/>
      <c r="R103" s="1">
        <f>SUM(OSRRefR21_11x_0)</f>
        <v>0</v>
      </c>
    </row>
    <row r="104" spans="1:18" s="16" customFormat="1" hidden="1" outlineLevel="2" x14ac:dyDescent="0.35">
      <c r="B104" s="11" t="str">
        <f>CONCATENATE("          ", "6371", " - ", "COMPUTER SOFTWARE MAINTENANCE")</f>
        <v xml:space="preserve">          6371 - COMPUTER SOFTWARE MAINTENANCE</v>
      </c>
      <c r="D104" s="2"/>
      <c r="F104" s="2"/>
      <c r="G104" s="3"/>
      <c r="H104" s="2"/>
      <c r="I104" s="3"/>
      <c r="J104" s="2">
        <v>420.75</v>
      </c>
      <c r="K104" s="3"/>
      <c r="L104" s="2">
        <v>186.58</v>
      </c>
      <c r="M104" s="3"/>
      <c r="N104" s="2"/>
      <c r="O104" s="3"/>
      <c r="P104" s="2"/>
      <c r="Q104" s="3"/>
      <c r="R104" s="2"/>
    </row>
    <row r="105" spans="1:18" s="16" customFormat="1" hidden="1" outlineLevel="2" x14ac:dyDescent="0.35">
      <c r="B105" s="11" t="str">
        <f>CONCATENATE("          ", "6373", " - ", "MAINTENANCE CONTRACTS")</f>
        <v xml:space="preserve">          6373 - MAINTENANCE CONTRACTS</v>
      </c>
      <c r="D105" s="2"/>
      <c r="F105" s="2">
        <v>501.3</v>
      </c>
      <c r="G105" s="3"/>
      <c r="H105" s="2">
        <v>-202.5</v>
      </c>
      <c r="I105" s="3"/>
      <c r="J105" s="2">
        <v>19.45</v>
      </c>
      <c r="K105" s="3"/>
      <c r="L105" s="2"/>
      <c r="M105" s="3"/>
      <c r="N105" s="2">
        <v>309.77999999999997</v>
      </c>
      <c r="O105" s="3"/>
      <c r="P105" s="2"/>
      <c r="Q105" s="3"/>
      <c r="R105" s="2"/>
    </row>
    <row r="106" spans="1:18" s="16" customFormat="1" hidden="1" outlineLevel="2" x14ac:dyDescent="0.35">
      <c r="B106" s="11" t="str">
        <f>CONCATENATE("          ", "6375", " - ", "OUTSIDE REPAIRS &amp; MAINTENANCE")</f>
        <v xml:space="preserve">          6375 - OUTSIDE REPAIRS &amp; MAINTENANCE</v>
      </c>
      <c r="D106" s="2">
        <v>141.02000000000001</v>
      </c>
      <c r="F106" s="2">
        <v>288.99</v>
      </c>
      <c r="G106" s="3"/>
      <c r="H106" s="2">
        <v>82.65</v>
      </c>
      <c r="I106" s="3"/>
      <c r="J106" s="2"/>
      <c r="K106" s="3"/>
      <c r="L106" s="2">
        <v>22.09</v>
      </c>
      <c r="M106" s="3"/>
      <c r="N106" s="2"/>
      <c r="O106" s="3"/>
      <c r="P106" s="2">
        <v>1500</v>
      </c>
      <c r="Q106" s="3"/>
      <c r="R106" s="2">
        <v>0</v>
      </c>
    </row>
    <row r="107" spans="1:18" s="15" customFormat="1" outlineLevel="1" collapsed="1" x14ac:dyDescent="0.35">
      <c r="A107" s="7"/>
      <c r="B107" s="20" t="str">
        <f>CONCATENATE("     ","Royalty &amp; Commissions                             ")</f>
        <v xml:space="preserve">     Royalty &amp; Commissions                             </v>
      </c>
      <c r="C107" s="7"/>
      <c r="D107" s="1">
        <f>SUM(OSRRefD21_12x_0)</f>
        <v>49233.36</v>
      </c>
      <c r="E107" s="19"/>
      <c r="F107" s="1">
        <f>SUM(OSRRefF21_12x_0)</f>
        <v>59831.509999999995</v>
      </c>
      <c r="G107" s="4"/>
      <c r="H107" s="1">
        <f>SUM(OSRRefH21_12x_0)</f>
        <v>61241.539999999994</v>
      </c>
      <c r="I107" s="4"/>
      <c r="J107" s="1">
        <f>SUM(OSRRefJ21_12x_0)</f>
        <v>51390.7</v>
      </c>
      <c r="K107" s="4"/>
      <c r="L107" s="1">
        <f>SUM(OSRRefL21_12x_0)</f>
        <v>57814.42</v>
      </c>
      <c r="M107" s="4"/>
      <c r="N107" s="1">
        <f>SUM(OSRRefN21_12x_0)</f>
        <v>40841.660000000003</v>
      </c>
      <c r="O107" s="4"/>
      <c r="P107" s="1">
        <f>SUM(OSRRefP21_12x_0)</f>
        <v>75252</v>
      </c>
      <c r="Q107" s="4"/>
      <c r="R107" s="1">
        <f>SUM(OSRRefR21_12x_0)</f>
        <v>62010</v>
      </c>
    </row>
    <row r="108" spans="1:18" s="16" customFormat="1" hidden="1" outlineLevel="2" x14ac:dyDescent="0.35">
      <c r="B108" s="11" t="str">
        <f>CONCATENATE("          ", "6252", " - ", "ROYALTY DUE CSTV")</f>
        <v xml:space="preserve">          6252 - ROYALTY DUE CSTV</v>
      </c>
      <c r="D108" s="2">
        <v>13851.28</v>
      </c>
      <c r="F108" s="2">
        <v>13563.83</v>
      </c>
      <c r="G108" s="3"/>
      <c r="H108" s="2">
        <v>9575.91</v>
      </c>
      <c r="I108" s="3"/>
      <c r="J108" s="2">
        <v>8647.8700000000008</v>
      </c>
      <c r="K108" s="3"/>
      <c r="L108" s="2"/>
      <c r="M108" s="3"/>
      <c r="N108" s="2"/>
      <c r="O108" s="3"/>
      <c r="P108" s="2">
        <v>13020</v>
      </c>
      <c r="Q108" s="3"/>
      <c r="R108" s="2">
        <v>19008</v>
      </c>
    </row>
    <row r="109" spans="1:18" s="16" customFormat="1" hidden="1" outlineLevel="2" x14ac:dyDescent="0.35">
      <c r="B109" s="11" t="str">
        <f>CONCATENATE("          ", "6253", " - ", "ROYALTY DUE ATHLETICS-LRG")</f>
        <v xml:space="preserve">          6253 - ROYALTY DUE ATHLETICS-LRG</v>
      </c>
      <c r="D109" s="2">
        <v>22772.2</v>
      </c>
      <c r="F109" s="2">
        <v>30884.55</v>
      </c>
      <c r="G109" s="3"/>
      <c r="H109" s="2">
        <v>27720.32</v>
      </c>
      <c r="I109" s="3"/>
      <c r="J109" s="2">
        <v>24884.23</v>
      </c>
      <c r="K109" s="3"/>
      <c r="L109" s="2">
        <v>41365.99</v>
      </c>
      <c r="M109" s="3"/>
      <c r="N109" s="2">
        <v>32870.44</v>
      </c>
      <c r="O109" s="3"/>
      <c r="P109" s="2">
        <v>48444</v>
      </c>
      <c r="Q109" s="3"/>
      <c r="R109" s="2">
        <v>38502</v>
      </c>
    </row>
    <row r="110" spans="1:18" s="16" customFormat="1" hidden="1" outlineLevel="2" x14ac:dyDescent="0.35">
      <c r="B110" s="11" t="str">
        <f>CONCATENATE("          ", "6254", " - ", "ROYALTY &amp; COMMISSIONS")</f>
        <v xml:space="preserve">          6254 - ROYALTY &amp; COMMISSIONS</v>
      </c>
      <c r="D110" s="2">
        <v>12609.88</v>
      </c>
      <c r="F110" s="2">
        <v>15383.13</v>
      </c>
      <c r="G110" s="3"/>
      <c r="H110" s="2">
        <v>23945.31</v>
      </c>
      <c r="I110" s="3"/>
      <c r="J110" s="2">
        <v>17858.599999999999</v>
      </c>
      <c r="K110" s="3"/>
      <c r="L110" s="2">
        <v>16448.43</v>
      </c>
      <c r="M110" s="3"/>
      <c r="N110" s="2">
        <v>7971.22</v>
      </c>
      <c r="O110" s="3"/>
      <c r="P110" s="2">
        <v>13788</v>
      </c>
      <c r="Q110" s="3"/>
      <c r="R110" s="2">
        <v>4500</v>
      </c>
    </row>
    <row r="111" spans="1:18" s="15" customFormat="1" outlineLevel="1" collapsed="1" x14ac:dyDescent="0.35">
      <c r="A111" s="7"/>
      <c r="B111" s="20" t="str">
        <f>CONCATENATE("     ","Subscriptions &amp; Dues                              ")</f>
        <v xml:space="preserve">     Subscriptions &amp; Dues                              </v>
      </c>
      <c r="C111" s="7"/>
      <c r="D111" s="1">
        <f>SUM(OSRRefD21_13x_0)</f>
        <v>475.02</v>
      </c>
      <c r="E111" s="19"/>
      <c r="F111" s="1">
        <f>SUM(OSRRefF21_13x_0)</f>
        <v>0</v>
      </c>
      <c r="G111" s="4"/>
      <c r="H111" s="1">
        <f>SUM(OSRRefH21_13x_0)</f>
        <v>1959.2600000000002</v>
      </c>
      <c r="I111" s="4"/>
      <c r="J111" s="1">
        <f>SUM(OSRRefJ21_13x_0)</f>
        <v>2136.59</v>
      </c>
      <c r="K111" s="4"/>
      <c r="L111" s="1">
        <f>SUM(OSRRefL21_13x_0)</f>
        <v>710.02</v>
      </c>
      <c r="M111" s="4"/>
      <c r="N111" s="1">
        <f>SUM(OSRRefN21_13x_0)</f>
        <v>499.54999999999995</v>
      </c>
      <c r="O111" s="4"/>
      <c r="P111" s="1">
        <f>SUM(OSRRefP21_13x_0)</f>
        <v>1000</v>
      </c>
      <c r="Q111" s="4"/>
      <c r="R111" s="1">
        <f>SUM(OSRRefR21_13x_0)</f>
        <v>1600</v>
      </c>
    </row>
    <row r="112" spans="1:18" s="16" customFormat="1" hidden="1" outlineLevel="2" x14ac:dyDescent="0.35">
      <c r="B112" s="11" t="str">
        <f>CONCATENATE("          ", "6258", " - ", "MEMBERSHIP DUES")</f>
        <v xml:space="preserve">          6258 - MEMBERSHIP DUES</v>
      </c>
      <c r="D112" s="2"/>
      <c r="F112" s="2"/>
      <c r="G112" s="3"/>
      <c r="H112" s="2">
        <v>1431.68</v>
      </c>
      <c r="I112" s="3"/>
      <c r="J112" s="2">
        <v>1582.73</v>
      </c>
      <c r="K112" s="3"/>
      <c r="L112" s="2">
        <v>129.88</v>
      </c>
      <c r="M112" s="3"/>
      <c r="N112" s="2">
        <v>202.91</v>
      </c>
      <c r="O112" s="3"/>
      <c r="P112" s="2">
        <v>1000</v>
      </c>
      <c r="Q112" s="3"/>
      <c r="R112" s="2">
        <v>1000</v>
      </c>
    </row>
    <row r="113" spans="1:18" s="16" customFormat="1" hidden="1" outlineLevel="2" x14ac:dyDescent="0.35">
      <c r="B113" s="11" t="str">
        <f>CONCATENATE("          ", "6275", " - ", "SUBSCRIPTIONS")</f>
        <v xml:space="preserve">          6275 - SUBSCRIPTIONS</v>
      </c>
      <c r="D113" s="2">
        <v>475.02</v>
      </c>
      <c r="F113" s="2"/>
      <c r="G113" s="3"/>
      <c r="H113" s="2">
        <v>527.58000000000004</v>
      </c>
      <c r="I113" s="3"/>
      <c r="J113" s="2">
        <v>553.86</v>
      </c>
      <c r="K113" s="3"/>
      <c r="L113" s="2">
        <v>580.14</v>
      </c>
      <c r="M113" s="3"/>
      <c r="N113" s="2">
        <v>296.64</v>
      </c>
      <c r="O113" s="3"/>
      <c r="P113" s="2">
        <v>0</v>
      </c>
      <c r="Q113" s="3"/>
      <c r="R113" s="2">
        <v>600</v>
      </c>
    </row>
    <row r="114" spans="1:18" s="15" customFormat="1" outlineLevel="1" collapsed="1" x14ac:dyDescent="0.35">
      <c r="A114" s="7"/>
      <c r="B114" s="20" t="str">
        <f>CONCATENATE("     ","Supplies                                          ")</f>
        <v xml:space="preserve">     Supplies                                          </v>
      </c>
      <c r="C114" s="7"/>
      <c r="D114" s="1">
        <f>SUM(OSRRefD21_14x_0)</f>
        <v>3714.0399999999995</v>
      </c>
      <c r="E114" s="19"/>
      <c r="F114" s="1">
        <f>SUM(OSRRefF21_14x_0)</f>
        <v>3654.63</v>
      </c>
      <c r="G114" s="4"/>
      <c r="H114" s="1">
        <f>SUM(OSRRefH21_14x_0)</f>
        <v>10023.380000000001</v>
      </c>
      <c r="I114" s="4"/>
      <c r="J114" s="1">
        <f>SUM(OSRRefJ21_14x_0)</f>
        <v>13944.07</v>
      </c>
      <c r="K114" s="4"/>
      <c r="L114" s="1">
        <f>SUM(OSRRefL21_14x_0)</f>
        <v>3875.0599999999995</v>
      </c>
      <c r="M114" s="4"/>
      <c r="N114" s="1">
        <f>SUM(OSRRefN21_14x_0)</f>
        <v>3783.6099999999997</v>
      </c>
      <c r="O114" s="4"/>
      <c r="P114" s="1">
        <f>SUM(OSRRefP21_14x_0)</f>
        <v>5400</v>
      </c>
      <c r="Q114" s="4"/>
      <c r="R114" s="1">
        <f>SUM(OSRRefR21_14x_0)</f>
        <v>900</v>
      </c>
    </row>
    <row r="115" spans="1:18" s="16" customFormat="1" hidden="1" outlineLevel="2" x14ac:dyDescent="0.35">
      <c r="B115" s="11" t="str">
        <f>CONCATENATE("          ", "6234", " - ", "EXPENDABLE SUPPLIES &amp; EQUIPMEN")</f>
        <v xml:space="preserve">          6234 - EXPENDABLE SUPPLIES &amp; EQUIPMEN</v>
      </c>
      <c r="D115" s="2">
        <v>1603.56</v>
      </c>
      <c r="F115" s="2">
        <v>1067.08</v>
      </c>
      <c r="G115" s="3"/>
      <c r="H115" s="2">
        <v>2323.65</v>
      </c>
      <c r="I115" s="3"/>
      <c r="J115" s="2">
        <v>3881.67</v>
      </c>
      <c r="K115" s="3"/>
      <c r="L115" s="2">
        <v>326.72000000000003</v>
      </c>
      <c r="M115" s="3"/>
      <c r="N115" s="2">
        <v>672.38</v>
      </c>
      <c r="O115" s="3"/>
      <c r="P115" s="2">
        <v>600</v>
      </c>
      <c r="Q115" s="3"/>
      <c r="R115" s="2"/>
    </row>
    <row r="116" spans="1:18" s="16" customFormat="1" hidden="1" outlineLevel="2" x14ac:dyDescent="0.35">
      <c r="B116" s="11" t="str">
        <f>CONCATENATE("          ", "6235", " - ", "COVID-19 EXPENSES")</f>
        <v xml:space="preserve">          6235 - COVID-19 EXPENSES</v>
      </c>
      <c r="D116" s="2"/>
      <c r="F116" s="2"/>
      <c r="G116" s="3"/>
      <c r="H116" s="2"/>
      <c r="I116" s="3"/>
      <c r="J116" s="2"/>
      <c r="K116" s="3"/>
      <c r="L116" s="2"/>
      <c r="M116" s="3"/>
      <c r="N116" s="2"/>
      <c r="O116" s="3"/>
      <c r="P116" s="2">
        <v>1200</v>
      </c>
      <c r="Q116" s="3"/>
      <c r="R116" s="2">
        <v>0</v>
      </c>
    </row>
    <row r="117" spans="1:18" s="16" customFormat="1" hidden="1" outlineLevel="2" x14ac:dyDescent="0.35">
      <c r="B117" s="11" t="str">
        <f>CONCATENATE("          ", "6237", " - ", "JANITORIAL SUPPLIES")</f>
        <v xml:space="preserve">          6237 - JANITORIAL SUPPLIES</v>
      </c>
      <c r="D117" s="2"/>
      <c r="F117" s="2"/>
      <c r="G117" s="3"/>
      <c r="H117" s="2"/>
      <c r="I117" s="3"/>
      <c r="J117" s="2"/>
      <c r="K117" s="3"/>
      <c r="L117" s="2"/>
      <c r="M117" s="3"/>
      <c r="N117" s="2"/>
      <c r="O117" s="3"/>
      <c r="P117" s="2">
        <v>600</v>
      </c>
      <c r="Q117" s="3"/>
      <c r="R117" s="2"/>
    </row>
    <row r="118" spans="1:18" s="16" customFormat="1" hidden="1" outlineLevel="2" x14ac:dyDescent="0.35">
      <c r="B118" s="11" t="str">
        <f>CONCATENATE("          ", "6241", " - ", "OFFICE EXPENSE")</f>
        <v xml:space="preserve">          6241 - OFFICE EXPENSE</v>
      </c>
      <c r="D118" s="2">
        <v>970.73</v>
      </c>
      <c r="F118" s="2">
        <v>722.08</v>
      </c>
      <c r="G118" s="3"/>
      <c r="H118" s="2">
        <v>3959.28</v>
      </c>
      <c r="I118" s="3"/>
      <c r="J118" s="2">
        <v>1697.37</v>
      </c>
      <c r="K118" s="3"/>
      <c r="L118" s="2">
        <v>1219.83</v>
      </c>
      <c r="M118" s="3"/>
      <c r="N118" s="2">
        <v>2718.41</v>
      </c>
      <c r="O118" s="3"/>
      <c r="P118" s="2">
        <v>1200</v>
      </c>
      <c r="Q118" s="3"/>
      <c r="R118" s="2">
        <v>300</v>
      </c>
    </row>
    <row r="119" spans="1:18" s="16" customFormat="1" hidden="1" outlineLevel="2" x14ac:dyDescent="0.35">
      <c r="B119" s="11" t="str">
        <f>CONCATENATE("          ", "6243", " - ", "PAPER SUPPLIES")</f>
        <v xml:space="preserve">          6243 - PAPER SUPPLIES</v>
      </c>
      <c r="D119" s="2"/>
      <c r="F119" s="2"/>
      <c r="G119" s="3"/>
      <c r="H119" s="2"/>
      <c r="I119" s="3"/>
      <c r="J119" s="2"/>
      <c r="K119" s="3"/>
      <c r="L119" s="2"/>
      <c r="M119" s="3"/>
      <c r="N119" s="2"/>
      <c r="O119" s="3"/>
      <c r="P119" s="2">
        <v>600</v>
      </c>
      <c r="Q119" s="3"/>
      <c r="R119" s="2"/>
    </row>
    <row r="120" spans="1:18" s="16" customFormat="1" hidden="1" outlineLevel="2" x14ac:dyDescent="0.35">
      <c r="B120" s="11" t="str">
        <f>CONCATENATE("          ", "6245", " - ", "PRINTING")</f>
        <v xml:space="preserve">          6245 - PRINTING</v>
      </c>
      <c r="D120" s="2">
        <v>28.18</v>
      </c>
      <c r="F120" s="2">
        <v>137.53</v>
      </c>
      <c r="G120" s="3"/>
      <c r="H120" s="2">
        <v>104.58</v>
      </c>
      <c r="I120" s="3"/>
      <c r="J120" s="2">
        <v>334.01</v>
      </c>
      <c r="K120" s="3"/>
      <c r="L120" s="2">
        <v>220.5</v>
      </c>
      <c r="M120" s="3"/>
      <c r="N120" s="2">
        <v>-370.22</v>
      </c>
      <c r="O120" s="3"/>
      <c r="P120" s="2">
        <v>600</v>
      </c>
      <c r="Q120" s="3"/>
      <c r="R120" s="2"/>
    </row>
    <row r="121" spans="1:18" s="16" customFormat="1" hidden="1" outlineLevel="2" x14ac:dyDescent="0.35">
      <c r="B121" s="11" t="str">
        <f>CONCATENATE("          ", "6247", " - ", "STORE SUPPLIES")</f>
        <v xml:space="preserve">          6247 - STORE SUPPLIES</v>
      </c>
      <c r="D121" s="2">
        <v>1009.72</v>
      </c>
      <c r="F121" s="2">
        <v>1654.44</v>
      </c>
      <c r="G121" s="3"/>
      <c r="H121" s="2">
        <v>3635.87</v>
      </c>
      <c r="I121" s="3"/>
      <c r="J121" s="2">
        <v>8031.02</v>
      </c>
      <c r="K121" s="3"/>
      <c r="L121" s="2">
        <v>1532.73</v>
      </c>
      <c r="M121" s="3"/>
      <c r="N121" s="2">
        <v>763.04</v>
      </c>
      <c r="O121" s="3"/>
      <c r="P121" s="2">
        <v>600</v>
      </c>
      <c r="Q121" s="3"/>
      <c r="R121" s="2">
        <v>600</v>
      </c>
    </row>
    <row r="122" spans="1:18" s="16" customFormat="1" hidden="1" outlineLevel="2" x14ac:dyDescent="0.35">
      <c r="B122" s="11" t="str">
        <f>CONCATENATE("          ", "6248", " - ", "UNIFORMS")</f>
        <v xml:space="preserve">          6248 - UNIFORMS</v>
      </c>
      <c r="D122" s="2">
        <v>101.85</v>
      </c>
      <c r="F122" s="2">
        <v>73.5</v>
      </c>
      <c r="G122" s="3"/>
      <c r="H122" s="2"/>
      <c r="I122" s="3"/>
      <c r="J122" s="2"/>
      <c r="K122" s="3"/>
      <c r="L122" s="2">
        <v>575.28</v>
      </c>
      <c r="M122" s="3"/>
      <c r="N122" s="2"/>
      <c r="O122" s="3"/>
      <c r="P122" s="2"/>
      <c r="Q122" s="3"/>
      <c r="R122" s="2"/>
    </row>
    <row r="123" spans="1:18" s="15" customFormat="1" outlineLevel="1" collapsed="1" x14ac:dyDescent="0.35">
      <c r="A123" s="7"/>
      <c r="B123" s="20" t="str">
        <f>CONCATENATE("     ","Telephone/Data Lines                              ")</f>
        <v xml:space="preserve">     Telephone/Data Lines                              </v>
      </c>
      <c r="C123" s="7"/>
      <c r="D123" s="1">
        <f>SUM(OSRRefD21_15x_0)</f>
        <v>3077.97</v>
      </c>
      <c r="E123" s="19"/>
      <c r="F123" s="1">
        <f>SUM(OSRRefF21_15x_0)</f>
        <v>1689.86</v>
      </c>
      <c r="G123" s="4"/>
      <c r="H123" s="1">
        <f>SUM(OSRRefH21_15x_0)</f>
        <v>2790.04</v>
      </c>
      <c r="I123" s="4"/>
      <c r="J123" s="1">
        <f>SUM(OSRRefJ21_15x_0)</f>
        <v>6607.32</v>
      </c>
      <c r="K123" s="4"/>
      <c r="L123" s="1">
        <f>SUM(OSRRefL21_15x_0)</f>
        <v>6112.26</v>
      </c>
      <c r="M123" s="4"/>
      <c r="N123" s="1">
        <f>SUM(OSRRefN21_15x_0)</f>
        <v>5898.29</v>
      </c>
      <c r="O123" s="4"/>
      <c r="P123" s="1">
        <f>SUM(OSRRefP21_15x_0)</f>
        <v>7200</v>
      </c>
      <c r="Q123" s="4"/>
      <c r="R123" s="1">
        <f>SUM(OSRRefR21_15x_0)</f>
        <v>3600</v>
      </c>
    </row>
    <row r="124" spans="1:18" s="16" customFormat="1" hidden="1" outlineLevel="2" x14ac:dyDescent="0.35">
      <c r="B124" s="11" t="str">
        <f>CONCATENATE("          ", "6309", " - ", "TELEPHONE")</f>
        <v xml:space="preserve">          6309 - TELEPHONE</v>
      </c>
      <c r="D124" s="2">
        <v>3077.97</v>
      </c>
      <c r="F124" s="2">
        <v>1689.86</v>
      </c>
      <c r="G124" s="3"/>
      <c r="H124" s="2">
        <v>2790.04</v>
      </c>
      <c r="I124" s="3"/>
      <c r="J124" s="2">
        <v>6607.32</v>
      </c>
      <c r="K124" s="3"/>
      <c r="L124" s="2">
        <v>6112.26</v>
      </c>
      <c r="M124" s="3"/>
      <c r="N124" s="2">
        <v>5898.29</v>
      </c>
      <c r="O124" s="3"/>
      <c r="P124" s="2">
        <v>7200</v>
      </c>
      <c r="Q124" s="3"/>
      <c r="R124" s="2">
        <v>3600</v>
      </c>
    </row>
    <row r="125" spans="1:18" s="15" customFormat="1" outlineLevel="1" collapsed="1" x14ac:dyDescent="0.35">
      <c r="A125" s="7"/>
      <c r="B125" s="20" t="str">
        <f>CONCATENATE("     ","Training                                          ")</f>
        <v xml:space="preserve">     Training                                          </v>
      </c>
      <c r="C125" s="7"/>
      <c r="D125" s="1">
        <f>SUM(OSRRefD21_16x_0)</f>
        <v>4095.2</v>
      </c>
      <c r="E125" s="19"/>
      <c r="F125" s="1">
        <f>SUM(OSRRefF21_16x_0)</f>
        <v>7810.95</v>
      </c>
      <c r="G125" s="4"/>
      <c r="H125" s="1">
        <f>SUM(OSRRefH21_16x_0)</f>
        <v>8372.65</v>
      </c>
      <c r="I125" s="4"/>
      <c r="J125" s="1">
        <f>SUM(OSRRefJ21_16x_0)</f>
        <v>6022.57</v>
      </c>
      <c r="K125" s="4"/>
      <c r="L125" s="1">
        <f>SUM(OSRRefL21_16x_0)</f>
        <v>3454.53</v>
      </c>
      <c r="M125" s="4"/>
      <c r="N125" s="1">
        <f>SUM(OSRRefN21_16x_0)</f>
        <v>3651.14</v>
      </c>
      <c r="O125" s="4"/>
      <c r="P125" s="1">
        <f>SUM(OSRRefP21_16x_0)</f>
        <v>3600</v>
      </c>
      <c r="Q125" s="4"/>
      <c r="R125" s="1">
        <f>SUM(OSRRefR21_16x_0)</f>
        <v>0</v>
      </c>
    </row>
    <row r="126" spans="1:18" s="16" customFormat="1" hidden="1" outlineLevel="2" x14ac:dyDescent="0.35">
      <c r="B126" s="11" t="str">
        <f>CONCATENATE("          ", "6376", " - ", "TRAINING")</f>
        <v xml:space="preserve">          6376 - TRAINING</v>
      </c>
      <c r="D126" s="2">
        <v>4095.2</v>
      </c>
      <c r="F126" s="2">
        <v>7810.95</v>
      </c>
      <c r="G126" s="3"/>
      <c r="H126" s="2">
        <v>8372.65</v>
      </c>
      <c r="I126" s="3"/>
      <c r="J126" s="2">
        <v>6022.57</v>
      </c>
      <c r="K126" s="3"/>
      <c r="L126" s="2">
        <v>3454.53</v>
      </c>
      <c r="M126" s="3"/>
      <c r="N126" s="2">
        <v>3651.14</v>
      </c>
      <c r="O126" s="3"/>
      <c r="P126" s="2">
        <v>3600</v>
      </c>
      <c r="Q126" s="3"/>
      <c r="R126" s="2"/>
    </row>
    <row r="127" spans="1:18" s="15" customFormat="1" outlineLevel="1" collapsed="1" x14ac:dyDescent="0.35">
      <c r="A127" s="7"/>
      <c r="B127" s="20" t="str">
        <f>CONCATENATE("     ","Travel                                            ")</f>
        <v xml:space="preserve">     Travel                                            </v>
      </c>
      <c r="C127" s="7"/>
      <c r="D127" s="1">
        <f>SUM(OSRRefD21_17x_0)</f>
        <v>486.94</v>
      </c>
      <c r="E127" s="19"/>
      <c r="F127" s="1">
        <f>SUM(OSRRefF21_17x_0)</f>
        <v>1726.07</v>
      </c>
      <c r="G127" s="4"/>
      <c r="H127" s="1">
        <f>SUM(OSRRefH21_17x_0)</f>
        <v>70.45</v>
      </c>
      <c r="I127" s="4"/>
      <c r="J127" s="1">
        <f>SUM(OSRRefJ21_17x_0)</f>
        <v>110.9</v>
      </c>
      <c r="K127" s="4"/>
      <c r="L127" s="1">
        <f>SUM(OSRRefL21_17x_0)</f>
        <v>109.35</v>
      </c>
      <c r="M127" s="4"/>
      <c r="N127" s="1">
        <f>SUM(OSRRefN21_17x_0)</f>
        <v>-99.159999999999982</v>
      </c>
      <c r="O127" s="4"/>
      <c r="P127" s="1">
        <f>SUM(OSRRefP21_17x_0)</f>
        <v>300</v>
      </c>
      <c r="Q127" s="4"/>
      <c r="R127" s="1">
        <f>SUM(OSRRefR21_17x_0)</f>
        <v>300</v>
      </c>
    </row>
    <row r="128" spans="1:18" s="16" customFormat="1" hidden="1" outlineLevel="2" x14ac:dyDescent="0.35">
      <c r="B128" s="11" t="str">
        <f>CONCATENATE("          ", "6292", " - ", "TRAVEL/CONFERENCE")</f>
        <v xml:space="preserve">          6292 - TRAVEL/CONFERENCE</v>
      </c>
      <c r="D128" s="2"/>
      <c r="F128" s="2">
        <v>1670.1</v>
      </c>
      <c r="G128" s="3"/>
      <c r="H128" s="2"/>
      <c r="I128" s="3"/>
      <c r="J128" s="2">
        <v>64.930000000000007</v>
      </c>
      <c r="K128" s="3"/>
      <c r="L128" s="2"/>
      <c r="M128" s="3"/>
      <c r="N128" s="2">
        <v>107.04</v>
      </c>
      <c r="O128" s="3"/>
      <c r="P128" s="2"/>
      <c r="Q128" s="3"/>
      <c r="R128" s="2"/>
    </row>
    <row r="129" spans="1:18" s="16" customFormat="1" hidden="1" outlineLevel="2" x14ac:dyDescent="0.35">
      <c r="B129" s="11" t="str">
        <f>CONCATENATE("          ", "6294", " - ", "TRAVEL OPERATIONAL")</f>
        <v xml:space="preserve">          6294 - TRAVEL OPERATIONAL</v>
      </c>
      <c r="D129" s="2">
        <v>486.94</v>
      </c>
      <c r="F129" s="2">
        <v>55.97</v>
      </c>
      <c r="G129" s="3"/>
      <c r="H129" s="2">
        <v>70.45</v>
      </c>
      <c r="I129" s="3"/>
      <c r="J129" s="2">
        <v>45.97</v>
      </c>
      <c r="K129" s="3"/>
      <c r="L129" s="2">
        <v>109.35</v>
      </c>
      <c r="M129" s="3"/>
      <c r="N129" s="2">
        <v>-206.2</v>
      </c>
      <c r="O129" s="3"/>
      <c r="P129" s="2">
        <v>300</v>
      </c>
      <c r="Q129" s="3"/>
      <c r="R129" s="2">
        <v>300</v>
      </c>
    </row>
    <row r="130" spans="1:18" s="16" customFormat="1" hidden="1" outlineLevel="2" x14ac:dyDescent="0.35">
      <c r="B130" s="11" t="str">
        <f>CONCATENATE("          ", "6298", " - ", "VEHICLE MILEAGE")</f>
        <v xml:space="preserve">          6298 - VEHICLE MILEAGE</v>
      </c>
      <c r="D130" s="2"/>
      <c r="F130" s="2"/>
      <c r="G130" s="3"/>
      <c r="H130" s="2"/>
      <c r="I130" s="3"/>
      <c r="J130" s="2"/>
      <c r="K130" s="3"/>
      <c r="L130" s="2"/>
      <c r="M130" s="3"/>
      <c r="N130" s="2"/>
      <c r="O130" s="3"/>
      <c r="P130" s="2">
        <v>0</v>
      </c>
      <c r="Q130" s="3"/>
      <c r="R130" s="2"/>
    </row>
    <row r="131" spans="1:18" x14ac:dyDescent="0.35">
      <c r="A131" s="12"/>
      <c r="B131" s="12"/>
      <c r="C131" s="12"/>
      <c r="D131" s="1"/>
      <c r="F131" s="1"/>
      <c r="H131" s="1"/>
      <c r="J131" s="1"/>
      <c r="L131" s="1"/>
      <c r="N131" s="1"/>
      <c r="P131" s="1"/>
      <c r="R131" s="1"/>
    </row>
    <row r="132" spans="1:18" s="7" customFormat="1" collapsed="1" x14ac:dyDescent="0.35">
      <c r="A132" s="36"/>
      <c r="B132" s="34" t="s">
        <v>295</v>
      </c>
      <c r="D132" s="6">
        <f>SUM(OSRRefD24x_0)</f>
        <v>118749.91</v>
      </c>
      <c r="E132" s="12"/>
      <c r="F132" s="6">
        <f>SUM(OSRRefF24x_0)</f>
        <v>66416.539999999994</v>
      </c>
      <c r="G132" s="5"/>
      <c r="H132" s="6">
        <f>SUM(OSRRefH24x_0)</f>
        <v>147968.32999999999</v>
      </c>
      <c r="I132" s="5"/>
      <c r="J132" s="6">
        <f>SUM(OSRRefJ24x_0)</f>
        <v>79134.03</v>
      </c>
      <c r="K132" s="5"/>
      <c r="L132" s="6">
        <f>SUM(OSRRefL24x_0)</f>
        <v>135294.13</v>
      </c>
      <c r="M132" s="5"/>
      <c r="N132" s="6">
        <f>SUM(OSRRefN24x_0)</f>
        <v>88944.49</v>
      </c>
      <c r="O132" s="5"/>
      <c r="P132" s="6">
        <f>SUM(OSRRefP24x_0)</f>
        <v>657760</v>
      </c>
      <c r="Q132" s="5"/>
      <c r="R132" s="6">
        <f>SUM(OSRRefR24x_0)</f>
        <v>652006</v>
      </c>
    </row>
    <row r="133" spans="1:18" s="7" customFormat="1" hidden="1" outlineLevel="1" x14ac:dyDescent="0.35">
      <c r="A133" s="36"/>
      <c r="B133" s="11" t="str">
        <f>CONCATENATE("          ", "9150", " - ", "MISC. INCOME")</f>
        <v xml:space="preserve">          9150 - MISC. INCOME</v>
      </c>
      <c r="D133" s="11">
        <f>--118749.91</f>
        <v>118749.91</v>
      </c>
      <c r="E133" s="16"/>
      <c r="F133" s="11">
        <f>--66416.54</f>
        <v>66416.539999999994</v>
      </c>
      <c r="G133" s="3"/>
      <c r="H133" s="11">
        <f>--147968.33</f>
        <v>147968.32999999999</v>
      </c>
      <c r="I133" s="3"/>
      <c r="J133" s="11">
        <f>--79134.03</f>
        <v>79134.03</v>
      </c>
      <c r="K133" s="3"/>
      <c r="L133" s="11">
        <f>--135294.13</f>
        <v>135294.13</v>
      </c>
      <c r="M133" s="3"/>
      <c r="N133" s="11">
        <f>--88944.49</f>
        <v>88944.49</v>
      </c>
      <c r="O133" s="3"/>
      <c r="P133" s="11">
        <v>96900</v>
      </c>
      <c r="Q133" s="3"/>
      <c r="R133" s="11">
        <v>77006</v>
      </c>
    </row>
    <row r="134" spans="1:18" s="7" customFormat="1" hidden="1" outlineLevel="1" x14ac:dyDescent="0.35">
      <c r="A134" s="36"/>
      <c r="B134" s="11" t="str">
        <f>CONCATENATE("          ", "9151", " - ", "MISC. INCOME")</f>
        <v xml:space="preserve">          9151 - MISC. INCOME</v>
      </c>
      <c r="D134" s="11">
        <f t="shared" ref="D134:D135" si="0">0</f>
        <v>0</v>
      </c>
      <c r="E134" s="16"/>
      <c r="F134" s="11">
        <f t="shared" ref="F134:F135" si="1">0</f>
        <v>0</v>
      </c>
      <c r="G134" s="3"/>
      <c r="H134" s="11">
        <f t="shared" ref="H134:H135" si="2">0</f>
        <v>0</v>
      </c>
      <c r="I134" s="3"/>
      <c r="J134" s="11">
        <f t="shared" ref="J134:J135" si="3">0</f>
        <v>0</v>
      </c>
      <c r="K134" s="3"/>
      <c r="L134" s="11">
        <f t="shared" ref="L134:L135" si="4">0</f>
        <v>0</v>
      </c>
      <c r="M134" s="3"/>
      <c r="N134" s="11">
        <f t="shared" ref="N134:N135" si="5">0</f>
        <v>0</v>
      </c>
      <c r="O134" s="3"/>
      <c r="P134" s="11">
        <v>560860</v>
      </c>
      <c r="Q134" s="3"/>
      <c r="R134" s="11">
        <v>400000</v>
      </c>
    </row>
    <row r="135" spans="1:18" s="7" customFormat="1" hidden="1" outlineLevel="1" x14ac:dyDescent="0.35">
      <c r="A135" s="36"/>
      <c r="B135" s="11" t="str">
        <f>CONCATENATE("          ", "9160", " - ", "MISC. INCOME")</f>
        <v xml:space="preserve">          9160 - MISC. INCOME</v>
      </c>
      <c r="D135" s="11">
        <f t="shared" si="0"/>
        <v>0</v>
      </c>
      <c r="E135" s="16"/>
      <c r="F135" s="11">
        <f t="shared" si="1"/>
        <v>0</v>
      </c>
      <c r="G135" s="3"/>
      <c r="H135" s="11">
        <f t="shared" si="2"/>
        <v>0</v>
      </c>
      <c r="I135" s="3"/>
      <c r="J135" s="11">
        <f t="shared" si="3"/>
        <v>0</v>
      </c>
      <c r="K135" s="3"/>
      <c r="L135" s="11">
        <f t="shared" si="4"/>
        <v>0</v>
      </c>
      <c r="M135" s="3"/>
      <c r="N135" s="11">
        <f t="shared" si="5"/>
        <v>0</v>
      </c>
      <c r="O135" s="3"/>
      <c r="P135" s="11"/>
      <c r="Q135" s="3"/>
      <c r="R135" s="11">
        <v>175000</v>
      </c>
    </row>
    <row r="136" spans="1:18" x14ac:dyDescent="0.35">
      <c r="A136" s="12"/>
      <c r="B136" s="7"/>
      <c r="C136" s="7"/>
      <c r="D136" s="6"/>
      <c r="F136" s="6"/>
      <c r="H136" s="6"/>
      <c r="J136" s="6"/>
      <c r="L136" s="6"/>
      <c r="N136" s="6"/>
      <c r="P136" s="6"/>
      <c r="R136" s="6"/>
    </row>
    <row r="137" spans="1:18" s="15" customFormat="1" x14ac:dyDescent="0.35">
      <c r="A137" s="7"/>
      <c r="B137" s="22" t="s">
        <v>279</v>
      </c>
      <c r="C137" s="22"/>
      <c r="D137" s="10">
        <f>+D52-D55+D132</f>
        <v>872893.2200000002</v>
      </c>
      <c r="E137" s="12"/>
      <c r="F137" s="10">
        <f>+F52-F55+F132</f>
        <v>957142.75999999954</v>
      </c>
      <c r="G137" s="5"/>
      <c r="H137" s="10">
        <f>+H52-H55+H132</f>
        <v>1090376.6300000001</v>
      </c>
      <c r="I137" s="5"/>
      <c r="J137" s="10">
        <f>+J52-J55+J132</f>
        <v>1111680.4100000004</v>
      </c>
      <c r="K137" s="5"/>
      <c r="L137" s="10">
        <f>+L52-L55+L132</f>
        <v>1219564.9599999995</v>
      </c>
      <c r="M137" s="5"/>
      <c r="N137" s="10">
        <f>+N52-N55+N132</f>
        <v>613279.77000000037</v>
      </c>
      <c r="O137" s="5"/>
      <c r="P137" s="10">
        <f>+P52-P55+P132</f>
        <v>1322122.9474071001</v>
      </c>
      <c r="Q137" s="5"/>
      <c r="R137" s="10">
        <f>+R52-R55+R132</f>
        <v>965755.95251099998</v>
      </c>
    </row>
    <row r="138" spans="1:18" s="27" customFormat="1" x14ac:dyDescent="0.35">
      <c r="A138" s="18"/>
      <c r="B138" s="31"/>
      <c r="C138" s="18"/>
      <c r="D138" s="9">
        <f>IFERROR(D137/D10, 0)</f>
        <v>0.36512579289884095</v>
      </c>
      <c r="E138" s="18"/>
      <c r="F138" s="9">
        <f>IFERROR(F137/F10, 0)</f>
        <v>0.35183206164645725</v>
      </c>
      <c r="G138" s="14"/>
      <c r="H138" s="9">
        <f>IFERROR(H137/H10, 0)</f>
        <v>0.36938159909636165</v>
      </c>
      <c r="I138" s="14"/>
      <c r="J138" s="9">
        <f>IFERROR(J137/J10, 0)</f>
        <v>0.36644827432619942</v>
      </c>
      <c r="K138" s="14"/>
      <c r="L138" s="9">
        <f>IFERROR(L137/L10, 0)</f>
        <v>0.38516208424733517</v>
      </c>
      <c r="M138" s="14"/>
      <c r="N138" s="9">
        <f>IFERROR(N137/N10, 0)</f>
        <v>0.24468547989424558</v>
      </c>
      <c r="O138" s="14"/>
      <c r="P138" s="9">
        <f>IFERROR(P137/P10, 0)</f>
        <v>0.37616415033988199</v>
      </c>
      <c r="Q138" s="14"/>
      <c r="R138" s="9">
        <f>IFERROR(R137/R10, 0)</f>
        <v>0.34584873155356477</v>
      </c>
    </row>
    <row r="139" spans="1:18" s="27" customFormat="1" x14ac:dyDescent="0.35">
      <c r="A139" s="18"/>
      <c r="B139" s="31"/>
      <c r="C139" s="18"/>
      <c r="D139" s="13"/>
      <c r="E139" s="18"/>
      <c r="F139" s="13"/>
      <c r="G139" s="14"/>
      <c r="H139" s="13"/>
      <c r="I139" s="14"/>
      <c r="J139" s="13"/>
      <c r="K139" s="14"/>
      <c r="L139" s="13"/>
      <c r="M139" s="14"/>
      <c r="N139" s="13"/>
      <c r="O139" s="14"/>
      <c r="P139" s="13"/>
      <c r="Q139" s="14"/>
      <c r="R139" s="13"/>
    </row>
    <row r="140" spans="1:18" s="15" customFormat="1" x14ac:dyDescent="0.35">
      <c r="A140" s="37"/>
      <c r="B140" s="7" t="s">
        <v>127</v>
      </c>
      <c r="C140" s="7"/>
      <c r="D140" s="6">
        <v>519509.46</v>
      </c>
      <c r="E140" s="12"/>
      <c r="F140" s="6">
        <v>387275.4</v>
      </c>
      <c r="G140" s="5"/>
      <c r="H140" s="6">
        <v>394685.68</v>
      </c>
      <c r="I140" s="5"/>
      <c r="J140" s="6">
        <v>407158.39</v>
      </c>
      <c r="K140" s="5"/>
      <c r="L140" s="6">
        <v>225689.51</v>
      </c>
      <c r="M140" s="5"/>
      <c r="N140" s="6">
        <v>379525.71</v>
      </c>
      <c r="O140" s="5"/>
      <c r="P140" s="6">
        <v>593916</v>
      </c>
      <c r="Q140" s="5"/>
      <c r="R140" s="6">
        <v>316646</v>
      </c>
    </row>
    <row r="141" spans="1:18" x14ac:dyDescent="0.35">
      <c r="A141" s="12"/>
      <c r="B141" s="7"/>
      <c r="C141" s="7"/>
      <c r="D141" s="6"/>
      <c r="F141" s="6"/>
      <c r="H141" s="6"/>
      <c r="J141" s="6"/>
      <c r="L141" s="6"/>
      <c r="N141" s="6"/>
      <c r="P141" s="6"/>
      <c r="R141" s="6"/>
    </row>
    <row r="142" spans="1:18" s="15" customFormat="1" x14ac:dyDescent="0.35">
      <c r="A142" s="7"/>
      <c r="B142" s="22" t="s">
        <v>126</v>
      </c>
      <c r="C142" s="22"/>
      <c r="D142" s="10">
        <f>+D137-D140</f>
        <v>353383.76000000018</v>
      </c>
      <c r="E142" s="12"/>
      <c r="F142" s="10">
        <f>+F137-F140</f>
        <v>569867.35999999952</v>
      </c>
      <c r="G142" s="5"/>
      <c r="H142" s="10">
        <f>+H137-H140</f>
        <v>695690.95000000019</v>
      </c>
      <c r="I142" s="5"/>
      <c r="J142" s="10">
        <f>+J137-J140</f>
        <v>704522.02000000037</v>
      </c>
      <c r="K142" s="5"/>
      <c r="L142" s="10">
        <f>+L137-L140</f>
        <v>993875.44999999949</v>
      </c>
      <c r="M142" s="5"/>
      <c r="N142" s="10">
        <f>+N137-N140</f>
        <v>233754.06000000035</v>
      </c>
      <c r="O142" s="5"/>
      <c r="P142" s="10">
        <f>+P137-P140</f>
        <v>728206.94740710012</v>
      </c>
      <c r="Q142" s="5"/>
      <c r="R142" s="10">
        <f>+R137-R140</f>
        <v>649109.95251099998</v>
      </c>
    </row>
    <row r="143" spans="1:18" s="27" customFormat="1" x14ac:dyDescent="0.35">
      <c r="A143" s="18"/>
      <c r="B143" s="18"/>
      <c r="C143" s="18"/>
      <c r="D143" s="9">
        <f>IFERROR(D142/D10, 0)</f>
        <v>0.14781822405216269</v>
      </c>
      <c r="E143" s="18"/>
      <c r="F143" s="9">
        <f>IFERROR(F142/F10, 0)</f>
        <v>0.20947513423579966</v>
      </c>
      <c r="G143" s="14"/>
      <c r="H143" s="9">
        <f>IFERROR(H142/H10, 0)</f>
        <v>0.23567584678320463</v>
      </c>
      <c r="I143" s="14"/>
      <c r="J143" s="9">
        <f>IFERROR(J142/J10, 0)</f>
        <v>0.23223480069582966</v>
      </c>
      <c r="K143" s="14"/>
      <c r="L143" s="9">
        <f>IFERROR(L142/L10, 0)</f>
        <v>0.31388499371469158</v>
      </c>
      <c r="M143" s="14"/>
      <c r="N143" s="9">
        <f>IFERROR(N142/N10, 0)</f>
        <v>9.3262858398750578E-2</v>
      </c>
      <c r="O143" s="14"/>
      <c r="P143" s="9">
        <f>IFERROR(P142/P10, 0)</f>
        <v>0.20718598688586673</v>
      </c>
      <c r="Q143" s="14"/>
      <c r="R143" s="9">
        <f>IFERROR(R142/R10, 0)</f>
        <v>0.23245402022222278</v>
      </c>
    </row>
    <row r="144" spans="1:18" s="27" customFormat="1" x14ac:dyDescent="0.35">
      <c r="A144" s="18"/>
      <c r="B144" s="18"/>
      <c r="C144" s="18"/>
      <c r="D144" s="13"/>
      <c r="E144" s="18"/>
      <c r="F144" s="13"/>
      <c r="G144" s="14"/>
      <c r="H144" s="13"/>
      <c r="I144" s="14"/>
      <c r="J144" s="13"/>
      <c r="K144" s="14"/>
      <c r="L144" s="13"/>
      <c r="M144" s="14"/>
      <c r="N144" s="13"/>
      <c r="O144" s="14"/>
      <c r="P144" s="13"/>
      <c r="Q144" s="14"/>
      <c r="R144" s="13"/>
    </row>
    <row r="145" spans="1:18" x14ac:dyDescent="0.35">
      <c r="A145" s="12"/>
      <c r="B145" s="12"/>
      <c r="C145" s="12"/>
      <c r="D145" s="6"/>
      <c r="F145" s="6"/>
      <c r="H145" s="6"/>
      <c r="J145" s="6"/>
      <c r="L145" s="6"/>
      <c r="N145" s="6"/>
      <c r="P145" s="6"/>
      <c r="R145" s="6"/>
    </row>
    <row r="146" spans="1:18" s="15" customFormat="1" x14ac:dyDescent="0.35">
      <c r="A146" s="7"/>
      <c r="B146" s="22" t="s">
        <v>296</v>
      </c>
      <c r="C146" s="22"/>
      <c r="D146" s="10">
        <f>SUM(D142:D145)</f>
        <v>353383.90781822422</v>
      </c>
      <c r="E146" s="12"/>
      <c r="F146" s="10">
        <f>SUM(F142:F145)</f>
        <v>569867.56947513379</v>
      </c>
      <c r="G146" s="5"/>
      <c r="H146" s="10">
        <f>SUM(H142:H145)</f>
        <v>695691.18567584699</v>
      </c>
      <c r="I146" s="5"/>
      <c r="J146" s="10">
        <f>SUM(J142:J145)</f>
        <v>704522.25223480107</v>
      </c>
      <c r="K146" s="5"/>
      <c r="L146" s="10">
        <f>SUM(L142:L145)</f>
        <v>993875.76388499315</v>
      </c>
      <c r="M146" s="5"/>
      <c r="N146" s="10">
        <f>SUM(N142:N145)</f>
        <v>233754.15326285874</v>
      </c>
      <c r="O146" s="5"/>
      <c r="P146" s="10">
        <f>SUM(P142:P145)</f>
        <v>728207.15459308703</v>
      </c>
      <c r="Q146" s="5"/>
      <c r="R146" s="10">
        <f>SUM(R142:R145)</f>
        <v>649110.18496502016</v>
      </c>
    </row>
    <row r="147" spans="1:18" s="27" customFormat="1" x14ac:dyDescent="0.35">
      <c r="A147" s="18"/>
      <c r="B147" s="41"/>
      <c r="C147" s="18"/>
      <c r="D147" s="9">
        <f>IFERROR(D146/D10, 0)</f>
        <v>0.14781828588360441</v>
      </c>
      <c r="E147" s="18"/>
      <c r="F147" s="9">
        <f>IFERROR(F146/F10, 0)</f>
        <v>0.20947521123587889</v>
      </c>
      <c r="G147" s="14"/>
      <c r="H147" s="9">
        <f>IFERROR(H146/H10, 0)</f>
        <v>0.23567592662196749</v>
      </c>
      <c r="I147" s="14"/>
      <c r="J147" s="9">
        <f>IFERROR(J146/J10, 0)</f>
        <v>0.23223487724844422</v>
      </c>
      <c r="K147" s="14"/>
      <c r="L147" s="9">
        <f>IFERROR(L146/L10, 0)</f>
        <v>0.31388509284561317</v>
      </c>
      <c r="M147" s="14"/>
      <c r="N147" s="9">
        <f>IFERROR(N146/N10, 0)</f>
        <v>9.3262895608631588E-2</v>
      </c>
      <c r="O147" s="14"/>
      <c r="P147" s="9">
        <f>IFERROR(P146/P10, 0)</f>
        <v>0.20718604583344108</v>
      </c>
      <c r="Q147" s="14"/>
      <c r="R147" s="9">
        <f>IFERROR(R146/R10, 0)</f>
        <v>0.23245410346678141</v>
      </c>
    </row>
    <row r="148" spans="1:18" x14ac:dyDescent="0.35">
      <c r="A148" s="12"/>
      <c r="B148" s="40">
        <v>44319.883572604165</v>
      </c>
      <c r="D148" s="24"/>
      <c r="F148" s="24"/>
      <c r="H148" s="24"/>
      <c r="J148" s="24"/>
      <c r="L148" s="24"/>
      <c r="N148" s="24"/>
      <c r="P148" s="24"/>
      <c r="R148" s="24"/>
    </row>
    <row r="149" spans="1:18" x14ac:dyDescent="0.35">
      <c r="A149" s="12"/>
      <c r="B149" s="39" t="s">
        <v>23</v>
      </c>
      <c r="D149" s="24"/>
      <c r="F149" s="24"/>
      <c r="H149" s="24"/>
      <c r="J149" s="24"/>
      <c r="L149" s="24"/>
      <c r="N149" s="24"/>
      <c r="P149" s="24"/>
      <c r="R149" s="24"/>
    </row>
    <row r="150" spans="1:18" x14ac:dyDescent="0.35">
      <c r="A150" s="12"/>
      <c r="D150" s="24"/>
      <c r="F150" s="24"/>
      <c r="H150" s="24"/>
      <c r="J150" s="24"/>
      <c r="L150" s="24"/>
      <c r="N150" s="24"/>
      <c r="P150" s="24"/>
      <c r="R150" s="24"/>
    </row>
    <row r="151" spans="1:18" x14ac:dyDescent="0.35">
      <c r="D151" s="24"/>
      <c r="F151" s="24"/>
      <c r="H151" s="24"/>
      <c r="J151" s="24"/>
      <c r="L151" s="24"/>
      <c r="N151" s="24"/>
      <c r="P151" s="24"/>
      <c r="R151" s="24"/>
    </row>
  </sheetData>
  <pageMargins left="0.5" right="0.5" top="0.5" bottom="0.5" header="0.3" footer="0.3"/>
  <pageSetup scale="59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","316", " - ", "Campus Copy Center")</f>
        <v>Department 316 - Campus Copy Center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451245.31999999995</v>
      </c>
      <c r="F10" s="8">
        <f>SUM(OSRRefF11x_0)</f>
        <v>758232.37000000011</v>
      </c>
      <c r="G10" s="8"/>
      <c r="H10" s="8">
        <f>SUM(OSRRefH11x_0)</f>
        <v>704089.14999999991</v>
      </c>
      <c r="I10" s="8"/>
      <c r="J10" s="8">
        <f>SUM(OSRRefJ11x_0)</f>
        <v>654553.35</v>
      </c>
      <c r="K10" s="8"/>
      <c r="L10" s="8">
        <f>SUM(OSRRefL11x_0)</f>
        <v>604905.52999999991</v>
      </c>
      <c r="M10" s="8"/>
      <c r="N10" s="8">
        <f>SUM(OSRRefN11x_0)</f>
        <v>476956.11</v>
      </c>
      <c r="O10" s="8"/>
      <c r="P10" s="8">
        <f>SUM(OSRRefP11x_0)</f>
        <v>400713</v>
      </c>
      <c r="Q10" s="8"/>
      <c r="R10" s="8">
        <f>SUM(OSRRefR11x_0)</f>
        <v>405930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265213</v>
      </c>
      <c r="Q11" s="3"/>
      <c r="R11" s="11">
        <v>199430</v>
      </c>
    </row>
    <row r="12" spans="1:18" s="16" customFormat="1" hidden="1" outlineLevel="1" x14ac:dyDescent="0.35">
      <c r="B12" s="35" t="str">
        <f>CONCATENATE("          ", "4041", " - ", "TAXABLE SALES-LOGO GIFTS")</f>
        <v xml:space="preserve">          4041 - TAXABLE SALES-LOGO GIFTS</v>
      </c>
      <c r="D12" s="11">
        <f>-291094.42*-1</f>
        <v>291094.42</v>
      </c>
      <c r="F12" s="11">
        <f>-261864.63*-1</f>
        <v>261864.63</v>
      </c>
      <c r="G12" s="3"/>
      <c r="H12" s="11">
        <f>-209398.36*-1</f>
        <v>209398.36</v>
      </c>
      <c r="I12" s="3"/>
      <c r="J12" s="11">
        <f>--219016.99</f>
        <v>219016.99</v>
      </c>
      <c r="K12" s="3"/>
      <c r="L12" s="11">
        <f>--196490.35</f>
        <v>196490.35</v>
      </c>
      <c r="M12" s="3"/>
      <c r="N12" s="11">
        <f>--175578.6</f>
        <v>175578.6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"4042", " - ", "TAXABLE SALES-EVERYDAY GIFTS")</f>
        <v xml:space="preserve">          4042 - TAXABLE SALES-EVERYDAY GIFTS</v>
      </c>
      <c r="D13" s="11">
        <f>-128964.97*-1</f>
        <v>128964.97</v>
      </c>
      <c r="F13" s="11">
        <f>-110393.03*-1</f>
        <v>110393.03</v>
      </c>
      <c r="G13" s="3"/>
      <c r="H13" s="11">
        <f>-117014.72*-1</f>
        <v>117014.72</v>
      </c>
      <c r="I13" s="3"/>
      <c r="J13" s="11">
        <f>--111667.76</f>
        <v>111667.76</v>
      </c>
      <c r="K13" s="3"/>
      <c r="L13" s="11">
        <f>--97735.89</f>
        <v>97735.89</v>
      </c>
      <c r="M13" s="3"/>
      <c r="N13" s="11">
        <f>--76606.57</f>
        <v>76606.570000000007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"4043", " - ", "TAXABLE SALES-CARDS")</f>
        <v xml:space="preserve">          4043 - TAXABLE SALES-CARDS</v>
      </c>
      <c r="D14" s="11">
        <f>-2915.82*-1</f>
        <v>2915.82</v>
      </c>
      <c r="F14" s="11">
        <f>-3365.93*-1</f>
        <v>3365.93</v>
      </c>
      <c r="G14" s="3"/>
      <c r="H14" s="11">
        <f>-2781.17*-1</f>
        <v>2781.17</v>
      </c>
      <c r="I14" s="3"/>
      <c r="J14" s="11">
        <f>--4550.74</f>
        <v>4550.74</v>
      </c>
      <c r="K14" s="3"/>
      <c r="L14" s="11">
        <f>--1124.87</f>
        <v>1124.8699999999999</v>
      </c>
      <c r="M14" s="3"/>
      <c r="N14" s="11">
        <f>--921.72</f>
        <v>921.72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"4044", " - ", "TAXABLE SALES-ACCESSORIES")</f>
        <v xml:space="preserve">          4044 - TAXABLE SALES-ACCESSORIES</v>
      </c>
      <c r="D15" s="11">
        <f>0*-1</f>
        <v>0</v>
      </c>
      <c r="F15" s="11">
        <f>0*-1</f>
        <v>0</v>
      </c>
      <c r="G15" s="3"/>
      <c r="H15" s="11">
        <f t="shared" ref="H15:H16" si="0">0*-1</f>
        <v>0</v>
      </c>
      <c r="I15" s="3"/>
      <c r="J15" s="11">
        <f t="shared" ref="J15:J16" si="1">0</f>
        <v>0</v>
      </c>
      <c r="K15" s="3"/>
      <c r="L15" s="11">
        <f t="shared" ref="L15:L16" si="2">0</f>
        <v>0</v>
      </c>
      <c r="M15" s="3"/>
      <c r="N15" s="11">
        <f>--235.18</f>
        <v>235.18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"4045", " - ", "TAXABLE SALES-SPECIAL ORDERS")</f>
        <v xml:space="preserve">          4045 - TAXABLE SALES-SPECIAL ORDERS</v>
      </c>
      <c r="D16" s="11">
        <f>-648.8*-1</f>
        <v>648.79999999999995</v>
      </c>
      <c r="F16" s="11">
        <f>-3592.65*-1</f>
        <v>3592.65</v>
      </c>
      <c r="G16" s="3"/>
      <c r="H16" s="11">
        <f t="shared" si="0"/>
        <v>0</v>
      </c>
      <c r="I16" s="3"/>
      <c r="J16" s="11">
        <f t="shared" si="1"/>
        <v>0</v>
      </c>
      <c r="K16" s="3"/>
      <c r="L16" s="11">
        <f t="shared" si="2"/>
        <v>0</v>
      </c>
      <c r="M16" s="3"/>
      <c r="N16" s="11">
        <f>0</f>
        <v>0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"4047", " - ", "TAXABLE SALES-MISC")</f>
        <v xml:space="preserve">          4047 - TAXABLE SALES-MISC</v>
      </c>
      <c r="D17" s="11">
        <f>-7763.72*-1</f>
        <v>7763.72</v>
      </c>
      <c r="F17" s="11">
        <f>-3475.74*-1</f>
        <v>3475.74</v>
      </c>
      <c r="G17" s="3"/>
      <c r="H17" s="11">
        <f>-5619.91*-1</f>
        <v>5619.91</v>
      </c>
      <c r="I17" s="3"/>
      <c r="J17" s="11">
        <f>--5136.78</f>
        <v>5136.78</v>
      </c>
      <c r="K17" s="3"/>
      <c r="L17" s="11">
        <f>--5818.6</f>
        <v>5818.6</v>
      </c>
      <c r="M17" s="3"/>
      <c r="N17" s="11">
        <f>--2676.14</f>
        <v>2676.14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"4100", " - ", "NON-TAXABLE SALES")</f>
        <v xml:space="preserve">          4100 - NON-TAXABLE SALES</v>
      </c>
      <c r="D18" s="11">
        <f>0*-1</f>
        <v>0</v>
      </c>
      <c r="F18" s="11">
        <f>0*-1</f>
        <v>0</v>
      </c>
      <c r="G18" s="3"/>
      <c r="H18" s="11">
        <f>0*-1</f>
        <v>0</v>
      </c>
      <c r="I18" s="3"/>
      <c r="J18" s="11">
        <f>0</f>
        <v>0</v>
      </c>
      <c r="K18" s="3"/>
      <c r="L18" s="11">
        <f>0</f>
        <v>0</v>
      </c>
      <c r="M18" s="3"/>
      <c r="N18" s="11">
        <f>0</f>
        <v>0</v>
      </c>
      <c r="O18" s="3"/>
      <c r="P18" s="11">
        <v>135500</v>
      </c>
      <c r="Q18" s="3"/>
      <c r="R18" s="11">
        <v>206500</v>
      </c>
    </row>
    <row r="19" spans="2:18" s="16" customFormat="1" hidden="1" outlineLevel="1" x14ac:dyDescent="0.35">
      <c r="B19" s="35" t="str">
        <f>CONCATENATE("          ", "4141", " - ", "NON-TAXABLE SALES-LOGO GIFTS")</f>
        <v xml:space="preserve">          4141 - NON-TAXABLE SALES-LOGO GIFTS</v>
      </c>
      <c r="D19" s="11">
        <f>-1650.35*-1</f>
        <v>1650.35</v>
      </c>
      <c r="F19" s="11">
        <f>-2484.7*-1</f>
        <v>2484.6999999999998</v>
      </c>
      <c r="G19" s="3"/>
      <c r="H19" s="11">
        <f>-2640.3*-1</f>
        <v>2640.3</v>
      </c>
      <c r="I19" s="3"/>
      <c r="J19" s="11">
        <f>--2316.75</f>
        <v>2316.75</v>
      </c>
      <c r="K19" s="3"/>
      <c r="L19" s="11">
        <f>--1966.2</f>
        <v>1966.2</v>
      </c>
      <c r="M19" s="3"/>
      <c r="N19" s="11">
        <f>--1028.1</f>
        <v>1028.0999999999999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"4142", " - ", "NON-TAXABLE SALES-EVERYDAY GIF")</f>
        <v xml:space="preserve">          4142 - NON-TAXABLE SALES-EVERYDAY GIF</v>
      </c>
      <c r="D20" s="11">
        <f>-8384.05*-1</f>
        <v>8384.0499999999993</v>
      </c>
      <c r="F20" s="11">
        <f>-9610.35*-1</f>
        <v>9610.35</v>
      </c>
      <c r="G20" s="3"/>
      <c r="H20" s="11">
        <f>-23363.65*-1</f>
        <v>23363.65</v>
      </c>
      <c r="I20" s="3"/>
      <c r="J20" s="11">
        <f>--14002.35</f>
        <v>14002.35</v>
      </c>
      <c r="K20" s="3"/>
      <c r="L20" s="11">
        <f>--13802</f>
        <v>13802</v>
      </c>
      <c r="M20" s="3"/>
      <c r="N20" s="11">
        <f>--11973.45</f>
        <v>11973.45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"4146", " - ", "NON-TAXABLE SALES-COIN OP MACH")</f>
        <v xml:space="preserve">          4146 - NON-TAXABLE SALES-COIN OP MACH</v>
      </c>
      <c r="D21" s="11">
        <f>0*-1</f>
        <v>0</v>
      </c>
      <c r="F21" s="11">
        <f>-367498.96*-1</f>
        <v>367498.96</v>
      </c>
      <c r="G21" s="3"/>
      <c r="H21" s="11">
        <f>-347130.16*-1</f>
        <v>347130.16</v>
      </c>
      <c r="I21" s="3"/>
      <c r="J21" s="11">
        <f>--299409.05</f>
        <v>299409.05</v>
      </c>
      <c r="K21" s="3"/>
      <c r="L21" s="11">
        <f>--288251.29</f>
        <v>288251.28999999998</v>
      </c>
      <c r="M21" s="3"/>
      <c r="N21" s="11">
        <f>--205908.65</f>
        <v>205908.65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"4147", " - ", "NON-TAXABLE SALES-MISC")</f>
        <v xml:space="preserve">          4147 - NON-TAXABLE SALES-MISC</v>
      </c>
      <c r="D22" s="11">
        <f>-19396.27*-1</f>
        <v>19396.27</v>
      </c>
      <c r="F22" s="11">
        <f>-2120.65*-1</f>
        <v>2120.65</v>
      </c>
      <c r="G22" s="3"/>
      <c r="H22" s="11">
        <f>-1465.7*-1</f>
        <v>1465.7</v>
      </c>
      <c r="I22" s="3"/>
      <c r="J22" s="11">
        <f>--885</f>
        <v>885</v>
      </c>
      <c r="K22" s="3"/>
      <c r="L22" s="11">
        <f>--959.73</f>
        <v>959.73</v>
      </c>
      <c r="M22" s="3"/>
      <c r="N22" s="11">
        <f>--3446.37</f>
        <v>3446.37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"4241", " - ", "SALES RETURN TAXABLE-LOGO GIFT")</f>
        <v xml:space="preserve">          4241 - SALES RETURN TAXABLE-LOGO GIFT</v>
      </c>
      <c r="D23" s="11">
        <f>6425.75*-1</f>
        <v>-6425.75</v>
      </c>
      <c r="F23" s="11">
        <f>5809.95*-1</f>
        <v>-5809.95</v>
      </c>
      <c r="G23" s="3"/>
      <c r="H23" s="11">
        <f>4865.28*-1</f>
        <v>-4865.28</v>
      </c>
      <c r="I23" s="3"/>
      <c r="J23" s="11">
        <f>-1972.15</f>
        <v>-1972.15</v>
      </c>
      <c r="K23" s="3"/>
      <c r="L23" s="11">
        <f>-1119.05</f>
        <v>-1119.05</v>
      </c>
      <c r="M23" s="3"/>
      <c r="N23" s="11">
        <f>-1059.4</f>
        <v>-1059.4000000000001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"4242", " - ", "SALES RETURN TAXABLE-EVERYDAY")</f>
        <v xml:space="preserve">          4242 - SALES RETURN TAXABLE-EVERYDAY</v>
      </c>
      <c r="D24" s="11">
        <f>3061.84*-1</f>
        <v>-3061.84</v>
      </c>
      <c r="F24" s="11">
        <f>143.45*-1</f>
        <v>-143.44999999999999</v>
      </c>
      <c r="G24" s="3"/>
      <c r="H24" s="11">
        <f>281.69*-1</f>
        <v>-281.69</v>
      </c>
      <c r="I24" s="3"/>
      <c r="J24" s="11">
        <f>-318.47</f>
        <v>-318.47000000000003</v>
      </c>
      <c r="K24" s="3"/>
      <c r="L24" s="11">
        <f t="shared" ref="L24:L26" si="3">0</f>
        <v>0</v>
      </c>
      <c r="M24" s="3"/>
      <c r="N24" s="11">
        <f>-227.7</f>
        <v>-227.7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"4243", " - ", "SALES RETURN TAXABLE-CARDS")</f>
        <v xml:space="preserve">          4243 - SALES RETURN TAXABLE-CARDS</v>
      </c>
      <c r="D25" s="11">
        <f>30.8*-1</f>
        <v>-30.8</v>
      </c>
      <c r="F25" s="11">
        <f>41.3*-1</f>
        <v>-41.3</v>
      </c>
      <c r="G25" s="3"/>
      <c r="H25" s="11">
        <f t="shared" ref="H25:H26" si="4">0*-1</f>
        <v>0</v>
      </c>
      <c r="I25" s="3"/>
      <c r="J25" s="11">
        <f>-9.34</f>
        <v>-9.34</v>
      </c>
      <c r="K25" s="3"/>
      <c r="L25" s="11">
        <f t="shared" si="3"/>
        <v>0</v>
      </c>
      <c r="M25" s="3"/>
      <c r="N25" s="11">
        <f t="shared" ref="N25:N27" si="5">0</f>
        <v>0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"4247", " - ", "SALES RETURN TAXABLE-MISC")</f>
        <v xml:space="preserve">          4247 - SALES RETURN TAXABLE-MISC</v>
      </c>
      <c r="D26" s="11">
        <f>41.94*-1</f>
        <v>-41.94</v>
      </c>
      <c r="F26" s="11">
        <f>25.97*-1</f>
        <v>-25.97</v>
      </c>
      <c r="G26" s="3"/>
      <c r="H26" s="11">
        <f t="shared" si="4"/>
        <v>0</v>
      </c>
      <c r="I26" s="3"/>
      <c r="J26" s="11">
        <f>-50.01</f>
        <v>-50.01</v>
      </c>
      <c r="K26" s="3"/>
      <c r="L26" s="11">
        <f t="shared" si="3"/>
        <v>0</v>
      </c>
      <c r="M26" s="3"/>
      <c r="N26" s="11">
        <f t="shared" si="5"/>
        <v>0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"4341", " - ", "SALES RETURN NON TAXABLE-LOGO")</f>
        <v xml:space="preserve">          4341 - SALES RETURN NON TAXABLE-LOGO</v>
      </c>
      <c r="D27" s="11">
        <f>0*-1</f>
        <v>0</v>
      </c>
      <c r="F27" s="11">
        <f>144.1*-1</f>
        <v>-144.1</v>
      </c>
      <c r="G27" s="3"/>
      <c r="H27" s="11">
        <f>176.85*-1</f>
        <v>-176.85</v>
      </c>
      <c r="I27" s="3"/>
      <c r="J27" s="11">
        <f>-72.1</f>
        <v>-72.099999999999994</v>
      </c>
      <c r="K27" s="3"/>
      <c r="L27" s="11">
        <f>-124.35</f>
        <v>-124.35</v>
      </c>
      <c r="M27" s="3"/>
      <c r="N27" s="11">
        <f t="shared" si="5"/>
        <v>0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"4342", " - ", "SALES RETURN NON TAXABLE-EVERY")</f>
        <v xml:space="preserve">          4342 - SALES RETURN NON TAXABLE-EVERY</v>
      </c>
      <c r="D28" s="11">
        <f>12.75*-1</f>
        <v>-12.75</v>
      </c>
      <c r="F28" s="11">
        <f>2*-1</f>
        <v>-2</v>
      </c>
      <c r="G28" s="3"/>
      <c r="H28" s="11">
        <f>1*-1</f>
        <v>-1</v>
      </c>
      <c r="I28" s="3"/>
      <c r="J28" s="11">
        <f>-10</f>
        <v>-10</v>
      </c>
      <c r="K28" s="3"/>
      <c r="L28" s="11">
        <f t="shared" ref="L28:L30" si="6">0</f>
        <v>0</v>
      </c>
      <c r="M28" s="3"/>
      <c r="N28" s="11">
        <f>-39.42</f>
        <v>-39.42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"4346", " - ", "SALES RETURN NON TAXABLE-COIN-")</f>
        <v xml:space="preserve">          4346 - SALES RETURN NON TAXABLE-COIN-</v>
      </c>
      <c r="D29" s="11">
        <f t="shared" ref="D29:D30" si="7">0*-1</f>
        <v>0</v>
      </c>
      <c r="F29" s="11">
        <f>0*-1</f>
        <v>0</v>
      </c>
      <c r="G29" s="3"/>
      <c r="H29" s="11">
        <f t="shared" ref="H29:H30" si="8">0*-1</f>
        <v>0</v>
      </c>
      <c r="I29" s="3"/>
      <c r="J29" s="11">
        <f t="shared" ref="J29:J30" si="9">0</f>
        <v>0</v>
      </c>
      <c r="K29" s="3"/>
      <c r="L29" s="11">
        <f t="shared" si="6"/>
        <v>0</v>
      </c>
      <c r="M29" s="3"/>
      <c r="N29" s="11">
        <f>-8.15</f>
        <v>-8.15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"4347", " - ", "SALES RETURN NON TAXABLE-MISC")</f>
        <v xml:space="preserve">          4347 - SALES RETURN NON TAXABLE-MISC</v>
      </c>
      <c r="D30" s="11">
        <f t="shared" si="7"/>
        <v>0</v>
      </c>
      <c r="F30" s="11">
        <f>7.5*-1</f>
        <v>-7.5</v>
      </c>
      <c r="G30" s="3"/>
      <c r="H30" s="11">
        <f t="shared" si="8"/>
        <v>0</v>
      </c>
      <c r="I30" s="3"/>
      <c r="J30" s="11">
        <f t="shared" si="9"/>
        <v>0</v>
      </c>
      <c r="K30" s="3"/>
      <c r="L30" s="11">
        <f t="shared" si="6"/>
        <v>0</v>
      </c>
      <c r="M30" s="3"/>
      <c r="N30" s="11">
        <f>-84</f>
        <v>-84</v>
      </c>
      <c r="O30" s="3"/>
      <c r="P30" s="11"/>
      <c r="Q30" s="3"/>
      <c r="R30" s="11"/>
    </row>
    <row r="31" spans="2:18" s="12" customFormat="1" x14ac:dyDescent="0.35">
      <c r="B31" s="7"/>
      <c r="D31" s="6"/>
      <c r="F31" s="6"/>
      <c r="G31" s="5"/>
      <c r="H31" s="6"/>
      <c r="I31" s="5"/>
      <c r="J31" s="6"/>
      <c r="K31" s="5"/>
      <c r="L31" s="6"/>
      <c r="M31" s="5"/>
      <c r="N31" s="6"/>
      <c r="O31" s="5"/>
      <c r="P31" s="6"/>
      <c r="Q31" s="5"/>
      <c r="R31" s="6"/>
    </row>
    <row r="32" spans="2:18" s="12" customFormat="1" collapsed="1" x14ac:dyDescent="0.35">
      <c r="B32" s="7" t="s">
        <v>278</v>
      </c>
      <c r="D32" s="8">
        <f>SUM(OSRRefD14x_0)</f>
        <v>0</v>
      </c>
      <c r="E32" s="8"/>
      <c r="F32" s="8">
        <f>SUM(OSRRefF14x_0)</f>
        <v>0</v>
      </c>
      <c r="G32" s="8"/>
      <c r="H32" s="8">
        <f>SUM(OSRRefH14x_0)</f>
        <v>0</v>
      </c>
      <c r="I32" s="8"/>
      <c r="J32" s="8">
        <f>SUM(OSRRefJ14x_0)</f>
        <v>0</v>
      </c>
      <c r="K32" s="8"/>
      <c r="L32" s="8">
        <f>SUM(OSRRefL14x_0)</f>
        <v>0</v>
      </c>
      <c r="M32" s="8"/>
      <c r="N32" s="8">
        <f>SUM(OSRRefN14x_0)</f>
        <v>0</v>
      </c>
      <c r="O32" s="8"/>
      <c r="P32" s="8">
        <f>SUM(OSRRefP14x_0)</f>
        <v>0</v>
      </c>
      <c r="Q32" s="8"/>
      <c r="R32" s="8">
        <f>SUM(OSRRefR14x_0)</f>
        <v>0</v>
      </c>
    </row>
    <row r="33" spans="1:18" s="44" customFormat="1" hidden="1" outlineLevel="1" x14ac:dyDescent="0.35">
      <c r="A33" s="16"/>
      <c r="B33" s="35" t="str">
        <f>CONCATENATE("          ", "5000", " - ", "PURCHASES @ COST")</f>
        <v xml:space="preserve">          5000 - PURCHASES @ COST</v>
      </c>
      <c r="C33" s="16"/>
      <c r="D33" s="11"/>
      <c r="E33" s="16"/>
      <c r="F33" s="11"/>
      <c r="G33" s="3"/>
      <c r="H33" s="11"/>
      <c r="I33" s="3"/>
      <c r="J33" s="11"/>
      <c r="K33" s="3"/>
      <c r="L33" s="11"/>
      <c r="M33" s="3"/>
      <c r="N33" s="11"/>
      <c r="O33" s="3"/>
      <c r="P33" s="11"/>
      <c r="Q33" s="3"/>
      <c r="R33" s="11">
        <v>0</v>
      </c>
    </row>
    <row r="34" spans="1:18" x14ac:dyDescent="0.35">
      <c r="A34" s="12"/>
      <c r="B34" s="7"/>
      <c r="C34" s="7"/>
      <c r="D34" s="6"/>
      <c r="F34" s="6"/>
      <c r="H34" s="6"/>
      <c r="J34" s="6"/>
      <c r="L34" s="6"/>
      <c r="N34" s="6"/>
      <c r="P34" s="6"/>
      <c r="R34" s="6"/>
    </row>
    <row r="35" spans="1:18" s="15" customFormat="1" x14ac:dyDescent="0.35">
      <c r="A35" s="7"/>
      <c r="B35" s="22" t="s">
        <v>107</v>
      </c>
      <c r="C35" s="22"/>
      <c r="D35" s="10">
        <f>+D10-D32</f>
        <v>451245.31999999995</v>
      </c>
      <c r="E35" s="12"/>
      <c r="F35" s="10">
        <f>+F10-F32</f>
        <v>758232.37000000011</v>
      </c>
      <c r="G35" s="5"/>
      <c r="H35" s="10">
        <f>+H10-H32</f>
        <v>704089.14999999991</v>
      </c>
      <c r="I35" s="5"/>
      <c r="J35" s="10">
        <f>+J10-J32</f>
        <v>654553.35</v>
      </c>
      <c r="K35" s="5"/>
      <c r="L35" s="10">
        <f>+L10-L32</f>
        <v>604905.52999999991</v>
      </c>
      <c r="M35" s="5"/>
      <c r="N35" s="10">
        <f>+N10-N32</f>
        <v>476956.11</v>
      </c>
      <c r="O35" s="5"/>
      <c r="P35" s="10">
        <f>+P10-P32</f>
        <v>400713</v>
      </c>
      <c r="Q35" s="5"/>
      <c r="R35" s="10">
        <f>+R10-R32</f>
        <v>405930</v>
      </c>
    </row>
    <row r="36" spans="1:18" s="27" customFormat="1" x14ac:dyDescent="0.35">
      <c r="A36" s="18"/>
      <c r="B36" s="31"/>
      <c r="C36" s="18"/>
      <c r="D36" s="9">
        <f>IFERROR(D35/D10, 0)</f>
        <v>1</v>
      </c>
      <c r="E36" s="13"/>
      <c r="F36" s="9">
        <f>IFERROR(F35/F10, 0)</f>
        <v>1</v>
      </c>
      <c r="G36" s="26"/>
      <c r="H36" s="9">
        <f>IFERROR(H35/H10, 0)</f>
        <v>1</v>
      </c>
      <c r="I36" s="26"/>
      <c r="J36" s="9">
        <f>IFERROR(J35/J10, 0)</f>
        <v>1</v>
      </c>
      <c r="K36" s="26"/>
      <c r="L36" s="9">
        <f>IFERROR(L35/L10, 0)</f>
        <v>1</v>
      </c>
      <c r="M36" s="26"/>
      <c r="N36" s="9">
        <f>IFERROR(N35/N10, 0)</f>
        <v>1</v>
      </c>
      <c r="O36" s="26"/>
      <c r="P36" s="9">
        <f>IFERROR(P35/P10, 0)</f>
        <v>1</v>
      </c>
      <c r="Q36" s="26"/>
      <c r="R36" s="9">
        <f>IFERROR(R35/R10, 0)</f>
        <v>1</v>
      </c>
    </row>
    <row r="37" spans="1:18" s="27" customFormat="1" x14ac:dyDescent="0.35">
      <c r="A37" s="18"/>
      <c r="B37" s="31"/>
      <c r="C37" s="18"/>
      <c r="D37" s="13"/>
      <c r="E37" s="13"/>
      <c r="F37" s="13"/>
      <c r="G37" s="26"/>
      <c r="H37" s="13"/>
      <c r="I37" s="26"/>
      <c r="J37" s="13"/>
      <c r="K37" s="26"/>
      <c r="L37" s="13"/>
      <c r="M37" s="26"/>
      <c r="N37" s="13"/>
      <c r="O37" s="26"/>
      <c r="P37" s="13"/>
      <c r="Q37" s="26"/>
      <c r="R37" s="13"/>
    </row>
    <row r="38" spans="1:18" s="15" customFormat="1" x14ac:dyDescent="0.35">
      <c r="A38" s="7"/>
      <c r="B38" s="34" t="s">
        <v>314</v>
      </c>
      <c r="C38" s="7"/>
      <c r="D38" s="8">
        <f>SUM(OSRRefD21x_0)</f>
        <v>363744.09000000008</v>
      </c>
      <c r="E38" s="19"/>
      <c r="F38" s="8">
        <f>SUM(OSRRefF21x_0)</f>
        <v>601071.12000000011</v>
      </c>
      <c r="G38" s="4"/>
      <c r="H38" s="8">
        <f>SUM(OSRRefH21x_0)</f>
        <v>614990.53999999992</v>
      </c>
      <c r="I38" s="4"/>
      <c r="J38" s="8">
        <f>SUM(OSRRefJ21x_0)</f>
        <v>572135.8600000001</v>
      </c>
      <c r="K38" s="4"/>
      <c r="L38" s="8">
        <f>SUM(OSRRefL21x_0)</f>
        <v>554360.44999999995</v>
      </c>
      <c r="M38" s="4"/>
      <c r="N38" s="8">
        <f>SUM(OSRRefN21x_0)</f>
        <v>502001.7699999999</v>
      </c>
      <c r="O38" s="4"/>
      <c r="P38" s="8">
        <f>SUM(OSRRefP21x_0)</f>
        <v>372736.25570964999</v>
      </c>
      <c r="Q38" s="4"/>
      <c r="R38" s="8">
        <f>SUM(OSRRefR21x_0)</f>
        <v>358578.78508969286</v>
      </c>
    </row>
    <row r="39" spans="1:18" s="15" customFormat="1" outlineLevel="1" collapsed="1" x14ac:dyDescent="0.35">
      <c r="A39" s="7"/>
      <c r="B39" s="20" t="str">
        <f>CONCATENATE("     ","*Benefits                                         ")</f>
        <v xml:space="preserve">     *Benefits                                         </v>
      </c>
      <c r="C39" s="7"/>
      <c r="D39" s="1">
        <f>SUM(OSRRefD21_0x_0)</f>
        <v>39455.32</v>
      </c>
      <c r="E39" s="19"/>
      <c r="F39" s="1">
        <f>SUM(OSRRefF21_0x_0)</f>
        <v>56382.75</v>
      </c>
      <c r="G39" s="4"/>
      <c r="H39" s="1">
        <f>SUM(OSRRefH21_0x_0)</f>
        <v>70329.289999999994</v>
      </c>
      <c r="I39" s="4"/>
      <c r="J39" s="1">
        <f>SUM(OSRRefJ21_0x_0)</f>
        <v>83437.72</v>
      </c>
      <c r="K39" s="4"/>
      <c r="L39" s="1">
        <f>SUM(OSRRefL21_0x_0)</f>
        <v>82664.88</v>
      </c>
      <c r="M39" s="4"/>
      <c r="N39" s="1">
        <f>SUM(OSRRefN21_0x_0)</f>
        <v>95091.499999999985</v>
      </c>
      <c r="O39" s="4"/>
      <c r="P39" s="1">
        <f>SUM(OSRRefP21_0x_0)</f>
        <v>80708.644409650005</v>
      </c>
      <c r="Q39" s="4"/>
      <c r="R39" s="1">
        <f>SUM(OSRRefR21_0x_0)</f>
        <v>67519.216551230842</v>
      </c>
    </row>
    <row r="40" spans="1:18" s="16" customFormat="1" hidden="1" outlineLevel="2" x14ac:dyDescent="0.35">
      <c r="B40" s="11" t="str">
        <f>CONCATENATE("          ", "6111", " - ", "F.I.C.A.")</f>
        <v xml:space="preserve">          6111 - F.I.C.A.</v>
      </c>
      <c r="D40" s="2">
        <v>6910.46</v>
      </c>
      <c r="F40" s="2">
        <v>8915.76</v>
      </c>
      <c r="G40" s="3"/>
      <c r="H40" s="2">
        <v>12226.93</v>
      </c>
      <c r="I40" s="3"/>
      <c r="J40" s="2">
        <v>13564.71</v>
      </c>
      <c r="K40" s="3"/>
      <c r="L40" s="2">
        <v>14081.23</v>
      </c>
      <c r="M40" s="3"/>
      <c r="N40" s="2">
        <v>14684.92</v>
      </c>
      <c r="O40" s="3"/>
      <c r="P40" s="2">
        <v>13770.72439965</v>
      </c>
      <c r="Q40" s="3"/>
      <c r="R40" s="2">
        <v>11844.984909692301</v>
      </c>
    </row>
    <row r="41" spans="1:18" s="16" customFormat="1" hidden="1" outlineLevel="2" x14ac:dyDescent="0.35">
      <c r="B41" s="11" t="str">
        <f>CONCATENATE("          ", "6112", " - ", "COMPENSATION INSURANCE")</f>
        <v xml:space="preserve">          6112 - COMPENSATION INSURANCE</v>
      </c>
      <c r="D41" s="2">
        <v>1592.85</v>
      </c>
      <c r="F41" s="2">
        <v>3928.97</v>
      </c>
      <c r="G41" s="3"/>
      <c r="H41" s="2">
        <v>2995.61</v>
      </c>
      <c r="I41" s="3"/>
      <c r="J41" s="2">
        <v>1848.4</v>
      </c>
      <c r="K41" s="3"/>
      <c r="L41" s="2">
        <v>1970.09</v>
      </c>
      <c r="M41" s="3"/>
      <c r="N41" s="2">
        <v>2635.06</v>
      </c>
      <c r="O41" s="3"/>
      <c r="P41" s="2">
        <v>3587.9688099999998</v>
      </c>
      <c r="Q41" s="3"/>
      <c r="R41" s="2">
        <v>2421.0530399999998</v>
      </c>
    </row>
    <row r="42" spans="1:18" s="16" customFormat="1" hidden="1" outlineLevel="2" x14ac:dyDescent="0.35">
      <c r="B42" s="11" t="str">
        <f>CONCATENATE("          ", "6113", " - ", "GROUP INSURANCE")</f>
        <v xml:space="preserve">          6113 - GROUP INSURANCE</v>
      </c>
      <c r="D42" s="2">
        <v>11207.44</v>
      </c>
      <c r="F42" s="2">
        <v>18925.080000000002</v>
      </c>
      <c r="G42" s="3"/>
      <c r="H42" s="2">
        <v>29103.19</v>
      </c>
      <c r="I42" s="3"/>
      <c r="J42" s="2">
        <v>31332.89</v>
      </c>
      <c r="K42" s="3"/>
      <c r="L42" s="2">
        <v>30175.64</v>
      </c>
      <c r="M42" s="3"/>
      <c r="N42" s="2">
        <v>35210.97</v>
      </c>
      <c r="O42" s="3"/>
      <c r="P42" s="2">
        <v>31740</v>
      </c>
      <c r="Q42" s="3"/>
      <c r="R42" s="2">
        <v>20854.5</v>
      </c>
    </row>
    <row r="43" spans="1:18" s="16" customFormat="1" hidden="1" outlineLevel="2" x14ac:dyDescent="0.35">
      <c r="B43" s="11" t="str">
        <f>CONCATENATE("          ", "6114", " - ", "STATE UNEMPLOYMENT INSURANCE")</f>
        <v xml:space="preserve">          6114 - STATE UNEMPLOYMENT INSURANCE</v>
      </c>
      <c r="D43" s="2">
        <v>646.88</v>
      </c>
      <c r="F43" s="2">
        <v>949.84</v>
      </c>
      <c r="G43" s="3"/>
      <c r="H43" s="2">
        <v>560.6</v>
      </c>
      <c r="I43" s="3"/>
      <c r="J43" s="2">
        <v>613.80999999999995</v>
      </c>
      <c r="K43" s="3"/>
      <c r="L43" s="2">
        <v>565.03</v>
      </c>
      <c r="M43" s="3"/>
      <c r="N43" s="2">
        <v>0</v>
      </c>
      <c r="O43" s="3"/>
      <c r="P43" s="2">
        <v>549.50922000000003</v>
      </c>
      <c r="Q43" s="3"/>
      <c r="R43" s="2">
        <v>325.91098615384601</v>
      </c>
    </row>
    <row r="44" spans="1:18" s="16" customFormat="1" hidden="1" outlineLevel="2" x14ac:dyDescent="0.35">
      <c r="B44" s="11" t="str">
        <f>CONCATENATE("          ", "6115", " - ", "P.E.R.S.")</f>
        <v xml:space="preserve">          6115 - P.E.R.S.</v>
      </c>
      <c r="D44" s="2">
        <v>8350.77</v>
      </c>
      <c r="F44" s="2">
        <v>7533.67</v>
      </c>
      <c r="G44" s="3"/>
      <c r="H44" s="2">
        <v>6984.78</v>
      </c>
      <c r="I44" s="3"/>
      <c r="J44" s="2">
        <v>12886.14</v>
      </c>
      <c r="K44" s="3"/>
      <c r="L44" s="2">
        <v>12936.84</v>
      </c>
      <c r="M44" s="3"/>
      <c r="N44" s="2">
        <v>15419.3</v>
      </c>
      <c r="O44" s="3"/>
      <c r="P44" s="2">
        <v>12895.04898</v>
      </c>
      <c r="Q44" s="3"/>
      <c r="R44" s="2">
        <v>11734.1244615385</v>
      </c>
    </row>
    <row r="45" spans="1:18" s="16" customFormat="1" hidden="1" outlineLevel="2" x14ac:dyDescent="0.35">
      <c r="B45" s="11" t="str">
        <f>CONCATENATE("          ", "6116", " - ", "EDUCATIONAL BENEFITS")</f>
        <v xml:space="preserve">          6116 - EDUCATIONAL BENEFITS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6" customFormat="1" hidden="1" outlineLevel="2" x14ac:dyDescent="0.35">
      <c r="B46" s="11" t="str">
        <f>CONCATENATE("          ", "6118", " - ", "VACATION")</f>
        <v xml:space="preserve">          6118 - VACATION</v>
      </c>
      <c r="D46" s="2">
        <v>5542.88</v>
      </c>
      <c r="F46" s="2">
        <v>8611.5400000000009</v>
      </c>
      <c r="G46" s="3"/>
      <c r="H46" s="2">
        <v>10854.03</v>
      </c>
      <c r="I46" s="3"/>
      <c r="J46" s="2">
        <v>12860.66</v>
      </c>
      <c r="K46" s="3"/>
      <c r="L46" s="2">
        <v>12368.46</v>
      </c>
      <c r="M46" s="3"/>
      <c r="N46" s="2">
        <v>15421.46</v>
      </c>
      <c r="O46" s="3"/>
      <c r="P46" s="2">
        <v>12435.9701</v>
      </c>
      <c r="Q46" s="3"/>
      <c r="R46" s="2">
        <v>10185.0757692308</v>
      </c>
    </row>
    <row r="47" spans="1:18" s="16" customFormat="1" hidden="1" outlineLevel="2" x14ac:dyDescent="0.35">
      <c r="B47" s="11" t="str">
        <f>CONCATENATE("          ", "6119", " - ", "SICK LEAVE")</f>
        <v xml:space="preserve">          6119 - SICK LEAVE</v>
      </c>
      <c r="D47" s="2">
        <v>3458.06</v>
      </c>
      <c r="F47" s="2">
        <v>5758.84</v>
      </c>
      <c r="G47" s="3"/>
      <c r="H47" s="2">
        <v>5884.45</v>
      </c>
      <c r="I47" s="3"/>
      <c r="J47" s="2">
        <v>6982.83</v>
      </c>
      <c r="K47" s="3"/>
      <c r="L47" s="2">
        <v>7379.39</v>
      </c>
      <c r="M47" s="3"/>
      <c r="N47" s="2">
        <v>9133.2800000000007</v>
      </c>
      <c r="O47" s="3"/>
      <c r="P47" s="2">
        <v>5729.4228999999996</v>
      </c>
      <c r="Q47" s="3"/>
      <c r="R47" s="2">
        <v>5078.5673846153904</v>
      </c>
    </row>
    <row r="48" spans="1:18" s="16" customFormat="1" hidden="1" outlineLevel="2" x14ac:dyDescent="0.35">
      <c r="B48" s="11" t="str">
        <f>CONCATENATE("          ", "6156", " - ", "EMPLOYEE MEALS")</f>
        <v xml:space="preserve">          6156 - EMPLOYEE MEALS</v>
      </c>
      <c r="D48" s="2">
        <v>1745.98</v>
      </c>
      <c r="F48" s="2">
        <v>1759.05</v>
      </c>
      <c r="G48" s="3"/>
      <c r="H48" s="2">
        <v>1719.7</v>
      </c>
      <c r="I48" s="3"/>
      <c r="J48" s="2">
        <v>3348.28</v>
      </c>
      <c r="K48" s="3"/>
      <c r="L48" s="2">
        <v>3188.2</v>
      </c>
      <c r="M48" s="3"/>
      <c r="N48" s="2">
        <v>2586.5100000000002</v>
      </c>
      <c r="O48" s="3"/>
      <c r="P48" s="2"/>
      <c r="Q48" s="3"/>
      <c r="R48" s="2">
        <v>5075</v>
      </c>
    </row>
    <row r="49" spans="1:18" s="15" customFormat="1" outlineLevel="1" collapsed="1" x14ac:dyDescent="0.35">
      <c r="A49" s="7"/>
      <c r="B49" s="20" t="str">
        <f>CONCATENATE("     ","*Payroll                                          ")</f>
        <v xml:space="preserve">     *Payroll                                          </v>
      </c>
      <c r="C49" s="7"/>
      <c r="D49" s="1">
        <f>SUM(OSRRefD21_1x_0)</f>
        <v>103235.62999999999</v>
      </c>
      <c r="E49" s="19"/>
      <c r="F49" s="1">
        <f>SUM(OSRRefF21_1x_0)</f>
        <v>143822.35</v>
      </c>
      <c r="G49" s="4"/>
      <c r="H49" s="1">
        <f>SUM(OSRRefH21_1x_0)</f>
        <v>176655.6</v>
      </c>
      <c r="I49" s="4"/>
      <c r="J49" s="1">
        <f>SUM(OSRRefJ21_1x_0)</f>
        <v>179742.06000000003</v>
      </c>
      <c r="K49" s="4"/>
      <c r="L49" s="1">
        <f>SUM(OSRRefL21_1x_0)</f>
        <v>188083.06</v>
      </c>
      <c r="M49" s="4"/>
      <c r="N49" s="1">
        <f>SUM(OSRRefN21_1x_0)</f>
        <v>181885.82</v>
      </c>
      <c r="O49" s="4"/>
      <c r="P49" s="1">
        <f>SUM(OSRRefP21_1x_0)</f>
        <v>132567.61129999999</v>
      </c>
      <c r="Q49" s="4"/>
      <c r="R49" s="1">
        <f>SUM(OSRRefR21_1x_0)</f>
        <v>141219.56853846202</v>
      </c>
    </row>
    <row r="50" spans="1:18" s="16" customFormat="1" hidden="1" outlineLevel="2" x14ac:dyDescent="0.35">
      <c r="B50" s="11" t="str">
        <f>CONCATENATE("          ", "6001", " - ", "ADMINISTRATIVE SALARIES")</f>
        <v xml:space="preserve">          6001 - ADMINISTRATIVE SALARIES</v>
      </c>
      <c r="D50" s="2"/>
      <c r="F50" s="2"/>
      <c r="G50" s="3"/>
      <c r="H50" s="2"/>
      <c r="I50" s="3"/>
      <c r="J50" s="2"/>
      <c r="K50" s="3"/>
      <c r="L50" s="2"/>
      <c r="M50" s="3"/>
      <c r="N50" s="2"/>
      <c r="O50" s="3"/>
      <c r="P50" s="2">
        <v>0</v>
      </c>
      <c r="Q50" s="3"/>
      <c r="R50" s="2">
        <v>0</v>
      </c>
    </row>
    <row r="51" spans="1:18" s="16" customFormat="1" hidden="1" outlineLevel="2" x14ac:dyDescent="0.35">
      <c r="B51" s="11" t="str">
        <f>CONCATENATE("          ", "6002", " - ", "STAFF SALARIES")</f>
        <v xml:space="preserve">          6002 - STAFF SALARIES</v>
      </c>
      <c r="D51" s="2">
        <v>54574.84</v>
      </c>
      <c r="F51" s="2">
        <v>83516.69</v>
      </c>
      <c r="G51" s="3"/>
      <c r="H51" s="2">
        <v>115652.92</v>
      </c>
      <c r="I51" s="3"/>
      <c r="J51" s="2">
        <v>119317.46</v>
      </c>
      <c r="K51" s="3"/>
      <c r="L51" s="2">
        <v>121661.11</v>
      </c>
      <c r="M51" s="3"/>
      <c r="N51" s="2">
        <v>129455.66</v>
      </c>
      <c r="O51" s="3"/>
      <c r="P51" s="2">
        <v>132567.61129999999</v>
      </c>
      <c r="Q51" s="3"/>
      <c r="R51" s="2">
        <v>121742.23653846201</v>
      </c>
    </row>
    <row r="52" spans="1:18" s="16" customFormat="1" hidden="1" outlineLevel="2" x14ac:dyDescent="0.35">
      <c r="B52" s="11" t="str">
        <f>CONCATENATE("          ", "6003", " - ", "STAFF HOURLY-9 MONTH")</f>
        <v xml:space="preserve">          6003 - STAFF HOURLY-9 MONTH</v>
      </c>
      <c r="D52" s="2"/>
      <c r="F52" s="2"/>
      <c r="G52" s="3"/>
      <c r="H52" s="2"/>
      <c r="I52" s="3"/>
      <c r="J52" s="2"/>
      <c r="K52" s="3"/>
      <c r="L52" s="2"/>
      <c r="M52" s="3"/>
      <c r="N52" s="2"/>
      <c r="O52" s="3"/>
      <c r="P52" s="2">
        <v>0</v>
      </c>
      <c r="Q52" s="3"/>
      <c r="R52" s="2">
        <v>0</v>
      </c>
    </row>
    <row r="53" spans="1:18" s="16" customFormat="1" hidden="1" outlineLevel="2" x14ac:dyDescent="0.35">
      <c r="B53" s="11" t="str">
        <f>CONCATENATE("          ", "6004", " - ", "STAFF HOURLY")</f>
        <v xml:space="preserve">          6004 - STAFF HOURLY</v>
      </c>
      <c r="D53" s="2"/>
      <c r="F53" s="2"/>
      <c r="G53" s="3"/>
      <c r="H53" s="2"/>
      <c r="I53" s="3"/>
      <c r="J53" s="2"/>
      <c r="K53" s="3"/>
      <c r="L53" s="2"/>
      <c r="M53" s="3"/>
      <c r="N53" s="2"/>
      <c r="O53" s="3"/>
      <c r="P53" s="2">
        <v>0</v>
      </c>
      <c r="Q53" s="3"/>
      <c r="R53" s="2">
        <v>8523.9</v>
      </c>
    </row>
    <row r="54" spans="1:18" s="16" customFormat="1" hidden="1" outlineLevel="2" x14ac:dyDescent="0.35">
      <c r="B54" s="11" t="str">
        <f>CONCATENATE("          ", "6005", " - ", "TEMPORARY WAGES-HOURLY")</f>
        <v xml:space="preserve">          6005 - TEMPORARY WAGES-HOURLY</v>
      </c>
      <c r="D54" s="2">
        <v>15459.64</v>
      </c>
      <c r="F54" s="2">
        <v>20016.650000000001</v>
      </c>
      <c r="G54" s="3"/>
      <c r="H54" s="2">
        <v>13288.34</v>
      </c>
      <c r="I54" s="3"/>
      <c r="J54" s="2">
        <v>15728.56</v>
      </c>
      <c r="K54" s="3"/>
      <c r="L54" s="2">
        <v>18456.3</v>
      </c>
      <c r="M54" s="3"/>
      <c r="N54" s="2">
        <v>18111.36</v>
      </c>
      <c r="O54" s="3"/>
      <c r="P54" s="2">
        <v>0</v>
      </c>
      <c r="Q54" s="3"/>
      <c r="R54" s="2">
        <v>0</v>
      </c>
    </row>
    <row r="55" spans="1:18" s="16" customFormat="1" hidden="1" outlineLevel="2" x14ac:dyDescent="0.35">
      <c r="B55" s="11" t="str">
        <f>CONCATENATE("          ", "6006", " - ", "TEMPORARY PART TIME")</f>
        <v xml:space="preserve">          6006 - TEMPORARY PART TIME</v>
      </c>
      <c r="D55" s="2">
        <v>10122.290000000001</v>
      </c>
      <c r="F55" s="2">
        <v>31.5</v>
      </c>
      <c r="G55" s="3"/>
      <c r="H55" s="2">
        <v>5162.83</v>
      </c>
      <c r="I55" s="3"/>
      <c r="J55" s="2">
        <v>814.88</v>
      </c>
      <c r="K55" s="3"/>
      <c r="L55" s="2">
        <v>9019.65</v>
      </c>
      <c r="M55" s="3"/>
      <c r="N55" s="2">
        <v>2451.21</v>
      </c>
      <c r="O55" s="3"/>
      <c r="P55" s="2">
        <v>0</v>
      </c>
      <c r="Q55" s="3"/>
      <c r="R55" s="2">
        <v>0</v>
      </c>
    </row>
    <row r="56" spans="1:18" s="16" customFormat="1" hidden="1" outlineLevel="2" x14ac:dyDescent="0.35">
      <c r="B56" s="11" t="str">
        <f>CONCATENATE("          ", "6007", " - ", "STUDENT HOURLY")</f>
        <v xml:space="preserve">          6007 - STUDENT HOURLY</v>
      </c>
      <c r="D56" s="2">
        <v>23078.86</v>
      </c>
      <c r="F56" s="2">
        <v>40257.51</v>
      </c>
      <c r="G56" s="3"/>
      <c r="H56" s="2">
        <v>42551.51</v>
      </c>
      <c r="I56" s="3"/>
      <c r="J56" s="2">
        <v>43881.16</v>
      </c>
      <c r="K56" s="3"/>
      <c r="L56" s="2">
        <v>38946</v>
      </c>
      <c r="M56" s="3"/>
      <c r="N56" s="2">
        <v>31867.59</v>
      </c>
      <c r="O56" s="3"/>
      <c r="P56" s="2">
        <v>0</v>
      </c>
      <c r="Q56" s="3"/>
      <c r="R56" s="2">
        <v>10520.832</v>
      </c>
    </row>
    <row r="57" spans="1:18" s="16" customFormat="1" hidden="1" outlineLevel="2" x14ac:dyDescent="0.35">
      <c r="B57" s="11" t="str">
        <f>CONCATENATE("          ", "6008", " - ", "STUDENT HOURLY-FICA EXEMPT")</f>
        <v xml:space="preserve">          6008 - STUDENT HOURLY-FICA EXEMPT</v>
      </c>
      <c r="D57" s="2"/>
      <c r="F57" s="2"/>
      <c r="G57" s="3"/>
      <c r="H57" s="2"/>
      <c r="I57" s="3"/>
      <c r="J57" s="2"/>
      <c r="K57" s="3"/>
      <c r="L57" s="2"/>
      <c r="M57" s="3"/>
      <c r="N57" s="2"/>
      <c r="O57" s="3"/>
      <c r="P57" s="2">
        <v>0</v>
      </c>
      <c r="Q57" s="3"/>
      <c r="R57" s="2">
        <v>432.6</v>
      </c>
    </row>
    <row r="58" spans="1:18" s="16" customFormat="1" hidden="1" outlineLevel="2" x14ac:dyDescent="0.35">
      <c r="B58" s="11" t="str">
        <f>CONCATENATE("          ", "6009", " - ", "TEMPORARY-SEASONAL")</f>
        <v xml:space="preserve">          6009 - TEMPORARY-SEASONAL</v>
      </c>
      <c r="D58" s="2"/>
      <c r="F58" s="2"/>
      <c r="G58" s="3"/>
      <c r="H58" s="2"/>
      <c r="I58" s="3"/>
      <c r="J58" s="2"/>
      <c r="K58" s="3"/>
      <c r="L58" s="2"/>
      <c r="M58" s="3"/>
      <c r="N58" s="2"/>
      <c r="O58" s="3"/>
      <c r="P58" s="2">
        <v>0</v>
      </c>
      <c r="Q58" s="3"/>
      <c r="R58" s="2">
        <v>0</v>
      </c>
    </row>
    <row r="59" spans="1:18" s="16" customFormat="1" hidden="1" outlineLevel="2" x14ac:dyDescent="0.35">
      <c r="B59" s="11" t="str">
        <f>CONCATENATE("          ", "6010", " - ", "GRATUITY")</f>
        <v xml:space="preserve">          6010 - GRATUITY</v>
      </c>
      <c r="D59" s="2"/>
      <c r="F59" s="2"/>
      <c r="G59" s="3"/>
      <c r="H59" s="2"/>
      <c r="I59" s="3"/>
      <c r="J59" s="2"/>
      <c r="K59" s="3"/>
      <c r="L59" s="2"/>
      <c r="M59" s="3"/>
      <c r="N59" s="2"/>
      <c r="O59" s="3"/>
      <c r="P59" s="2">
        <v>0</v>
      </c>
      <c r="Q59" s="3"/>
      <c r="R59" s="2">
        <v>0</v>
      </c>
    </row>
    <row r="60" spans="1:18" s="15" customFormat="1" outlineLevel="1" collapsed="1" x14ac:dyDescent="0.35">
      <c r="A60" s="7"/>
      <c r="B60" s="20" t="str">
        <f>CONCATENATE("     ","Advertising/Promo                                 ")</f>
        <v xml:space="preserve">     Advertising/Promo                                 </v>
      </c>
      <c r="C60" s="7"/>
      <c r="D60" s="1">
        <f>SUM(OSRRefD21_2x_0)</f>
        <v>899.77</v>
      </c>
      <c r="E60" s="19"/>
      <c r="F60" s="1">
        <f>SUM(OSRRefF21_2x_0)</f>
        <v>291.73</v>
      </c>
      <c r="G60" s="4"/>
      <c r="H60" s="1">
        <f>SUM(OSRRefH21_2x_0)</f>
        <v>860.48</v>
      </c>
      <c r="I60" s="4"/>
      <c r="J60" s="1">
        <f>SUM(OSRRefJ21_2x_0)</f>
        <v>564.59</v>
      </c>
      <c r="K60" s="4"/>
      <c r="L60" s="1">
        <f>SUM(OSRRefL21_2x_0)</f>
        <v>1083.07</v>
      </c>
      <c r="M60" s="4"/>
      <c r="N60" s="1">
        <f>SUM(OSRRefN21_2x_0)</f>
        <v>751</v>
      </c>
      <c r="O60" s="4"/>
      <c r="P60" s="1">
        <f>SUM(OSRRefP21_2x_0)</f>
        <v>600</v>
      </c>
      <c r="Q60" s="4"/>
      <c r="R60" s="1">
        <f>SUM(OSRRefR21_2x_0)</f>
        <v>600</v>
      </c>
    </row>
    <row r="61" spans="1:18" s="16" customFormat="1" hidden="1" outlineLevel="2" x14ac:dyDescent="0.35">
      <c r="B61" s="11" t="str">
        <f>CONCATENATE("          ", "6362", " - ", "ADVERTISING EXPENSE")</f>
        <v xml:space="preserve">          6362 - ADVERTISING EXPENSE</v>
      </c>
      <c r="D61" s="2">
        <v>899.77</v>
      </c>
      <c r="F61" s="2">
        <v>291.73</v>
      </c>
      <c r="G61" s="3"/>
      <c r="H61" s="2">
        <v>860.48</v>
      </c>
      <c r="I61" s="3"/>
      <c r="J61" s="2">
        <v>564.59</v>
      </c>
      <c r="K61" s="3"/>
      <c r="L61" s="2">
        <v>1083.07</v>
      </c>
      <c r="M61" s="3"/>
      <c r="N61" s="2">
        <v>751</v>
      </c>
      <c r="O61" s="3"/>
      <c r="P61" s="2">
        <v>600</v>
      </c>
      <c r="Q61" s="3"/>
      <c r="R61" s="2">
        <v>600</v>
      </c>
    </row>
    <row r="62" spans="1:18" s="15" customFormat="1" outlineLevel="1" collapsed="1" x14ac:dyDescent="0.35">
      <c r="A62" s="7"/>
      <c r="B62" s="20" t="str">
        <f>CONCATENATE("     ","Depreciation                                      ")</f>
        <v xml:space="preserve">     Depreciation                                      </v>
      </c>
      <c r="C62" s="7"/>
      <c r="D62" s="1">
        <f>SUM(OSRRefD21_3x_0)</f>
        <v>3436.12</v>
      </c>
      <c r="E62" s="19"/>
      <c r="F62" s="1">
        <f>SUM(OSRRefF21_3x_0)</f>
        <v>9758.7000000000007</v>
      </c>
      <c r="G62" s="4"/>
      <c r="H62" s="1">
        <f>SUM(OSRRefH21_3x_0)</f>
        <v>6663.46</v>
      </c>
      <c r="I62" s="4"/>
      <c r="J62" s="1">
        <f>SUM(OSRRefJ21_3x_0)</f>
        <v>555.29999999999995</v>
      </c>
      <c r="K62" s="4"/>
      <c r="L62" s="1">
        <f>SUM(OSRRefL21_3x_0)</f>
        <v>0</v>
      </c>
      <c r="M62" s="4"/>
      <c r="N62" s="1">
        <f>SUM(OSRRefN21_3x_0)</f>
        <v>1189.18</v>
      </c>
      <c r="O62" s="4"/>
      <c r="P62" s="1">
        <f>SUM(OSRRefP21_3x_0)</f>
        <v>2040</v>
      </c>
      <c r="Q62" s="4"/>
      <c r="R62" s="1">
        <f>SUM(OSRRefR21_3x_0)</f>
        <v>2040</v>
      </c>
    </row>
    <row r="63" spans="1:18" s="16" customFormat="1" hidden="1" outlineLevel="2" x14ac:dyDescent="0.35">
      <c r="B63" s="11" t="str">
        <f>CONCATENATE("          ", "6322", " - ", "EQUIPMENT DEPRECIATION EXPENSE")</f>
        <v xml:space="preserve">          6322 - EQUIPMENT DEPRECIATION EXPENSE</v>
      </c>
      <c r="D63" s="2">
        <v>3436.12</v>
      </c>
      <c r="F63" s="2">
        <v>9758.7000000000007</v>
      </c>
      <c r="G63" s="3"/>
      <c r="H63" s="2">
        <v>6663.46</v>
      </c>
      <c r="I63" s="3"/>
      <c r="J63" s="2">
        <v>555.29999999999995</v>
      </c>
      <c r="K63" s="3"/>
      <c r="L63" s="2"/>
      <c r="M63" s="3"/>
      <c r="N63" s="2">
        <v>1189.18</v>
      </c>
      <c r="O63" s="3"/>
      <c r="P63" s="2">
        <v>2040</v>
      </c>
      <c r="Q63" s="3"/>
      <c r="R63" s="2">
        <v>2040</v>
      </c>
    </row>
    <row r="64" spans="1:18" s="15" customFormat="1" outlineLevel="1" collapsed="1" x14ac:dyDescent="0.35">
      <c r="A64" s="7"/>
      <c r="B64" s="20" t="str">
        <f>CONCATENATE("     ","Discounts and Markdowns                           ")</f>
        <v xml:space="preserve">     Discounts and Markdowns                           </v>
      </c>
      <c r="C64" s="7"/>
      <c r="D64" s="1">
        <f>SUM(OSRRefD21_4x_0)</f>
        <v>10802.04</v>
      </c>
      <c r="E64" s="19"/>
      <c r="F64" s="1">
        <f>SUM(OSRRefF21_4x_0)</f>
        <v>8572.74</v>
      </c>
      <c r="G64" s="4"/>
      <c r="H64" s="1">
        <f>SUM(OSRRefH21_4x_0)</f>
        <v>4956.93</v>
      </c>
      <c r="I64" s="4"/>
      <c r="J64" s="1">
        <f>SUM(OSRRefJ21_4x_0)</f>
        <v>2805.2</v>
      </c>
      <c r="K64" s="4"/>
      <c r="L64" s="1">
        <f>SUM(OSRRefL21_4x_0)</f>
        <v>1658.33</v>
      </c>
      <c r="M64" s="4"/>
      <c r="N64" s="1">
        <f>SUM(OSRRefN21_4x_0)</f>
        <v>726.07</v>
      </c>
      <c r="O64" s="4"/>
      <c r="P64" s="1">
        <f>SUM(OSRRefP21_4x_0)</f>
        <v>600</v>
      </c>
      <c r="Q64" s="4"/>
      <c r="R64" s="1">
        <f>SUM(OSRRefR21_4x_0)</f>
        <v>0</v>
      </c>
    </row>
    <row r="65" spans="1:18" s="16" customFormat="1" hidden="1" outlineLevel="2" x14ac:dyDescent="0.35">
      <c r="B65" s="11" t="str">
        <f>CONCATENATE("          ", "6382", " - ", "DISCOUNTS/MARK DOWNS")</f>
        <v xml:space="preserve">          6382 - DISCOUNTS/MARK DOWNS</v>
      </c>
      <c r="D65" s="2">
        <v>10802.04</v>
      </c>
      <c r="F65" s="2">
        <v>8572.74</v>
      </c>
      <c r="G65" s="3"/>
      <c r="H65" s="2">
        <v>4956.93</v>
      </c>
      <c r="I65" s="3"/>
      <c r="J65" s="2">
        <v>2805.2</v>
      </c>
      <c r="K65" s="3"/>
      <c r="L65" s="2">
        <v>1658.33</v>
      </c>
      <c r="M65" s="3"/>
      <c r="N65" s="2">
        <v>726.07</v>
      </c>
      <c r="O65" s="3"/>
      <c r="P65" s="2">
        <v>600</v>
      </c>
      <c r="Q65" s="3"/>
      <c r="R65" s="2"/>
    </row>
    <row r="66" spans="1:18" s="15" customFormat="1" outlineLevel="1" collapsed="1" x14ac:dyDescent="0.35">
      <c r="A66" s="7"/>
      <c r="B66" s="20" t="str">
        <f>CONCATENATE("     ","Employees' Appreciation                           ")</f>
        <v xml:space="preserve">     Employees' Appreciation                           </v>
      </c>
      <c r="C66" s="7"/>
      <c r="D66" s="1">
        <f>SUM(OSRRefD21_5x_0)</f>
        <v>0</v>
      </c>
      <c r="E66" s="19"/>
      <c r="F66" s="1">
        <f>SUM(OSRRefF21_5x_0)</f>
        <v>71.400000000000006</v>
      </c>
      <c r="G66" s="4"/>
      <c r="H66" s="1">
        <f>SUM(OSRRefH21_5x_0)</f>
        <v>42.12</v>
      </c>
      <c r="I66" s="4"/>
      <c r="J66" s="1">
        <f>SUM(OSRRefJ21_5x_0)</f>
        <v>30.81</v>
      </c>
      <c r="K66" s="4"/>
      <c r="L66" s="1">
        <f>SUM(OSRRefL21_5x_0)</f>
        <v>0</v>
      </c>
      <c r="M66" s="4"/>
      <c r="N66" s="1">
        <f>SUM(OSRRefN21_5x_0)</f>
        <v>0</v>
      </c>
      <c r="O66" s="4"/>
      <c r="P66" s="1">
        <f>SUM(OSRRefP21_5x_0)</f>
        <v>0</v>
      </c>
      <c r="Q66" s="4"/>
      <c r="R66" s="1">
        <f>SUM(OSRRefR21_5x_0)</f>
        <v>0</v>
      </c>
    </row>
    <row r="67" spans="1:18" s="16" customFormat="1" hidden="1" outlineLevel="2" x14ac:dyDescent="0.35">
      <c r="B67" s="11" t="str">
        <f>CONCATENATE("          ", "6277", " - ", "EMPLOYEE APPRECIATION")</f>
        <v xml:space="preserve">          6277 - EMPLOYEE APPRECIATION</v>
      </c>
      <c r="D67" s="2"/>
      <c r="F67" s="2">
        <v>71.400000000000006</v>
      </c>
      <c r="G67" s="3"/>
      <c r="H67" s="2">
        <v>42.12</v>
      </c>
      <c r="I67" s="3"/>
      <c r="J67" s="2">
        <v>30.81</v>
      </c>
      <c r="K67" s="3"/>
      <c r="L67" s="2"/>
      <c r="M67" s="3"/>
      <c r="N67" s="2"/>
      <c r="O67" s="3"/>
      <c r="P67" s="2"/>
      <c r="Q67" s="3"/>
      <c r="R67" s="2"/>
    </row>
    <row r="68" spans="1:18" s="15" customFormat="1" outlineLevel="1" collapsed="1" x14ac:dyDescent="0.35">
      <c r="A68" s="7"/>
      <c r="B68" s="20" t="str">
        <f>CONCATENATE("     ","Equipment Rental                                  ")</f>
        <v xml:space="preserve">     Equipment Rental                                  </v>
      </c>
      <c r="C68" s="7"/>
      <c r="D68" s="1">
        <f>SUM(OSRRefD21_6x_0)</f>
        <v>13106.9</v>
      </c>
      <c r="E68" s="19"/>
      <c r="F68" s="1">
        <f>SUM(OSRRefF21_6x_0)</f>
        <v>35448.559999999998</v>
      </c>
      <c r="G68" s="4"/>
      <c r="H68" s="1">
        <f>SUM(OSRRefH21_6x_0)</f>
        <v>37430.5</v>
      </c>
      <c r="I68" s="4"/>
      <c r="J68" s="1">
        <f>SUM(OSRRefJ21_6x_0)</f>
        <v>38446.31</v>
      </c>
      <c r="K68" s="4"/>
      <c r="L68" s="1">
        <f>SUM(OSRRefL21_6x_0)</f>
        <v>38555.11</v>
      </c>
      <c r="M68" s="4"/>
      <c r="N68" s="1">
        <f>SUM(OSRRefN21_6x_0)</f>
        <v>17287.349999999999</v>
      </c>
      <c r="O68" s="4"/>
      <c r="P68" s="1">
        <f>SUM(OSRRefP21_6x_0)</f>
        <v>14472</v>
      </c>
      <c r="Q68" s="4"/>
      <c r="R68" s="1">
        <f>SUM(OSRRefR21_6x_0)</f>
        <v>15400</v>
      </c>
    </row>
    <row r="69" spans="1:18" s="16" customFormat="1" hidden="1" outlineLevel="2" x14ac:dyDescent="0.35">
      <c r="B69" s="11" t="str">
        <f>CONCATENATE("          ", "6351", " - ", "EQUIPMENT RENTAL")</f>
        <v xml:space="preserve">          6351 - EQUIPMENT RENTAL</v>
      </c>
      <c r="D69" s="2">
        <v>13106.9</v>
      </c>
      <c r="F69" s="2">
        <v>35448.559999999998</v>
      </c>
      <c r="G69" s="3"/>
      <c r="H69" s="2">
        <v>37430.5</v>
      </c>
      <c r="I69" s="3"/>
      <c r="J69" s="2">
        <v>38446.31</v>
      </c>
      <c r="K69" s="3"/>
      <c r="L69" s="2">
        <v>38555.11</v>
      </c>
      <c r="M69" s="3"/>
      <c r="N69" s="2">
        <v>17287.349999999999</v>
      </c>
      <c r="O69" s="3"/>
      <c r="P69" s="2">
        <v>14472</v>
      </c>
      <c r="Q69" s="3"/>
      <c r="R69" s="2">
        <v>15400</v>
      </c>
    </row>
    <row r="70" spans="1:18" s="15" customFormat="1" outlineLevel="1" collapsed="1" x14ac:dyDescent="0.35">
      <c r="A70" s="7"/>
      <c r="B70" s="20" t="str">
        <f>CONCATENATE("     ","Freight out/Postage                               ")</f>
        <v xml:space="preserve">     Freight out/Postage                               </v>
      </c>
      <c r="C70" s="7"/>
      <c r="D70" s="1">
        <f>SUM(OSRRefD21_7x_0)</f>
        <v>237.54999999999998</v>
      </c>
      <c r="E70" s="19"/>
      <c r="F70" s="1">
        <f>SUM(OSRRefF21_7x_0)</f>
        <v>1901.96</v>
      </c>
      <c r="G70" s="4"/>
      <c r="H70" s="1">
        <f>SUM(OSRRefH21_7x_0)</f>
        <v>2253.8000000000002</v>
      </c>
      <c r="I70" s="4"/>
      <c r="J70" s="1">
        <f>SUM(OSRRefJ21_7x_0)</f>
        <v>12.15</v>
      </c>
      <c r="K70" s="4"/>
      <c r="L70" s="1">
        <f>SUM(OSRRefL21_7x_0)</f>
        <v>0.95</v>
      </c>
      <c r="M70" s="4"/>
      <c r="N70" s="1">
        <f>SUM(OSRRefN21_7x_0)</f>
        <v>15.02</v>
      </c>
      <c r="O70" s="4"/>
      <c r="P70" s="1">
        <f>SUM(OSRRefP21_7x_0)</f>
        <v>7168</v>
      </c>
      <c r="Q70" s="4"/>
      <c r="R70" s="1">
        <f>SUM(OSRRefR21_7x_0)</f>
        <v>-35700</v>
      </c>
    </row>
    <row r="71" spans="1:18" s="16" customFormat="1" hidden="1" outlineLevel="2" x14ac:dyDescent="0.35">
      <c r="B71" s="11" t="str">
        <f>CONCATENATE("          ", "6305", " - ", "FREIGHT OUT")</f>
        <v xml:space="preserve">          6305 - FREIGHT OUT</v>
      </c>
      <c r="D71" s="2">
        <v>7.13</v>
      </c>
      <c r="F71" s="2">
        <v>318.2</v>
      </c>
      <c r="G71" s="3"/>
      <c r="H71" s="2">
        <v>117.17</v>
      </c>
      <c r="I71" s="3"/>
      <c r="J71" s="2">
        <v>12.15</v>
      </c>
      <c r="K71" s="3"/>
      <c r="L71" s="2"/>
      <c r="M71" s="3"/>
      <c r="N71" s="2">
        <v>15.02</v>
      </c>
      <c r="O71" s="3"/>
      <c r="P71" s="2">
        <v>38710</v>
      </c>
      <c r="Q71" s="3"/>
      <c r="R71" s="2">
        <v>138800</v>
      </c>
    </row>
    <row r="72" spans="1:18" s="16" customFormat="1" hidden="1" outlineLevel="2" x14ac:dyDescent="0.35">
      <c r="B72" s="11" t="str">
        <f>CONCATENATE("          ", "6307", " - ", "POSTAGE")</f>
        <v xml:space="preserve">          6307 - POSTAGE</v>
      </c>
      <c r="D72" s="2">
        <v>230.42</v>
      </c>
      <c r="F72" s="2">
        <v>1583.76</v>
      </c>
      <c r="G72" s="3"/>
      <c r="H72" s="2">
        <v>2136.63</v>
      </c>
      <c r="I72" s="3"/>
      <c r="J72" s="2"/>
      <c r="K72" s="3"/>
      <c r="L72" s="2">
        <v>0.95</v>
      </c>
      <c r="M72" s="3"/>
      <c r="N72" s="2"/>
      <c r="O72" s="3"/>
      <c r="P72" s="2">
        <v>-31542</v>
      </c>
      <c r="Q72" s="3"/>
      <c r="R72" s="2">
        <v>-174500</v>
      </c>
    </row>
    <row r="73" spans="1:18" s="15" customFormat="1" outlineLevel="1" collapsed="1" x14ac:dyDescent="0.35">
      <c r="A73" s="7"/>
      <c r="B73" s="20" t="str">
        <f>CONCATENATE("     ","General                                           ")</f>
        <v xml:space="preserve">     General                                           </v>
      </c>
      <c r="C73" s="7"/>
      <c r="D73" s="1">
        <f>SUM(OSRRefD21_8x_0)</f>
        <v>0</v>
      </c>
      <c r="E73" s="19"/>
      <c r="F73" s="1">
        <f>SUM(OSRRefF21_8x_0)</f>
        <v>0</v>
      </c>
      <c r="G73" s="4"/>
      <c r="H73" s="1">
        <f>SUM(OSRRefH21_8x_0)</f>
        <v>53.92</v>
      </c>
      <c r="I73" s="4"/>
      <c r="J73" s="1">
        <f>SUM(OSRRefJ21_8x_0)</f>
        <v>26.54</v>
      </c>
      <c r="K73" s="4"/>
      <c r="L73" s="1">
        <f>SUM(OSRRefL21_8x_0)</f>
        <v>207.86</v>
      </c>
      <c r="M73" s="4"/>
      <c r="N73" s="1">
        <f>SUM(OSRRefN21_8x_0)</f>
        <v>75</v>
      </c>
      <c r="O73" s="4"/>
      <c r="P73" s="1">
        <f>SUM(OSRRefP21_8x_0)</f>
        <v>0</v>
      </c>
      <c r="Q73" s="4"/>
      <c r="R73" s="1">
        <f>SUM(OSRRefR21_8x_0)</f>
        <v>0</v>
      </c>
    </row>
    <row r="74" spans="1:18" s="16" customFormat="1" hidden="1" outlineLevel="2" x14ac:dyDescent="0.35">
      <c r="B74" s="11" t="str">
        <f>CONCATENATE("          ", "6279", " - ", "GENERAL EXPENSE")</f>
        <v xml:space="preserve">          6279 - GENERAL EXPENSE</v>
      </c>
      <c r="D74" s="2"/>
      <c r="F74" s="2"/>
      <c r="G74" s="3"/>
      <c r="H74" s="2">
        <v>53.92</v>
      </c>
      <c r="I74" s="3"/>
      <c r="J74" s="2">
        <v>26.54</v>
      </c>
      <c r="K74" s="3"/>
      <c r="L74" s="2">
        <v>207.86</v>
      </c>
      <c r="M74" s="3"/>
      <c r="N74" s="2">
        <v>75</v>
      </c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","Repair and Maintenance                            ")</f>
        <v xml:space="preserve">     Repair and Maintenance                            </v>
      </c>
      <c r="C75" s="7"/>
      <c r="D75" s="1">
        <f>SUM(OSRRefD21_9x_0)</f>
        <v>46221.23</v>
      </c>
      <c r="E75" s="19"/>
      <c r="F75" s="1">
        <f>SUM(OSRRefF21_9x_0)</f>
        <v>104317.14</v>
      </c>
      <c r="G75" s="4"/>
      <c r="H75" s="1">
        <f>SUM(OSRRefH21_9x_0)</f>
        <v>89547.150000000009</v>
      </c>
      <c r="I75" s="4"/>
      <c r="J75" s="1">
        <f>SUM(OSRRefJ21_9x_0)</f>
        <v>79371.520000000004</v>
      </c>
      <c r="K75" s="4"/>
      <c r="L75" s="1">
        <f>SUM(OSRRefL21_9x_0)</f>
        <v>72957.009999999995</v>
      </c>
      <c r="M75" s="4"/>
      <c r="N75" s="1">
        <f>SUM(OSRRefN21_9x_0)</f>
        <v>74977.819999999992</v>
      </c>
      <c r="O75" s="4"/>
      <c r="P75" s="1">
        <f>SUM(OSRRefP21_9x_0)</f>
        <v>65000</v>
      </c>
      <c r="Q75" s="4"/>
      <c r="R75" s="1">
        <f>SUM(OSRRefR21_9x_0)</f>
        <v>66100</v>
      </c>
    </row>
    <row r="76" spans="1:18" s="16" customFormat="1" hidden="1" outlineLevel="2" x14ac:dyDescent="0.35">
      <c r="B76" s="11" t="str">
        <f>CONCATENATE("          ", "6371", " - ", "COMPUTER SOFTWARE MAINTENANCE")</f>
        <v xml:space="preserve">          6371 - COMPUTER SOFTWARE MAINTENANCE</v>
      </c>
      <c r="D76" s="2"/>
      <c r="F76" s="2"/>
      <c r="G76" s="3"/>
      <c r="H76" s="2"/>
      <c r="I76" s="3"/>
      <c r="J76" s="2">
        <v>841.5</v>
      </c>
      <c r="K76" s="3"/>
      <c r="L76" s="2"/>
      <c r="M76" s="3"/>
      <c r="N76" s="2"/>
      <c r="O76" s="3"/>
      <c r="P76" s="2"/>
      <c r="Q76" s="3"/>
      <c r="R76" s="2">
        <v>100</v>
      </c>
    </row>
    <row r="77" spans="1:18" s="16" customFormat="1" hidden="1" outlineLevel="2" x14ac:dyDescent="0.35">
      <c r="B77" s="11" t="str">
        <f>CONCATENATE("          ", "6373", " - ", "MAINTENANCE CONTRACTS")</f>
        <v xml:space="preserve">          6373 - MAINTENANCE CONTRACTS</v>
      </c>
      <c r="D77" s="2">
        <v>45424.23</v>
      </c>
      <c r="F77" s="2">
        <v>97862.04</v>
      </c>
      <c r="G77" s="3"/>
      <c r="H77" s="2">
        <v>82840.070000000007</v>
      </c>
      <c r="I77" s="3"/>
      <c r="J77" s="2">
        <v>77936.41</v>
      </c>
      <c r="K77" s="3"/>
      <c r="L77" s="2">
        <v>72067.81</v>
      </c>
      <c r="M77" s="3"/>
      <c r="N77" s="2">
        <v>73576.06</v>
      </c>
      <c r="O77" s="3"/>
      <c r="P77" s="2">
        <v>65000</v>
      </c>
      <c r="Q77" s="3"/>
      <c r="R77" s="2">
        <v>66000</v>
      </c>
    </row>
    <row r="78" spans="1:18" s="16" customFormat="1" hidden="1" outlineLevel="2" x14ac:dyDescent="0.35">
      <c r="B78" s="11" t="str">
        <f>CONCATENATE("          ", "6375", " - ", "OUTSIDE REPAIRS &amp; MAINTENANCE")</f>
        <v xml:space="preserve">          6375 - OUTSIDE REPAIRS &amp; MAINTENANCE</v>
      </c>
      <c r="D78" s="2">
        <v>797</v>
      </c>
      <c r="F78" s="2">
        <v>6455.1</v>
      </c>
      <c r="G78" s="3"/>
      <c r="H78" s="2">
        <v>6707.08</v>
      </c>
      <c r="I78" s="3"/>
      <c r="J78" s="2">
        <v>593.61</v>
      </c>
      <c r="K78" s="3"/>
      <c r="L78" s="2">
        <v>889.2</v>
      </c>
      <c r="M78" s="3"/>
      <c r="N78" s="2">
        <v>1401.76</v>
      </c>
      <c r="O78" s="3"/>
      <c r="P78" s="2"/>
      <c r="Q78" s="3"/>
      <c r="R78" s="2"/>
    </row>
    <row r="79" spans="1:18" s="15" customFormat="1" outlineLevel="1" collapsed="1" x14ac:dyDescent="0.35">
      <c r="A79" s="7"/>
      <c r="B79" s="20" t="str">
        <f>CONCATENATE("     ","Royalty &amp; Commissions                             ")</f>
        <v xml:space="preserve">     Royalty &amp; Commissions                             </v>
      </c>
      <c r="C79" s="7"/>
      <c r="D79" s="1">
        <f>SUM(OSRRefD21_10x_0)</f>
        <v>51388.68</v>
      </c>
      <c r="E79" s="19"/>
      <c r="F79" s="1">
        <f>SUM(OSRRefF21_10x_0)</f>
        <v>156212.99</v>
      </c>
      <c r="G79" s="4"/>
      <c r="H79" s="1">
        <f>SUM(OSRRefH21_10x_0)</f>
        <v>135791.54</v>
      </c>
      <c r="I79" s="4"/>
      <c r="J79" s="1">
        <f>SUM(OSRRefJ21_10x_0)</f>
        <v>123526.33</v>
      </c>
      <c r="K79" s="4"/>
      <c r="L79" s="1">
        <f>SUM(OSRRefL21_10x_0)</f>
        <v>114771.74</v>
      </c>
      <c r="M79" s="4"/>
      <c r="N79" s="1">
        <f>SUM(OSRRefN21_10x_0)</f>
        <v>82607.740000000005</v>
      </c>
      <c r="O79" s="4"/>
      <c r="P79" s="1">
        <f>SUM(OSRRefP21_10x_0)</f>
        <v>36150</v>
      </c>
      <c r="Q79" s="4"/>
      <c r="R79" s="1">
        <f>SUM(OSRRefR21_10x_0)</f>
        <v>47000</v>
      </c>
    </row>
    <row r="80" spans="1:18" s="16" customFormat="1" hidden="1" outlineLevel="2" x14ac:dyDescent="0.35">
      <c r="B80" s="11" t="str">
        <f>CONCATENATE("          ", "6259", " - ", "ROYALTY &amp; COMMISSIONS")</f>
        <v xml:space="preserve">          6259 - ROYALTY &amp; COMMISSIONS</v>
      </c>
      <c r="D80" s="2">
        <v>51388.68</v>
      </c>
      <c r="F80" s="2">
        <v>156212.99</v>
      </c>
      <c r="G80" s="3"/>
      <c r="H80" s="2">
        <v>135791.54</v>
      </c>
      <c r="I80" s="3"/>
      <c r="J80" s="2">
        <v>123526.33</v>
      </c>
      <c r="K80" s="3"/>
      <c r="L80" s="2">
        <v>114771.74</v>
      </c>
      <c r="M80" s="3"/>
      <c r="N80" s="2">
        <v>82607.740000000005</v>
      </c>
      <c r="O80" s="3"/>
      <c r="P80" s="2">
        <v>36150</v>
      </c>
      <c r="Q80" s="3"/>
      <c r="R80" s="2">
        <v>47000</v>
      </c>
    </row>
    <row r="81" spans="1:18" s="15" customFormat="1" outlineLevel="1" collapsed="1" x14ac:dyDescent="0.35">
      <c r="A81" s="7"/>
      <c r="B81" s="20" t="str">
        <f>CONCATENATE("     ","Supplies                                          ")</f>
        <v xml:space="preserve">     Supplies                                          </v>
      </c>
      <c r="C81" s="7"/>
      <c r="D81" s="1">
        <f>SUM(OSRRefD21_11x_0)</f>
        <v>92806.67</v>
      </c>
      <c r="E81" s="19"/>
      <c r="F81" s="1">
        <f>SUM(OSRRefF21_11x_0)</f>
        <v>81584.75999999998</v>
      </c>
      <c r="G81" s="4"/>
      <c r="H81" s="1">
        <f>SUM(OSRRefH21_11x_0)</f>
        <v>88400.55</v>
      </c>
      <c r="I81" s="4"/>
      <c r="J81" s="1">
        <f>SUM(OSRRefJ21_11x_0)</f>
        <v>61823.7</v>
      </c>
      <c r="K81" s="4"/>
      <c r="L81" s="1">
        <f>SUM(OSRRefL21_11x_0)</f>
        <v>52362.44</v>
      </c>
      <c r="M81" s="4"/>
      <c r="N81" s="1">
        <f>SUM(OSRRefN21_11x_0)</f>
        <v>45644.959999999999</v>
      </c>
      <c r="O81" s="4"/>
      <c r="P81" s="1">
        <f>SUM(OSRRefP21_11x_0)</f>
        <v>31450</v>
      </c>
      <c r="Q81" s="4"/>
      <c r="R81" s="1">
        <f>SUM(OSRRefR21_11x_0)</f>
        <v>52300</v>
      </c>
    </row>
    <row r="82" spans="1:18" s="16" customFormat="1" hidden="1" outlineLevel="2" x14ac:dyDescent="0.35">
      <c r="B82" s="11" t="str">
        <f>CONCATENATE("          ", "6234", " - ", "EXPENDABLE SUPPLIES &amp; EQUIPMEN")</f>
        <v xml:space="preserve">          6234 - EXPENDABLE SUPPLIES &amp; EQUIPMEN</v>
      </c>
      <c r="D82" s="2">
        <v>62.62</v>
      </c>
      <c r="F82" s="2">
        <v>5097.87</v>
      </c>
      <c r="G82" s="3"/>
      <c r="H82" s="2">
        <v>4012.07</v>
      </c>
      <c r="I82" s="3"/>
      <c r="J82" s="2">
        <v>3238.28</v>
      </c>
      <c r="K82" s="3"/>
      <c r="L82" s="2">
        <v>856.68</v>
      </c>
      <c r="M82" s="3"/>
      <c r="N82" s="2">
        <v>5373.37</v>
      </c>
      <c r="O82" s="3"/>
      <c r="P82" s="2"/>
      <c r="Q82" s="3"/>
      <c r="R82" s="2"/>
    </row>
    <row r="83" spans="1:18" s="16" customFormat="1" hidden="1" outlineLevel="2" x14ac:dyDescent="0.35">
      <c r="B83" s="11" t="str">
        <f>CONCATENATE("          ", "6237", " - ", "JANITORIAL SUPPLIES")</f>
        <v xml:space="preserve">          6237 - JANITORIAL SUPPLIES</v>
      </c>
      <c r="D83" s="2">
        <v>450</v>
      </c>
      <c r="F83" s="2"/>
      <c r="G83" s="3"/>
      <c r="H83" s="2">
        <v>-190</v>
      </c>
      <c r="I83" s="3"/>
      <c r="J83" s="2"/>
      <c r="K83" s="3"/>
      <c r="L83" s="2"/>
      <c r="M83" s="3"/>
      <c r="N83" s="2"/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"6241", " - ", "OFFICE EXPENSE")</f>
        <v xml:space="preserve">          6241 - OFFICE EXPENSE</v>
      </c>
      <c r="D84" s="2">
        <v>1792.02</v>
      </c>
      <c r="F84" s="2">
        <v>5788.24</v>
      </c>
      <c r="G84" s="3"/>
      <c r="H84" s="2">
        <v>4067.97</v>
      </c>
      <c r="I84" s="3"/>
      <c r="J84" s="2">
        <v>858.73</v>
      </c>
      <c r="K84" s="3"/>
      <c r="L84" s="2">
        <v>44.4</v>
      </c>
      <c r="M84" s="3"/>
      <c r="N84" s="2">
        <v>1578.06</v>
      </c>
      <c r="O84" s="3"/>
      <c r="P84" s="2"/>
      <c r="Q84" s="3"/>
      <c r="R84" s="2">
        <v>100</v>
      </c>
    </row>
    <row r="85" spans="1:18" s="16" customFormat="1" hidden="1" outlineLevel="2" x14ac:dyDescent="0.35">
      <c r="B85" s="11" t="str">
        <f>CONCATENATE("          ", "6243", " - ", "PAPER SUPPLIES")</f>
        <v xml:space="preserve">          6243 - PAPER SUPPLIES</v>
      </c>
      <c r="D85" s="2">
        <v>2435.15</v>
      </c>
      <c r="F85" s="2">
        <v>62923.6</v>
      </c>
      <c r="G85" s="3"/>
      <c r="H85" s="2">
        <v>39889.68</v>
      </c>
      <c r="I85" s="3"/>
      <c r="J85" s="2">
        <v>36853.03</v>
      </c>
      <c r="K85" s="3"/>
      <c r="L85" s="2">
        <v>35477.599999999999</v>
      </c>
      <c r="M85" s="3"/>
      <c r="N85" s="2">
        <v>18447.68</v>
      </c>
      <c r="O85" s="3"/>
      <c r="P85" s="2">
        <v>27700</v>
      </c>
      <c r="Q85" s="3"/>
      <c r="R85" s="2">
        <v>38600</v>
      </c>
    </row>
    <row r="86" spans="1:18" s="16" customFormat="1" hidden="1" outlineLevel="2" x14ac:dyDescent="0.35">
      <c r="B86" s="11" t="str">
        <f>CONCATENATE("          ", "6245", " - ", "PRINTING")</f>
        <v xml:space="preserve">          6245 - PRINTING</v>
      </c>
      <c r="D86" s="2">
        <v>703.59</v>
      </c>
      <c r="F86" s="2">
        <v>2122.54</v>
      </c>
      <c r="G86" s="3"/>
      <c r="H86" s="2">
        <v>18172.82</v>
      </c>
      <c r="I86" s="3"/>
      <c r="J86" s="2">
        <v>11571.8</v>
      </c>
      <c r="K86" s="3"/>
      <c r="L86" s="2">
        <v>11225.89</v>
      </c>
      <c r="M86" s="3"/>
      <c r="N86" s="2">
        <v>5894.17</v>
      </c>
      <c r="O86" s="3"/>
      <c r="P86" s="2">
        <v>2500</v>
      </c>
      <c r="Q86" s="3"/>
      <c r="R86" s="2">
        <v>10395</v>
      </c>
    </row>
    <row r="87" spans="1:18" s="16" customFormat="1" hidden="1" outlineLevel="2" x14ac:dyDescent="0.35">
      <c r="B87" s="11" t="str">
        <f>CONCATENATE("          ", "6247", " - ", "STORE SUPPLIES")</f>
        <v xml:space="preserve">          6247 - STORE SUPPLIES</v>
      </c>
      <c r="D87" s="2">
        <v>87363.29</v>
      </c>
      <c r="F87" s="2">
        <v>5652.51</v>
      </c>
      <c r="G87" s="3"/>
      <c r="H87" s="2">
        <v>22448.01</v>
      </c>
      <c r="I87" s="3"/>
      <c r="J87" s="2">
        <v>9301.86</v>
      </c>
      <c r="K87" s="3"/>
      <c r="L87" s="2">
        <v>4757.87</v>
      </c>
      <c r="M87" s="3"/>
      <c r="N87" s="2">
        <v>14351.68</v>
      </c>
      <c r="O87" s="3"/>
      <c r="P87" s="2">
        <v>1250</v>
      </c>
      <c r="Q87" s="3"/>
      <c r="R87" s="2">
        <v>3205</v>
      </c>
    </row>
    <row r="88" spans="1:18" s="15" customFormat="1" outlineLevel="1" collapsed="1" x14ac:dyDescent="0.35">
      <c r="A88" s="7"/>
      <c r="B88" s="20" t="str">
        <f>CONCATENATE("     ","Telephone/Data Lines                              ")</f>
        <v xml:space="preserve">     Telephone/Data Lines                              </v>
      </c>
      <c r="C88" s="7"/>
      <c r="D88" s="1">
        <f>SUM(OSRRefD21_12x_0)</f>
        <v>2126.75</v>
      </c>
      <c r="E88" s="19"/>
      <c r="F88" s="1">
        <f>SUM(OSRRefF21_12x_0)</f>
        <v>2073.9</v>
      </c>
      <c r="G88" s="4"/>
      <c r="H88" s="1">
        <f>SUM(OSRRefH21_12x_0)</f>
        <v>1934.2</v>
      </c>
      <c r="I88" s="4"/>
      <c r="J88" s="1">
        <f>SUM(OSRRefJ21_12x_0)</f>
        <v>1776.13</v>
      </c>
      <c r="K88" s="4"/>
      <c r="L88" s="1">
        <f>SUM(OSRRefL21_12x_0)</f>
        <v>2016</v>
      </c>
      <c r="M88" s="4"/>
      <c r="N88" s="1">
        <f>SUM(OSRRefN21_12x_0)</f>
        <v>1652.6</v>
      </c>
      <c r="O88" s="4"/>
      <c r="P88" s="1">
        <f>SUM(OSRRefP21_12x_0)</f>
        <v>1980</v>
      </c>
      <c r="Q88" s="4"/>
      <c r="R88" s="1">
        <f>SUM(OSRRefR21_12x_0)</f>
        <v>2100</v>
      </c>
    </row>
    <row r="89" spans="1:18" s="16" customFormat="1" hidden="1" outlineLevel="2" x14ac:dyDescent="0.35">
      <c r="B89" s="11" t="str">
        <f>CONCATENATE("          ", "6309", " - ", "TELEPHONE")</f>
        <v xml:space="preserve">          6309 - TELEPHONE</v>
      </c>
      <c r="D89" s="2">
        <v>2126.75</v>
      </c>
      <c r="F89" s="2">
        <v>2073.9</v>
      </c>
      <c r="G89" s="3"/>
      <c r="H89" s="2">
        <v>1934.2</v>
      </c>
      <c r="I89" s="3"/>
      <c r="J89" s="2">
        <v>1776.13</v>
      </c>
      <c r="K89" s="3"/>
      <c r="L89" s="2">
        <v>2016</v>
      </c>
      <c r="M89" s="3"/>
      <c r="N89" s="2">
        <v>1652.6</v>
      </c>
      <c r="O89" s="3"/>
      <c r="P89" s="2">
        <v>1980</v>
      </c>
      <c r="Q89" s="3"/>
      <c r="R89" s="2">
        <v>2100</v>
      </c>
    </row>
    <row r="90" spans="1:18" s="15" customFormat="1" outlineLevel="1" collapsed="1" x14ac:dyDescent="0.35">
      <c r="A90" s="7"/>
      <c r="B90" s="20" t="str">
        <f>CONCATENATE("     ","Training                                          ")</f>
        <v xml:space="preserve">     Training                                          </v>
      </c>
      <c r="C90" s="7"/>
      <c r="D90" s="1">
        <f>SUM(OSRRefD21_13x_0)</f>
        <v>0</v>
      </c>
      <c r="E90" s="19"/>
      <c r="F90" s="1">
        <f>SUM(OSRRefF21_13x_0)</f>
        <v>632.14</v>
      </c>
      <c r="G90" s="4"/>
      <c r="H90" s="1">
        <f>SUM(OSRRefH21_13x_0)</f>
        <v>25</v>
      </c>
      <c r="I90" s="4"/>
      <c r="J90" s="1">
        <f>SUM(OSRRefJ21_13x_0)</f>
        <v>0</v>
      </c>
      <c r="K90" s="4"/>
      <c r="L90" s="1">
        <f>SUM(OSRRefL21_13x_0)</f>
        <v>0</v>
      </c>
      <c r="M90" s="4"/>
      <c r="N90" s="1">
        <f>SUM(OSRRefN21_13x_0)</f>
        <v>97.71</v>
      </c>
      <c r="O90" s="4"/>
      <c r="P90" s="1">
        <f>SUM(OSRRefP21_13x_0)</f>
        <v>0</v>
      </c>
      <c r="Q90" s="4"/>
      <c r="R90" s="1">
        <f>SUM(OSRRefR21_13x_0)</f>
        <v>0</v>
      </c>
    </row>
    <row r="91" spans="1:18" s="16" customFormat="1" hidden="1" outlineLevel="2" x14ac:dyDescent="0.35">
      <c r="B91" s="11" t="str">
        <f>CONCATENATE("          ", "6376", " - ", "TRAINING")</f>
        <v xml:space="preserve">          6376 - TRAINING</v>
      </c>
      <c r="D91" s="2"/>
      <c r="F91" s="2">
        <v>632.14</v>
      </c>
      <c r="G91" s="3"/>
      <c r="H91" s="2">
        <v>25</v>
      </c>
      <c r="I91" s="3"/>
      <c r="J91" s="2"/>
      <c r="K91" s="3"/>
      <c r="L91" s="2"/>
      <c r="M91" s="3"/>
      <c r="N91" s="2">
        <v>97.71</v>
      </c>
      <c r="O91" s="3"/>
      <c r="P91" s="2"/>
      <c r="Q91" s="3"/>
      <c r="R91" s="2"/>
    </row>
    <row r="92" spans="1:18" s="15" customFormat="1" outlineLevel="1" collapsed="1" x14ac:dyDescent="0.35">
      <c r="A92" s="7"/>
      <c r="B92" s="20" t="str">
        <f>CONCATENATE("     ","Travel                                            ")</f>
        <v xml:space="preserve">     Travel                                            </v>
      </c>
      <c r="C92" s="7"/>
      <c r="D92" s="1">
        <f>SUM(OSRRefD21_14x_0)</f>
        <v>0</v>
      </c>
      <c r="E92" s="19"/>
      <c r="F92" s="1">
        <f>SUM(OSRRefF21_14x_0)</f>
        <v>0</v>
      </c>
      <c r="G92" s="4"/>
      <c r="H92" s="1">
        <f>SUM(OSRRefH21_14x_0)</f>
        <v>46</v>
      </c>
      <c r="I92" s="4"/>
      <c r="J92" s="1">
        <f>SUM(OSRRefJ21_14x_0)</f>
        <v>17.5</v>
      </c>
      <c r="K92" s="4"/>
      <c r="L92" s="1">
        <f>SUM(OSRRefL21_14x_0)</f>
        <v>0</v>
      </c>
      <c r="M92" s="4"/>
      <c r="N92" s="1">
        <f>SUM(OSRRefN21_14x_0)</f>
        <v>0</v>
      </c>
      <c r="O92" s="4"/>
      <c r="P92" s="1">
        <f>SUM(OSRRefP21_14x_0)</f>
        <v>0</v>
      </c>
      <c r="Q92" s="4"/>
      <c r="R92" s="1">
        <f>SUM(OSRRefR21_14x_0)</f>
        <v>0</v>
      </c>
    </row>
    <row r="93" spans="1:18" s="16" customFormat="1" hidden="1" outlineLevel="2" x14ac:dyDescent="0.35">
      <c r="B93" s="11" t="str">
        <f>CONCATENATE("          ", "6292", " - ", "TRAVEL/CONFERENCE")</f>
        <v xml:space="preserve">          6292 - TRAVEL/CONFERENCE</v>
      </c>
      <c r="D93" s="2"/>
      <c r="F93" s="2"/>
      <c r="G93" s="3"/>
      <c r="H93" s="2">
        <v>46</v>
      </c>
      <c r="I93" s="3"/>
      <c r="J93" s="2">
        <v>17.5</v>
      </c>
      <c r="K93" s="3"/>
      <c r="L93" s="2"/>
      <c r="M93" s="3"/>
      <c r="N93" s="2"/>
      <c r="O93" s="3"/>
      <c r="P93" s="2"/>
      <c r="Q93" s="3"/>
      <c r="R93" s="2"/>
    </row>
    <row r="94" spans="1:18" s="15" customFormat="1" outlineLevel="1" collapsed="1" x14ac:dyDescent="0.35">
      <c r="A94" s="7"/>
      <c r="B94" s="20" t="str">
        <f>CONCATENATE("     ","Utilities                                         ")</f>
        <v xml:space="preserve">     Utilities                                         </v>
      </c>
      <c r="C94" s="7"/>
      <c r="D94" s="1">
        <f>SUM(OSRRefD21_15x_0)</f>
        <v>27.43</v>
      </c>
      <c r="E94" s="19"/>
      <c r="F94" s="1">
        <f>SUM(OSRRefF21_15x_0)</f>
        <v>0</v>
      </c>
      <c r="G94" s="4"/>
      <c r="H94" s="1">
        <f>SUM(OSRRefH21_15x_0)</f>
        <v>0</v>
      </c>
      <c r="I94" s="4"/>
      <c r="J94" s="1">
        <f>SUM(OSRRefJ21_15x_0)</f>
        <v>0</v>
      </c>
      <c r="K94" s="4"/>
      <c r="L94" s="1">
        <f>SUM(OSRRefL21_15x_0)</f>
        <v>0</v>
      </c>
      <c r="M94" s="4"/>
      <c r="N94" s="1">
        <f>SUM(OSRRefN21_15x_0)</f>
        <v>0</v>
      </c>
      <c r="O94" s="4"/>
      <c r="P94" s="1">
        <f>SUM(OSRRefP21_15x_0)</f>
        <v>0</v>
      </c>
      <c r="Q94" s="4"/>
      <c r="R94" s="1">
        <f>SUM(OSRRefR21_15x_0)</f>
        <v>0</v>
      </c>
    </row>
    <row r="95" spans="1:18" s="16" customFormat="1" hidden="1" outlineLevel="2" x14ac:dyDescent="0.35">
      <c r="B95" s="11" t="str">
        <f>CONCATENATE("          ", "6274", " - ", "UTILITIES")</f>
        <v xml:space="preserve">          6274 - UTILITIES</v>
      </c>
      <c r="D95" s="2">
        <v>27.43</v>
      </c>
      <c r="F95" s="2"/>
      <c r="G95" s="3"/>
      <c r="H95" s="2"/>
      <c r="I95" s="3"/>
      <c r="J95" s="2"/>
      <c r="K95" s="3"/>
      <c r="L95" s="2"/>
      <c r="M95" s="3"/>
      <c r="N95" s="2"/>
      <c r="O95" s="3"/>
      <c r="P95" s="2"/>
      <c r="Q95" s="3"/>
      <c r="R95" s="2"/>
    </row>
    <row r="96" spans="1:18" x14ac:dyDescent="0.35">
      <c r="A96" s="12"/>
      <c r="B96" s="12"/>
      <c r="C96" s="12"/>
      <c r="D96" s="1"/>
      <c r="F96" s="1"/>
      <c r="H96" s="1"/>
      <c r="J96" s="1"/>
      <c r="L96" s="1"/>
      <c r="N96" s="1"/>
      <c r="P96" s="1"/>
      <c r="R96" s="1"/>
    </row>
    <row r="97" spans="1:18" s="7" customFormat="1" collapsed="1" x14ac:dyDescent="0.35">
      <c r="A97" s="36"/>
      <c r="B97" s="34" t="s">
        <v>295</v>
      </c>
      <c r="D97" s="6">
        <f>SUM(OSRRefD24x_0)</f>
        <v>0</v>
      </c>
      <c r="E97" s="12"/>
      <c r="F97" s="6">
        <f>SUM(OSRRefF24x_0)</f>
        <v>0</v>
      </c>
      <c r="G97" s="5"/>
      <c r="H97" s="6">
        <f>SUM(OSRRefH24x_0)</f>
        <v>177496</v>
      </c>
      <c r="I97" s="5"/>
      <c r="J97" s="6">
        <f>SUM(OSRRefJ24x_0)</f>
        <v>152246</v>
      </c>
      <c r="K97" s="5"/>
      <c r="L97" s="6">
        <f>SUM(OSRRefL24x_0)</f>
        <v>152812.1</v>
      </c>
      <c r="M97" s="5"/>
      <c r="N97" s="6">
        <f>SUM(OSRRefN24x_0)</f>
        <v>157901.1</v>
      </c>
      <c r="O97" s="5"/>
      <c r="P97" s="6">
        <f>SUM(OSRRefP24x_0)</f>
        <v>82500</v>
      </c>
      <c r="Q97" s="5"/>
      <c r="R97" s="6">
        <f>SUM(OSRRefR24x_0)</f>
        <v>33910</v>
      </c>
    </row>
    <row r="98" spans="1:18" s="7" customFormat="1" hidden="1" outlineLevel="1" x14ac:dyDescent="0.35">
      <c r="A98" s="36"/>
      <c r="B98" s="11" t="str">
        <f>CONCATENATE("          ", "9150", " - ", "MISC. INCOME")</f>
        <v xml:space="preserve">          9150 - MISC. INCOME</v>
      </c>
      <c r="D98" s="11">
        <f>0</f>
        <v>0</v>
      </c>
      <c r="E98" s="16"/>
      <c r="F98" s="11">
        <f>0</f>
        <v>0</v>
      </c>
      <c r="G98" s="3"/>
      <c r="H98" s="11">
        <f>--177496</f>
        <v>177496</v>
      </c>
      <c r="I98" s="3"/>
      <c r="J98" s="11">
        <f>--152246</f>
        <v>152246</v>
      </c>
      <c r="K98" s="3"/>
      <c r="L98" s="11">
        <f>--152812.1</f>
        <v>152812.1</v>
      </c>
      <c r="M98" s="3"/>
      <c r="N98" s="11">
        <f>--157901.1</f>
        <v>157901.1</v>
      </c>
      <c r="O98" s="3"/>
      <c r="P98" s="11">
        <v>82500</v>
      </c>
      <c r="Q98" s="3"/>
      <c r="R98" s="11">
        <v>33910</v>
      </c>
    </row>
    <row r="99" spans="1:18" x14ac:dyDescent="0.35">
      <c r="A99" s="12"/>
      <c r="B99" s="7"/>
      <c r="C99" s="7"/>
      <c r="D99" s="6"/>
      <c r="F99" s="6"/>
      <c r="H99" s="6"/>
      <c r="J99" s="6"/>
      <c r="L99" s="6"/>
      <c r="N99" s="6"/>
      <c r="P99" s="6"/>
      <c r="R99" s="6"/>
    </row>
    <row r="100" spans="1:18" s="15" customFormat="1" x14ac:dyDescent="0.35">
      <c r="A100" s="7"/>
      <c r="B100" s="22" t="s">
        <v>279</v>
      </c>
      <c r="C100" s="22"/>
      <c r="D100" s="10">
        <f>+D35-D38+D97</f>
        <v>87501.229999999865</v>
      </c>
      <c r="E100" s="12"/>
      <c r="F100" s="10">
        <f>+F35-F38+F97</f>
        <v>157161.25</v>
      </c>
      <c r="G100" s="5"/>
      <c r="H100" s="10">
        <f>+H35-H38+H97</f>
        <v>266594.61</v>
      </c>
      <c r="I100" s="5"/>
      <c r="J100" s="10">
        <f>+J35-J38+J97</f>
        <v>234663.48999999987</v>
      </c>
      <c r="K100" s="5"/>
      <c r="L100" s="10">
        <f>+L35-L38+L97</f>
        <v>203357.17999999996</v>
      </c>
      <c r="M100" s="5"/>
      <c r="N100" s="10">
        <f>+N35-N38+N97</f>
        <v>132855.44000000009</v>
      </c>
      <c r="O100" s="5"/>
      <c r="P100" s="10">
        <f>+P35-P38+P97</f>
        <v>110476.74429035001</v>
      </c>
      <c r="Q100" s="5"/>
      <c r="R100" s="10">
        <f>+R35-R38+R97</f>
        <v>81261.214910307142</v>
      </c>
    </row>
    <row r="101" spans="1:18" s="27" customFormat="1" x14ac:dyDescent="0.35">
      <c r="A101" s="18"/>
      <c r="B101" s="31"/>
      <c r="C101" s="18"/>
      <c r="D101" s="9">
        <f>IFERROR(D100/D10, 0)</f>
        <v>0.19391055401970678</v>
      </c>
      <c r="E101" s="18"/>
      <c r="F101" s="9">
        <f>IFERROR(F100/F10, 0)</f>
        <v>0.20727320043062786</v>
      </c>
      <c r="G101" s="14"/>
      <c r="H101" s="9">
        <f>IFERROR(H100/H10, 0)</f>
        <v>0.37863757735792408</v>
      </c>
      <c r="I101" s="14"/>
      <c r="J101" s="9">
        <f>IFERROR(J100/J10, 0)</f>
        <v>0.35850934075885471</v>
      </c>
      <c r="K101" s="14"/>
      <c r="L101" s="9">
        <f>IFERROR(L100/L10, 0)</f>
        <v>0.33618006434822972</v>
      </c>
      <c r="M101" s="14"/>
      <c r="N101" s="9">
        <f>IFERROR(N100/N10, 0)</f>
        <v>0.27854856498221625</v>
      </c>
      <c r="O101" s="14"/>
      <c r="P101" s="9">
        <f>IFERROR(P100/P10, 0)</f>
        <v>0.27570042471881373</v>
      </c>
      <c r="Q101" s="14"/>
      <c r="R101" s="9">
        <f>IFERROR(R100/R10, 0)</f>
        <v>0.20018529034638274</v>
      </c>
    </row>
    <row r="102" spans="1:18" s="27" customFormat="1" x14ac:dyDescent="0.35">
      <c r="A102" s="18"/>
      <c r="B102" s="31"/>
      <c r="C102" s="18"/>
      <c r="D102" s="13"/>
      <c r="E102" s="18"/>
      <c r="F102" s="13"/>
      <c r="G102" s="14"/>
      <c r="H102" s="13"/>
      <c r="I102" s="14"/>
      <c r="J102" s="13"/>
      <c r="K102" s="14"/>
      <c r="L102" s="13"/>
      <c r="M102" s="14"/>
      <c r="N102" s="13"/>
      <c r="O102" s="14"/>
      <c r="P102" s="13"/>
      <c r="Q102" s="14"/>
      <c r="R102" s="13"/>
    </row>
    <row r="103" spans="1:18" s="15" customFormat="1" x14ac:dyDescent="0.35">
      <c r="A103" s="37"/>
      <c r="B103" s="7" t="s">
        <v>127</v>
      </c>
      <c r="C103" s="7"/>
      <c r="D103" s="6">
        <v>98059</v>
      </c>
      <c r="E103" s="12"/>
      <c r="F103" s="6">
        <v>107939.65</v>
      </c>
      <c r="G103" s="5"/>
      <c r="H103" s="6">
        <v>94140.77</v>
      </c>
      <c r="I103" s="5"/>
      <c r="J103" s="6">
        <v>87849.88</v>
      </c>
      <c r="K103" s="5"/>
      <c r="L103" s="6">
        <v>43115.91</v>
      </c>
      <c r="M103" s="5"/>
      <c r="N103" s="6">
        <v>72221.95</v>
      </c>
      <c r="O103" s="5"/>
      <c r="P103" s="6">
        <v>67710</v>
      </c>
      <c r="Q103" s="5"/>
      <c r="R103" s="6">
        <v>46030</v>
      </c>
    </row>
    <row r="104" spans="1:18" x14ac:dyDescent="0.35">
      <c r="A104" s="12"/>
      <c r="B104" s="7"/>
      <c r="C104" s="7"/>
      <c r="D104" s="6"/>
      <c r="F104" s="6"/>
      <c r="H104" s="6"/>
      <c r="J104" s="6"/>
      <c r="L104" s="6"/>
      <c r="N104" s="6"/>
      <c r="P104" s="6"/>
      <c r="R104" s="6"/>
    </row>
    <row r="105" spans="1:18" s="15" customFormat="1" x14ac:dyDescent="0.35">
      <c r="A105" s="7"/>
      <c r="B105" s="22" t="s">
        <v>126</v>
      </c>
      <c r="C105" s="22"/>
      <c r="D105" s="10">
        <f>+D100-D103</f>
        <v>-10557.770000000135</v>
      </c>
      <c r="E105" s="12"/>
      <c r="F105" s="10">
        <f>+F100-F103</f>
        <v>49221.600000000006</v>
      </c>
      <c r="G105" s="5"/>
      <c r="H105" s="10">
        <f>+H100-H103</f>
        <v>172453.83999999997</v>
      </c>
      <c r="I105" s="5"/>
      <c r="J105" s="10">
        <f>+J100-J103</f>
        <v>146813.60999999987</v>
      </c>
      <c r="K105" s="5"/>
      <c r="L105" s="10">
        <f>+L100-L103</f>
        <v>160241.26999999996</v>
      </c>
      <c r="M105" s="5"/>
      <c r="N105" s="10">
        <f>+N100-N103</f>
        <v>60633.490000000093</v>
      </c>
      <c r="O105" s="5"/>
      <c r="P105" s="10">
        <f>+P100-P103</f>
        <v>42766.744290350005</v>
      </c>
      <c r="Q105" s="5"/>
      <c r="R105" s="10">
        <f>+R100-R103</f>
        <v>35231.214910307142</v>
      </c>
    </row>
    <row r="106" spans="1:18" s="27" customFormat="1" x14ac:dyDescent="0.35">
      <c r="A106" s="18"/>
      <c r="B106" s="18"/>
      <c r="C106" s="18"/>
      <c r="D106" s="9">
        <f>IFERROR(D105/D10, 0)</f>
        <v>-2.3396962875980934E-2</v>
      </c>
      <c r="E106" s="18"/>
      <c r="F106" s="9">
        <f>IFERROR(F105/F10, 0)</f>
        <v>6.4916247244891423E-2</v>
      </c>
      <c r="G106" s="14"/>
      <c r="H106" s="9">
        <f>IFERROR(H105/H10, 0)</f>
        <v>0.24493182432934804</v>
      </c>
      <c r="I106" s="14"/>
      <c r="J106" s="9">
        <f>IFERROR(J105/J10, 0)</f>
        <v>0.22429586526445838</v>
      </c>
      <c r="K106" s="14"/>
      <c r="L106" s="9">
        <f>IFERROR(L105/L10, 0)</f>
        <v>0.26490296757577997</v>
      </c>
      <c r="M106" s="14"/>
      <c r="N106" s="9">
        <f>IFERROR(N105/N10, 0)</f>
        <v>0.12712593198564978</v>
      </c>
      <c r="O106" s="14"/>
      <c r="P106" s="9">
        <f>IFERROR(P105/P10, 0)</f>
        <v>0.10672662052478958</v>
      </c>
      <c r="Q106" s="14"/>
      <c r="R106" s="9">
        <f>IFERROR(R105/R10, 0)</f>
        <v>8.6791355431495923E-2</v>
      </c>
    </row>
    <row r="107" spans="1:18" s="27" customFormat="1" x14ac:dyDescent="0.35">
      <c r="A107" s="18"/>
      <c r="B107" s="18"/>
      <c r="C107" s="18"/>
      <c r="D107" s="13"/>
      <c r="E107" s="18"/>
      <c r="F107" s="13"/>
      <c r="G107" s="14"/>
      <c r="H107" s="13"/>
      <c r="I107" s="14"/>
      <c r="J107" s="13"/>
      <c r="K107" s="14"/>
      <c r="L107" s="13"/>
      <c r="M107" s="14"/>
      <c r="N107" s="13"/>
      <c r="O107" s="14"/>
      <c r="P107" s="13"/>
      <c r="Q107" s="14"/>
      <c r="R107" s="13"/>
    </row>
    <row r="108" spans="1:18" x14ac:dyDescent="0.35">
      <c r="A108" s="12"/>
      <c r="B108" s="12"/>
      <c r="C108" s="12"/>
      <c r="D108" s="6"/>
      <c r="F108" s="6"/>
      <c r="H108" s="6"/>
      <c r="J108" s="6"/>
      <c r="L108" s="6"/>
      <c r="N108" s="6"/>
      <c r="P108" s="6"/>
      <c r="R108" s="6"/>
    </row>
    <row r="109" spans="1:18" s="15" customFormat="1" x14ac:dyDescent="0.35">
      <c r="A109" s="7"/>
      <c r="B109" s="22" t="s">
        <v>296</v>
      </c>
      <c r="C109" s="22"/>
      <c r="D109" s="10">
        <f>SUM(D105:D108)</f>
        <v>-10557.79339696301</v>
      </c>
      <c r="E109" s="12"/>
      <c r="F109" s="10">
        <f>SUM(F105:F108)</f>
        <v>49221.664916247253</v>
      </c>
      <c r="G109" s="5"/>
      <c r="H109" s="10">
        <f>SUM(H105:H108)</f>
        <v>172454.0849318243</v>
      </c>
      <c r="I109" s="5"/>
      <c r="J109" s="10">
        <f>SUM(J105:J108)</f>
        <v>146813.83429586515</v>
      </c>
      <c r="K109" s="5"/>
      <c r="L109" s="10">
        <f>SUM(L105:L108)</f>
        <v>160241.53490296754</v>
      </c>
      <c r="M109" s="5"/>
      <c r="N109" s="10">
        <f>SUM(N105:N108)</f>
        <v>60633.617125932076</v>
      </c>
      <c r="O109" s="5"/>
      <c r="P109" s="10">
        <f>SUM(P105:P108)</f>
        <v>42766.851016970533</v>
      </c>
      <c r="Q109" s="5"/>
      <c r="R109" s="10">
        <f>SUM(R105:R108)</f>
        <v>35231.301701662574</v>
      </c>
    </row>
    <row r="110" spans="1:18" s="27" customFormat="1" x14ac:dyDescent="0.35">
      <c r="A110" s="18"/>
      <c r="B110" s="41"/>
      <c r="C110" s="18"/>
      <c r="D110" s="9">
        <f>IFERROR(D109/D10, 0)</f>
        <v>-2.3397014725743886E-2</v>
      </c>
      <c r="E110" s="18"/>
      <c r="F110" s="9">
        <f>IFERROR(F109/F10, 0)</f>
        <v>6.4916332860132639E-2</v>
      </c>
      <c r="G110" s="14"/>
      <c r="H110" s="9">
        <f>IFERROR(H109/H10, 0)</f>
        <v>0.24493217219981919</v>
      </c>
      <c r="I110" s="14"/>
      <c r="J110" s="9">
        <f>IFERROR(J109/J10, 0)</f>
        <v>0.22429620793456356</v>
      </c>
      <c r="K110" s="14"/>
      <c r="L110" s="9">
        <f>IFERROR(L109/L10, 0)</f>
        <v>0.26490340550030606</v>
      </c>
      <c r="M110" s="14"/>
      <c r="N110" s="9">
        <f>IFERROR(N109/N10, 0)</f>
        <v>0.12712619852156223</v>
      </c>
      <c r="O110" s="14"/>
      <c r="P110" s="9">
        <f>IFERROR(P109/P10, 0)</f>
        <v>0.10672688686658664</v>
      </c>
      <c r="Q110" s="14"/>
      <c r="R110" s="9">
        <f>IFERROR(R109/R10, 0)</f>
        <v>8.6791569240170896E-2</v>
      </c>
    </row>
    <row r="111" spans="1:18" x14ac:dyDescent="0.35">
      <c r="A111" s="12"/>
      <c r="B111" s="40">
        <v>44319.883572604165</v>
      </c>
      <c r="D111" s="24"/>
      <c r="F111" s="24"/>
      <c r="H111" s="24"/>
      <c r="J111" s="24"/>
      <c r="L111" s="24"/>
      <c r="N111" s="24"/>
      <c r="P111" s="24"/>
      <c r="R111" s="24"/>
    </row>
    <row r="112" spans="1:18" x14ac:dyDescent="0.35">
      <c r="A112" s="12"/>
      <c r="B112" s="39" t="s">
        <v>23</v>
      </c>
      <c r="D112" s="24"/>
      <c r="F112" s="24"/>
      <c r="H112" s="24"/>
      <c r="J112" s="24"/>
      <c r="L112" s="24"/>
      <c r="N112" s="24"/>
      <c r="P112" s="24"/>
      <c r="R112" s="24"/>
    </row>
    <row r="113" spans="1:18" x14ac:dyDescent="0.35">
      <c r="A113" s="12"/>
      <c r="D113" s="24"/>
      <c r="F113" s="24"/>
      <c r="H113" s="24"/>
      <c r="J113" s="24"/>
      <c r="L113" s="24"/>
      <c r="N113" s="24"/>
      <c r="P113" s="24"/>
      <c r="R113" s="24"/>
    </row>
    <row r="114" spans="1:18" x14ac:dyDescent="0.35">
      <c r="D114" s="24"/>
      <c r="F114" s="24"/>
      <c r="H114" s="24"/>
      <c r="J114" s="24"/>
      <c r="L114" s="24"/>
      <c r="N114" s="24"/>
      <c r="P114" s="24"/>
      <c r="R114" s="24"/>
    </row>
  </sheetData>
  <pageMargins left="0.5" right="0.5" top="0.5" bottom="0.5" header="0.3" footer="0.3"/>
  <pageSetup scale="59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4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","317", " - ", "Computer Store")</f>
        <v>Department 317 - Computer Store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2421122.5099999998</v>
      </c>
      <c r="F10" s="8">
        <f>SUM(OSRRefF11x_0)</f>
        <v>2609722.1700000004</v>
      </c>
      <c r="G10" s="8"/>
      <c r="H10" s="8">
        <f>SUM(OSRRefH11x_0)</f>
        <v>2802399.9099999997</v>
      </c>
      <c r="I10" s="8"/>
      <c r="J10" s="8">
        <f>SUM(OSRRefJ11x_0)</f>
        <v>2182353.5699999989</v>
      </c>
      <c r="K10" s="8"/>
      <c r="L10" s="8">
        <f>SUM(OSRRefL11x_0)</f>
        <v>2941465.419999999</v>
      </c>
      <c r="M10" s="8"/>
      <c r="N10" s="8">
        <f>SUM(OSRRefN11x_0)</f>
        <v>2885090.36</v>
      </c>
      <c r="O10" s="8"/>
      <c r="P10" s="8">
        <f>SUM(OSRRefP11x_0)</f>
        <v>2514971</v>
      </c>
      <c r="Q10" s="8"/>
      <c r="R10" s="8">
        <f>SUM(OSRRefR11x_0)</f>
        <v>2286159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2303382</v>
      </c>
      <c r="Q11" s="3"/>
      <c r="R11" s="11">
        <v>2140442</v>
      </c>
    </row>
    <row r="12" spans="1:18" s="16" customFormat="1" hidden="1" outlineLevel="1" x14ac:dyDescent="0.35">
      <c r="B12" s="35" t="str">
        <f>CONCATENATE("          ", "4081", " - ", "TAXABLE SALES-ELECTRONICS")</f>
        <v xml:space="preserve">          4081 - TAXABLE SALES-ELECTRONICS</v>
      </c>
      <c r="D12" s="11">
        <f>-135382.67*-1</f>
        <v>135382.67000000001</v>
      </c>
      <c r="F12" s="11">
        <f>-194673.23*-1</f>
        <v>194673.23</v>
      </c>
      <c r="G12" s="3"/>
      <c r="H12" s="11">
        <f>-204223.02*-1</f>
        <v>204223.02</v>
      </c>
      <c r="I12" s="3"/>
      <c r="J12" s="11">
        <f>--295469.98</f>
        <v>295469.98</v>
      </c>
      <c r="K12" s="3"/>
      <c r="L12" s="11">
        <f>--235356.89</f>
        <v>235356.89</v>
      </c>
      <c r="M12" s="3"/>
      <c r="N12" s="11">
        <f>--314869.02</f>
        <v>314869.02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"4082", " - ", "TAXABLE SALES-COMPUTER HARDWAR")</f>
        <v xml:space="preserve">          4082 - TAXABLE SALES-COMPUTER HARDWAR</v>
      </c>
      <c r="D13" s="11">
        <f>-2123067.48*-1</f>
        <v>2123067.48</v>
      </c>
      <c r="F13" s="11">
        <f>-1692329.91*-1</f>
        <v>1692329.91</v>
      </c>
      <c r="G13" s="3"/>
      <c r="H13" s="11">
        <f>-1868922.45*-1</f>
        <v>1868922.45</v>
      </c>
      <c r="I13" s="3"/>
      <c r="J13" s="11">
        <f>--1417861.62</f>
        <v>1417861.62</v>
      </c>
      <c r="K13" s="3"/>
      <c r="L13" s="11">
        <f>--2285673.33</f>
        <v>2285673.33</v>
      </c>
      <c r="M13" s="3"/>
      <c r="N13" s="11">
        <f>--2373486.44</f>
        <v>2373486.44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"4083", " - ", "TAXABLE SALES-COMPUTER EQUIPME")</f>
        <v xml:space="preserve">          4083 - TAXABLE SALES-COMPUTER EQUIPME</v>
      </c>
      <c r="D14" s="11">
        <f>-79110.36*-1</f>
        <v>79110.36</v>
      </c>
      <c r="F14" s="11">
        <f>-110320.52*-1</f>
        <v>110320.52</v>
      </c>
      <c r="G14" s="3"/>
      <c r="H14" s="11">
        <f>-100688.9*-1</f>
        <v>100688.9</v>
      </c>
      <c r="I14" s="3"/>
      <c r="J14" s="11">
        <f>--121647.88</f>
        <v>121647.88</v>
      </c>
      <c r="K14" s="3"/>
      <c r="L14" s="11">
        <f>--137267.09</f>
        <v>137267.09</v>
      </c>
      <c r="M14" s="3"/>
      <c r="N14" s="11">
        <f>--138235.56</f>
        <v>138235.56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"4084", " - ", "TAXABLE SALES-SOFTWARE LICENSE")</f>
        <v xml:space="preserve">          4084 - TAXABLE SALES-SOFTWARE LICENSE</v>
      </c>
      <c r="D15" s="11">
        <f>-17358.23*-1</f>
        <v>17358.23</v>
      </c>
      <c r="F15" s="11">
        <f>-2124.06*-1</f>
        <v>2124.06</v>
      </c>
      <c r="G15" s="3"/>
      <c r="H15" s="11">
        <f>-557.16*-1</f>
        <v>557.16</v>
      </c>
      <c r="I15" s="3"/>
      <c r="J15" s="11">
        <f>0</f>
        <v>0</v>
      </c>
      <c r="K15" s="3"/>
      <c r="L15" s="11">
        <f>--1563.99</f>
        <v>1563.99</v>
      </c>
      <c r="M15" s="3"/>
      <c r="N15" s="11">
        <f>--129</f>
        <v>129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"4085", " - ", "TAXABLE SALES-SOFTWARE")</f>
        <v xml:space="preserve">          4085 - TAXABLE SALES-SOFTWARE</v>
      </c>
      <c r="D16" s="11">
        <f>-21384.95*-1</f>
        <v>21384.95</v>
      </c>
      <c r="F16" s="11">
        <f>-17185.6*-1</f>
        <v>17185.599999999999</v>
      </c>
      <c r="G16" s="3"/>
      <c r="H16" s="11">
        <f>-16434.96*-1</f>
        <v>16434.96</v>
      </c>
      <c r="I16" s="3"/>
      <c r="J16" s="11">
        <f>--4702.73</f>
        <v>4702.7299999999996</v>
      </c>
      <c r="K16" s="3"/>
      <c r="L16" s="11">
        <f>--13428.64</f>
        <v>13428.64</v>
      </c>
      <c r="M16" s="3"/>
      <c r="N16" s="11">
        <f>--4587.93</f>
        <v>4587.93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"4086", " - ", "TAXABLE SALES-COMPUTER SUPPLIE")</f>
        <v xml:space="preserve">          4086 - TAXABLE SALES-COMPUTER SUPPLIE</v>
      </c>
      <c r="D17" s="11">
        <f>-52927.84*-1</f>
        <v>52927.839999999997</v>
      </c>
      <c r="F17" s="11">
        <f>-78074.78*-1</f>
        <v>78074.78</v>
      </c>
      <c r="G17" s="3"/>
      <c r="H17" s="11">
        <f>-72917.57*-1</f>
        <v>72917.570000000007</v>
      </c>
      <c r="I17" s="3"/>
      <c r="J17" s="11">
        <f>--64300.64</f>
        <v>64300.639999999999</v>
      </c>
      <c r="K17" s="3"/>
      <c r="L17" s="11">
        <f>--91581.11</f>
        <v>91581.11</v>
      </c>
      <c r="M17" s="3"/>
      <c r="N17" s="11">
        <f>--48830.67</f>
        <v>48830.67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"4088", " - ", "TAXABLE SALES-MUSIC")</f>
        <v xml:space="preserve">          4088 - TAXABLE SALES-MUSIC</v>
      </c>
      <c r="D18" s="11">
        <f t="shared" ref="D18:D19" si="0">0*-1</f>
        <v>0</v>
      </c>
      <c r="F18" s="11">
        <f>-5612.46*-1</f>
        <v>5612.46</v>
      </c>
      <c r="G18" s="3"/>
      <c r="H18" s="11">
        <f>-5310.31*-1</f>
        <v>5310.31</v>
      </c>
      <c r="I18" s="3"/>
      <c r="J18" s="11">
        <f>--4712.38</f>
        <v>4712.38</v>
      </c>
      <c r="K18" s="3"/>
      <c r="L18" s="11">
        <f>--2170.76</f>
        <v>2170.7600000000002</v>
      </c>
      <c r="M18" s="3"/>
      <c r="N18" s="11">
        <f>--3151.75</f>
        <v>3151.75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"4100", " - ", "NON-TAXABLE SALES")</f>
        <v xml:space="preserve">          4100 - NON-TAXABLE SALES</v>
      </c>
      <c r="D19" s="11">
        <f t="shared" si="0"/>
        <v>0</v>
      </c>
      <c r="F19" s="11">
        <f>0*-1</f>
        <v>0</v>
      </c>
      <c r="G19" s="3"/>
      <c r="H19" s="11">
        <f>0*-1</f>
        <v>0</v>
      </c>
      <c r="I19" s="3"/>
      <c r="J19" s="11">
        <f>0</f>
        <v>0</v>
      </c>
      <c r="K19" s="3"/>
      <c r="L19" s="11">
        <f>0</f>
        <v>0</v>
      </c>
      <c r="M19" s="3"/>
      <c r="N19" s="11">
        <f>0</f>
        <v>0</v>
      </c>
      <c r="O19" s="3"/>
      <c r="P19" s="11">
        <v>211589</v>
      </c>
      <c r="Q19" s="3"/>
      <c r="R19" s="11">
        <v>145717</v>
      </c>
    </row>
    <row r="20" spans="2:18" s="16" customFormat="1" hidden="1" outlineLevel="1" x14ac:dyDescent="0.35">
      <c r="B20" s="35" t="str">
        <f>CONCATENATE("          ", "4181", " - ", "NON-TAXABLE SALES-ELECTRONICS")</f>
        <v xml:space="preserve">          4181 - NON-TAXABLE SALES-ELECTRONICS</v>
      </c>
      <c r="D20" s="11">
        <f>-5820.55*-1</f>
        <v>5820.55</v>
      </c>
      <c r="F20" s="11">
        <f>-24667.99*-1</f>
        <v>24667.99</v>
      </c>
      <c r="G20" s="3"/>
      <c r="H20" s="11">
        <f>-44991.32*-1</f>
        <v>44991.32</v>
      </c>
      <c r="I20" s="3"/>
      <c r="J20" s="11">
        <f>--30373.18</f>
        <v>30373.18</v>
      </c>
      <c r="K20" s="3"/>
      <c r="L20" s="11">
        <f>--16357.65</f>
        <v>16357.65</v>
      </c>
      <c r="M20" s="3"/>
      <c r="N20" s="11">
        <f>--3925.74</f>
        <v>3925.74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"4182", " - ", "NON-TAXABLE SALES-COMPUTER HAR")</f>
        <v xml:space="preserve">          4182 - NON-TAXABLE SALES-COMPUTER HAR</v>
      </c>
      <c r="D21" s="11">
        <f>-178118.84*-1</f>
        <v>178118.84</v>
      </c>
      <c r="F21" s="11">
        <f>-566284.24*-1</f>
        <v>566284.24</v>
      </c>
      <c r="G21" s="3"/>
      <c r="H21" s="11">
        <f>-558130.07*-1</f>
        <v>558130.06999999995</v>
      </c>
      <c r="I21" s="3"/>
      <c r="J21" s="11">
        <f>--301723.6</f>
        <v>301723.59999999998</v>
      </c>
      <c r="K21" s="3"/>
      <c r="L21" s="11">
        <f>--239193.82</f>
        <v>239193.82</v>
      </c>
      <c r="M21" s="3"/>
      <c r="N21" s="11">
        <f>--221223.79</f>
        <v>221223.79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"4183", " - ", "NON-TAXABLE SALES-COMPUTER EQU")</f>
        <v xml:space="preserve">          4183 - NON-TAXABLE SALES-COMPUTER EQU</v>
      </c>
      <c r="D22" s="11">
        <f>-19323.14*-1</f>
        <v>19323.14</v>
      </c>
      <c r="F22" s="11">
        <f>-71615.6*-1</f>
        <v>71615.600000000006</v>
      </c>
      <c r="G22" s="3"/>
      <c r="H22" s="11">
        <f>-58854.21*-1</f>
        <v>58854.21</v>
      </c>
      <c r="I22" s="3"/>
      <c r="J22" s="11">
        <f>--26096.3</f>
        <v>26096.3</v>
      </c>
      <c r="K22" s="3"/>
      <c r="L22" s="11">
        <f>--9758.94</f>
        <v>9758.94</v>
      </c>
      <c r="M22" s="3"/>
      <c r="N22" s="11">
        <f>--12822.38</f>
        <v>12822.38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"4184", " - ", "NON-TAXABLE SALES-SOFTWARE LIC")</f>
        <v xml:space="preserve">          4184 - NON-TAXABLE SALES-SOFTWARE LIC</v>
      </c>
      <c r="D23" s="11">
        <f>-19.99*-1</f>
        <v>19.989999999999998</v>
      </c>
      <c r="F23" s="11">
        <f>-179*-1</f>
        <v>179</v>
      </c>
      <c r="G23" s="3"/>
      <c r="H23" s="11">
        <f>-1158.96*-1</f>
        <v>1158.96</v>
      </c>
      <c r="I23" s="3"/>
      <c r="J23" s="11">
        <f>--529.99</f>
        <v>529.99</v>
      </c>
      <c r="K23" s="3"/>
      <c r="L23" s="11">
        <f>--3840</f>
        <v>3840</v>
      </c>
      <c r="M23" s="3"/>
      <c r="N23" s="11">
        <f>--2728</f>
        <v>2728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"4185", " - ", "NON-TAXABLE SALES-SOFTWARE")</f>
        <v xml:space="preserve">          4185 - NON-TAXABLE SALES-SOFTWARE</v>
      </c>
      <c r="D24" s="11">
        <f>-3804.87*-1</f>
        <v>3804.87</v>
      </c>
      <c r="F24" s="11">
        <f>-13244.29*-1</f>
        <v>13244.29</v>
      </c>
      <c r="G24" s="3"/>
      <c r="H24" s="11">
        <f>-23603.96*-1</f>
        <v>23603.96</v>
      </c>
      <c r="I24" s="3"/>
      <c r="J24" s="11">
        <f>--29148.69</f>
        <v>29148.69</v>
      </c>
      <c r="K24" s="3"/>
      <c r="L24" s="11">
        <f>--6664.76</f>
        <v>6664.76</v>
      </c>
      <c r="M24" s="3"/>
      <c r="N24" s="11">
        <f>--25792.1</f>
        <v>25792.1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"4186", " - ", "NON-TAXABLE SALES-COMPUTER SUP")</f>
        <v xml:space="preserve">          4186 - NON-TAXABLE SALES-COMPUTER SUP</v>
      </c>
      <c r="D25" s="11">
        <f>-6149.66*-1</f>
        <v>6149.66</v>
      </c>
      <c r="F25" s="11">
        <f>-21437.98*-1</f>
        <v>21437.98</v>
      </c>
      <c r="G25" s="3"/>
      <c r="H25" s="11">
        <f>-19871.29*-1</f>
        <v>19871.29</v>
      </c>
      <c r="I25" s="3"/>
      <c r="J25" s="11">
        <f>--9209.06</f>
        <v>9209.06</v>
      </c>
      <c r="K25" s="3"/>
      <c r="L25" s="11">
        <f>--6251.3</f>
        <v>6251.3</v>
      </c>
      <c r="M25" s="3"/>
      <c r="N25" s="11">
        <f>--3358.05</f>
        <v>3358.05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"4188", " - ", "NON-TAXABLE SALES-MUSIC")</f>
        <v xml:space="preserve">          4188 - NON-TAXABLE SALES-MUSIC</v>
      </c>
      <c r="D26" s="11">
        <f>0*-1</f>
        <v>0</v>
      </c>
      <c r="F26" s="11">
        <f>-3808.75*-1</f>
        <v>3808.75</v>
      </c>
      <c r="G26" s="3"/>
      <c r="H26" s="11">
        <f>-3329.94*-1</f>
        <v>3329.94</v>
      </c>
      <c r="I26" s="3"/>
      <c r="J26" s="11">
        <f>--1485.91</f>
        <v>1485.91</v>
      </c>
      <c r="K26" s="3"/>
      <c r="L26" s="11">
        <f>--199.98</f>
        <v>199.98</v>
      </c>
      <c r="M26" s="3"/>
      <c r="N26" s="11">
        <f>--343.94</f>
        <v>343.94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"4281", " - ", "SALES RETURN TAXABLE-ELECTRONI")</f>
        <v xml:space="preserve">          4281 - SALES RETURN TAXABLE-ELECTRONI</v>
      </c>
      <c r="D27" s="11">
        <f>7272.47*-1</f>
        <v>-7272.47</v>
      </c>
      <c r="F27" s="11">
        <f>9271.21*-1</f>
        <v>-9271.2099999999991</v>
      </c>
      <c r="G27" s="3"/>
      <c r="H27" s="11">
        <f>9296.24*-1</f>
        <v>-9296.24</v>
      </c>
      <c r="I27" s="3"/>
      <c r="J27" s="11">
        <f>-12765.58</f>
        <v>-12765.58</v>
      </c>
      <c r="K27" s="3"/>
      <c r="L27" s="11">
        <f>-7929.72</f>
        <v>-7929.72</v>
      </c>
      <c r="M27" s="3"/>
      <c r="N27" s="11">
        <f>-8099.7</f>
        <v>-8099.7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"4282", " - ", "SALES RETURN TAXABLE-COMPUTER")</f>
        <v xml:space="preserve">          4282 - SALES RETURN TAXABLE-COMPUTER</v>
      </c>
      <c r="D28" s="11">
        <f>196974.26*-1</f>
        <v>-196974.26</v>
      </c>
      <c r="F28" s="11">
        <f>160638.56*-1</f>
        <v>-160638.56</v>
      </c>
      <c r="G28" s="3"/>
      <c r="H28" s="11">
        <f>150756.11*-1</f>
        <v>-150756.10999999999</v>
      </c>
      <c r="I28" s="3"/>
      <c r="J28" s="11">
        <f>-95739.07</f>
        <v>-95739.07</v>
      </c>
      <c r="K28" s="3"/>
      <c r="L28" s="11">
        <f>-84999.98</f>
        <v>-84999.98</v>
      </c>
      <c r="M28" s="3"/>
      <c r="N28" s="11">
        <f>-247392.7</f>
        <v>-247392.7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"4283", " - ", "SALES RETURN TAXABLE-COMPUTER")</f>
        <v xml:space="preserve">          4283 - SALES RETURN TAXABLE-COMPUTER</v>
      </c>
      <c r="D29" s="11">
        <f>4072.15*-1</f>
        <v>-4072.15</v>
      </c>
      <c r="F29" s="11">
        <f>10197.28*-1</f>
        <v>-10197.280000000001</v>
      </c>
      <c r="G29" s="3"/>
      <c r="H29" s="11">
        <f>7626.03*-1</f>
        <v>-7626.03</v>
      </c>
      <c r="I29" s="3"/>
      <c r="J29" s="11">
        <f>-9156.47</f>
        <v>-9156.4699999999993</v>
      </c>
      <c r="K29" s="3"/>
      <c r="L29" s="11">
        <f>-7916.71</f>
        <v>-7916.71</v>
      </c>
      <c r="M29" s="3"/>
      <c r="N29" s="11">
        <f>-6718.01</f>
        <v>-6718.01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"4284", " - ", "SALES RETURN TAXABLE-SOFTWARE")</f>
        <v xml:space="preserve">          4284 - SALES RETURN TAXABLE-SOFTWARE</v>
      </c>
      <c r="D30" s="11">
        <f>9152.81*-1</f>
        <v>-9152.81</v>
      </c>
      <c r="F30" s="11">
        <f>495.94*-1</f>
        <v>-495.94</v>
      </c>
      <c r="G30" s="3"/>
      <c r="H30" s="11">
        <f>259.96*-1</f>
        <v>-259.95999999999998</v>
      </c>
      <c r="I30" s="3"/>
      <c r="J30" s="11">
        <f>-17.99</f>
        <v>-17.989999999999998</v>
      </c>
      <c r="K30" s="3"/>
      <c r="L30" s="11">
        <f>0</f>
        <v>0</v>
      </c>
      <c r="M30" s="3"/>
      <c r="N30" s="11">
        <f>-129</f>
        <v>-129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"4285", " - ", "SALES RETURN TAXABLE-SOFTWARE")</f>
        <v xml:space="preserve">          4285 - SALES RETURN TAXABLE-SOFTWARE</v>
      </c>
      <c r="D31" s="11">
        <f>504.94*-1</f>
        <v>-504.94</v>
      </c>
      <c r="F31" s="11">
        <f>1400.92*-1</f>
        <v>-1400.92</v>
      </c>
      <c r="G31" s="3"/>
      <c r="H31" s="11">
        <f>455.95*-1</f>
        <v>-455.95</v>
      </c>
      <c r="I31" s="3"/>
      <c r="J31" s="11">
        <f>-1634.9</f>
        <v>-1634.9</v>
      </c>
      <c r="K31" s="3"/>
      <c r="L31" s="11">
        <f>-725.94</f>
        <v>-725.94</v>
      </c>
      <c r="M31" s="3"/>
      <c r="N31" s="11">
        <f>-805.97</f>
        <v>-805.97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"4286", " - ", "SALES RETURN TAXABLE-COMPUTER")</f>
        <v xml:space="preserve">          4286 - SALES RETURN TAXABLE-COMPUTER</v>
      </c>
      <c r="D32" s="11">
        <f>2850.55*-1</f>
        <v>-2850.55</v>
      </c>
      <c r="F32" s="11">
        <f>5273.97*-1</f>
        <v>-5273.97</v>
      </c>
      <c r="G32" s="3"/>
      <c r="H32" s="11">
        <f>5958.38*-1</f>
        <v>-5958.38</v>
      </c>
      <c r="I32" s="3"/>
      <c r="J32" s="11">
        <f>-4358.88</f>
        <v>-4358.88</v>
      </c>
      <c r="K32" s="3"/>
      <c r="L32" s="11">
        <f>-5583.83</f>
        <v>-5583.83</v>
      </c>
      <c r="M32" s="3"/>
      <c r="N32" s="11">
        <f>-3660.86</f>
        <v>-3660.86</v>
      </c>
      <c r="O32" s="3"/>
      <c r="P32" s="11"/>
      <c r="Q32" s="3"/>
      <c r="R32" s="11"/>
    </row>
    <row r="33" spans="1:18" s="16" customFormat="1" hidden="1" outlineLevel="1" x14ac:dyDescent="0.35">
      <c r="B33" s="35" t="str">
        <f>CONCATENATE("          ", "4288", " - ", "TAXABLE SALES RETURN-MUSIC")</f>
        <v xml:space="preserve">          4288 - TAXABLE SALES RETURN-MUSIC</v>
      </c>
      <c r="D33" s="11">
        <f>0*-1</f>
        <v>0</v>
      </c>
      <c r="F33" s="11">
        <f>369.32*-1</f>
        <v>-369.32</v>
      </c>
      <c r="G33" s="3"/>
      <c r="H33" s="11">
        <f>454.34*-1</f>
        <v>-454.34</v>
      </c>
      <c r="I33" s="3"/>
      <c r="J33" s="11">
        <f>-98.99</f>
        <v>-98.99</v>
      </c>
      <c r="K33" s="3"/>
      <c r="L33" s="11">
        <f>-64.98</f>
        <v>-64.98</v>
      </c>
      <c r="M33" s="3"/>
      <c r="N33" s="11">
        <f>-152.99</f>
        <v>-152.99</v>
      </c>
      <c r="O33" s="3"/>
      <c r="P33" s="11"/>
      <c r="Q33" s="3"/>
      <c r="R33" s="11"/>
    </row>
    <row r="34" spans="1:18" s="16" customFormat="1" hidden="1" outlineLevel="1" x14ac:dyDescent="0.35">
      <c r="B34" s="35" t="str">
        <f>CONCATENATE("          ", "4381", " - ", "SALES RETURN NON TAXABLE-ELECT")</f>
        <v xml:space="preserve">          4381 - SALES RETURN NON TAXABLE-ELECT</v>
      </c>
      <c r="D34" s="11">
        <f>206.94*-1</f>
        <v>-206.94</v>
      </c>
      <c r="F34" s="11">
        <f>935.88*-1</f>
        <v>-935.88</v>
      </c>
      <c r="G34" s="3"/>
      <c r="H34" s="11">
        <f>840.75*-1</f>
        <v>-840.75</v>
      </c>
      <c r="I34" s="3"/>
      <c r="J34" s="11">
        <f>-148.99</f>
        <v>-148.99</v>
      </c>
      <c r="K34" s="3"/>
      <c r="L34" s="11">
        <f>-257.81</f>
        <v>-257.81</v>
      </c>
      <c r="M34" s="3"/>
      <c r="N34" s="11">
        <f>-1279.84</f>
        <v>-1279.8399999999999</v>
      </c>
      <c r="O34" s="3"/>
      <c r="P34" s="11"/>
      <c r="Q34" s="3"/>
      <c r="R34" s="11"/>
    </row>
    <row r="35" spans="1:18" s="16" customFormat="1" hidden="1" outlineLevel="1" x14ac:dyDescent="0.35">
      <c r="B35" s="35" t="str">
        <f>CONCATENATE("          ", "4383", " - ", "SALES RETURN NON TAXABLE-COMPU")</f>
        <v xml:space="preserve">          4383 - SALES RETURN NON TAXABLE-COMPU</v>
      </c>
      <c r="D35" s="11">
        <f>127.98*-1</f>
        <v>-127.98</v>
      </c>
      <c r="F35" s="11">
        <f>2269.85*-1</f>
        <v>-2269.85</v>
      </c>
      <c r="G35" s="3"/>
      <c r="H35" s="11">
        <f>425.51*-1</f>
        <v>-425.51</v>
      </c>
      <c r="I35" s="3"/>
      <c r="J35" s="11">
        <f>-230.56</f>
        <v>-230.56</v>
      </c>
      <c r="K35" s="3"/>
      <c r="L35" s="11">
        <f>-153.92</f>
        <v>-153.91999999999999</v>
      </c>
      <c r="M35" s="3"/>
      <c r="N35" s="11">
        <f>-49.98</f>
        <v>-49.98</v>
      </c>
      <c r="O35" s="3"/>
      <c r="P35" s="11"/>
      <c r="Q35" s="3"/>
      <c r="R35" s="11"/>
    </row>
    <row r="36" spans="1:18" s="16" customFormat="1" hidden="1" outlineLevel="1" x14ac:dyDescent="0.35">
      <c r="B36" s="35" t="str">
        <f>CONCATENATE("          ", "4384", " - ", "SALES RETURN NON TAXABLE-SOFTW")</f>
        <v xml:space="preserve">          4384 - SALES RETURN NON TAXABLE-SOFTW</v>
      </c>
      <c r="D36" s="11">
        <f t="shared" ref="D36:D37" si="1">0*-1</f>
        <v>0</v>
      </c>
      <c r="F36" s="11">
        <f>0*-1</f>
        <v>0</v>
      </c>
      <c r="G36" s="3"/>
      <c r="H36" s="11">
        <f>199.99*-1</f>
        <v>-199.99</v>
      </c>
      <c r="I36" s="3"/>
      <c r="J36" s="11">
        <f>0</f>
        <v>0</v>
      </c>
      <c r="K36" s="3"/>
      <c r="L36" s="11">
        <f t="shared" ref="L36:L37" si="2">0</f>
        <v>0</v>
      </c>
      <c r="M36" s="3"/>
      <c r="N36" s="11">
        <f t="shared" ref="N36:N37" si="3">0</f>
        <v>0</v>
      </c>
      <c r="O36" s="3"/>
      <c r="P36" s="11"/>
      <c r="Q36" s="3"/>
      <c r="R36" s="11"/>
    </row>
    <row r="37" spans="1:18" s="16" customFormat="1" hidden="1" outlineLevel="1" x14ac:dyDescent="0.35">
      <c r="B37" s="35" t="str">
        <f>CONCATENATE("          ", "4385", " - ", "SALES RETURN NON TAXABLE-SOFTW")</f>
        <v xml:space="preserve">          4385 - SALES RETURN NON TAXABLE-SOFTW</v>
      </c>
      <c r="D37" s="11">
        <f t="shared" si="1"/>
        <v>0</v>
      </c>
      <c r="F37" s="11">
        <f>783.98*-1</f>
        <v>-783.98</v>
      </c>
      <c r="G37" s="3"/>
      <c r="H37" s="11">
        <f>240.97*-1</f>
        <v>-240.97</v>
      </c>
      <c r="I37" s="3"/>
      <c r="J37" s="11">
        <f>-631.99</f>
        <v>-631.99</v>
      </c>
      <c r="K37" s="3"/>
      <c r="L37" s="11">
        <f t="shared" si="2"/>
        <v>0</v>
      </c>
      <c r="M37" s="3"/>
      <c r="N37" s="11">
        <f t="shared" si="3"/>
        <v>0</v>
      </c>
      <c r="O37" s="3"/>
      <c r="P37" s="11"/>
      <c r="Q37" s="3"/>
      <c r="R37" s="11"/>
    </row>
    <row r="38" spans="1:18" s="16" customFormat="1" hidden="1" outlineLevel="1" x14ac:dyDescent="0.35">
      <c r="B38" s="35" t="str">
        <f>CONCATENATE("          ", "4386", " - ", "SALES RETURN NON TAXABLE-COMPU")</f>
        <v xml:space="preserve">          4386 - SALES RETURN NON TAXABLE-COMPU</v>
      </c>
      <c r="D38" s="11">
        <f>183.97*-1</f>
        <v>-183.97</v>
      </c>
      <c r="F38" s="11">
        <f>199.33*-1</f>
        <v>-199.33</v>
      </c>
      <c r="G38" s="3"/>
      <c r="H38" s="11">
        <f>79.98*-1</f>
        <v>-79.98</v>
      </c>
      <c r="I38" s="3"/>
      <c r="J38" s="11">
        <f>-124.97</f>
        <v>-124.97</v>
      </c>
      <c r="K38" s="3"/>
      <c r="L38" s="11">
        <f>-209.95</f>
        <v>-209.95</v>
      </c>
      <c r="M38" s="3"/>
      <c r="N38" s="11">
        <f>-104.96</f>
        <v>-104.96</v>
      </c>
      <c r="O38" s="3"/>
      <c r="P38" s="11"/>
      <c r="Q38" s="3"/>
      <c r="R38" s="11"/>
    </row>
    <row r="39" spans="1:18" s="12" customFormat="1" x14ac:dyDescent="0.35">
      <c r="B39" s="7"/>
      <c r="D39" s="6"/>
      <c r="F39" s="6"/>
      <c r="G39" s="5"/>
      <c r="H39" s="6"/>
      <c r="I39" s="5"/>
      <c r="J39" s="6"/>
      <c r="K39" s="5"/>
      <c r="L39" s="6"/>
      <c r="M39" s="5"/>
      <c r="N39" s="6"/>
      <c r="O39" s="5"/>
      <c r="P39" s="6"/>
      <c r="Q39" s="5"/>
      <c r="R39" s="6"/>
    </row>
    <row r="40" spans="1:18" s="12" customFormat="1" collapsed="1" x14ac:dyDescent="0.35">
      <c r="B40" s="7" t="s">
        <v>278</v>
      </c>
      <c r="D40" s="8">
        <f>SUM(OSRRefD14x_0)</f>
        <v>2108762.9700000007</v>
      </c>
      <c r="E40" s="8"/>
      <c r="F40" s="8">
        <f>SUM(OSRRefF14x_0)</f>
        <v>2156732.2700000005</v>
      </c>
      <c r="G40" s="8"/>
      <c r="H40" s="8">
        <f>SUM(OSRRefH14x_0)</f>
        <v>2389136.0199999996</v>
      </c>
      <c r="I40" s="8"/>
      <c r="J40" s="8">
        <f>SUM(OSRRefJ14x_0)</f>
        <v>1796887.7500000002</v>
      </c>
      <c r="K40" s="8"/>
      <c r="L40" s="8">
        <f>SUM(OSRRefL14x_0)</f>
        <v>2470984.66</v>
      </c>
      <c r="M40" s="8"/>
      <c r="N40" s="8">
        <f>SUM(OSRRefN14x_0)</f>
        <v>2447645.5199999996</v>
      </c>
      <c r="O40" s="8"/>
      <c r="P40" s="8">
        <f>SUM(OSRRefP14x_0)</f>
        <v>2090377</v>
      </c>
      <c r="Q40" s="8"/>
      <c r="R40" s="8">
        <f>SUM(OSRRefR14x_0)</f>
        <v>2046109</v>
      </c>
    </row>
    <row r="41" spans="1:18" s="44" customFormat="1" hidden="1" outlineLevel="1" x14ac:dyDescent="0.35">
      <c r="A41" s="16"/>
      <c r="B41" s="35" t="str">
        <f>CONCATENATE("          ", "5000", " - ", "PURCHASES @ COST")</f>
        <v xml:space="preserve">          5000 - PURCHASES @ COST</v>
      </c>
      <c r="C41" s="16"/>
      <c r="D41" s="11"/>
      <c r="E41" s="16"/>
      <c r="F41" s="11"/>
      <c r="G41" s="3"/>
      <c r="H41" s="11"/>
      <c r="I41" s="3"/>
      <c r="J41" s="11"/>
      <c r="K41" s="3"/>
      <c r="L41" s="11"/>
      <c r="M41" s="3"/>
      <c r="N41" s="11">
        <v>0</v>
      </c>
      <c r="O41" s="3"/>
      <c r="P41" s="11">
        <v>2090377</v>
      </c>
      <c r="Q41" s="3"/>
      <c r="R41" s="11">
        <v>2046109</v>
      </c>
    </row>
    <row r="42" spans="1:18" s="44" customFormat="1" hidden="1" outlineLevel="1" x14ac:dyDescent="0.35">
      <c r="A42" s="16"/>
      <c r="B42" s="35" t="str">
        <f>CONCATENATE("          ", "5081", " - ", "PURCHASES @ COST-ELECTRONICS")</f>
        <v xml:space="preserve">          5081 - PURCHASES @ COST-ELECTRONICS</v>
      </c>
      <c r="C42" s="16"/>
      <c r="D42" s="11">
        <v>86954.08</v>
      </c>
      <c r="E42" s="16"/>
      <c r="F42" s="11">
        <v>131377.66</v>
      </c>
      <c r="G42" s="3"/>
      <c r="H42" s="11">
        <v>161237.85</v>
      </c>
      <c r="I42" s="3"/>
      <c r="J42" s="11">
        <v>265520.51</v>
      </c>
      <c r="K42" s="3"/>
      <c r="L42" s="11">
        <v>235938.23</v>
      </c>
      <c r="M42" s="3"/>
      <c r="N42" s="11">
        <v>258288.3</v>
      </c>
      <c r="O42" s="3"/>
      <c r="P42" s="11"/>
      <c r="Q42" s="3"/>
      <c r="R42" s="11"/>
    </row>
    <row r="43" spans="1:18" s="44" customFormat="1" hidden="1" outlineLevel="1" x14ac:dyDescent="0.35">
      <c r="A43" s="16"/>
      <c r="B43" s="35" t="str">
        <f>CONCATENATE("          ", "5082", " - ", "PURCHASES @ COST-COMPUTER HARD")</f>
        <v xml:space="preserve">          5082 - PURCHASES @ COST-COMPUTER HARD</v>
      </c>
      <c r="C43" s="16"/>
      <c r="D43" s="11">
        <v>1881910.11</v>
      </c>
      <c r="E43" s="16"/>
      <c r="F43" s="11">
        <v>2119626.5299999998</v>
      </c>
      <c r="G43" s="3"/>
      <c r="H43" s="11">
        <v>1941363.26</v>
      </c>
      <c r="I43" s="3"/>
      <c r="J43" s="11">
        <v>1413883.81</v>
      </c>
      <c r="K43" s="3"/>
      <c r="L43" s="11">
        <v>1964228.54</v>
      </c>
      <c r="M43" s="3"/>
      <c r="N43" s="11">
        <v>1831501.23</v>
      </c>
      <c r="O43" s="3"/>
      <c r="P43" s="11"/>
      <c r="Q43" s="3"/>
      <c r="R43" s="11"/>
    </row>
    <row r="44" spans="1:18" s="44" customFormat="1" hidden="1" outlineLevel="1" x14ac:dyDescent="0.35">
      <c r="A44" s="16"/>
      <c r="B44" s="35" t="str">
        <f>CONCATENATE("          ", "5083", " - ", "PURCHASES @ COST-COMPUTER EQUI")</f>
        <v xml:space="preserve">          5083 - PURCHASES @ COST-COMPUTER EQUI</v>
      </c>
      <c r="C44" s="16"/>
      <c r="D44" s="11">
        <v>72375.820000000007</v>
      </c>
      <c r="E44" s="16"/>
      <c r="F44" s="11">
        <v>115555.5</v>
      </c>
      <c r="G44" s="3"/>
      <c r="H44" s="11">
        <v>114635.46</v>
      </c>
      <c r="I44" s="3"/>
      <c r="J44" s="11">
        <v>111809.11</v>
      </c>
      <c r="K44" s="3"/>
      <c r="L44" s="11">
        <v>111062.89</v>
      </c>
      <c r="M44" s="3"/>
      <c r="N44" s="11">
        <v>107424.25</v>
      </c>
      <c r="O44" s="3"/>
      <c r="P44" s="11"/>
      <c r="Q44" s="3"/>
      <c r="R44" s="11"/>
    </row>
    <row r="45" spans="1:18" s="44" customFormat="1" hidden="1" outlineLevel="1" x14ac:dyDescent="0.35">
      <c r="A45" s="16"/>
      <c r="B45" s="35" t="str">
        <f>CONCATENATE("          ", "5084", " - ", "PURCHASES @ COST-SOFTWARE LICE")</f>
        <v xml:space="preserve">          5084 - PURCHASES @ COST-SOFTWARE LICE</v>
      </c>
      <c r="C45" s="16"/>
      <c r="D45" s="11">
        <v>1042.55</v>
      </c>
      <c r="E45" s="16"/>
      <c r="F45" s="11">
        <v>941.89</v>
      </c>
      <c r="G45" s="3"/>
      <c r="H45" s="11">
        <v>661.55</v>
      </c>
      <c r="I45" s="3"/>
      <c r="J45" s="11">
        <v>525.54999999999995</v>
      </c>
      <c r="K45" s="3"/>
      <c r="L45" s="11">
        <v>5183</v>
      </c>
      <c r="M45" s="3"/>
      <c r="N45" s="11">
        <v>2728</v>
      </c>
      <c r="O45" s="3"/>
      <c r="P45" s="11"/>
      <c r="Q45" s="3"/>
      <c r="R45" s="11"/>
    </row>
    <row r="46" spans="1:18" s="44" customFormat="1" hidden="1" outlineLevel="1" x14ac:dyDescent="0.35">
      <c r="A46" s="16"/>
      <c r="B46" s="35" t="str">
        <f>CONCATENATE("          ", "5085", " - ", "PURCHASES @ COST-SOFTWARE")</f>
        <v xml:space="preserve">          5085 - PURCHASES @ COST-SOFTWARE</v>
      </c>
      <c r="C46" s="16"/>
      <c r="D46" s="11">
        <v>19066.349999999999</v>
      </c>
      <c r="E46" s="16"/>
      <c r="F46" s="11">
        <v>17377.990000000002</v>
      </c>
      <c r="G46" s="3"/>
      <c r="H46" s="11">
        <v>15223.87</v>
      </c>
      <c r="I46" s="3"/>
      <c r="J46" s="11">
        <v>28339.68</v>
      </c>
      <c r="K46" s="3"/>
      <c r="L46" s="11">
        <v>12963.48</v>
      </c>
      <c r="M46" s="3"/>
      <c r="N46" s="11">
        <v>17324.650000000001</v>
      </c>
      <c r="O46" s="3"/>
      <c r="P46" s="11"/>
      <c r="Q46" s="3"/>
      <c r="R46" s="11"/>
    </row>
    <row r="47" spans="1:18" s="44" customFormat="1" hidden="1" outlineLevel="1" x14ac:dyDescent="0.35">
      <c r="A47" s="16"/>
      <c r="B47" s="35" t="str">
        <f>CONCATENATE("          ", "5086", " - ", "PURCHASES @ COST-COMPUTER SUPP")</f>
        <v xml:space="preserve">          5086 - PURCHASES @ COST-COMPUTER SUPP</v>
      </c>
      <c r="C47" s="16"/>
      <c r="D47" s="11">
        <v>29188.07</v>
      </c>
      <c r="E47" s="16"/>
      <c r="F47" s="11">
        <v>61898.239999999998</v>
      </c>
      <c r="G47" s="3"/>
      <c r="H47" s="11">
        <v>47769.06</v>
      </c>
      <c r="I47" s="3"/>
      <c r="J47" s="11">
        <v>44118.720000000001</v>
      </c>
      <c r="K47" s="3"/>
      <c r="L47" s="11">
        <v>61180.08</v>
      </c>
      <c r="M47" s="3"/>
      <c r="N47" s="11">
        <v>30010.32</v>
      </c>
      <c r="O47" s="3"/>
      <c r="P47" s="11"/>
      <c r="Q47" s="3"/>
      <c r="R47" s="11"/>
    </row>
    <row r="48" spans="1:18" s="44" customFormat="1" hidden="1" outlineLevel="1" x14ac:dyDescent="0.35">
      <c r="A48" s="16"/>
      <c r="B48" s="35" t="str">
        <f>CONCATENATE("          ", "5088", " - ", "PURCHASES @ COST-MUSIC")</f>
        <v xml:space="preserve">          5088 - PURCHASES @ COST-MUSIC</v>
      </c>
      <c r="C48" s="16"/>
      <c r="D48" s="11"/>
      <c r="E48" s="16"/>
      <c r="F48" s="11">
        <v>8393.5499999999993</v>
      </c>
      <c r="G48" s="3"/>
      <c r="H48" s="11">
        <v>5291.05</v>
      </c>
      <c r="I48" s="3"/>
      <c r="J48" s="11">
        <v>3550.95</v>
      </c>
      <c r="K48" s="3"/>
      <c r="L48" s="11">
        <v>2245</v>
      </c>
      <c r="M48" s="3"/>
      <c r="N48" s="11">
        <v>95.65</v>
      </c>
      <c r="O48" s="3"/>
      <c r="P48" s="11"/>
      <c r="Q48" s="3"/>
      <c r="R48" s="11"/>
    </row>
    <row r="49" spans="1:18" s="44" customFormat="1" hidden="1" outlineLevel="1" x14ac:dyDescent="0.35">
      <c r="A49" s="16"/>
      <c r="B49" s="35" t="str">
        <f>CONCATENATE("          ", "5200", " - ", "PURCHASES OFFSET")</f>
        <v xml:space="preserve">          5200 - PURCHASES OFFSET</v>
      </c>
      <c r="C49" s="16"/>
      <c r="D49" s="11">
        <v>-2091213</v>
      </c>
      <c r="E49" s="16"/>
      <c r="F49" s="11">
        <v>-2456508</v>
      </c>
      <c r="G49" s="3"/>
      <c r="H49" s="11">
        <v>-2287145</v>
      </c>
      <c r="I49" s="3"/>
      <c r="J49" s="11">
        <v>-1868269</v>
      </c>
      <c r="K49" s="3"/>
      <c r="L49" s="11">
        <v>-2393287</v>
      </c>
      <c r="M49" s="3"/>
      <c r="N49" s="11">
        <v>-2248069</v>
      </c>
      <c r="O49" s="3"/>
      <c r="P49" s="11"/>
      <c r="Q49" s="3"/>
      <c r="R49" s="11"/>
    </row>
    <row r="50" spans="1:18" s="44" customFormat="1" hidden="1" outlineLevel="1" x14ac:dyDescent="0.35">
      <c r="A50" s="16"/>
      <c r="B50" s="35" t="str">
        <f>CONCATENATE("          ", "5300", " - ", "COG$ OFFSET")</f>
        <v xml:space="preserve">          5300 - COG$ OFFSET</v>
      </c>
      <c r="C50" s="16"/>
      <c r="D50" s="11">
        <v>2108761</v>
      </c>
      <c r="E50" s="16"/>
      <c r="F50" s="11">
        <v>2156729</v>
      </c>
      <c r="G50" s="3"/>
      <c r="H50" s="11">
        <v>2389133</v>
      </c>
      <c r="I50" s="3"/>
      <c r="J50" s="11">
        <v>1796889</v>
      </c>
      <c r="K50" s="3"/>
      <c r="L50" s="11">
        <v>2470971</v>
      </c>
      <c r="M50" s="3"/>
      <c r="N50" s="11">
        <v>2447643</v>
      </c>
      <c r="O50" s="3"/>
      <c r="P50" s="11"/>
      <c r="Q50" s="3"/>
      <c r="R50" s="11"/>
    </row>
    <row r="51" spans="1:18" s="44" customFormat="1" hidden="1" outlineLevel="1" x14ac:dyDescent="0.35">
      <c r="A51" s="16"/>
      <c r="B51" s="35" t="str">
        <f>CONCATENATE("          ", "5500", " - ", "FREIGHT-IN")</f>
        <v xml:space="preserve">          5500 - FREIGHT-IN</v>
      </c>
      <c r="C51" s="16"/>
      <c r="D51" s="11"/>
      <c r="E51" s="16"/>
      <c r="F51" s="11"/>
      <c r="G51" s="3"/>
      <c r="H51" s="11"/>
      <c r="I51" s="3"/>
      <c r="J51" s="11"/>
      <c r="K51" s="3"/>
      <c r="L51" s="11">
        <v>14.08</v>
      </c>
      <c r="M51" s="3"/>
      <c r="N51" s="11">
        <v>0</v>
      </c>
      <c r="O51" s="3"/>
      <c r="P51" s="11"/>
      <c r="Q51" s="3"/>
      <c r="R51" s="11"/>
    </row>
    <row r="52" spans="1:18" s="44" customFormat="1" hidden="1" outlineLevel="1" x14ac:dyDescent="0.35">
      <c r="A52" s="16"/>
      <c r="B52" s="35" t="str">
        <f>CONCATENATE("          ", "5581", " - ", "FREIGHT-IN-ELECTRONICS")</f>
        <v xml:space="preserve">          5581 - FREIGHT-IN-ELECTRONICS</v>
      </c>
      <c r="C52" s="16"/>
      <c r="D52" s="11">
        <v>69.02</v>
      </c>
      <c r="E52" s="16"/>
      <c r="F52" s="11">
        <v>144.29</v>
      </c>
      <c r="G52" s="3"/>
      <c r="H52" s="11">
        <v>125.31</v>
      </c>
      <c r="I52" s="3"/>
      <c r="J52" s="11">
        <v>33.08</v>
      </c>
      <c r="K52" s="3"/>
      <c r="L52" s="11"/>
      <c r="M52" s="3"/>
      <c r="N52" s="11">
        <v>137</v>
      </c>
      <c r="O52" s="3"/>
      <c r="P52" s="11"/>
      <c r="Q52" s="3"/>
      <c r="R52" s="11"/>
    </row>
    <row r="53" spans="1:18" s="44" customFormat="1" hidden="1" outlineLevel="1" x14ac:dyDescent="0.35">
      <c r="A53" s="16"/>
      <c r="B53" s="35" t="str">
        <f>CONCATENATE("          ", "5582", " - ", "FREIGHT-IN-COMPUTER HARDWARE")</f>
        <v xml:space="preserve">          5582 - FREIGHT-IN-COMPUTER HARDWARE</v>
      </c>
      <c r="C53" s="16"/>
      <c r="D53" s="11">
        <v>62.66</v>
      </c>
      <c r="E53" s="16"/>
      <c r="F53" s="11">
        <v>22.02</v>
      </c>
      <c r="G53" s="3"/>
      <c r="H53" s="11">
        <v>226.3</v>
      </c>
      <c r="I53" s="3"/>
      <c r="J53" s="11"/>
      <c r="K53" s="3"/>
      <c r="L53" s="11">
        <v>12</v>
      </c>
      <c r="M53" s="3"/>
      <c r="N53" s="11">
        <v>154.30000000000001</v>
      </c>
      <c r="O53" s="3"/>
      <c r="P53" s="11"/>
      <c r="Q53" s="3"/>
      <c r="R53" s="11"/>
    </row>
    <row r="54" spans="1:18" s="44" customFormat="1" hidden="1" outlineLevel="1" x14ac:dyDescent="0.35">
      <c r="A54" s="16"/>
      <c r="B54" s="35" t="str">
        <f>CONCATENATE("          ", "5583", " - ", "FREIGHT-IN-COMPUTER EQUIPMENT")</f>
        <v xml:space="preserve">          5583 - FREIGHT-IN-COMPUTER EQUIPMENT</v>
      </c>
      <c r="C54" s="16"/>
      <c r="D54" s="11">
        <v>314.95999999999998</v>
      </c>
      <c r="E54" s="16"/>
      <c r="F54" s="11">
        <v>117.62</v>
      </c>
      <c r="G54" s="3"/>
      <c r="H54" s="11">
        <v>120.86</v>
      </c>
      <c r="I54" s="3"/>
      <c r="J54" s="11">
        <v>94.05</v>
      </c>
      <c r="K54" s="3"/>
      <c r="L54" s="11">
        <v>93.42</v>
      </c>
      <c r="M54" s="3"/>
      <c r="N54" s="11">
        <v>96.55</v>
      </c>
      <c r="O54" s="3"/>
      <c r="P54" s="11"/>
      <c r="Q54" s="3"/>
      <c r="R54" s="11"/>
    </row>
    <row r="55" spans="1:18" s="44" customFormat="1" hidden="1" outlineLevel="1" x14ac:dyDescent="0.35">
      <c r="A55" s="16"/>
      <c r="B55" s="35" t="str">
        <f>CONCATENATE("          ", "5585", " - ", "FREIGHT-IN-SOFTWARE")</f>
        <v xml:space="preserve">          5585 - FREIGHT-IN-SOFTWARE</v>
      </c>
      <c r="C55" s="16"/>
      <c r="D55" s="11">
        <v>1.75</v>
      </c>
      <c r="E55" s="16"/>
      <c r="F55" s="11">
        <v>18.899999999999999</v>
      </c>
      <c r="G55" s="3"/>
      <c r="H55" s="11"/>
      <c r="I55" s="3"/>
      <c r="J55" s="11"/>
      <c r="K55" s="3"/>
      <c r="L55" s="11"/>
      <c r="M55" s="3"/>
      <c r="N55" s="11">
        <v>10</v>
      </c>
      <c r="O55" s="3"/>
      <c r="P55" s="11"/>
      <c r="Q55" s="3"/>
      <c r="R55" s="11"/>
    </row>
    <row r="56" spans="1:18" s="44" customFormat="1" hidden="1" outlineLevel="1" x14ac:dyDescent="0.35">
      <c r="A56" s="16"/>
      <c r="B56" s="35" t="str">
        <f>CONCATENATE("          ", "5586", " - ", "FREIGHT-IN-COMPUTER SUPPLIES")</f>
        <v xml:space="preserve">          5586 - FREIGHT-IN-COMPUTER SUPPLIES</v>
      </c>
      <c r="C56" s="16"/>
      <c r="D56" s="11">
        <v>229.6</v>
      </c>
      <c r="E56" s="16"/>
      <c r="F56" s="11">
        <v>1037.08</v>
      </c>
      <c r="G56" s="3"/>
      <c r="H56" s="11">
        <v>493.45</v>
      </c>
      <c r="I56" s="3"/>
      <c r="J56" s="11">
        <v>392.29</v>
      </c>
      <c r="K56" s="3"/>
      <c r="L56" s="11">
        <v>379.94</v>
      </c>
      <c r="M56" s="3"/>
      <c r="N56" s="11">
        <v>301.27</v>
      </c>
      <c r="O56" s="3"/>
      <c r="P56" s="11"/>
      <c r="Q56" s="3"/>
      <c r="R56" s="11"/>
    </row>
    <row r="57" spans="1:18" x14ac:dyDescent="0.35">
      <c r="A57" s="12"/>
      <c r="B57" s="7"/>
      <c r="C57" s="7"/>
      <c r="D57" s="6"/>
      <c r="F57" s="6"/>
      <c r="H57" s="6"/>
      <c r="J57" s="6"/>
      <c r="L57" s="6"/>
      <c r="N57" s="6"/>
      <c r="P57" s="6"/>
      <c r="R57" s="6"/>
    </row>
    <row r="58" spans="1:18" s="15" customFormat="1" x14ac:dyDescent="0.35">
      <c r="A58" s="7"/>
      <c r="B58" s="22" t="s">
        <v>107</v>
      </c>
      <c r="C58" s="22"/>
      <c r="D58" s="10">
        <f>+D10-D40</f>
        <v>312359.53999999911</v>
      </c>
      <c r="E58" s="12"/>
      <c r="F58" s="10">
        <f>+F10-F40</f>
        <v>452989.89999999991</v>
      </c>
      <c r="G58" s="5"/>
      <c r="H58" s="10">
        <f>+H10-H40</f>
        <v>413263.89000000013</v>
      </c>
      <c r="I58" s="5"/>
      <c r="J58" s="10">
        <f>+J10-J40</f>
        <v>385465.81999999867</v>
      </c>
      <c r="K58" s="5"/>
      <c r="L58" s="10">
        <f>+L10-L40</f>
        <v>470480.75999999885</v>
      </c>
      <c r="M58" s="5"/>
      <c r="N58" s="10">
        <f>+N10-N40</f>
        <v>437444.84000000032</v>
      </c>
      <c r="O58" s="5"/>
      <c r="P58" s="10">
        <f>+P10-P40</f>
        <v>424594</v>
      </c>
      <c r="Q58" s="5"/>
      <c r="R58" s="10">
        <f>+R10-R40</f>
        <v>240050</v>
      </c>
    </row>
    <row r="59" spans="1:18" s="27" customFormat="1" x14ac:dyDescent="0.35">
      <c r="A59" s="18"/>
      <c r="B59" s="31"/>
      <c r="C59" s="18"/>
      <c r="D59" s="9">
        <f>IFERROR(D58/D10, 0)</f>
        <v>0.12901434715090032</v>
      </c>
      <c r="E59" s="13"/>
      <c r="F59" s="9">
        <f>IFERROR(F58/F10, 0)</f>
        <v>0.17357782571927946</v>
      </c>
      <c r="G59" s="26"/>
      <c r="H59" s="9">
        <f>IFERROR(H58/H10, 0)</f>
        <v>0.14746785015419164</v>
      </c>
      <c r="I59" s="26"/>
      <c r="J59" s="9">
        <f>IFERROR(J58/J10, 0)</f>
        <v>0.1766284919633801</v>
      </c>
      <c r="K59" s="26"/>
      <c r="L59" s="9">
        <f>IFERROR(L58/L10, 0)</f>
        <v>0.15994774468570805</v>
      </c>
      <c r="M59" s="26"/>
      <c r="N59" s="9">
        <f>IFERROR(N58/N10, 0)</f>
        <v>0.15162257864256298</v>
      </c>
      <c r="O59" s="26"/>
      <c r="P59" s="9">
        <f>IFERROR(P58/P10, 0)</f>
        <v>0.16882659879577142</v>
      </c>
      <c r="Q59" s="26"/>
      <c r="R59" s="9">
        <f>IFERROR(R58/R10, 0)</f>
        <v>0.10500144565622951</v>
      </c>
    </row>
    <row r="60" spans="1:18" s="27" customFormat="1" x14ac:dyDescent="0.35">
      <c r="A60" s="18"/>
      <c r="B60" s="31"/>
      <c r="C60" s="18"/>
      <c r="D60" s="13"/>
      <c r="E60" s="13"/>
      <c r="F60" s="13"/>
      <c r="G60" s="26"/>
      <c r="H60" s="13"/>
      <c r="I60" s="26"/>
      <c r="J60" s="13"/>
      <c r="K60" s="26"/>
      <c r="L60" s="13"/>
      <c r="M60" s="26"/>
      <c r="N60" s="13"/>
      <c r="O60" s="26"/>
      <c r="P60" s="13"/>
      <c r="Q60" s="26"/>
      <c r="R60" s="13"/>
    </row>
    <row r="61" spans="1:18" s="15" customFormat="1" x14ac:dyDescent="0.35">
      <c r="A61" s="7"/>
      <c r="B61" s="34" t="s">
        <v>314</v>
      </c>
      <c r="C61" s="7"/>
      <c r="D61" s="8">
        <f>SUM(OSRRefD21x_0)</f>
        <v>230831.04</v>
      </c>
      <c r="E61" s="19"/>
      <c r="F61" s="8">
        <f>SUM(OSRRefF21x_0)</f>
        <v>272297.19</v>
      </c>
      <c r="G61" s="4"/>
      <c r="H61" s="8">
        <f>SUM(OSRRefH21x_0)</f>
        <v>250118.6</v>
      </c>
      <c r="I61" s="4"/>
      <c r="J61" s="8">
        <f>SUM(OSRRefJ21x_0)</f>
        <v>335308.15999999997</v>
      </c>
      <c r="K61" s="4"/>
      <c r="L61" s="8">
        <f>SUM(OSRRefL21x_0)</f>
        <v>228006.22000000003</v>
      </c>
      <c r="M61" s="4"/>
      <c r="N61" s="8">
        <f>SUM(OSRRefN21x_0)</f>
        <v>177712.97000000006</v>
      </c>
      <c r="O61" s="4"/>
      <c r="P61" s="8">
        <f>SUM(OSRRefP21x_0)</f>
        <v>233153.17600596001</v>
      </c>
      <c r="Q61" s="4"/>
      <c r="R61" s="8">
        <f>SUM(OSRRefR21x_0)</f>
        <v>188962.38579010998</v>
      </c>
    </row>
    <row r="62" spans="1:18" s="15" customFormat="1" outlineLevel="1" collapsed="1" x14ac:dyDescent="0.35">
      <c r="A62" s="7"/>
      <c r="B62" s="20" t="str">
        <f>CONCATENATE("     ","*Benefits                                         ")</f>
        <v xml:space="preserve">     *Benefits                                         </v>
      </c>
      <c r="C62" s="7"/>
      <c r="D62" s="1">
        <f>SUM(OSRRefD21_0x_0)</f>
        <v>34874.470000000008</v>
      </c>
      <c r="E62" s="19"/>
      <c r="F62" s="1">
        <f>SUM(OSRRefF21_0x_0)</f>
        <v>41504.549999999996</v>
      </c>
      <c r="G62" s="4"/>
      <c r="H62" s="1">
        <f>SUM(OSRRefH21_0x_0)</f>
        <v>42790.15</v>
      </c>
      <c r="I62" s="4"/>
      <c r="J62" s="1">
        <f>SUM(OSRRefJ21_0x_0)</f>
        <v>38664.200000000004</v>
      </c>
      <c r="K62" s="4"/>
      <c r="L62" s="1">
        <f>SUM(OSRRefL21_0x_0)</f>
        <v>27699.079999999998</v>
      </c>
      <c r="M62" s="4"/>
      <c r="N62" s="1">
        <f>SUM(OSRRefN21_0x_0)</f>
        <v>29115.980000000003</v>
      </c>
      <c r="O62" s="4"/>
      <c r="P62" s="1">
        <f>SUM(OSRRefP21_0x_0)</f>
        <v>31597.842485960002</v>
      </c>
      <c r="Q62" s="4"/>
      <c r="R62" s="1">
        <f>SUM(OSRRefR21_0x_0)</f>
        <v>33822.508640109998</v>
      </c>
    </row>
    <row r="63" spans="1:18" s="16" customFormat="1" hidden="1" outlineLevel="2" x14ac:dyDescent="0.35">
      <c r="B63" s="11" t="str">
        <f>CONCATENATE("          ", "6111", " - ", "F.I.C.A.")</f>
        <v xml:space="preserve">          6111 - F.I.C.A.</v>
      </c>
      <c r="D63" s="2">
        <v>7106.15</v>
      </c>
      <c r="F63" s="2">
        <v>7401.48</v>
      </c>
      <c r="G63" s="3"/>
      <c r="H63" s="2">
        <v>6939.14</v>
      </c>
      <c r="I63" s="3"/>
      <c r="J63" s="2">
        <v>7660.81</v>
      </c>
      <c r="K63" s="3"/>
      <c r="L63" s="2">
        <v>5953.58</v>
      </c>
      <c r="M63" s="3"/>
      <c r="N63" s="2">
        <v>8039.26</v>
      </c>
      <c r="O63" s="3"/>
      <c r="P63" s="2">
        <v>6208.0379883599999</v>
      </c>
      <c r="Q63" s="3"/>
      <c r="R63" s="2">
        <v>7008.5834972100001</v>
      </c>
    </row>
    <row r="64" spans="1:18" s="16" customFormat="1" hidden="1" outlineLevel="2" x14ac:dyDescent="0.35">
      <c r="B64" s="11" t="str">
        <f>CONCATENATE("          ", "6112", " - ", "COMPENSATION INSURANCE")</f>
        <v xml:space="preserve">          6112 - COMPENSATION INSURANCE</v>
      </c>
      <c r="D64" s="2">
        <v>2134.5700000000002</v>
      </c>
      <c r="F64" s="2">
        <v>3920.02</v>
      </c>
      <c r="G64" s="3"/>
      <c r="H64" s="2">
        <v>2209.56</v>
      </c>
      <c r="I64" s="3"/>
      <c r="J64" s="2">
        <v>1290.3900000000001</v>
      </c>
      <c r="K64" s="3"/>
      <c r="L64" s="2">
        <v>1090.5</v>
      </c>
      <c r="M64" s="3"/>
      <c r="N64" s="2">
        <v>2050.15</v>
      </c>
      <c r="O64" s="3"/>
      <c r="P64" s="2">
        <v>2519.604096</v>
      </c>
      <c r="Q64" s="3"/>
      <c r="R64" s="2">
        <v>2125.1024652000001</v>
      </c>
    </row>
    <row r="65" spans="1:18" s="16" customFormat="1" hidden="1" outlineLevel="2" x14ac:dyDescent="0.35">
      <c r="B65" s="11" t="str">
        <f>CONCATENATE("          ", "6113", " - ", "GROUP INSURANCE")</f>
        <v xml:space="preserve">          6113 - GROUP INSURANCE</v>
      </c>
      <c r="D65" s="2">
        <v>14946.54</v>
      </c>
      <c r="F65" s="2">
        <v>19173.72</v>
      </c>
      <c r="G65" s="3"/>
      <c r="H65" s="2">
        <v>21182.400000000001</v>
      </c>
      <c r="I65" s="3"/>
      <c r="J65" s="2">
        <v>17280.55</v>
      </c>
      <c r="K65" s="3"/>
      <c r="L65" s="2">
        <v>11327.94</v>
      </c>
      <c r="M65" s="3"/>
      <c r="N65" s="2">
        <v>13627.38</v>
      </c>
      <c r="O65" s="3"/>
      <c r="P65" s="2">
        <v>11970</v>
      </c>
      <c r="Q65" s="3"/>
      <c r="R65" s="2">
        <v>11934</v>
      </c>
    </row>
    <row r="66" spans="1:18" s="16" customFormat="1" hidden="1" outlineLevel="2" x14ac:dyDescent="0.35">
      <c r="B66" s="11" t="str">
        <f>CONCATENATE("          ", "6114", " - ", "STATE UNEMPLOYMENT INSURANCE")</f>
        <v xml:space="preserve">          6114 - STATE UNEMPLOYMENT INSURANCE</v>
      </c>
      <c r="D66" s="2">
        <v>886.48</v>
      </c>
      <c r="F66" s="2">
        <v>947.69</v>
      </c>
      <c r="G66" s="3"/>
      <c r="H66" s="2">
        <v>411.33</v>
      </c>
      <c r="I66" s="3"/>
      <c r="J66" s="2">
        <v>429.01</v>
      </c>
      <c r="K66" s="3"/>
      <c r="L66" s="2">
        <v>297.19</v>
      </c>
      <c r="M66" s="3"/>
      <c r="N66" s="2">
        <v>0</v>
      </c>
      <c r="O66" s="3"/>
      <c r="P66" s="2">
        <v>354.10652160000001</v>
      </c>
      <c r="Q66" s="3"/>
      <c r="R66" s="2">
        <v>286.07148569999998</v>
      </c>
    </row>
    <row r="67" spans="1:18" s="16" customFormat="1" hidden="1" outlineLevel="2" x14ac:dyDescent="0.35">
      <c r="B67" s="11" t="str">
        <f>CONCATENATE("          ", "6115", " - ", "P.E.R.S.")</f>
        <v xml:space="preserve">          6115 - P.E.R.S.</v>
      </c>
      <c r="D67" s="2">
        <v>3719.46</v>
      </c>
      <c r="F67" s="2">
        <v>3820.15</v>
      </c>
      <c r="G67" s="3"/>
      <c r="H67" s="2">
        <v>4135.32</v>
      </c>
      <c r="I67" s="3"/>
      <c r="J67" s="2">
        <v>3715.7</v>
      </c>
      <c r="K67" s="3"/>
      <c r="L67" s="2">
        <v>2090.5</v>
      </c>
      <c r="M67" s="3"/>
      <c r="N67" s="2">
        <v>2807.7</v>
      </c>
      <c r="O67" s="3"/>
      <c r="P67" s="2">
        <v>2551.6113999999998</v>
      </c>
      <c r="Q67" s="3"/>
      <c r="R67" s="2">
        <v>2628.1597419999998</v>
      </c>
    </row>
    <row r="68" spans="1:18" s="16" customFormat="1" hidden="1" outlineLevel="2" x14ac:dyDescent="0.35">
      <c r="B68" s="11" t="str">
        <f>CONCATENATE("          ", "6116", " - ", "EDUCATIONAL BENEFITS")</f>
        <v xml:space="preserve">          6116 - EDUCATIONAL BENEFITS</v>
      </c>
      <c r="D68" s="2"/>
      <c r="F68" s="2"/>
      <c r="G68" s="3"/>
      <c r="H68" s="2"/>
      <c r="I68" s="3"/>
      <c r="J68" s="2"/>
      <c r="K68" s="3"/>
      <c r="L68" s="2"/>
      <c r="M68" s="3"/>
      <c r="N68" s="2"/>
      <c r="O68" s="3"/>
      <c r="P68" s="2">
        <v>0</v>
      </c>
      <c r="Q68" s="3"/>
      <c r="R68" s="2">
        <v>0</v>
      </c>
    </row>
    <row r="69" spans="1:18" s="16" customFormat="1" hidden="1" outlineLevel="2" x14ac:dyDescent="0.35">
      <c r="B69" s="11" t="str">
        <f>CONCATENATE("          ", "6117", " - ", "RETIREMENT STAFF HOURLY")</f>
        <v xml:space="preserve">          6117 - RETIREMENT STAFF HOURLY</v>
      </c>
      <c r="D69" s="2"/>
      <c r="F69" s="2"/>
      <c r="G69" s="3"/>
      <c r="H69" s="2"/>
      <c r="I69" s="3"/>
      <c r="J69" s="2">
        <v>852.98</v>
      </c>
      <c r="K69" s="3"/>
      <c r="L69" s="2">
        <v>1537.94</v>
      </c>
      <c r="M69" s="3"/>
      <c r="N69" s="2">
        <v>2058.8200000000002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"6118", " - ", "VACATION")</f>
        <v xml:space="preserve">          6118 - VACATION</v>
      </c>
      <c r="D70" s="2">
        <v>2058.56</v>
      </c>
      <c r="F70" s="2">
        <v>2701.43</v>
      </c>
      <c r="G70" s="3"/>
      <c r="H70" s="2">
        <v>3217.72</v>
      </c>
      <c r="I70" s="3"/>
      <c r="J70" s="2">
        <v>3120.35</v>
      </c>
      <c r="K70" s="3"/>
      <c r="L70" s="2">
        <v>2059.62</v>
      </c>
      <c r="M70" s="3"/>
      <c r="N70" s="2">
        <v>3303.15</v>
      </c>
      <c r="O70" s="3"/>
      <c r="P70" s="2">
        <v>2531.7370000000001</v>
      </c>
      <c r="Q70" s="3"/>
      <c r="R70" s="2">
        <v>2330.7839100000001</v>
      </c>
    </row>
    <row r="71" spans="1:18" s="16" customFormat="1" hidden="1" outlineLevel="2" x14ac:dyDescent="0.35">
      <c r="B71" s="11" t="str">
        <f>CONCATENATE("          ", "6119", " - ", "SICK LEAVE")</f>
        <v xml:space="preserve">          6119 - SICK LEAVE</v>
      </c>
      <c r="D71" s="2">
        <v>2290.3000000000002</v>
      </c>
      <c r="F71" s="2">
        <v>1749.39</v>
      </c>
      <c r="G71" s="3"/>
      <c r="H71" s="2">
        <v>2909.92</v>
      </c>
      <c r="I71" s="3"/>
      <c r="J71" s="2">
        <v>2580.9</v>
      </c>
      <c r="K71" s="3"/>
      <c r="L71" s="2">
        <v>1696.61</v>
      </c>
      <c r="M71" s="3"/>
      <c r="N71" s="2">
        <v>-4833.5600000000004</v>
      </c>
      <c r="O71" s="3"/>
      <c r="P71" s="2">
        <v>3362.74548</v>
      </c>
      <c r="Q71" s="3"/>
      <c r="R71" s="2">
        <v>3309.8075399999998</v>
      </c>
    </row>
    <row r="72" spans="1:18" s="16" customFormat="1" hidden="1" outlineLevel="2" x14ac:dyDescent="0.35">
      <c r="B72" s="11" t="str">
        <f>CONCATENATE("          ", "6156", " - ", "EMPLOYEE MEALS")</f>
        <v xml:space="preserve">          6156 - EMPLOYEE MEALS</v>
      </c>
      <c r="D72" s="2">
        <v>1732.41</v>
      </c>
      <c r="F72" s="2">
        <v>1790.67</v>
      </c>
      <c r="G72" s="3"/>
      <c r="H72" s="2">
        <v>1784.76</v>
      </c>
      <c r="I72" s="3"/>
      <c r="J72" s="2">
        <v>1733.51</v>
      </c>
      <c r="K72" s="3"/>
      <c r="L72" s="2">
        <v>1645.2</v>
      </c>
      <c r="M72" s="3"/>
      <c r="N72" s="2">
        <v>2063.08</v>
      </c>
      <c r="O72" s="3"/>
      <c r="P72" s="2">
        <v>2100</v>
      </c>
      <c r="Q72" s="3"/>
      <c r="R72" s="2">
        <v>4200</v>
      </c>
    </row>
    <row r="73" spans="1:18" s="15" customFormat="1" outlineLevel="1" collapsed="1" x14ac:dyDescent="0.35">
      <c r="A73" s="7"/>
      <c r="B73" s="20" t="str">
        <f>CONCATENATE("     ","*Payroll                                          ")</f>
        <v xml:space="preserve">     *Payroll                                          </v>
      </c>
      <c r="C73" s="7"/>
      <c r="D73" s="1">
        <f>SUM(OSRRefD21_1x_0)</f>
        <v>134115.56</v>
      </c>
      <c r="E73" s="19"/>
      <c r="F73" s="1">
        <f>SUM(OSRRefF21_1x_0)</f>
        <v>145420.06</v>
      </c>
      <c r="G73" s="4"/>
      <c r="H73" s="1">
        <f>SUM(OSRRefH21_1x_0)</f>
        <v>136003.46</v>
      </c>
      <c r="I73" s="4"/>
      <c r="J73" s="1">
        <f>SUM(OSRRefJ21_1x_0)</f>
        <v>137170.42000000001</v>
      </c>
      <c r="K73" s="4"/>
      <c r="L73" s="1">
        <f>SUM(OSRRefL21_1x_0)</f>
        <v>107854.66</v>
      </c>
      <c r="M73" s="4"/>
      <c r="N73" s="1">
        <f>SUM(OSRRefN21_1x_0)</f>
        <v>106281.83000000002</v>
      </c>
      <c r="O73" s="4"/>
      <c r="P73" s="1">
        <f>SUM(OSRRefP21_1x_0)</f>
        <v>130300.33352</v>
      </c>
      <c r="Q73" s="4"/>
      <c r="R73" s="1">
        <f>SUM(OSRRefR21_1x_0)</f>
        <v>132339.87714999999</v>
      </c>
    </row>
    <row r="74" spans="1:18" s="16" customFormat="1" hidden="1" outlineLevel="2" x14ac:dyDescent="0.35">
      <c r="B74" s="11" t="str">
        <f>CONCATENATE("          ", "6001", " - ", "ADMINISTRATIVE SALARIES")</f>
        <v xml:space="preserve">          6001 - ADMINISTRATIVE SALARIES</v>
      </c>
      <c r="D74" s="2"/>
      <c r="F74" s="2"/>
      <c r="G74" s="3"/>
      <c r="H74" s="2"/>
      <c r="I74" s="3"/>
      <c r="J74" s="2"/>
      <c r="K74" s="3"/>
      <c r="L74" s="2"/>
      <c r="M74" s="3"/>
      <c r="N74" s="2"/>
      <c r="O74" s="3"/>
      <c r="P74" s="2">
        <v>0</v>
      </c>
      <c r="Q74" s="3"/>
      <c r="R74" s="2">
        <v>0</v>
      </c>
    </row>
    <row r="75" spans="1:18" s="16" customFormat="1" hidden="1" outlineLevel="2" x14ac:dyDescent="0.35">
      <c r="B75" s="11" t="str">
        <f>CONCATENATE("          ", "6002", " - ", "STAFF SALARIES")</f>
        <v xml:space="preserve">          6002 - STAFF SALARIES</v>
      </c>
      <c r="D75" s="2">
        <v>45958.46</v>
      </c>
      <c r="F75" s="2">
        <v>62049.599999999999</v>
      </c>
      <c r="G75" s="3"/>
      <c r="H75" s="2">
        <v>59690.2</v>
      </c>
      <c r="I75" s="3"/>
      <c r="J75" s="2">
        <v>47529.35</v>
      </c>
      <c r="K75" s="3"/>
      <c r="L75" s="2">
        <v>31100.240000000002</v>
      </c>
      <c r="M75" s="3"/>
      <c r="N75" s="2">
        <v>36505.870000000003</v>
      </c>
      <c r="O75" s="3"/>
      <c r="P75" s="2">
        <v>28186.404999999999</v>
      </c>
      <c r="Q75" s="3"/>
      <c r="R75" s="2">
        <v>29031.997149999999</v>
      </c>
    </row>
    <row r="76" spans="1:18" s="16" customFormat="1" hidden="1" outlineLevel="2" x14ac:dyDescent="0.35">
      <c r="B76" s="11" t="str">
        <f>CONCATENATE("          ", "6003", " - ", "STAFF HOURLY-9 MONTH")</f>
        <v xml:space="preserve">          6003 - STAFF HOURLY-9 MONTH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>
        <v>0</v>
      </c>
      <c r="Q76" s="3"/>
      <c r="R76" s="2">
        <v>0</v>
      </c>
    </row>
    <row r="77" spans="1:18" s="16" customFormat="1" hidden="1" outlineLevel="2" x14ac:dyDescent="0.35">
      <c r="B77" s="11" t="str">
        <f>CONCATENATE("          ", "6004", " - ", "STAFF HOURLY")</f>
        <v xml:space="preserve">          6004 - STAFF HOURLY</v>
      </c>
      <c r="D77" s="2"/>
      <c r="F77" s="2"/>
      <c r="G77" s="3"/>
      <c r="H77" s="2"/>
      <c r="I77" s="3"/>
      <c r="J77" s="2"/>
      <c r="K77" s="3"/>
      <c r="L77" s="2"/>
      <c r="M77" s="3"/>
      <c r="N77" s="2">
        <v>11783.41</v>
      </c>
      <c r="O77" s="3"/>
      <c r="P77" s="2">
        <v>40145.56</v>
      </c>
      <c r="Q77" s="3"/>
      <c r="R77" s="2">
        <v>44776.160000000003</v>
      </c>
    </row>
    <row r="78" spans="1:18" s="16" customFormat="1" hidden="1" outlineLevel="2" x14ac:dyDescent="0.35">
      <c r="B78" s="11" t="str">
        <f>CONCATENATE("          ", "6005", " - ", "TEMPORARY WAGES-HOURLY")</f>
        <v xml:space="preserve">          6005 - TEMPORARY WAGES-HOURLY</v>
      </c>
      <c r="D78" s="2">
        <v>20897.72</v>
      </c>
      <c r="F78" s="2">
        <v>15092.77</v>
      </c>
      <c r="G78" s="3"/>
      <c r="H78" s="2">
        <v>3386.52</v>
      </c>
      <c r="I78" s="3"/>
      <c r="J78" s="2">
        <v>25755.5</v>
      </c>
      <c r="K78" s="3"/>
      <c r="L78" s="2">
        <v>30814.06</v>
      </c>
      <c r="M78" s="3"/>
      <c r="N78" s="2">
        <v>29960.57</v>
      </c>
      <c r="O78" s="3"/>
      <c r="P78" s="2">
        <v>0</v>
      </c>
      <c r="Q78" s="3"/>
      <c r="R78" s="2">
        <v>0</v>
      </c>
    </row>
    <row r="79" spans="1:18" s="16" customFormat="1" hidden="1" outlineLevel="2" x14ac:dyDescent="0.35">
      <c r="B79" s="11" t="str">
        <f>CONCATENATE("          ", "6006", " - ", "TEMPORARY PART TIME")</f>
        <v xml:space="preserve">          6006 - TEMPORARY PART TIME</v>
      </c>
      <c r="D79" s="2">
        <v>6728.69</v>
      </c>
      <c r="F79" s="2">
        <v>441</v>
      </c>
      <c r="G79" s="3"/>
      <c r="H79" s="2">
        <v>6208.76</v>
      </c>
      <c r="I79" s="3"/>
      <c r="J79" s="2">
        <v>4537.2</v>
      </c>
      <c r="K79" s="3"/>
      <c r="L79" s="2">
        <v>1478.63</v>
      </c>
      <c r="M79" s="3"/>
      <c r="N79" s="2">
        <v>9008.99</v>
      </c>
      <c r="O79" s="3"/>
      <c r="P79" s="2">
        <v>0</v>
      </c>
      <c r="Q79" s="3"/>
      <c r="R79" s="2">
        <v>0</v>
      </c>
    </row>
    <row r="80" spans="1:18" s="16" customFormat="1" hidden="1" outlineLevel="2" x14ac:dyDescent="0.35">
      <c r="B80" s="11" t="str">
        <f>CONCATENATE("          ", "6007", " - ", "STUDENT HOURLY")</f>
        <v xml:space="preserve">          6007 - STUDENT HOURLY</v>
      </c>
      <c r="D80" s="2">
        <v>60276.44</v>
      </c>
      <c r="F80" s="2">
        <v>67836.69</v>
      </c>
      <c r="G80" s="3"/>
      <c r="H80" s="2">
        <v>66717.98</v>
      </c>
      <c r="I80" s="3"/>
      <c r="J80" s="2">
        <v>59348.37</v>
      </c>
      <c r="K80" s="3"/>
      <c r="L80" s="2">
        <v>44461.73</v>
      </c>
      <c r="M80" s="3"/>
      <c r="N80" s="2">
        <v>19022.990000000002</v>
      </c>
      <c r="O80" s="3"/>
      <c r="P80" s="2">
        <v>8544.8386399999999</v>
      </c>
      <c r="Q80" s="3"/>
      <c r="R80" s="2">
        <v>13886.76</v>
      </c>
    </row>
    <row r="81" spans="1:18" s="16" customFormat="1" hidden="1" outlineLevel="2" x14ac:dyDescent="0.35">
      <c r="B81" s="11" t="str">
        <f>CONCATENATE("          ", "6008", " - ", "STUDENT HOURLY-FICA EXEMPT")</f>
        <v xml:space="preserve">          6008 - STUDENT HOURLY-FICA EXEMPT</v>
      </c>
      <c r="D81" s="2">
        <v>254.25</v>
      </c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53423.529880000002</v>
      </c>
      <c r="Q81" s="3"/>
      <c r="R81" s="2">
        <v>44644.959999999999</v>
      </c>
    </row>
    <row r="82" spans="1:18" s="16" customFormat="1" hidden="1" outlineLevel="2" x14ac:dyDescent="0.35">
      <c r="B82" s="11" t="str">
        <f>CONCATENATE("          ", "6009", " - ", "TEMPORARY-SEASONAL")</f>
        <v xml:space="preserve">          6009 - TEMPORARY-SEASONAL</v>
      </c>
      <c r="D82" s="2"/>
      <c r="F82" s="2"/>
      <c r="G82" s="3"/>
      <c r="H82" s="2"/>
      <c r="I82" s="3"/>
      <c r="J82" s="2"/>
      <c r="K82" s="3"/>
      <c r="L82" s="2"/>
      <c r="M82" s="3"/>
      <c r="N82" s="2"/>
      <c r="O82" s="3"/>
      <c r="P82" s="2">
        <v>0</v>
      </c>
      <c r="Q82" s="3"/>
      <c r="R82" s="2">
        <v>0</v>
      </c>
    </row>
    <row r="83" spans="1:18" s="16" customFormat="1" hidden="1" outlineLevel="2" x14ac:dyDescent="0.35">
      <c r="B83" s="11" t="str">
        <f>CONCATENATE("          ", "6010", " - ", "GRATUITY")</f>
        <v xml:space="preserve">          6010 - GRATUITY</v>
      </c>
      <c r="D83" s="2"/>
      <c r="F83" s="2"/>
      <c r="G83" s="3"/>
      <c r="H83" s="2"/>
      <c r="I83" s="3"/>
      <c r="J83" s="2"/>
      <c r="K83" s="3"/>
      <c r="L83" s="2"/>
      <c r="M83" s="3"/>
      <c r="N83" s="2"/>
      <c r="O83" s="3"/>
      <c r="P83" s="2">
        <v>0</v>
      </c>
      <c r="Q83" s="3"/>
      <c r="R83" s="2">
        <v>0</v>
      </c>
    </row>
    <row r="84" spans="1:18" s="15" customFormat="1" outlineLevel="1" collapsed="1" x14ac:dyDescent="0.35">
      <c r="A84" s="7"/>
      <c r="B84" s="20" t="str">
        <f>CONCATENATE("     ","Advertising/Promo                                 ")</f>
        <v xml:space="preserve">     Advertising/Promo                                 </v>
      </c>
      <c r="C84" s="7"/>
      <c r="D84" s="1">
        <f>SUM(OSRRefD21_2x_0)</f>
        <v>2601.67</v>
      </c>
      <c r="E84" s="19"/>
      <c r="F84" s="1">
        <f>SUM(OSRRefF21_2x_0)</f>
        <v>2220</v>
      </c>
      <c r="G84" s="4"/>
      <c r="H84" s="1">
        <f>SUM(OSRRefH21_2x_0)</f>
        <v>-11401.59</v>
      </c>
      <c r="I84" s="4"/>
      <c r="J84" s="1">
        <f>SUM(OSRRefJ21_2x_0)</f>
        <v>5380.05</v>
      </c>
      <c r="K84" s="4"/>
      <c r="L84" s="1">
        <f>SUM(OSRRefL21_2x_0)</f>
        <v>4190.87</v>
      </c>
      <c r="M84" s="4"/>
      <c r="N84" s="1">
        <f>SUM(OSRRefN21_2x_0)</f>
        <v>1780.37</v>
      </c>
      <c r="O84" s="4"/>
      <c r="P84" s="1">
        <f>SUM(OSRRefP21_2x_0)</f>
        <v>2400</v>
      </c>
      <c r="Q84" s="4"/>
      <c r="R84" s="1">
        <f>SUM(OSRRefR21_2x_0)</f>
        <v>2400</v>
      </c>
    </row>
    <row r="85" spans="1:18" s="16" customFormat="1" hidden="1" outlineLevel="2" x14ac:dyDescent="0.35">
      <c r="B85" s="11" t="str">
        <f>CONCATENATE("          ", "6362", " - ", "ADVERTISING EXPENSE")</f>
        <v xml:space="preserve">          6362 - ADVERTISING EXPENSE</v>
      </c>
      <c r="D85" s="2">
        <v>2601.67</v>
      </c>
      <c r="F85" s="2">
        <v>2220</v>
      </c>
      <c r="G85" s="3"/>
      <c r="H85" s="2">
        <v>-11401.59</v>
      </c>
      <c r="I85" s="3"/>
      <c r="J85" s="2">
        <v>5380.05</v>
      </c>
      <c r="K85" s="3"/>
      <c r="L85" s="2">
        <v>4190.87</v>
      </c>
      <c r="M85" s="3"/>
      <c r="N85" s="2">
        <v>1780.37</v>
      </c>
      <c r="O85" s="3"/>
      <c r="P85" s="2">
        <v>2400</v>
      </c>
      <c r="Q85" s="3"/>
      <c r="R85" s="2">
        <v>2400</v>
      </c>
    </row>
    <row r="86" spans="1:18" s="15" customFormat="1" outlineLevel="1" collapsed="1" x14ac:dyDescent="0.35">
      <c r="A86" s="7"/>
      <c r="B86" s="20" t="str">
        <f>CONCATENATE("     ","Depreciation                                      ")</f>
        <v xml:space="preserve">     Depreciation                                      </v>
      </c>
      <c r="C86" s="7"/>
      <c r="D86" s="1">
        <f>SUM(OSRRefD21_3x_0)</f>
        <v>0</v>
      </c>
      <c r="E86" s="19"/>
      <c r="F86" s="1">
        <f>SUM(OSRRefF21_3x_0)</f>
        <v>0</v>
      </c>
      <c r="G86" s="4"/>
      <c r="H86" s="1">
        <f>SUM(OSRRefH21_3x_0)</f>
        <v>0</v>
      </c>
      <c r="I86" s="4"/>
      <c r="J86" s="1">
        <f>SUM(OSRRefJ21_3x_0)</f>
        <v>280.44</v>
      </c>
      <c r="K86" s="4"/>
      <c r="L86" s="1">
        <f>SUM(OSRRefL21_3x_0)</f>
        <v>3365.29</v>
      </c>
      <c r="M86" s="4"/>
      <c r="N86" s="1">
        <f>SUM(OSRRefN21_3x_0)</f>
        <v>3365.29</v>
      </c>
      <c r="O86" s="4"/>
      <c r="P86" s="1">
        <f>SUM(OSRRefP21_3x_0)</f>
        <v>3600</v>
      </c>
      <c r="Q86" s="4"/>
      <c r="R86" s="1">
        <f>SUM(OSRRefR21_3x_0)</f>
        <v>0</v>
      </c>
    </row>
    <row r="87" spans="1:18" s="16" customFormat="1" hidden="1" outlineLevel="2" x14ac:dyDescent="0.35">
      <c r="B87" s="11" t="str">
        <f>CONCATENATE("          ", "6322", " - ", "EQUIPMENT DEPRECIATION EXPENSE")</f>
        <v xml:space="preserve">          6322 - EQUIPMENT DEPRECIATION EXPENSE</v>
      </c>
      <c r="D87" s="2"/>
      <c r="F87" s="2"/>
      <c r="G87" s="3"/>
      <c r="H87" s="2"/>
      <c r="I87" s="3"/>
      <c r="J87" s="2">
        <v>280.44</v>
      </c>
      <c r="K87" s="3"/>
      <c r="L87" s="2">
        <v>3365.29</v>
      </c>
      <c r="M87" s="3"/>
      <c r="N87" s="2">
        <v>3365.29</v>
      </c>
      <c r="O87" s="3"/>
      <c r="P87" s="2">
        <v>3600</v>
      </c>
      <c r="Q87" s="3"/>
      <c r="R87" s="2"/>
    </row>
    <row r="88" spans="1:18" s="15" customFormat="1" outlineLevel="1" collapsed="1" x14ac:dyDescent="0.35">
      <c r="A88" s="7"/>
      <c r="B88" s="20" t="str">
        <f>CONCATENATE("     ","Discounts and Markdowns                           ")</f>
        <v xml:space="preserve">     Discounts and Markdowns                           </v>
      </c>
      <c r="C88" s="7"/>
      <c r="D88" s="1">
        <f>SUM(OSRRefD21_4x_0)</f>
        <v>32669.27</v>
      </c>
      <c r="E88" s="19"/>
      <c r="F88" s="1">
        <f>SUM(OSRRefF21_4x_0)</f>
        <v>60326.28</v>
      </c>
      <c r="G88" s="4"/>
      <c r="H88" s="1">
        <f>SUM(OSRRefH21_4x_0)</f>
        <v>34995.61</v>
      </c>
      <c r="I88" s="4"/>
      <c r="J88" s="1">
        <f>SUM(OSRRefJ21_4x_0)</f>
        <v>123980.67</v>
      </c>
      <c r="K88" s="4"/>
      <c r="L88" s="1">
        <f>SUM(OSRRefL21_4x_0)</f>
        <v>95041.64</v>
      </c>
      <c r="M88" s="4"/>
      <c r="N88" s="1">
        <f>SUM(OSRRefN21_4x_0)</f>
        <v>76736.39</v>
      </c>
      <c r="O88" s="4"/>
      <c r="P88" s="1">
        <f>SUM(OSRRefP21_4x_0)</f>
        <v>40000</v>
      </c>
      <c r="Q88" s="4"/>
      <c r="R88" s="1">
        <f>SUM(OSRRefR21_4x_0)</f>
        <v>0</v>
      </c>
    </row>
    <row r="89" spans="1:18" s="16" customFormat="1" hidden="1" outlineLevel="2" x14ac:dyDescent="0.35">
      <c r="B89" s="11" t="str">
        <f>CONCATENATE("          ", "6382", " - ", "DISCOUNTS/MARK DOWNS")</f>
        <v xml:space="preserve">          6382 - DISCOUNTS/MARK DOWNS</v>
      </c>
      <c r="D89" s="2">
        <v>32669.27</v>
      </c>
      <c r="F89" s="2">
        <v>60326.28</v>
      </c>
      <c r="G89" s="3"/>
      <c r="H89" s="2">
        <v>34995.61</v>
      </c>
      <c r="I89" s="3"/>
      <c r="J89" s="2">
        <v>123984.19</v>
      </c>
      <c r="K89" s="3"/>
      <c r="L89" s="2">
        <v>95041.64</v>
      </c>
      <c r="M89" s="3"/>
      <c r="N89" s="2">
        <v>76736.39</v>
      </c>
      <c r="O89" s="3"/>
      <c r="P89" s="2">
        <v>40000</v>
      </c>
      <c r="Q89" s="3"/>
      <c r="R89" s="2"/>
    </row>
    <row r="90" spans="1:18" s="16" customFormat="1" hidden="1" outlineLevel="2" x14ac:dyDescent="0.35">
      <c r="B90" s="11" t="str">
        <f>CONCATENATE("          ", "9175", " - ", "EARNED DISCOUNTS")</f>
        <v xml:space="preserve">          9175 - EARNED DISCOUNTS</v>
      </c>
      <c r="D90" s="2"/>
      <c r="F90" s="2"/>
      <c r="G90" s="3"/>
      <c r="H90" s="2"/>
      <c r="I90" s="3"/>
      <c r="J90" s="2">
        <v>-3.52</v>
      </c>
      <c r="K90" s="3"/>
      <c r="L90" s="2"/>
      <c r="M90" s="3"/>
      <c r="N90" s="2"/>
      <c r="O90" s="3"/>
      <c r="P90" s="2"/>
      <c r="Q90" s="3"/>
      <c r="R90" s="2"/>
    </row>
    <row r="91" spans="1:18" s="15" customFormat="1" outlineLevel="1" collapsed="1" x14ac:dyDescent="0.35">
      <c r="A91" s="7"/>
      <c r="B91" s="20" t="str">
        <f>CONCATENATE("     ","Donations                                         ")</f>
        <v xml:space="preserve">     Donations                                         </v>
      </c>
      <c r="C91" s="7"/>
      <c r="D91" s="1">
        <f>SUM(OSRRefD21_5x_0)</f>
        <v>49.05</v>
      </c>
      <c r="E91" s="19"/>
      <c r="F91" s="1">
        <f>SUM(OSRRefF21_5x_0)</f>
        <v>0</v>
      </c>
      <c r="G91" s="4"/>
      <c r="H91" s="1">
        <f>SUM(OSRRefH21_5x_0)</f>
        <v>0</v>
      </c>
      <c r="I91" s="4"/>
      <c r="J91" s="1">
        <f>SUM(OSRRefJ21_5x_0)</f>
        <v>0</v>
      </c>
      <c r="K91" s="4"/>
      <c r="L91" s="1">
        <f>SUM(OSRRefL21_5x_0)</f>
        <v>0</v>
      </c>
      <c r="M91" s="4"/>
      <c r="N91" s="1">
        <f>SUM(OSRRefN21_5x_0)</f>
        <v>0</v>
      </c>
      <c r="O91" s="4"/>
      <c r="P91" s="1">
        <f>SUM(OSRRefP21_5x_0)</f>
        <v>0</v>
      </c>
      <c r="Q91" s="4"/>
      <c r="R91" s="1">
        <f>SUM(OSRRefR21_5x_0)</f>
        <v>0</v>
      </c>
    </row>
    <row r="92" spans="1:18" s="16" customFormat="1" hidden="1" outlineLevel="2" x14ac:dyDescent="0.35">
      <c r="B92" s="11" t="str">
        <f>CONCATENATE("          ", "6399", " - ", "DONATION-ON CAMPUS")</f>
        <v xml:space="preserve">          6399 - DONATION-ON CAMPUS</v>
      </c>
      <c r="D92" s="2">
        <v>49.05</v>
      </c>
      <c r="F92" s="2"/>
      <c r="G92" s="3"/>
      <c r="H92" s="2"/>
      <c r="I92" s="3"/>
      <c r="J92" s="2"/>
      <c r="K92" s="3"/>
      <c r="L92" s="2">
        <v>0</v>
      </c>
      <c r="M92" s="3"/>
      <c r="N92" s="2"/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","Employees' Appreciation                           ")</f>
        <v xml:space="preserve">     Employees' Appreciation                           </v>
      </c>
      <c r="C93" s="7"/>
      <c r="D93" s="1">
        <f>SUM(OSRRefD21_6x_0)</f>
        <v>534.55999999999995</v>
      </c>
      <c r="E93" s="19"/>
      <c r="F93" s="1">
        <f>SUM(OSRRefF21_6x_0)</f>
        <v>418.33</v>
      </c>
      <c r="G93" s="4"/>
      <c r="H93" s="1">
        <f>SUM(OSRRefH21_6x_0)</f>
        <v>154.65</v>
      </c>
      <c r="I93" s="4"/>
      <c r="J93" s="1">
        <f>SUM(OSRRefJ21_6x_0)</f>
        <v>26.48</v>
      </c>
      <c r="K93" s="4"/>
      <c r="L93" s="1">
        <f>SUM(OSRRefL21_6x_0)</f>
        <v>266.14999999999998</v>
      </c>
      <c r="M93" s="4"/>
      <c r="N93" s="1">
        <f>SUM(OSRRefN21_6x_0)</f>
        <v>0</v>
      </c>
      <c r="O93" s="4"/>
      <c r="P93" s="1">
        <f>SUM(OSRRefP21_6x_0)</f>
        <v>240</v>
      </c>
      <c r="Q93" s="4"/>
      <c r="R93" s="1">
        <f>SUM(OSRRefR21_6x_0)</f>
        <v>240</v>
      </c>
    </row>
    <row r="94" spans="1:18" s="16" customFormat="1" hidden="1" outlineLevel="2" x14ac:dyDescent="0.35">
      <c r="B94" s="11" t="str">
        <f>CONCATENATE("          ", "6277", " - ", "EMPLOYEE APPRECIATION")</f>
        <v xml:space="preserve">          6277 - EMPLOYEE APPRECIATION</v>
      </c>
      <c r="D94" s="2">
        <v>534.55999999999995</v>
      </c>
      <c r="F94" s="2">
        <v>418.33</v>
      </c>
      <c r="G94" s="3"/>
      <c r="H94" s="2">
        <v>154.65</v>
      </c>
      <c r="I94" s="3"/>
      <c r="J94" s="2">
        <v>26.48</v>
      </c>
      <c r="K94" s="3"/>
      <c r="L94" s="2">
        <v>266.14999999999998</v>
      </c>
      <c r="M94" s="3"/>
      <c r="N94" s="2"/>
      <c r="O94" s="3"/>
      <c r="P94" s="2">
        <v>240</v>
      </c>
      <c r="Q94" s="3"/>
      <c r="R94" s="2">
        <v>240</v>
      </c>
    </row>
    <row r="95" spans="1:18" s="15" customFormat="1" outlineLevel="1" collapsed="1" x14ac:dyDescent="0.35">
      <c r="A95" s="7"/>
      <c r="B95" s="20" t="str">
        <f>CONCATENATE("     ","Freight out/Postage                               ")</f>
        <v xml:space="preserve">     Freight out/Postage                               </v>
      </c>
      <c r="C95" s="7"/>
      <c r="D95" s="1">
        <f>SUM(OSRRefD21_7x_0)</f>
        <v>276.33</v>
      </c>
      <c r="E95" s="19"/>
      <c r="F95" s="1">
        <f>SUM(OSRRefF21_7x_0)</f>
        <v>591.54</v>
      </c>
      <c r="G95" s="4"/>
      <c r="H95" s="1">
        <f>SUM(OSRRefH21_7x_0)</f>
        <v>766.16</v>
      </c>
      <c r="I95" s="4"/>
      <c r="J95" s="1">
        <f>SUM(OSRRefJ21_7x_0)</f>
        <v>603.93000000000006</v>
      </c>
      <c r="K95" s="4"/>
      <c r="L95" s="1">
        <f>SUM(OSRRefL21_7x_0)</f>
        <v>272.76</v>
      </c>
      <c r="M95" s="4"/>
      <c r="N95" s="1">
        <f>SUM(OSRRefN21_7x_0)</f>
        <v>263.27999999999997</v>
      </c>
      <c r="O95" s="4"/>
      <c r="P95" s="1">
        <f>SUM(OSRRefP21_7x_0)</f>
        <v>180</v>
      </c>
      <c r="Q95" s="4"/>
      <c r="R95" s="1">
        <f>SUM(OSRRefR21_7x_0)</f>
        <v>180</v>
      </c>
    </row>
    <row r="96" spans="1:18" s="16" customFormat="1" hidden="1" outlineLevel="2" x14ac:dyDescent="0.35">
      <c r="B96" s="11" t="str">
        <f>CONCATENATE("          ", "6305", " - ", "FREIGHT OUT")</f>
        <v xml:space="preserve">          6305 - FREIGHT OUT</v>
      </c>
      <c r="D96" s="2">
        <v>260.33999999999997</v>
      </c>
      <c r="F96" s="2">
        <v>578.30999999999995</v>
      </c>
      <c r="G96" s="3"/>
      <c r="H96" s="2">
        <v>763.55</v>
      </c>
      <c r="I96" s="3"/>
      <c r="J96" s="2">
        <v>602.32000000000005</v>
      </c>
      <c r="K96" s="3"/>
      <c r="L96" s="2">
        <v>251.93</v>
      </c>
      <c r="M96" s="3"/>
      <c r="N96" s="2">
        <v>263.27999999999997</v>
      </c>
      <c r="O96" s="3"/>
      <c r="P96" s="2">
        <v>180</v>
      </c>
      <c r="Q96" s="3"/>
      <c r="R96" s="2">
        <v>180</v>
      </c>
    </row>
    <row r="97" spans="1:18" s="16" customFormat="1" hidden="1" outlineLevel="2" x14ac:dyDescent="0.35">
      <c r="B97" s="11" t="str">
        <f>CONCATENATE("          ", "6307", " - ", "POSTAGE")</f>
        <v xml:space="preserve">          6307 - POSTAGE</v>
      </c>
      <c r="D97" s="2">
        <v>15.99</v>
      </c>
      <c r="F97" s="2">
        <v>13.23</v>
      </c>
      <c r="G97" s="3"/>
      <c r="H97" s="2">
        <v>2.61</v>
      </c>
      <c r="I97" s="3"/>
      <c r="J97" s="2">
        <v>1.61</v>
      </c>
      <c r="K97" s="3"/>
      <c r="L97" s="2">
        <v>20.83</v>
      </c>
      <c r="M97" s="3"/>
      <c r="N97" s="2"/>
      <c r="O97" s="3"/>
      <c r="P97" s="2"/>
      <c r="Q97" s="3"/>
      <c r="R97" s="2"/>
    </row>
    <row r="98" spans="1:18" s="15" customFormat="1" outlineLevel="1" collapsed="1" x14ac:dyDescent="0.35">
      <c r="A98" s="7"/>
      <c r="B98" s="20" t="str">
        <f>CONCATENATE("     ","General                                           ")</f>
        <v xml:space="preserve">     General                                           </v>
      </c>
      <c r="C98" s="7"/>
      <c r="D98" s="1">
        <f>SUM(OSRRefD21_8x_0)</f>
        <v>0</v>
      </c>
      <c r="E98" s="19"/>
      <c r="F98" s="1">
        <f>SUM(OSRRefF21_8x_0)</f>
        <v>0</v>
      </c>
      <c r="G98" s="4"/>
      <c r="H98" s="1">
        <f>SUM(OSRRefH21_8x_0)</f>
        <v>294.95</v>
      </c>
      <c r="I98" s="4"/>
      <c r="J98" s="1">
        <f>SUM(OSRRefJ21_8x_0)</f>
        <v>362.88</v>
      </c>
      <c r="K98" s="4"/>
      <c r="L98" s="1">
        <f>SUM(OSRRefL21_8x_0)</f>
        <v>597.39</v>
      </c>
      <c r="M98" s="4"/>
      <c r="N98" s="1">
        <f>SUM(OSRRefN21_8x_0)</f>
        <v>205</v>
      </c>
      <c r="O98" s="4"/>
      <c r="P98" s="1">
        <f>SUM(OSRRefP21_8x_0)</f>
        <v>360</v>
      </c>
      <c r="Q98" s="4"/>
      <c r="R98" s="1">
        <f>SUM(OSRRefR21_8x_0)</f>
        <v>360</v>
      </c>
    </row>
    <row r="99" spans="1:18" s="16" customFormat="1" hidden="1" outlineLevel="2" x14ac:dyDescent="0.35">
      <c r="B99" s="11" t="str">
        <f>CONCATENATE("          ", "6279", " - ", "GENERAL EXPENSE")</f>
        <v xml:space="preserve">          6279 - GENERAL EXPENSE</v>
      </c>
      <c r="D99" s="2"/>
      <c r="F99" s="2"/>
      <c r="G99" s="3"/>
      <c r="H99" s="2">
        <v>294.95</v>
      </c>
      <c r="I99" s="3"/>
      <c r="J99" s="2">
        <v>362.88</v>
      </c>
      <c r="K99" s="3"/>
      <c r="L99" s="2">
        <v>597.39</v>
      </c>
      <c r="M99" s="3"/>
      <c r="N99" s="2">
        <v>205</v>
      </c>
      <c r="O99" s="3"/>
      <c r="P99" s="2">
        <v>360</v>
      </c>
      <c r="Q99" s="3"/>
      <c r="R99" s="2">
        <v>360</v>
      </c>
    </row>
    <row r="100" spans="1:18" s="15" customFormat="1" outlineLevel="1" collapsed="1" x14ac:dyDescent="0.35">
      <c r="A100" s="7"/>
      <c r="B100" s="20" t="str">
        <f>CONCATENATE("     ","Inventory Adjustment                              ")</f>
        <v xml:space="preserve">     Inventory Adjustment                              </v>
      </c>
      <c r="C100" s="7"/>
      <c r="D100" s="1">
        <f>SUM(OSRRefD21_9x_0)</f>
        <v>12258</v>
      </c>
      <c r="E100" s="19"/>
      <c r="F100" s="1">
        <f>SUM(OSRRefF21_9x_0)</f>
        <v>2574</v>
      </c>
      <c r="G100" s="4"/>
      <c r="H100" s="1">
        <f>SUM(OSRRefH21_9x_0)</f>
        <v>22978</v>
      </c>
      <c r="I100" s="4"/>
      <c r="J100" s="1">
        <f>SUM(OSRRefJ21_9x_0)</f>
        <v>-780</v>
      </c>
      <c r="K100" s="4"/>
      <c r="L100" s="1">
        <f>SUM(OSRRefL21_9x_0)</f>
        <v>-16099</v>
      </c>
      <c r="M100" s="4"/>
      <c r="N100" s="1">
        <f>SUM(OSRRefN21_9x_0)</f>
        <v>-43236</v>
      </c>
      <c r="O100" s="4"/>
      <c r="P100" s="1">
        <f>SUM(OSRRefP21_9x_0)</f>
        <v>15000</v>
      </c>
      <c r="Q100" s="4"/>
      <c r="R100" s="1">
        <f>SUM(OSRRefR21_9x_0)</f>
        <v>12000</v>
      </c>
    </row>
    <row r="101" spans="1:18" s="16" customFormat="1" hidden="1" outlineLevel="2" x14ac:dyDescent="0.35">
      <c r="B101" s="11" t="str">
        <f>CONCATENATE("          ", "6408", " - ", "INVENTORY ADJUSTMENT")</f>
        <v xml:space="preserve">          6408 - INVENTORY ADJUSTMENT</v>
      </c>
      <c r="D101" s="2">
        <v>0</v>
      </c>
      <c r="F101" s="2">
        <v>0</v>
      </c>
      <c r="G101" s="3"/>
      <c r="H101" s="2">
        <v>0</v>
      </c>
      <c r="I101" s="3"/>
      <c r="J101" s="2"/>
      <c r="K101" s="3"/>
      <c r="L101" s="2">
        <v>0</v>
      </c>
      <c r="M101" s="3"/>
      <c r="N101" s="2"/>
      <c r="O101" s="3"/>
      <c r="P101" s="2">
        <v>15000</v>
      </c>
      <c r="Q101" s="3"/>
      <c r="R101" s="2">
        <v>12000</v>
      </c>
    </row>
    <row r="102" spans="1:18" s="16" customFormat="1" hidden="1" outlineLevel="2" x14ac:dyDescent="0.35">
      <c r="B102" s="11" t="str">
        <f>CONCATENATE("          ", "7781", " - ", "INV. SHRINKAGE-ELECTRONICS")</f>
        <v xml:space="preserve">          7781 - INV. SHRINKAGE-ELECTRONICS</v>
      </c>
      <c r="D102" s="2">
        <v>-435</v>
      </c>
      <c r="F102" s="2">
        <v>1676</v>
      </c>
      <c r="G102" s="3"/>
      <c r="H102" s="2">
        <v>-4583</v>
      </c>
      <c r="I102" s="3"/>
      <c r="J102" s="2">
        <v>4936</v>
      </c>
      <c r="K102" s="3"/>
      <c r="L102" s="2">
        <v>4355</v>
      </c>
      <c r="M102" s="3"/>
      <c r="N102" s="2">
        <v>-18505</v>
      </c>
      <c r="O102" s="3"/>
      <c r="P102" s="2"/>
      <c r="Q102" s="3"/>
      <c r="R102" s="2"/>
    </row>
    <row r="103" spans="1:18" s="16" customFormat="1" hidden="1" outlineLevel="2" x14ac:dyDescent="0.35">
      <c r="B103" s="11" t="str">
        <f>CONCATENATE("          ", "7782", " - ", "INV. SHRINKAGE-COMPUTER HARDWA")</f>
        <v xml:space="preserve">          7782 - INV. SHRINKAGE-COMPUTER HARDWA</v>
      </c>
      <c r="D103" s="2">
        <v>16374</v>
      </c>
      <c r="F103" s="2">
        <v>7058</v>
      </c>
      <c r="G103" s="3"/>
      <c r="H103" s="2">
        <v>48148</v>
      </c>
      <c r="I103" s="3"/>
      <c r="J103" s="2">
        <v>-16805</v>
      </c>
      <c r="K103" s="3"/>
      <c r="L103" s="2">
        <v>-29241</v>
      </c>
      <c r="M103" s="3"/>
      <c r="N103" s="2">
        <v>-30263</v>
      </c>
      <c r="O103" s="3"/>
      <c r="P103" s="2"/>
      <c r="Q103" s="3"/>
      <c r="R103" s="2"/>
    </row>
    <row r="104" spans="1:18" s="16" customFormat="1" hidden="1" outlineLevel="2" x14ac:dyDescent="0.35">
      <c r="B104" s="11" t="str">
        <f>CONCATENATE("          ", "7783", " - ", "INV. SHRINKAGE-COMPUTER EQUIPM")</f>
        <v xml:space="preserve">          7783 - INV. SHRINKAGE-COMPUTER EQUIPM</v>
      </c>
      <c r="D104" s="2">
        <v>-1942</v>
      </c>
      <c r="F104" s="2">
        <v>-7935</v>
      </c>
      <c r="G104" s="3"/>
      <c r="H104" s="2">
        <v>9929</v>
      </c>
      <c r="I104" s="3"/>
      <c r="J104" s="2">
        <v>5346</v>
      </c>
      <c r="K104" s="3"/>
      <c r="L104" s="2">
        <v>9199</v>
      </c>
      <c r="M104" s="3"/>
      <c r="N104" s="2">
        <v>2729</v>
      </c>
      <c r="O104" s="3"/>
      <c r="P104" s="2"/>
      <c r="Q104" s="3"/>
      <c r="R104" s="2"/>
    </row>
    <row r="105" spans="1:18" s="16" customFormat="1" hidden="1" outlineLevel="2" x14ac:dyDescent="0.35">
      <c r="B105" s="11" t="str">
        <f>CONCATENATE("          ", "7784", " - ", "INV. SHRINKAGE-SOFTWARE LICENS")</f>
        <v xml:space="preserve">          7784 - INV. SHRINKAGE-SOFTWARE LICENS</v>
      </c>
      <c r="D105" s="2">
        <v>154</v>
      </c>
      <c r="F105" s="2">
        <v>-1145</v>
      </c>
      <c r="G105" s="3"/>
      <c r="H105" s="2">
        <v>-3591</v>
      </c>
      <c r="I105" s="3"/>
      <c r="J105" s="2">
        <v>-591</v>
      </c>
      <c r="K105" s="3"/>
      <c r="L105" s="2">
        <v>-357</v>
      </c>
      <c r="M105" s="3"/>
      <c r="N105" s="2">
        <v>1394</v>
      </c>
      <c r="O105" s="3"/>
      <c r="P105" s="2"/>
      <c r="Q105" s="3"/>
      <c r="R105" s="2"/>
    </row>
    <row r="106" spans="1:18" s="16" customFormat="1" hidden="1" outlineLevel="2" x14ac:dyDescent="0.35">
      <c r="B106" s="11" t="str">
        <f>CONCATENATE("          ", "7785", " - ", "INV. SHRINKAGE-SOFTWARE")</f>
        <v xml:space="preserve">          7785 - INV. SHRINKAGE-SOFTWARE</v>
      </c>
      <c r="D106" s="2">
        <v>255</v>
      </c>
      <c r="F106" s="2">
        <v>-70</v>
      </c>
      <c r="G106" s="3"/>
      <c r="H106" s="2">
        <v>-15498</v>
      </c>
      <c r="I106" s="3"/>
      <c r="J106" s="2">
        <v>136</v>
      </c>
      <c r="K106" s="3"/>
      <c r="L106" s="2">
        <v>-72</v>
      </c>
      <c r="M106" s="3"/>
      <c r="N106" s="2">
        <v>-3743</v>
      </c>
      <c r="O106" s="3"/>
      <c r="P106" s="2"/>
      <c r="Q106" s="3"/>
      <c r="R106" s="2"/>
    </row>
    <row r="107" spans="1:18" s="16" customFormat="1" hidden="1" outlineLevel="2" x14ac:dyDescent="0.35">
      <c r="B107" s="11" t="str">
        <f>CONCATENATE("          ", "7786", " - ", "INV. SHRINKAGE-COMPUTER SUPPLI")</f>
        <v xml:space="preserve">          7786 - INV. SHRINKAGE-COMPUTER SUPPLI</v>
      </c>
      <c r="D107" s="2">
        <v>-2148</v>
      </c>
      <c r="F107" s="2">
        <v>2829</v>
      </c>
      <c r="G107" s="3"/>
      <c r="H107" s="2">
        <v>-10046</v>
      </c>
      <c r="I107" s="3"/>
      <c r="J107" s="2">
        <v>5700</v>
      </c>
      <c r="K107" s="3"/>
      <c r="L107" s="2">
        <v>484</v>
      </c>
      <c r="M107" s="3"/>
      <c r="N107" s="2">
        <v>5000</v>
      </c>
      <c r="O107" s="3"/>
      <c r="P107" s="2"/>
      <c r="Q107" s="3"/>
      <c r="R107" s="2"/>
    </row>
    <row r="108" spans="1:18" s="16" customFormat="1" hidden="1" outlineLevel="2" x14ac:dyDescent="0.35">
      <c r="B108" s="11" t="str">
        <f>CONCATENATE("          ", "7788", " - ", "INV. SHRINKAGE-MUSIC")</f>
        <v xml:space="preserve">          7788 - INV. SHRINKAGE-MUSIC</v>
      </c>
      <c r="D108" s="2"/>
      <c r="F108" s="2">
        <v>161</v>
      </c>
      <c r="G108" s="3"/>
      <c r="H108" s="2">
        <v>-1381</v>
      </c>
      <c r="I108" s="3"/>
      <c r="J108" s="2">
        <v>498</v>
      </c>
      <c r="K108" s="3"/>
      <c r="L108" s="2">
        <v>-467</v>
      </c>
      <c r="M108" s="3"/>
      <c r="N108" s="2">
        <v>152</v>
      </c>
      <c r="O108" s="3"/>
      <c r="P108" s="2"/>
      <c r="Q108" s="3"/>
      <c r="R108" s="2"/>
    </row>
    <row r="109" spans="1:18" s="15" customFormat="1" outlineLevel="1" collapsed="1" x14ac:dyDescent="0.35">
      <c r="A109" s="7"/>
      <c r="B109" s="20" t="str">
        <f>CONCATENATE("     ","Repair and Maintenance                            ")</f>
        <v xml:space="preserve">     Repair and Maintenance                            </v>
      </c>
      <c r="C109" s="7"/>
      <c r="D109" s="1">
        <f>SUM(OSRRefD21_10x_0)</f>
        <v>0</v>
      </c>
      <c r="E109" s="19"/>
      <c r="F109" s="1">
        <f>SUM(OSRRefF21_10x_0)</f>
        <v>445.03</v>
      </c>
      <c r="G109" s="4"/>
      <c r="H109" s="1">
        <f>SUM(OSRRefH21_10x_0)</f>
        <v>775</v>
      </c>
      <c r="I109" s="4"/>
      <c r="J109" s="1">
        <f>SUM(OSRRefJ21_10x_0)</f>
        <v>1162.55</v>
      </c>
      <c r="K109" s="4"/>
      <c r="L109" s="1">
        <f>SUM(OSRRefL21_10x_0)</f>
        <v>0</v>
      </c>
      <c r="M109" s="4"/>
      <c r="N109" s="1">
        <f>SUM(OSRRefN21_10x_0)</f>
        <v>197.18</v>
      </c>
      <c r="O109" s="4"/>
      <c r="P109" s="1">
        <f>SUM(OSRRefP21_10x_0)</f>
        <v>245</v>
      </c>
      <c r="Q109" s="4"/>
      <c r="R109" s="1">
        <f>SUM(OSRRefR21_10x_0)</f>
        <v>0</v>
      </c>
    </row>
    <row r="110" spans="1:18" s="16" customFormat="1" hidden="1" outlineLevel="2" x14ac:dyDescent="0.35">
      <c r="B110" s="11" t="str">
        <f>CONCATENATE("          ", "6371", " - ", "COMPUTER SOFTWARE MAINTENANCE")</f>
        <v xml:space="preserve">          6371 - COMPUTER SOFTWARE MAINTENANCE</v>
      </c>
      <c r="D110" s="2"/>
      <c r="F110" s="2"/>
      <c r="G110" s="3"/>
      <c r="H110" s="2"/>
      <c r="I110" s="3"/>
      <c r="J110" s="2">
        <v>989.5</v>
      </c>
      <c r="K110" s="3"/>
      <c r="L110" s="2"/>
      <c r="M110" s="3"/>
      <c r="N110" s="2"/>
      <c r="O110" s="3"/>
      <c r="P110" s="2"/>
      <c r="Q110" s="3"/>
      <c r="R110" s="2"/>
    </row>
    <row r="111" spans="1:18" s="16" customFormat="1" hidden="1" outlineLevel="2" x14ac:dyDescent="0.35">
      <c r="B111" s="11" t="str">
        <f>CONCATENATE("          ", "6375", " - ", "OUTSIDE REPAIRS &amp; MAINTENANCE")</f>
        <v xml:space="preserve">          6375 - OUTSIDE REPAIRS &amp; MAINTENANCE</v>
      </c>
      <c r="D111" s="2"/>
      <c r="F111" s="2">
        <v>445.03</v>
      </c>
      <c r="G111" s="3"/>
      <c r="H111" s="2">
        <v>775</v>
      </c>
      <c r="I111" s="3"/>
      <c r="J111" s="2">
        <v>173.05</v>
      </c>
      <c r="K111" s="3"/>
      <c r="L111" s="2"/>
      <c r="M111" s="3"/>
      <c r="N111" s="2">
        <v>197.18</v>
      </c>
      <c r="O111" s="3"/>
      <c r="P111" s="2">
        <v>245</v>
      </c>
      <c r="Q111" s="3"/>
      <c r="R111" s="2"/>
    </row>
    <row r="112" spans="1:18" s="15" customFormat="1" outlineLevel="1" collapsed="1" x14ac:dyDescent="0.35">
      <c r="A112" s="7"/>
      <c r="B112" s="20" t="str">
        <f>CONCATENATE("     ","Subscriptions &amp; Dues                              ")</f>
        <v xml:space="preserve">     Subscriptions &amp; Dues                              </v>
      </c>
      <c r="C112" s="7"/>
      <c r="D112" s="1">
        <f>SUM(OSRRefD21_11x_0)</f>
        <v>1710.85</v>
      </c>
      <c r="E112" s="19"/>
      <c r="F112" s="1">
        <f>SUM(OSRRefF21_11x_0)</f>
        <v>7825.37</v>
      </c>
      <c r="G112" s="4"/>
      <c r="H112" s="1">
        <f>SUM(OSRRefH21_11x_0)</f>
        <v>9058.6299999999992</v>
      </c>
      <c r="I112" s="4"/>
      <c r="J112" s="1">
        <f>SUM(OSRRefJ21_11x_0)</f>
        <v>15649.45</v>
      </c>
      <c r="K112" s="4"/>
      <c r="L112" s="1">
        <f>SUM(OSRRefL21_11x_0)</f>
        <v>-3232.94</v>
      </c>
      <c r="M112" s="4"/>
      <c r="N112" s="1">
        <f>SUM(OSRRefN21_11x_0)</f>
        <v>-4886.5</v>
      </c>
      <c r="O112" s="4"/>
      <c r="P112" s="1">
        <f>SUM(OSRRefP21_11x_0)</f>
        <v>0</v>
      </c>
      <c r="Q112" s="4"/>
      <c r="R112" s="1">
        <f>SUM(OSRRefR21_11x_0)</f>
        <v>0</v>
      </c>
    </row>
    <row r="113" spans="1:18" s="16" customFormat="1" hidden="1" outlineLevel="2" x14ac:dyDescent="0.35">
      <c r="B113" s="11" t="str">
        <f>CONCATENATE("          ", "6258", " - ", "MEMBERSHIP DUES")</f>
        <v xml:space="preserve">          6258 - MEMBERSHIP DUES</v>
      </c>
      <c r="D113" s="2">
        <v>1710.85</v>
      </c>
      <c r="F113" s="2">
        <v>7825.37</v>
      </c>
      <c r="G113" s="3"/>
      <c r="H113" s="2">
        <v>9058.6299999999992</v>
      </c>
      <c r="I113" s="3"/>
      <c r="J113" s="2">
        <v>15649.45</v>
      </c>
      <c r="K113" s="3"/>
      <c r="L113" s="2">
        <v>-3232.94</v>
      </c>
      <c r="M113" s="3"/>
      <c r="N113" s="2">
        <v>-4886.5</v>
      </c>
      <c r="O113" s="3"/>
      <c r="P113" s="2"/>
      <c r="Q113" s="3"/>
      <c r="R113" s="2"/>
    </row>
    <row r="114" spans="1:18" s="15" customFormat="1" outlineLevel="1" collapsed="1" x14ac:dyDescent="0.35">
      <c r="A114" s="7"/>
      <c r="B114" s="20" t="str">
        <f>CONCATENATE("     ","Supplies                                          ")</f>
        <v xml:space="preserve">     Supplies                                          </v>
      </c>
      <c r="C114" s="7"/>
      <c r="D114" s="1">
        <f>SUM(OSRRefD21_12x_0)</f>
        <v>2627.11</v>
      </c>
      <c r="E114" s="19"/>
      <c r="F114" s="1">
        <f>SUM(OSRRefF21_12x_0)</f>
        <v>3792.2</v>
      </c>
      <c r="G114" s="4"/>
      <c r="H114" s="1">
        <f>SUM(OSRRefH21_12x_0)</f>
        <v>9031.380000000001</v>
      </c>
      <c r="I114" s="4"/>
      <c r="J114" s="1">
        <f>SUM(OSRRefJ21_12x_0)</f>
        <v>7882.2699999999995</v>
      </c>
      <c r="K114" s="4"/>
      <c r="L114" s="1">
        <f>SUM(OSRRefL21_12x_0)</f>
        <v>2396.7600000000002</v>
      </c>
      <c r="M114" s="4"/>
      <c r="N114" s="1">
        <f>SUM(OSRRefN21_12x_0)</f>
        <v>3260.11</v>
      </c>
      <c r="O114" s="4"/>
      <c r="P114" s="1">
        <f>SUM(OSRRefP21_12x_0)</f>
        <v>3720</v>
      </c>
      <c r="Q114" s="4"/>
      <c r="R114" s="1">
        <f>SUM(OSRRefR21_12x_0)</f>
        <v>3720</v>
      </c>
    </row>
    <row r="115" spans="1:18" s="16" customFormat="1" hidden="1" outlineLevel="2" x14ac:dyDescent="0.35">
      <c r="B115" s="11" t="str">
        <f>CONCATENATE("          ", "6234", " - ", "EXPENDABLE SUPPLIES &amp; EQUIPMEN")</f>
        <v xml:space="preserve">          6234 - EXPENDABLE SUPPLIES &amp; EQUIPMEN</v>
      </c>
      <c r="D115" s="2"/>
      <c r="F115" s="2"/>
      <c r="G115" s="3"/>
      <c r="H115" s="2">
        <v>122.5</v>
      </c>
      <c r="I115" s="3"/>
      <c r="J115" s="2"/>
      <c r="K115" s="3"/>
      <c r="L115" s="2"/>
      <c r="M115" s="3"/>
      <c r="N115" s="2"/>
      <c r="O115" s="3"/>
      <c r="P115" s="2"/>
      <c r="Q115" s="3"/>
      <c r="R115" s="2"/>
    </row>
    <row r="116" spans="1:18" s="16" customFormat="1" hidden="1" outlineLevel="2" x14ac:dyDescent="0.35">
      <c r="B116" s="11" t="str">
        <f>CONCATENATE("          ", "6241", " - ", "OFFICE EXPENSE")</f>
        <v xml:space="preserve">          6241 - OFFICE EXPENSE</v>
      </c>
      <c r="D116" s="2">
        <v>2073.4</v>
      </c>
      <c r="F116" s="2">
        <v>2091.46</v>
      </c>
      <c r="G116" s="3"/>
      <c r="H116" s="2">
        <v>6541.17</v>
      </c>
      <c r="I116" s="3"/>
      <c r="J116" s="2">
        <v>2508.8000000000002</v>
      </c>
      <c r="K116" s="3"/>
      <c r="L116" s="2">
        <v>1704.8</v>
      </c>
      <c r="M116" s="3"/>
      <c r="N116" s="2">
        <v>1250.73</v>
      </c>
      <c r="O116" s="3"/>
      <c r="P116" s="2">
        <v>1320</v>
      </c>
      <c r="Q116" s="3"/>
      <c r="R116" s="2">
        <v>1320</v>
      </c>
    </row>
    <row r="117" spans="1:18" s="16" customFormat="1" hidden="1" outlineLevel="2" x14ac:dyDescent="0.35">
      <c r="B117" s="11" t="str">
        <f>CONCATENATE("          ", "6245", " - ", "PRINTING")</f>
        <v xml:space="preserve">          6245 - PRINTING</v>
      </c>
      <c r="D117" s="2">
        <v>16.309999999999999</v>
      </c>
      <c r="F117" s="2"/>
      <c r="G117" s="3"/>
      <c r="H117" s="2">
        <v>1400</v>
      </c>
      <c r="I117" s="3"/>
      <c r="J117" s="2">
        <v>61.74</v>
      </c>
      <c r="K117" s="3"/>
      <c r="L117" s="2"/>
      <c r="M117" s="3"/>
      <c r="N117" s="2">
        <v>0</v>
      </c>
      <c r="O117" s="3"/>
      <c r="P117" s="2"/>
      <c r="Q117" s="3"/>
      <c r="R117" s="2"/>
    </row>
    <row r="118" spans="1:18" s="16" customFormat="1" hidden="1" outlineLevel="2" x14ac:dyDescent="0.35">
      <c r="B118" s="11" t="str">
        <f>CONCATENATE("          ", "6247", " - ", "STORE SUPPLIES")</f>
        <v xml:space="preserve">          6247 - STORE SUPPLIES</v>
      </c>
      <c r="D118" s="2">
        <v>537.4</v>
      </c>
      <c r="F118" s="2">
        <v>1700.74</v>
      </c>
      <c r="G118" s="3"/>
      <c r="H118" s="2">
        <v>967.71</v>
      </c>
      <c r="I118" s="3"/>
      <c r="J118" s="2">
        <v>5311.73</v>
      </c>
      <c r="K118" s="3"/>
      <c r="L118" s="2">
        <v>691.96</v>
      </c>
      <c r="M118" s="3"/>
      <c r="N118" s="2">
        <v>2009.38</v>
      </c>
      <c r="O118" s="3"/>
      <c r="P118" s="2">
        <v>2400</v>
      </c>
      <c r="Q118" s="3"/>
      <c r="R118" s="2">
        <v>2400</v>
      </c>
    </row>
    <row r="119" spans="1:18" s="15" customFormat="1" outlineLevel="1" collapsed="1" x14ac:dyDescent="0.35">
      <c r="A119" s="7"/>
      <c r="B119" s="20" t="str">
        <f>CONCATENATE("     ","Telephone/Data Lines                              ")</f>
        <v xml:space="preserve">     Telephone/Data Lines                              </v>
      </c>
      <c r="C119" s="7"/>
      <c r="D119" s="1">
        <f>SUM(OSRRefD21_13x_0)</f>
        <v>3119.69</v>
      </c>
      <c r="E119" s="19"/>
      <c r="F119" s="1">
        <f>SUM(OSRRefF21_13x_0)</f>
        <v>2352.84</v>
      </c>
      <c r="G119" s="4"/>
      <c r="H119" s="1">
        <f>SUM(OSRRefH21_13x_0)</f>
        <v>2157.73</v>
      </c>
      <c r="I119" s="4"/>
      <c r="J119" s="1">
        <f>SUM(OSRRefJ21_13x_0)</f>
        <v>2439.9</v>
      </c>
      <c r="K119" s="4"/>
      <c r="L119" s="1">
        <f>SUM(OSRRefL21_13x_0)</f>
        <v>3446.42</v>
      </c>
      <c r="M119" s="4"/>
      <c r="N119" s="1">
        <f>SUM(OSRRefN21_13x_0)</f>
        <v>2932.35</v>
      </c>
      <c r="O119" s="4"/>
      <c r="P119" s="1">
        <f>SUM(OSRRefP21_13x_0)</f>
        <v>3010</v>
      </c>
      <c r="Q119" s="4"/>
      <c r="R119" s="1">
        <f>SUM(OSRRefR21_13x_0)</f>
        <v>3900</v>
      </c>
    </row>
    <row r="120" spans="1:18" s="16" customFormat="1" hidden="1" outlineLevel="2" x14ac:dyDescent="0.35">
      <c r="B120" s="11" t="str">
        <f>CONCATENATE("          ", "6309", " - ", "TELEPHONE")</f>
        <v xml:space="preserve">          6309 - TELEPHONE</v>
      </c>
      <c r="D120" s="2">
        <v>3119.69</v>
      </c>
      <c r="F120" s="2">
        <v>2352.84</v>
      </c>
      <c r="G120" s="3"/>
      <c r="H120" s="2">
        <v>2157.73</v>
      </c>
      <c r="I120" s="3"/>
      <c r="J120" s="2">
        <v>2439.9</v>
      </c>
      <c r="K120" s="3"/>
      <c r="L120" s="2">
        <v>3446.42</v>
      </c>
      <c r="M120" s="3"/>
      <c r="N120" s="2">
        <v>2932.35</v>
      </c>
      <c r="O120" s="3"/>
      <c r="P120" s="2">
        <v>3010</v>
      </c>
      <c r="Q120" s="3"/>
      <c r="R120" s="2">
        <v>3900</v>
      </c>
    </row>
    <row r="121" spans="1:18" s="15" customFormat="1" outlineLevel="1" collapsed="1" x14ac:dyDescent="0.35">
      <c r="A121" s="7"/>
      <c r="B121" s="20" t="str">
        <f>CONCATENATE("     ","Training                                          ")</f>
        <v xml:space="preserve">     Training                                          </v>
      </c>
      <c r="C121" s="7"/>
      <c r="D121" s="1">
        <f>SUM(OSRRefD21_14x_0)</f>
        <v>4538.32</v>
      </c>
      <c r="E121" s="19"/>
      <c r="F121" s="1">
        <f>SUM(OSRRefF21_14x_0)</f>
        <v>3977.07</v>
      </c>
      <c r="G121" s="4"/>
      <c r="H121" s="1">
        <f>SUM(OSRRefH21_14x_0)</f>
        <v>2230.58</v>
      </c>
      <c r="I121" s="4"/>
      <c r="J121" s="1">
        <f>SUM(OSRRefJ21_14x_0)</f>
        <v>1621.52</v>
      </c>
      <c r="K121" s="4"/>
      <c r="L121" s="1">
        <f>SUM(OSRRefL21_14x_0)</f>
        <v>568.94000000000005</v>
      </c>
      <c r="M121" s="4"/>
      <c r="N121" s="1">
        <f>SUM(OSRRefN21_14x_0)</f>
        <v>1875.75</v>
      </c>
      <c r="O121" s="4"/>
      <c r="P121" s="1">
        <f>SUM(OSRRefP21_14x_0)</f>
        <v>2500</v>
      </c>
      <c r="Q121" s="4"/>
      <c r="R121" s="1">
        <f>SUM(OSRRefR21_14x_0)</f>
        <v>0</v>
      </c>
    </row>
    <row r="122" spans="1:18" s="16" customFormat="1" hidden="1" outlineLevel="2" x14ac:dyDescent="0.35">
      <c r="B122" s="11" t="str">
        <f>CONCATENATE("          ", "6376", " - ", "TRAINING")</f>
        <v xml:space="preserve">          6376 - TRAINING</v>
      </c>
      <c r="D122" s="2">
        <v>4538.32</v>
      </c>
      <c r="F122" s="2">
        <v>3977.07</v>
      </c>
      <c r="G122" s="3"/>
      <c r="H122" s="2">
        <v>2230.58</v>
      </c>
      <c r="I122" s="3"/>
      <c r="J122" s="2">
        <v>1621.52</v>
      </c>
      <c r="K122" s="3"/>
      <c r="L122" s="2">
        <v>568.94000000000005</v>
      </c>
      <c r="M122" s="3"/>
      <c r="N122" s="2">
        <v>1875.75</v>
      </c>
      <c r="O122" s="3"/>
      <c r="P122" s="2">
        <v>2500</v>
      </c>
      <c r="Q122" s="3"/>
      <c r="R122" s="2"/>
    </row>
    <row r="123" spans="1:18" s="15" customFormat="1" outlineLevel="1" collapsed="1" x14ac:dyDescent="0.35">
      <c r="A123" s="7"/>
      <c r="B123" s="20" t="str">
        <f>CONCATENATE("     ","Travel                                            ")</f>
        <v xml:space="preserve">     Travel                                            </v>
      </c>
      <c r="C123" s="7"/>
      <c r="D123" s="1">
        <f>SUM(OSRRefD21_15x_0)</f>
        <v>1456.16</v>
      </c>
      <c r="E123" s="19"/>
      <c r="F123" s="1">
        <f>SUM(OSRRefF21_15x_0)</f>
        <v>849.92</v>
      </c>
      <c r="G123" s="4"/>
      <c r="H123" s="1">
        <f>SUM(OSRRefH21_15x_0)</f>
        <v>283.89</v>
      </c>
      <c r="I123" s="4"/>
      <c r="J123" s="1">
        <f>SUM(OSRRefJ21_15x_0)</f>
        <v>863.4</v>
      </c>
      <c r="K123" s="4"/>
      <c r="L123" s="1">
        <f>SUM(OSRRefL21_15x_0)</f>
        <v>1638.2</v>
      </c>
      <c r="M123" s="4"/>
      <c r="N123" s="1">
        <f>SUM(OSRRefN21_15x_0)</f>
        <v>-178.06</v>
      </c>
      <c r="O123" s="4"/>
      <c r="P123" s="1">
        <f>SUM(OSRRefP21_15x_0)</f>
        <v>0</v>
      </c>
      <c r="Q123" s="4"/>
      <c r="R123" s="1">
        <f>SUM(OSRRefR21_15x_0)</f>
        <v>0</v>
      </c>
    </row>
    <row r="124" spans="1:18" s="16" customFormat="1" hidden="1" outlineLevel="2" x14ac:dyDescent="0.35">
      <c r="B124" s="11" t="str">
        <f>CONCATENATE("          ", "6292", " - ", "TRAVEL/CONFERENCE")</f>
        <v xml:space="preserve">          6292 - TRAVEL/CONFERENCE</v>
      </c>
      <c r="D124" s="2">
        <v>1456.16</v>
      </c>
      <c r="F124" s="2">
        <v>849.92</v>
      </c>
      <c r="G124" s="3"/>
      <c r="H124" s="2">
        <v>283.89</v>
      </c>
      <c r="I124" s="3"/>
      <c r="J124" s="2">
        <v>863.4</v>
      </c>
      <c r="K124" s="3"/>
      <c r="L124" s="2">
        <v>1333.64</v>
      </c>
      <c r="M124" s="3"/>
      <c r="N124" s="2">
        <v>-178.06</v>
      </c>
      <c r="O124" s="3"/>
      <c r="P124" s="2"/>
      <c r="Q124" s="3"/>
      <c r="R124" s="2"/>
    </row>
    <row r="125" spans="1:18" s="16" customFormat="1" hidden="1" outlineLevel="2" x14ac:dyDescent="0.35">
      <c r="B125" s="11" t="str">
        <f>CONCATENATE("          ", "6294", " - ", "TRAVEL OPERATIONAL")</f>
        <v xml:space="preserve">          6294 - TRAVEL OPERATIONAL</v>
      </c>
      <c r="D125" s="2"/>
      <c r="F125" s="2"/>
      <c r="G125" s="3"/>
      <c r="H125" s="2"/>
      <c r="I125" s="3"/>
      <c r="J125" s="2"/>
      <c r="K125" s="3"/>
      <c r="L125" s="2">
        <v>304.56</v>
      </c>
      <c r="M125" s="3"/>
      <c r="N125" s="2"/>
      <c r="O125" s="3"/>
      <c r="P125" s="2"/>
      <c r="Q125" s="3"/>
      <c r="R125" s="2"/>
    </row>
    <row r="126" spans="1:18" x14ac:dyDescent="0.35">
      <c r="A126" s="12"/>
      <c r="B126" s="12"/>
      <c r="C126" s="12"/>
      <c r="D126" s="1"/>
      <c r="F126" s="1"/>
      <c r="H126" s="1"/>
      <c r="J126" s="1"/>
      <c r="L126" s="1"/>
      <c r="N126" s="1"/>
      <c r="P126" s="1"/>
      <c r="R126" s="1"/>
    </row>
    <row r="127" spans="1:18" s="7" customFormat="1" collapsed="1" x14ac:dyDescent="0.35">
      <c r="A127" s="36"/>
      <c r="B127" s="34" t="s">
        <v>295</v>
      </c>
      <c r="D127" s="6">
        <f>SUM(OSRRefD24x_0)</f>
        <v>14100.82</v>
      </c>
      <c r="E127" s="12"/>
      <c r="F127" s="6">
        <f>SUM(OSRRefF24x_0)</f>
        <v>23620.75</v>
      </c>
      <c r="G127" s="5"/>
      <c r="H127" s="6">
        <f>SUM(OSRRefH24x_0)</f>
        <v>8359.64</v>
      </c>
      <c r="I127" s="5"/>
      <c r="J127" s="6">
        <f>SUM(OSRRefJ24x_0)</f>
        <v>14193.12</v>
      </c>
      <c r="K127" s="5"/>
      <c r="L127" s="6">
        <f>SUM(OSRRefL24x_0)</f>
        <v>10176.24</v>
      </c>
      <c r="M127" s="5"/>
      <c r="N127" s="6">
        <f>SUM(OSRRefN24x_0)</f>
        <v>13920.349999999999</v>
      </c>
      <c r="O127" s="5"/>
      <c r="P127" s="6">
        <f>SUM(OSRRefP24x_0)</f>
        <v>20000</v>
      </c>
      <c r="Q127" s="5"/>
      <c r="R127" s="6">
        <f>SUM(OSRRefR24x_0)</f>
        <v>20000</v>
      </c>
    </row>
    <row r="128" spans="1:18" s="7" customFormat="1" hidden="1" outlineLevel="1" x14ac:dyDescent="0.35">
      <c r="A128" s="36"/>
      <c r="B128" s="11" t="str">
        <f>CONCATENATE("          ", "4187", " - ", "NON-TAXABLE SALES-COMPUTER REP")</f>
        <v xml:space="preserve">          4187 - NON-TAXABLE SALES-COMPUTER REP</v>
      </c>
      <c r="D128" s="11">
        <f>--10541.05</f>
        <v>10541.05</v>
      </c>
      <c r="E128" s="16"/>
      <c r="F128" s="11">
        <f>--6439.41</f>
        <v>6439.41</v>
      </c>
      <c r="G128" s="3"/>
      <c r="H128" s="11">
        <f>-482.68</f>
        <v>-482.68</v>
      </c>
      <c r="I128" s="3"/>
      <c r="J128" s="11">
        <f>--12235.17</f>
        <v>12235.17</v>
      </c>
      <c r="K128" s="3"/>
      <c r="L128" s="11">
        <f>--7817.04</f>
        <v>7817.04</v>
      </c>
      <c r="M128" s="3"/>
      <c r="N128" s="11">
        <f>--16449.71</f>
        <v>16449.71</v>
      </c>
      <c r="O128" s="3"/>
      <c r="P128" s="11"/>
      <c r="Q128" s="3"/>
      <c r="R128" s="11"/>
    </row>
    <row r="129" spans="1:18" s="7" customFormat="1" hidden="1" outlineLevel="1" x14ac:dyDescent="0.35">
      <c r="A129" s="36"/>
      <c r="B129" s="11" t="str">
        <f>CONCATENATE("          ", "4287", " - ", "SALES RETURN TAXABLE-COMPUTER")</f>
        <v xml:space="preserve">          4287 - SALES RETURN TAXABLE-COMPUTER</v>
      </c>
      <c r="D129" s="11">
        <f>0</f>
        <v>0</v>
      </c>
      <c r="E129" s="16"/>
      <c r="F129" s="11">
        <f t="shared" ref="F129:F131" si="4">0</f>
        <v>0</v>
      </c>
      <c r="G129" s="3"/>
      <c r="H129" s="11">
        <f>-30</f>
        <v>-30</v>
      </c>
      <c r="I129" s="3"/>
      <c r="J129" s="11">
        <f>0</f>
        <v>0</v>
      </c>
      <c r="K129" s="3"/>
      <c r="L129" s="11">
        <f>0</f>
        <v>0</v>
      </c>
      <c r="M129" s="3"/>
      <c r="N129" s="11">
        <f>0</f>
        <v>0</v>
      </c>
      <c r="O129" s="3"/>
      <c r="P129" s="11"/>
      <c r="Q129" s="3"/>
      <c r="R129" s="11"/>
    </row>
    <row r="130" spans="1:18" s="7" customFormat="1" hidden="1" outlineLevel="1" x14ac:dyDescent="0.35">
      <c r="A130" s="36"/>
      <c r="B130" s="11" t="str">
        <f>CONCATENATE("          ", "4387", " - ", "SALES RETURN NON TAXABLE-COMPU")</f>
        <v xml:space="preserve">          4387 - SALES RETURN NON TAXABLE-COMPU</v>
      </c>
      <c r="D130" s="11">
        <f>-839</f>
        <v>-839</v>
      </c>
      <c r="E130" s="16"/>
      <c r="F130" s="11">
        <f t="shared" si="4"/>
        <v>0</v>
      </c>
      <c r="G130" s="3"/>
      <c r="H130" s="11">
        <f t="shared" ref="H130:H131" si="5">0</f>
        <v>0</v>
      </c>
      <c r="I130" s="3"/>
      <c r="J130" s="11">
        <f>-184.33</f>
        <v>-184.33</v>
      </c>
      <c r="K130" s="3"/>
      <c r="L130" s="11">
        <f>--95.44</f>
        <v>95.44</v>
      </c>
      <c r="M130" s="3"/>
      <c r="N130" s="11">
        <f>-7889</f>
        <v>-7889</v>
      </c>
      <c r="O130" s="3"/>
      <c r="P130" s="11"/>
      <c r="Q130" s="3"/>
      <c r="R130" s="11"/>
    </row>
    <row r="131" spans="1:18" s="7" customFormat="1" hidden="1" outlineLevel="1" x14ac:dyDescent="0.35">
      <c r="A131" s="36"/>
      <c r="B131" s="11" t="str">
        <f>CONCATENATE("          ", "5087", " - ", "PURCHASES @ COST-COMPUTER REPA")</f>
        <v xml:space="preserve">          5087 - PURCHASES @ COST-COMPUTER REPA</v>
      </c>
      <c r="D131" s="11">
        <f>0</f>
        <v>0</v>
      </c>
      <c r="E131" s="16"/>
      <c r="F131" s="11">
        <f t="shared" si="4"/>
        <v>0</v>
      </c>
      <c r="G131" s="3"/>
      <c r="H131" s="11">
        <f t="shared" si="5"/>
        <v>0</v>
      </c>
      <c r="I131" s="3"/>
      <c r="J131" s="11">
        <f>-138.63</f>
        <v>-138.63</v>
      </c>
      <c r="K131" s="3"/>
      <c r="L131" s="11">
        <f>-312.26</f>
        <v>-312.26</v>
      </c>
      <c r="M131" s="3"/>
      <c r="N131" s="11">
        <f>-72.06</f>
        <v>-72.06</v>
      </c>
      <c r="O131" s="3"/>
      <c r="P131" s="11"/>
      <c r="Q131" s="3"/>
      <c r="R131" s="11"/>
    </row>
    <row r="132" spans="1:18" s="7" customFormat="1" hidden="1" outlineLevel="1" x14ac:dyDescent="0.35">
      <c r="A132" s="36"/>
      <c r="B132" s="11" t="str">
        <f>CONCATENATE("          ", "9150", " - ", "MISC. INCOME")</f>
        <v xml:space="preserve">          9150 - MISC. INCOME</v>
      </c>
      <c r="D132" s="11">
        <f>--4398.77</f>
        <v>4398.7700000000004</v>
      </c>
      <c r="E132" s="16"/>
      <c r="F132" s="11">
        <f>--17181.34</f>
        <v>17181.34</v>
      </c>
      <c r="G132" s="3"/>
      <c r="H132" s="11">
        <f>--8870.32</f>
        <v>8870.32</v>
      </c>
      <c r="I132" s="3"/>
      <c r="J132" s="11">
        <f>--2280.91</f>
        <v>2280.91</v>
      </c>
      <c r="K132" s="3"/>
      <c r="L132" s="11">
        <f>--2576.02</f>
        <v>2576.02</v>
      </c>
      <c r="M132" s="3"/>
      <c r="N132" s="11">
        <f>--5431.7</f>
        <v>5431.7</v>
      </c>
      <c r="O132" s="3"/>
      <c r="P132" s="11">
        <v>20000</v>
      </c>
      <c r="Q132" s="3"/>
      <c r="R132" s="11">
        <v>20000</v>
      </c>
    </row>
    <row r="133" spans="1:18" s="7" customFormat="1" hidden="1" outlineLevel="1" x14ac:dyDescent="0.35">
      <c r="A133" s="36"/>
      <c r="B133" s="11" t="str">
        <f>CONCATENATE("          ", "9152", " - ", "MISC. INCOME")</f>
        <v xml:space="preserve">          9152 - MISC. INCOME</v>
      </c>
      <c r="D133" s="11">
        <f>0</f>
        <v>0</v>
      </c>
      <c r="E133" s="16"/>
      <c r="F133" s="11">
        <f>0</f>
        <v>0</v>
      </c>
      <c r="G133" s="3"/>
      <c r="H133" s="11">
        <f>--2</f>
        <v>2</v>
      </c>
      <c r="I133" s="3"/>
      <c r="J133" s="11">
        <f>0</f>
        <v>0</v>
      </c>
      <c r="K133" s="3"/>
      <c r="L133" s="11">
        <f>0</f>
        <v>0</v>
      </c>
      <c r="M133" s="3"/>
      <c r="N133" s="11">
        <f>0</f>
        <v>0</v>
      </c>
      <c r="O133" s="3"/>
      <c r="P133" s="11"/>
      <c r="Q133" s="3"/>
      <c r="R133" s="11"/>
    </row>
    <row r="134" spans="1:18" x14ac:dyDescent="0.35">
      <c r="A134" s="12"/>
      <c r="B134" s="7"/>
      <c r="C134" s="7"/>
      <c r="D134" s="6"/>
      <c r="F134" s="6"/>
      <c r="H134" s="6"/>
      <c r="J134" s="6"/>
      <c r="L134" s="6"/>
      <c r="N134" s="6"/>
      <c r="P134" s="6"/>
      <c r="R134" s="6"/>
    </row>
    <row r="135" spans="1:18" s="15" customFormat="1" x14ac:dyDescent="0.35">
      <c r="A135" s="7"/>
      <c r="B135" s="22" t="s">
        <v>279</v>
      </c>
      <c r="C135" s="22"/>
      <c r="D135" s="10">
        <f>+D58-D61+D127</f>
        <v>95629.319999999105</v>
      </c>
      <c r="E135" s="12"/>
      <c r="F135" s="10">
        <f>+F58-F61+F127</f>
        <v>204313.4599999999</v>
      </c>
      <c r="G135" s="5"/>
      <c r="H135" s="10">
        <f>+H58-H61+H127</f>
        <v>171504.93000000011</v>
      </c>
      <c r="I135" s="5"/>
      <c r="J135" s="10">
        <f>+J58-J61+J127</f>
        <v>64350.779999998696</v>
      </c>
      <c r="K135" s="5"/>
      <c r="L135" s="10">
        <f>+L58-L61+L127</f>
        <v>252650.77999999881</v>
      </c>
      <c r="M135" s="5"/>
      <c r="N135" s="10">
        <f>+N58-N61+N127</f>
        <v>273652.22000000026</v>
      </c>
      <c r="O135" s="5"/>
      <c r="P135" s="10">
        <f>+P58-P61+P127</f>
        <v>211440.82399403999</v>
      </c>
      <c r="Q135" s="5"/>
      <c r="R135" s="10">
        <f>+R58-R61+R127</f>
        <v>71087.614209890016</v>
      </c>
    </row>
    <row r="136" spans="1:18" s="27" customFormat="1" x14ac:dyDescent="0.35">
      <c r="A136" s="18"/>
      <c r="B136" s="31"/>
      <c r="C136" s="18"/>
      <c r="D136" s="9">
        <f>IFERROR(D135/D10, 0)</f>
        <v>3.9497926934725459E-2</v>
      </c>
      <c r="E136" s="18"/>
      <c r="F136" s="9">
        <f>IFERROR(F135/F10, 0)</f>
        <v>7.8289352923725158E-2</v>
      </c>
      <c r="G136" s="14"/>
      <c r="H136" s="9">
        <f>IFERROR(H135/H10, 0)</f>
        <v>6.1199306133292067E-2</v>
      </c>
      <c r="I136" s="14"/>
      <c r="J136" s="9">
        <f>IFERROR(J135/J10, 0)</f>
        <v>2.9486871827097534E-2</v>
      </c>
      <c r="K136" s="14"/>
      <c r="L136" s="9">
        <f>IFERROR(L135/L10, 0)</f>
        <v>8.5892826848190149E-2</v>
      </c>
      <c r="M136" s="14"/>
      <c r="N136" s="9">
        <f>IFERROR(N135/N10, 0)</f>
        <v>9.4850485029522702E-2</v>
      </c>
      <c r="O136" s="14"/>
      <c r="P136" s="9">
        <f>IFERROR(P135/P10, 0)</f>
        <v>8.4072867637058235E-2</v>
      </c>
      <c r="Q136" s="14"/>
      <c r="R136" s="9">
        <f>IFERROR(R135/R10, 0)</f>
        <v>3.1094781338432725E-2</v>
      </c>
    </row>
    <row r="137" spans="1:18" s="27" customFormat="1" x14ac:dyDescent="0.35">
      <c r="A137" s="18"/>
      <c r="B137" s="31"/>
      <c r="C137" s="18"/>
      <c r="D137" s="13"/>
      <c r="E137" s="18"/>
      <c r="F137" s="13"/>
      <c r="G137" s="14"/>
      <c r="H137" s="13"/>
      <c r="I137" s="14"/>
      <c r="J137" s="13"/>
      <c r="K137" s="14"/>
      <c r="L137" s="13"/>
      <c r="M137" s="14"/>
      <c r="N137" s="13"/>
      <c r="O137" s="14"/>
      <c r="P137" s="13"/>
      <c r="Q137" s="14"/>
      <c r="R137" s="13"/>
    </row>
    <row r="138" spans="1:18" s="15" customFormat="1" x14ac:dyDescent="0.35">
      <c r="A138" s="37"/>
      <c r="B138" s="7" t="s">
        <v>127</v>
      </c>
      <c r="C138" s="7"/>
      <c r="D138" s="6">
        <v>526128.23</v>
      </c>
      <c r="E138" s="12"/>
      <c r="F138" s="6">
        <v>371512.03</v>
      </c>
      <c r="G138" s="5"/>
      <c r="H138" s="6">
        <v>374696.99</v>
      </c>
      <c r="I138" s="5"/>
      <c r="J138" s="6">
        <v>292901.25</v>
      </c>
      <c r="K138" s="5"/>
      <c r="L138" s="6">
        <v>209659.1</v>
      </c>
      <c r="M138" s="5"/>
      <c r="N138" s="6">
        <v>436867.95</v>
      </c>
      <c r="O138" s="5"/>
      <c r="P138" s="6">
        <v>424975</v>
      </c>
      <c r="Q138" s="5"/>
      <c r="R138" s="6">
        <v>259237</v>
      </c>
    </row>
    <row r="139" spans="1:18" x14ac:dyDescent="0.35">
      <c r="A139" s="12"/>
      <c r="B139" s="7"/>
      <c r="C139" s="7"/>
      <c r="D139" s="6"/>
      <c r="F139" s="6"/>
      <c r="H139" s="6"/>
      <c r="J139" s="6"/>
      <c r="L139" s="6"/>
      <c r="N139" s="6"/>
      <c r="P139" s="6"/>
      <c r="R139" s="6"/>
    </row>
    <row r="140" spans="1:18" s="15" customFormat="1" x14ac:dyDescent="0.35">
      <c r="A140" s="7"/>
      <c r="B140" s="22" t="s">
        <v>126</v>
      </c>
      <c r="C140" s="22"/>
      <c r="D140" s="10">
        <f>+D135-D138</f>
        <v>-430498.91000000085</v>
      </c>
      <c r="E140" s="12"/>
      <c r="F140" s="10">
        <f>+F135-F138</f>
        <v>-167198.57000000012</v>
      </c>
      <c r="G140" s="5"/>
      <c r="H140" s="10">
        <f>+H135-H138</f>
        <v>-203192.05999999988</v>
      </c>
      <c r="I140" s="5"/>
      <c r="J140" s="10">
        <f>+J135-J138</f>
        <v>-228550.47000000131</v>
      </c>
      <c r="K140" s="5"/>
      <c r="L140" s="10">
        <f>+L135-L138</f>
        <v>42991.6799999988</v>
      </c>
      <c r="M140" s="5"/>
      <c r="N140" s="10">
        <f>+N135-N138</f>
        <v>-163215.72999999975</v>
      </c>
      <c r="O140" s="5"/>
      <c r="P140" s="10">
        <f>+P135-P138</f>
        <v>-213534.17600596001</v>
      </c>
      <c r="Q140" s="5"/>
      <c r="R140" s="10">
        <f>+R135-R138</f>
        <v>-188149.38579010998</v>
      </c>
    </row>
    <row r="141" spans="1:18" s="27" customFormat="1" x14ac:dyDescent="0.35">
      <c r="A141" s="18"/>
      <c r="B141" s="18"/>
      <c r="C141" s="18"/>
      <c r="D141" s="9">
        <f>IFERROR(D140/D10, 0)</f>
        <v>-0.17780963508533937</v>
      </c>
      <c r="E141" s="18"/>
      <c r="F141" s="9">
        <f>IFERROR(F140/F10, 0)</f>
        <v>-6.4067574672134586E-2</v>
      </c>
      <c r="G141" s="14"/>
      <c r="H141" s="9">
        <f>IFERROR(H140/H10, 0)</f>
        <v>-7.25064468047317E-2</v>
      </c>
      <c r="I141" s="14"/>
      <c r="J141" s="9">
        <f>IFERROR(J140/J10, 0)</f>
        <v>-0.10472660028228213</v>
      </c>
      <c r="K141" s="14"/>
      <c r="L141" s="9">
        <f>IFERROR(L140/L10, 0)</f>
        <v>1.4615735309238759E-2</v>
      </c>
      <c r="M141" s="14"/>
      <c r="N141" s="9">
        <f>IFERROR(N140/N10, 0)</f>
        <v>-5.6572138004024164E-2</v>
      </c>
      <c r="O141" s="14"/>
      <c r="P141" s="9">
        <f>IFERROR(P140/P10, 0)</f>
        <v>-8.4905223959226575E-2</v>
      </c>
      <c r="Q141" s="14"/>
      <c r="R141" s="9">
        <f>IFERROR(R140/R10, 0)</f>
        <v>-8.2299343917072248E-2</v>
      </c>
    </row>
    <row r="142" spans="1:18" s="27" customFormat="1" x14ac:dyDescent="0.35">
      <c r="A142" s="18"/>
      <c r="B142" s="18"/>
      <c r="C142" s="18"/>
      <c r="D142" s="13"/>
      <c r="E142" s="18"/>
      <c r="F142" s="13"/>
      <c r="G142" s="14"/>
      <c r="H142" s="13"/>
      <c r="I142" s="14"/>
      <c r="J142" s="13"/>
      <c r="K142" s="14"/>
      <c r="L142" s="13"/>
      <c r="M142" s="14"/>
      <c r="N142" s="13"/>
      <c r="O142" s="14"/>
      <c r="P142" s="13"/>
      <c r="Q142" s="14"/>
      <c r="R142" s="13"/>
    </row>
    <row r="143" spans="1:18" x14ac:dyDescent="0.35">
      <c r="A143" s="12"/>
      <c r="B143" s="12"/>
      <c r="C143" s="12"/>
      <c r="D143" s="6"/>
      <c r="F143" s="6"/>
      <c r="H143" s="6"/>
      <c r="J143" s="6"/>
      <c r="L143" s="6"/>
      <c r="N143" s="6"/>
      <c r="P143" s="6"/>
      <c r="R143" s="6"/>
    </row>
    <row r="144" spans="1:18" s="15" customFormat="1" x14ac:dyDescent="0.35">
      <c r="A144" s="7"/>
      <c r="B144" s="22" t="s">
        <v>296</v>
      </c>
      <c r="C144" s="22"/>
      <c r="D144" s="10">
        <f>SUM(D140:D143)</f>
        <v>-430499.08780963591</v>
      </c>
      <c r="E144" s="12"/>
      <c r="F144" s="10">
        <f>SUM(F140:F143)</f>
        <v>-167198.63406757481</v>
      </c>
      <c r="G144" s="5"/>
      <c r="H144" s="10">
        <f>SUM(H140:H143)</f>
        <v>-203192.13250644668</v>
      </c>
      <c r="I144" s="5"/>
      <c r="J144" s="10">
        <f>SUM(J140:J143)</f>
        <v>-228550.5747266016</v>
      </c>
      <c r="K144" s="5"/>
      <c r="L144" s="10">
        <f>SUM(L140:L143)</f>
        <v>42991.694615734108</v>
      </c>
      <c r="M144" s="5"/>
      <c r="N144" s="10">
        <f>SUM(N140:N143)</f>
        <v>-163215.78657213776</v>
      </c>
      <c r="O144" s="5"/>
      <c r="P144" s="10">
        <f>SUM(P140:P143)</f>
        <v>-213534.26091118396</v>
      </c>
      <c r="Q144" s="5"/>
      <c r="R144" s="10">
        <f>SUM(R140:R143)</f>
        <v>-188149.46808945391</v>
      </c>
    </row>
    <row r="145" spans="1:18" s="27" customFormat="1" x14ac:dyDescent="0.35">
      <c r="A145" s="18"/>
      <c r="B145" s="41"/>
      <c r="C145" s="18"/>
      <c r="D145" s="9">
        <f>IFERROR(D144/D10, 0)</f>
        <v>-0.17780970852632977</v>
      </c>
      <c r="E145" s="18"/>
      <c r="F145" s="9">
        <f>IFERROR(F144/F10, 0)</f>
        <v>-6.4067599221711319E-2</v>
      </c>
      <c r="G145" s="14"/>
      <c r="H145" s="9">
        <f>IFERROR(H144/H10, 0)</f>
        <v>-7.2506472677715261E-2</v>
      </c>
      <c r="I145" s="14"/>
      <c r="J145" s="9">
        <f>IFERROR(J144/J10, 0)</f>
        <v>-0.10472664827019836</v>
      </c>
      <c r="K145" s="14"/>
      <c r="L145" s="9">
        <f>IFERROR(L144/L10, 0)</f>
        <v>1.4615740278100609E-2</v>
      </c>
      <c r="M145" s="14"/>
      <c r="N145" s="9">
        <f>IFERROR(N144/N10, 0)</f>
        <v>-5.6572157612469982E-2</v>
      </c>
      <c r="O145" s="14"/>
      <c r="P145" s="9">
        <f>IFERROR(P144/P10, 0)</f>
        <v>-8.4905257719148239E-2</v>
      </c>
      <c r="Q145" s="14"/>
      <c r="R145" s="9">
        <f>IFERROR(R144/R10, 0)</f>
        <v>-8.2299379916031173E-2</v>
      </c>
    </row>
    <row r="146" spans="1:18" x14ac:dyDescent="0.35">
      <c r="A146" s="12"/>
      <c r="B146" s="40">
        <v>44319.883572604165</v>
      </c>
      <c r="D146" s="24"/>
      <c r="F146" s="24"/>
      <c r="H146" s="24"/>
      <c r="J146" s="24"/>
      <c r="L146" s="24"/>
      <c r="N146" s="24"/>
      <c r="P146" s="24"/>
      <c r="R146" s="24"/>
    </row>
    <row r="147" spans="1:18" x14ac:dyDescent="0.35">
      <c r="A147" s="12"/>
      <c r="B147" s="39" t="s">
        <v>23</v>
      </c>
      <c r="D147" s="24"/>
      <c r="F147" s="24"/>
      <c r="H147" s="24"/>
      <c r="J147" s="24"/>
      <c r="L147" s="24"/>
      <c r="N147" s="24"/>
      <c r="P147" s="24"/>
      <c r="R147" s="24"/>
    </row>
    <row r="148" spans="1:18" x14ac:dyDescent="0.35">
      <c r="A148" s="12"/>
      <c r="D148" s="24"/>
      <c r="F148" s="24"/>
      <c r="H148" s="24"/>
      <c r="J148" s="24"/>
      <c r="L148" s="24"/>
      <c r="N148" s="24"/>
      <c r="P148" s="24"/>
      <c r="R148" s="24"/>
    </row>
    <row r="149" spans="1:18" x14ac:dyDescent="0.35">
      <c r="D149" s="24"/>
      <c r="F149" s="24"/>
      <c r="H149" s="24"/>
      <c r="J149" s="24"/>
      <c r="L149" s="24"/>
      <c r="N149" s="24"/>
      <c r="P149" s="24"/>
      <c r="R149" s="24"/>
    </row>
  </sheetData>
  <pageMargins left="0.5" right="0.5" top="0.5" bottom="0.5" header="0.3" footer="0.3"/>
  <pageSetup scale="59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6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","318", " - ", "E-Commerce")</f>
        <v>Department 318 - E-Commerce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0</v>
      </c>
      <c r="E17" s="19"/>
      <c r="F17" s="8">
        <f>SUM(OSRRefF21x_0)</f>
        <v>142091.20000000004</v>
      </c>
      <c r="G17" s="4"/>
      <c r="H17" s="8">
        <f>SUM(OSRRefH21x_0)</f>
        <v>0</v>
      </c>
      <c r="I17" s="4"/>
      <c r="J17" s="8">
        <f>SUM(OSRRefJ21x_0)</f>
        <v>0</v>
      </c>
      <c r="K17" s="4"/>
      <c r="L17" s="8">
        <f>SUM(OSRRefL21x_0)</f>
        <v>0</v>
      </c>
      <c r="M17" s="4"/>
      <c r="N17" s="8">
        <f>SUM(OSRRefN21x_0)</f>
        <v>0</v>
      </c>
      <c r="O17" s="4"/>
      <c r="P17" s="8">
        <f>SUM(OSRRefP21x_0)</f>
        <v>0</v>
      </c>
      <c r="Q17" s="4"/>
      <c r="R17" s="8">
        <f>SUM(OSRRefR21x_0)</f>
        <v>0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0</v>
      </c>
      <c r="E18" s="19"/>
      <c r="F18" s="1">
        <f>SUM(OSRRefF21_0x_0)</f>
        <v>29964.25</v>
      </c>
      <c r="G18" s="4"/>
      <c r="H18" s="1">
        <f>SUM(OSRRefH21_0x_0)</f>
        <v>0</v>
      </c>
      <c r="I18" s="4"/>
      <c r="J18" s="1">
        <f>SUM(OSRRefJ21_0x_0)</f>
        <v>0</v>
      </c>
      <c r="K18" s="4"/>
      <c r="L18" s="1">
        <f>SUM(OSRRefL21_0x_0)</f>
        <v>0</v>
      </c>
      <c r="M18" s="4"/>
      <c r="N18" s="1">
        <f>SUM(OSRRefN21_0x_0)</f>
        <v>0</v>
      </c>
      <c r="O18" s="4"/>
      <c r="P18" s="1">
        <f>SUM(OSRRefP21_0x_0)</f>
        <v>0</v>
      </c>
      <c r="Q18" s="4"/>
      <c r="R18" s="1">
        <f>SUM(OSRRefR21_0x_0)</f>
        <v>0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/>
      <c r="F19" s="2">
        <v>5539.92</v>
      </c>
      <c r="G19" s="3"/>
      <c r="H19" s="2"/>
      <c r="I19" s="3"/>
      <c r="J19" s="2"/>
      <c r="K19" s="3"/>
      <c r="L19" s="2"/>
      <c r="M19" s="3"/>
      <c r="N19" s="2"/>
      <c r="O19" s="3"/>
      <c r="P19" s="2"/>
      <c r="Q19" s="3"/>
      <c r="R19" s="2"/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/>
      <c r="F20" s="2">
        <v>2893.35</v>
      </c>
      <c r="G20" s="3"/>
      <c r="H20" s="2"/>
      <c r="I20" s="3"/>
      <c r="J20" s="2"/>
      <c r="K20" s="3"/>
      <c r="L20" s="2"/>
      <c r="M20" s="3"/>
      <c r="N20" s="2"/>
      <c r="O20" s="3"/>
      <c r="P20" s="2"/>
      <c r="Q20" s="3"/>
      <c r="R20" s="2"/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/>
      <c r="F21" s="2">
        <v>13735.86</v>
      </c>
      <c r="G21" s="3"/>
      <c r="H21" s="2">
        <v>0</v>
      </c>
      <c r="I21" s="3"/>
      <c r="J21" s="2"/>
      <c r="K21" s="3"/>
      <c r="L21" s="2"/>
      <c r="M21" s="3"/>
      <c r="N21" s="2"/>
      <c r="O21" s="3"/>
      <c r="P21" s="2"/>
      <c r="Q21" s="3"/>
      <c r="R21" s="2"/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/>
      <c r="F22" s="2">
        <v>699.94</v>
      </c>
      <c r="G22" s="3"/>
      <c r="H22" s="2"/>
      <c r="I22" s="3"/>
      <c r="J22" s="2"/>
      <c r="K22" s="3"/>
      <c r="L22" s="2"/>
      <c r="M22" s="3"/>
      <c r="N22" s="2"/>
      <c r="O22" s="3"/>
      <c r="P22" s="2"/>
      <c r="Q22" s="3"/>
      <c r="R22" s="2"/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/>
      <c r="F23" s="2">
        <v>2594.59</v>
      </c>
      <c r="G23" s="3"/>
      <c r="H23" s="2"/>
      <c r="I23" s="3"/>
      <c r="J23" s="2"/>
      <c r="K23" s="3"/>
      <c r="L23" s="2"/>
      <c r="M23" s="3"/>
      <c r="N23" s="2"/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"6118", " - ", "VACATION")</f>
        <v xml:space="preserve">          6118 - VACATION</v>
      </c>
      <c r="D24" s="2"/>
      <c r="F24" s="2">
        <v>2013.42</v>
      </c>
      <c r="G24" s="3"/>
      <c r="H24" s="2"/>
      <c r="I24" s="3"/>
      <c r="J24" s="2"/>
      <c r="K24" s="3"/>
      <c r="L24" s="2"/>
      <c r="M24" s="3"/>
      <c r="N24" s="2"/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"6119", " - ", "SICK LEAVE")</f>
        <v xml:space="preserve">          6119 - SICK LEAVE</v>
      </c>
      <c r="D25" s="2"/>
      <c r="F25" s="2">
        <v>2487.17</v>
      </c>
      <c r="G25" s="3"/>
      <c r="H25" s="2"/>
      <c r="I25" s="3"/>
      <c r="J25" s="2"/>
      <c r="K25" s="3"/>
      <c r="L25" s="2"/>
      <c r="M25" s="3"/>
      <c r="N25" s="2"/>
      <c r="O25" s="3"/>
      <c r="P25" s="2"/>
      <c r="Q25" s="3"/>
      <c r="R25" s="2"/>
    </row>
    <row r="26" spans="1:18" s="15" customFormat="1" outlineLevel="1" collapsed="1" x14ac:dyDescent="0.35">
      <c r="A26" s="7"/>
      <c r="B26" s="20" t="str">
        <f>CONCATENATE("     ","*Payroll                                          ")</f>
        <v xml:space="preserve">     *Payroll                                          </v>
      </c>
      <c r="C26" s="7"/>
      <c r="D26" s="1">
        <f>SUM(OSRRefD21_1x_0)</f>
        <v>0</v>
      </c>
      <c r="E26" s="19"/>
      <c r="F26" s="1">
        <f>SUM(OSRRefF21_1x_0)</f>
        <v>110301.44</v>
      </c>
      <c r="G26" s="4"/>
      <c r="H26" s="1">
        <f>SUM(OSRRefH21_1x_0)</f>
        <v>0</v>
      </c>
      <c r="I26" s="4"/>
      <c r="J26" s="1">
        <f>SUM(OSRRefJ21_1x_0)</f>
        <v>0</v>
      </c>
      <c r="K26" s="4"/>
      <c r="L26" s="1">
        <f>SUM(OSRRefL21_1x_0)</f>
        <v>0</v>
      </c>
      <c r="M26" s="4"/>
      <c r="N26" s="1">
        <f>SUM(OSRRefN21_1x_0)</f>
        <v>0</v>
      </c>
      <c r="O26" s="4"/>
      <c r="P26" s="1">
        <f>SUM(OSRRefP21_1x_0)</f>
        <v>0</v>
      </c>
      <c r="Q26" s="4"/>
      <c r="R26" s="1">
        <f>SUM(OSRRefR21_1x_0)</f>
        <v>0</v>
      </c>
    </row>
    <row r="27" spans="1:18" s="16" customFormat="1" hidden="1" outlineLevel="2" x14ac:dyDescent="0.35">
      <c r="B27" s="11" t="str">
        <f>CONCATENATE("          ", "6002", " - ", "STAFF SALARIES")</f>
        <v xml:space="preserve">          6002 - STAFF SALARIES</v>
      </c>
      <c r="D27" s="2"/>
      <c r="F27" s="2">
        <v>41600</v>
      </c>
      <c r="G27" s="3"/>
      <c r="H27" s="2"/>
      <c r="I27" s="3"/>
      <c r="J27" s="2"/>
      <c r="K27" s="3"/>
      <c r="L27" s="2"/>
      <c r="M27" s="3"/>
      <c r="N27" s="2"/>
      <c r="O27" s="3"/>
      <c r="P27" s="2"/>
      <c r="Q27" s="3"/>
      <c r="R27" s="2"/>
    </row>
    <row r="28" spans="1:18" s="16" customFormat="1" hidden="1" outlineLevel="2" x14ac:dyDescent="0.35">
      <c r="B28" s="11" t="str">
        <f>CONCATENATE("          ", "6005", " - ", "TEMPORARY WAGES-HOURLY")</f>
        <v xml:space="preserve">          6005 - TEMPORARY WAGES-HOURLY</v>
      </c>
      <c r="D28" s="2"/>
      <c r="F28" s="2">
        <v>17701.150000000001</v>
      </c>
      <c r="G28" s="3"/>
      <c r="H28" s="2"/>
      <c r="I28" s="3"/>
      <c r="J28" s="2"/>
      <c r="K28" s="3"/>
      <c r="L28" s="2"/>
      <c r="M28" s="3"/>
      <c r="N28" s="2"/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"6006", " - ", "TEMPORARY PART TIME")</f>
        <v xml:space="preserve">          6006 - TEMPORARY PART TIME</v>
      </c>
      <c r="D29" s="2"/>
      <c r="F29" s="2">
        <v>2369.25</v>
      </c>
      <c r="G29" s="3"/>
      <c r="H29" s="2"/>
      <c r="I29" s="3"/>
      <c r="J29" s="2"/>
      <c r="K29" s="3"/>
      <c r="L29" s="2"/>
      <c r="M29" s="3"/>
      <c r="N29" s="2"/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"6007", " - ", "STUDENT HOURLY")</f>
        <v xml:space="preserve">          6007 - STUDENT HOURLY</v>
      </c>
      <c r="D30" s="2"/>
      <c r="F30" s="2">
        <v>48631.040000000001</v>
      </c>
      <c r="G30" s="3"/>
      <c r="H30" s="2"/>
      <c r="I30" s="3"/>
      <c r="J30" s="2"/>
      <c r="K30" s="3"/>
      <c r="L30" s="2"/>
      <c r="M30" s="3"/>
      <c r="N30" s="2"/>
      <c r="O30" s="3"/>
      <c r="P30" s="2"/>
      <c r="Q30" s="3"/>
      <c r="R30" s="2"/>
    </row>
    <row r="31" spans="1:18" s="15" customFormat="1" outlineLevel="1" collapsed="1" x14ac:dyDescent="0.35">
      <c r="A31" s="7"/>
      <c r="B31" s="20" t="str">
        <f>CONCATENATE("     ","Advertising/Promo                                 ")</f>
        <v xml:space="preserve">     Advertising/Promo                                 </v>
      </c>
      <c r="C31" s="7"/>
      <c r="D31" s="1">
        <f>SUM(OSRRefD21_2x_0)</f>
        <v>0</v>
      </c>
      <c r="E31" s="19"/>
      <c r="F31" s="1">
        <f>SUM(OSRRefF21_2x_0)</f>
        <v>138</v>
      </c>
      <c r="G31" s="4"/>
      <c r="H31" s="1">
        <f>SUM(OSRRefH21_2x_0)</f>
        <v>0</v>
      </c>
      <c r="I31" s="4"/>
      <c r="J31" s="1">
        <f>SUM(OSRRefJ21_2x_0)</f>
        <v>0</v>
      </c>
      <c r="K31" s="4"/>
      <c r="L31" s="1">
        <f>SUM(OSRRefL21_2x_0)</f>
        <v>0</v>
      </c>
      <c r="M31" s="4"/>
      <c r="N31" s="1">
        <f>SUM(OSRRefN21_2x_0)</f>
        <v>0</v>
      </c>
      <c r="O31" s="4"/>
      <c r="P31" s="1">
        <f>SUM(OSRRefP21_2x_0)</f>
        <v>0</v>
      </c>
      <c r="Q31" s="4"/>
      <c r="R31" s="1">
        <f>SUM(OSRRefR21_2x_0)</f>
        <v>0</v>
      </c>
    </row>
    <row r="32" spans="1:18" s="16" customFormat="1" hidden="1" outlineLevel="2" x14ac:dyDescent="0.35">
      <c r="B32" s="11" t="str">
        <f>CONCATENATE("          ", "6362", " - ", "ADVERTISING EXPENSE")</f>
        <v xml:space="preserve">          6362 - ADVERTISING EXPENSE</v>
      </c>
      <c r="D32" s="2"/>
      <c r="F32" s="2">
        <v>138</v>
      </c>
      <c r="G32" s="3"/>
      <c r="H32" s="2"/>
      <c r="I32" s="3"/>
      <c r="J32" s="2"/>
      <c r="K32" s="3"/>
      <c r="L32" s="2"/>
      <c r="M32" s="3"/>
      <c r="N32" s="2"/>
      <c r="O32" s="3"/>
      <c r="P32" s="2"/>
      <c r="Q32" s="3"/>
      <c r="R32" s="2"/>
    </row>
    <row r="33" spans="1:18" s="15" customFormat="1" outlineLevel="1" collapsed="1" x14ac:dyDescent="0.35">
      <c r="A33" s="7"/>
      <c r="B33" s="20" t="str">
        <f>CONCATENATE("     ","Employees' Appreciation                           ")</f>
        <v xml:space="preserve">     Employees' Appreciation                           </v>
      </c>
      <c r="C33" s="7"/>
      <c r="D33" s="1">
        <f>SUM(OSRRefD21_3x_0)</f>
        <v>0</v>
      </c>
      <c r="E33" s="19"/>
      <c r="F33" s="1">
        <f>SUM(OSRRefF21_3x_0)</f>
        <v>109.47</v>
      </c>
      <c r="G33" s="4"/>
      <c r="H33" s="1">
        <f>SUM(OSRRefH21_3x_0)</f>
        <v>0</v>
      </c>
      <c r="I33" s="4"/>
      <c r="J33" s="1">
        <f>SUM(OSRRefJ21_3x_0)</f>
        <v>0</v>
      </c>
      <c r="K33" s="4"/>
      <c r="L33" s="1">
        <f>SUM(OSRRefL21_3x_0)</f>
        <v>0</v>
      </c>
      <c r="M33" s="4"/>
      <c r="N33" s="1">
        <f>SUM(OSRRefN21_3x_0)</f>
        <v>0</v>
      </c>
      <c r="O33" s="4"/>
      <c r="P33" s="1">
        <f>SUM(OSRRefP21_3x_0)</f>
        <v>0</v>
      </c>
      <c r="Q33" s="4"/>
      <c r="R33" s="1">
        <f>SUM(OSRRefR21_3x_0)</f>
        <v>0</v>
      </c>
    </row>
    <row r="34" spans="1:18" s="16" customFormat="1" hidden="1" outlineLevel="2" x14ac:dyDescent="0.35">
      <c r="B34" s="11" t="str">
        <f>CONCATENATE("          ", "6277", " - ", "EMPLOYEE APPRECIATION")</f>
        <v xml:space="preserve">          6277 - EMPLOYEE APPRECIATION</v>
      </c>
      <c r="D34" s="2"/>
      <c r="F34" s="2">
        <v>109.47</v>
      </c>
      <c r="G34" s="3"/>
      <c r="H34" s="2"/>
      <c r="I34" s="3"/>
      <c r="J34" s="2"/>
      <c r="K34" s="3"/>
      <c r="L34" s="2"/>
      <c r="M34" s="3"/>
      <c r="N34" s="2"/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","Freight out/Postage                               ")</f>
        <v xml:space="preserve">     Freight out/Postage                               </v>
      </c>
      <c r="C35" s="7"/>
      <c r="D35" s="1">
        <f>SUM(OSRRefD21_4x_0)</f>
        <v>0</v>
      </c>
      <c r="E35" s="19"/>
      <c r="F35" s="1">
        <f>SUM(OSRRefF21_4x_0)</f>
        <v>-51.61</v>
      </c>
      <c r="G35" s="4"/>
      <c r="H35" s="1">
        <f>SUM(OSRRefH21_4x_0)</f>
        <v>0</v>
      </c>
      <c r="I35" s="4"/>
      <c r="J35" s="1">
        <f>SUM(OSRRefJ21_4x_0)</f>
        <v>0</v>
      </c>
      <c r="K35" s="4"/>
      <c r="L35" s="1">
        <f>SUM(OSRRefL21_4x_0)</f>
        <v>0</v>
      </c>
      <c r="M35" s="4"/>
      <c r="N35" s="1">
        <f>SUM(OSRRefN21_4x_0)</f>
        <v>0</v>
      </c>
      <c r="O35" s="4"/>
      <c r="P35" s="1">
        <f>SUM(OSRRefP21_4x_0)</f>
        <v>0</v>
      </c>
      <c r="Q35" s="4"/>
      <c r="R35" s="1">
        <f>SUM(OSRRefR21_4x_0)</f>
        <v>0</v>
      </c>
    </row>
    <row r="36" spans="1:18" s="16" customFormat="1" hidden="1" outlineLevel="2" x14ac:dyDescent="0.35">
      <c r="B36" s="11" t="str">
        <f>CONCATENATE("          ", "6307", " - ", "POSTAGE")</f>
        <v xml:space="preserve">          6307 - POSTAGE</v>
      </c>
      <c r="D36" s="2"/>
      <c r="F36" s="2">
        <v>-51.61</v>
      </c>
      <c r="G36" s="3"/>
      <c r="H36" s="2"/>
      <c r="I36" s="3"/>
      <c r="J36" s="2"/>
      <c r="K36" s="3"/>
      <c r="L36" s="2"/>
      <c r="M36" s="3"/>
      <c r="N36" s="2"/>
      <c r="O36" s="3"/>
      <c r="P36" s="2"/>
      <c r="Q36" s="3"/>
      <c r="R36" s="2"/>
    </row>
    <row r="37" spans="1:18" s="15" customFormat="1" outlineLevel="1" collapsed="1" x14ac:dyDescent="0.35">
      <c r="A37" s="7"/>
      <c r="B37" s="20" t="str">
        <f>CONCATENATE("     ","General                                           ")</f>
        <v xml:space="preserve">     General                                           </v>
      </c>
      <c r="C37" s="7"/>
      <c r="D37" s="1">
        <f>SUM(OSRRefD21_5x_0)</f>
        <v>0</v>
      </c>
      <c r="E37" s="19"/>
      <c r="F37" s="1">
        <f>SUM(OSRRefF21_5x_0)</f>
        <v>0</v>
      </c>
      <c r="G37" s="4"/>
      <c r="H37" s="1">
        <f>SUM(OSRRefH21_5x_0)</f>
        <v>0</v>
      </c>
      <c r="I37" s="4"/>
      <c r="J37" s="1">
        <f>SUM(OSRRefJ21_5x_0)</f>
        <v>0</v>
      </c>
      <c r="K37" s="4"/>
      <c r="L37" s="1">
        <f>SUM(OSRRefL21_5x_0)</f>
        <v>0</v>
      </c>
      <c r="M37" s="4"/>
      <c r="N37" s="1">
        <f>SUM(OSRRefN21_5x_0)</f>
        <v>0</v>
      </c>
      <c r="O37" s="4"/>
      <c r="P37" s="1">
        <f>SUM(OSRRefP21_5x_0)</f>
        <v>0</v>
      </c>
      <c r="Q37" s="4"/>
      <c r="R37" s="1">
        <f>SUM(OSRRefR21_5x_0)</f>
        <v>0</v>
      </c>
    </row>
    <row r="38" spans="1:18" s="16" customFormat="1" hidden="1" outlineLevel="2" x14ac:dyDescent="0.35">
      <c r="B38" s="11" t="str">
        <f>CONCATENATE("          ", "6279", " - ", "GENERAL EXPENSE")</f>
        <v xml:space="preserve">          6279 - GENERAL EXPENSE</v>
      </c>
      <c r="D38" s="2"/>
      <c r="F38" s="2">
        <v>0</v>
      </c>
      <c r="G38" s="3"/>
      <c r="H38" s="2"/>
      <c r="I38" s="3"/>
      <c r="J38" s="2"/>
      <c r="K38" s="3"/>
      <c r="L38" s="2"/>
      <c r="M38" s="3"/>
      <c r="N38" s="2"/>
      <c r="O38" s="3"/>
      <c r="P38" s="2"/>
      <c r="Q38" s="3"/>
      <c r="R38" s="2"/>
    </row>
    <row r="39" spans="1:18" s="15" customFormat="1" outlineLevel="1" collapsed="1" x14ac:dyDescent="0.35">
      <c r="A39" s="7"/>
      <c r="B39" s="20" t="str">
        <f>CONCATENATE("     ","Subscriptions &amp; Dues                              ")</f>
        <v xml:space="preserve">     Subscriptions &amp; Dues                              </v>
      </c>
      <c r="C39" s="7"/>
      <c r="D39" s="1">
        <f>SUM(OSRRefD21_6x_0)</f>
        <v>0</v>
      </c>
      <c r="E39" s="19"/>
      <c r="F39" s="1">
        <f>SUM(OSRRefF21_6x_0)</f>
        <v>1095.76</v>
      </c>
      <c r="G39" s="4"/>
      <c r="H39" s="1">
        <f>SUM(OSRRefH21_6x_0)</f>
        <v>0</v>
      </c>
      <c r="I39" s="4"/>
      <c r="J39" s="1">
        <f>SUM(OSRRefJ21_6x_0)</f>
        <v>0</v>
      </c>
      <c r="K39" s="4"/>
      <c r="L39" s="1">
        <f>SUM(OSRRefL21_6x_0)</f>
        <v>0</v>
      </c>
      <c r="M39" s="4"/>
      <c r="N39" s="1">
        <f>SUM(OSRRefN21_6x_0)</f>
        <v>0</v>
      </c>
      <c r="O39" s="4"/>
      <c r="P39" s="1">
        <f>SUM(OSRRefP21_6x_0)</f>
        <v>0</v>
      </c>
      <c r="Q39" s="4"/>
      <c r="R39" s="1">
        <f>SUM(OSRRefR21_6x_0)</f>
        <v>0</v>
      </c>
    </row>
    <row r="40" spans="1:18" s="16" customFormat="1" hidden="1" outlineLevel="2" x14ac:dyDescent="0.35">
      <c r="B40" s="11" t="str">
        <f>CONCATENATE("          ", "6258", " - ", "MEMBERSHIP DUES")</f>
        <v xml:space="preserve">          6258 - MEMBERSHIP DUES</v>
      </c>
      <c r="D40" s="2"/>
      <c r="F40" s="2">
        <v>1095.76</v>
      </c>
      <c r="G40" s="3"/>
      <c r="H40" s="2"/>
      <c r="I40" s="3"/>
      <c r="J40" s="2"/>
      <c r="K40" s="3"/>
      <c r="L40" s="2"/>
      <c r="M40" s="3"/>
      <c r="N40" s="2"/>
      <c r="O40" s="3"/>
      <c r="P40" s="2"/>
      <c r="Q40" s="3"/>
      <c r="R40" s="2"/>
    </row>
    <row r="41" spans="1:18" s="15" customFormat="1" outlineLevel="1" collapsed="1" x14ac:dyDescent="0.35">
      <c r="A41" s="7"/>
      <c r="B41" s="20" t="str">
        <f>CONCATENATE("     ","Supplies                                          ")</f>
        <v xml:space="preserve">     Supplies                                          </v>
      </c>
      <c r="C41" s="7"/>
      <c r="D41" s="1">
        <f>SUM(OSRRefD21_7x_0)</f>
        <v>0</v>
      </c>
      <c r="E41" s="19"/>
      <c r="F41" s="1">
        <f>SUM(OSRRefF21_7x_0)</f>
        <v>434.89</v>
      </c>
      <c r="G41" s="4"/>
      <c r="H41" s="1">
        <f>SUM(OSRRefH21_7x_0)</f>
        <v>0</v>
      </c>
      <c r="I41" s="4"/>
      <c r="J41" s="1">
        <f>SUM(OSRRefJ21_7x_0)</f>
        <v>0</v>
      </c>
      <c r="K41" s="4"/>
      <c r="L41" s="1">
        <f>SUM(OSRRefL21_7x_0)</f>
        <v>0</v>
      </c>
      <c r="M41" s="4"/>
      <c r="N41" s="1">
        <f>SUM(OSRRefN21_7x_0)</f>
        <v>0</v>
      </c>
      <c r="O41" s="4"/>
      <c r="P41" s="1">
        <f>SUM(OSRRefP21_7x_0)</f>
        <v>0</v>
      </c>
      <c r="Q41" s="4"/>
      <c r="R41" s="1">
        <f>SUM(OSRRefR21_7x_0)</f>
        <v>0</v>
      </c>
    </row>
    <row r="42" spans="1:18" s="16" customFormat="1" hidden="1" outlineLevel="2" x14ac:dyDescent="0.35">
      <c r="B42" s="11" t="str">
        <f>CONCATENATE("          ", "6247", " - ", "STORE SUPPLIES")</f>
        <v xml:space="preserve">          6247 - STORE SUPPLIES</v>
      </c>
      <c r="D42" s="2"/>
      <c r="F42" s="2">
        <v>434.89</v>
      </c>
      <c r="G42" s="3"/>
      <c r="H42" s="2"/>
      <c r="I42" s="3"/>
      <c r="J42" s="2"/>
      <c r="K42" s="3"/>
      <c r="L42" s="2"/>
      <c r="M42" s="3"/>
      <c r="N42" s="2"/>
      <c r="O42" s="3"/>
      <c r="P42" s="2"/>
      <c r="Q42" s="3"/>
      <c r="R42" s="2"/>
    </row>
    <row r="43" spans="1:18" s="15" customFormat="1" outlineLevel="1" collapsed="1" x14ac:dyDescent="0.35">
      <c r="A43" s="7"/>
      <c r="B43" s="20" t="str">
        <f>CONCATENATE("     ","Training                                          ")</f>
        <v xml:space="preserve">     Training                                          </v>
      </c>
      <c r="C43" s="7"/>
      <c r="D43" s="1">
        <f>SUM(OSRRefD21_8x_0)</f>
        <v>0</v>
      </c>
      <c r="E43" s="19"/>
      <c r="F43" s="1">
        <f>SUM(OSRRefF21_8x_0)</f>
        <v>99</v>
      </c>
      <c r="G43" s="4"/>
      <c r="H43" s="1">
        <f>SUM(OSRRefH21_8x_0)</f>
        <v>0</v>
      </c>
      <c r="I43" s="4"/>
      <c r="J43" s="1">
        <f>SUM(OSRRefJ21_8x_0)</f>
        <v>0</v>
      </c>
      <c r="K43" s="4"/>
      <c r="L43" s="1">
        <f>SUM(OSRRefL21_8x_0)</f>
        <v>0</v>
      </c>
      <c r="M43" s="4"/>
      <c r="N43" s="1">
        <f>SUM(OSRRefN21_8x_0)</f>
        <v>0</v>
      </c>
      <c r="O43" s="4"/>
      <c r="P43" s="1">
        <f>SUM(OSRRefP21_8x_0)</f>
        <v>0</v>
      </c>
      <c r="Q43" s="4"/>
      <c r="R43" s="1">
        <f>SUM(OSRRefR21_8x_0)</f>
        <v>0</v>
      </c>
    </row>
    <row r="44" spans="1:18" s="16" customFormat="1" hidden="1" outlineLevel="2" x14ac:dyDescent="0.35">
      <c r="B44" s="11" t="str">
        <f>CONCATENATE("          ", "6376", " - ", "TRAINING")</f>
        <v xml:space="preserve">          6376 - TRAINING</v>
      </c>
      <c r="D44" s="2"/>
      <c r="F44" s="2">
        <v>99</v>
      </c>
      <c r="G44" s="3"/>
      <c r="H44" s="2"/>
      <c r="I44" s="3"/>
      <c r="J44" s="2"/>
      <c r="K44" s="3"/>
      <c r="L44" s="2"/>
      <c r="M44" s="3"/>
      <c r="N44" s="2"/>
      <c r="O44" s="3"/>
      <c r="P44" s="2"/>
      <c r="Q44" s="3"/>
      <c r="R44" s="2"/>
    </row>
    <row r="45" spans="1:18" x14ac:dyDescent="0.35">
      <c r="A45" s="12"/>
      <c r="B45" s="12"/>
      <c r="C45" s="12"/>
      <c r="D45" s="1"/>
      <c r="F45" s="1"/>
      <c r="H45" s="1"/>
      <c r="J45" s="1"/>
      <c r="L45" s="1"/>
      <c r="N45" s="1"/>
      <c r="P45" s="1"/>
      <c r="R45" s="1"/>
    </row>
    <row r="46" spans="1:18" s="7" customFormat="1" x14ac:dyDescent="0.35">
      <c r="A46" s="36"/>
      <c r="B46" s="34" t="s">
        <v>295</v>
      </c>
      <c r="D46" s="6">
        <f>SUM(0)</f>
        <v>0</v>
      </c>
      <c r="E46" s="12"/>
      <c r="F46" s="6">
        <f>SUM(0)</f>
        <v>0</v>
      </c>
      <c r="G46" s="5"/>
      <c r="H46" s="6">
        <f>SUM(0)</f>
        <v>0</v>
      </c>
      <c r="I46" s="5"/>
      <c r="J46" s="6">
        <f>SUM(0)</f>
        <v>0</v>
      </c>
      <c r="K46" s="5"/>
      <c r="L46" s="6">
        <f>SUM(0)</f>
        <v>0</v>
      </c>
      <c r="M46" s="5"/>
      <c r="N46" s="6">
        <f>SUM(0)</f>
        <v>0</v>
      </c>
      <c r="O46" s="5"/>
      <c r="P46" s="6">
        <f>SUM(0)</f>
        <v>0</v>
      </c>
      <c r="Q46" s="5"/>
      <c r="R46" s="6">
        <f>SUM(0)</f>
        <v>0</v>
      </c>
    </row>
    <row r="47" spans="1:18" x14ac:dyDescent="0.35">
      <c r="A47" s="12"/>
      <c r="B47" s="7"/>
      <c r="C47" s="7"/>
      <c r="D47" s="6"/>
      <c r="F47" s="6"/>
      <c r="H47" s="6"/>
      <c r="J47" s="6"/>
      <c r="L47" s="6"/>
      <c r="N47" s="6"/>
      <c r="P47" s="6"/>
      <c r="R47" s="6"/>
    </row>
    <row r="48" spans="1:18" s="15" customFormat="1" x14ac:dyDescent="0.35">
      <c r="A48" s="7"/>
      <c r="B48" s="22" t="s">
        <v>279</v>
      </c>
      <c r="C48" s="22"/>
      <c r="D48" s="10">
        <f>+D14-D17+D46</f>
        <v>0</v>
      </c>
      <c r="E48" s="12"/>
      <c r="F48" s="10">
        <f>+F14-F17+F46</f>
        <v>-142091.20000000004</v>
      </c>
      <c r="G48" s="5"/>
      <c r="H48" s="10">
        <f>+H14-H17+H46</f>
        <v>0</v>
      </c>
      <c r="I48" s="5"/>
      <c r="J48" s="10">
        <f>+J14-J17+J46</f>
        <v>0</v>
      </c>
      <c r="K48" s="5"/>
      <c r="L48" s="10">
        <f>+L14-L17+L46</f>
        <v>0</v>
      </c>
      <c r="M48" s="5"/>
      <c r="N48" s="10">
        <f>+N14-N17+N46</f>
        <v>0</v>
      </c>
      <c r="O48" s="5"/>
      <c r="P48" s="10">
        <f>+P14-P17+P46</f>
        <v>0</v>
      </c>
      <c r="Q48" s="5"/>
      <c r="R48" s="10">
        <f>+R14-R17+R46</f>
        <v>0</v>
      </c>
    </row>
    <row r="49" spans="1:18" s="27" customFormat="1" x14ac:dyDescent="0.35">
      <c r="A49" s="18"/>
      <c r="B49" s="31"/>
      <c r="C49" s="18"/>
      <c r="D49" s="9">
        <f>IFERROR(D48/D10, 0)</f>
        <v>0</v>
      </c>
      <c r="E49" s="18"/>
      <c r="F49" s="9">
        <f>IFERROR(F48/F10, 0)</f>
        <v>0</v>
      </c>
      <c r="G49" s="14"/>
      <c r="H49" s="9">
        <f>IFERROR(H48/H10, 0)</f>
        <v>0</v>
      </c>
      <c r="I49" s="14"/>
      <c r="J49" s="9">
        <f>IFERROR(J48/J10, 0)</f>
        <v>0</v>
      </c>
      <c r="K49" s="14"/>
      <c r="L49" s="9">
        <f>IFERROR(L48/L10, 0)</f>
        <v>0</v>
      </c>
      <c r="M49" s="14"/>
      <c r="N49" s="9">
        <f>IFERROR(N48/N10, 0)</f>
        <v>0</v>
      </c>
      <c r="O49" s="14"/>
      <c r="P49" s="9">
        <f>IFERROR(P48/P10, 0)</f>
        <v>0</v>
      </c>
      <c r="Q49" s="14"/>
      <c r="R49" s="9">
        <f>IFERROR(R48/R10, 0)</f>
        <v>0</v>
      </c>
    </row>
    <row r="50" spans="1:18" s="27" customFormat="1" x14ac:dyDescent="0.35">
      <c r="A50" s="18"/>
      <c r="B50" s="31"/>
      <c r="C50" s="18"/>
      <c r="D50" s="13"/>
      <c r="E50" s="18"/>
      <c r="F50" s="13"/>
      <c r="G50" s="14"/>
      <c r="H50" s="13"/>
      <c r="I50" s="14"/>
      <c r="J50" s="13"/>
      <c r="K50" s="14"/>
      <c r="L50" s="13"/>
      <c r="M50" s="14"/>
      <c r="N50" s="13"/>
      <c r="O50" s="14"/>
      <c r="P50" s="13"/>
      <c r="Q50" s="14"/>
      <c r="R50" s="13"/>
    </row>
    <row r="51" spans="1:18" s="15" customFormat="1" x14ac:dyDescent="0.35">
      <c r="A51" s="37"/>
      <c r="B51" s="7" t="s">
        <v>127</v>
      </c>
      <c r="C51" s="7"/>
      <c r="D51" s="6"/>
      <c r="E51" s="12"/>
      <c r="F51" s="6"/>
      <c r="G51" s="5"/>
      <c r="H51" s="6"/>
      <c r="I51" s="5"/>
      <c r="J51" s="6"/>
      <c r="K51" s="5"/>
      <c r="L51" s="6"/>
      <c r="M51" s="5"/>
      <c r="N51" s="6"/>
      <c r="O51" s="5"/>
      <c r="P51" s="6"/>
      <c r="Q51" s="5"/>
      <c r="R51" s="6"/>
    </row>
    <row r="52" spans="1:18" x14ac:dyDescent="0.35">
      <c r="A52" s="12"/>
      <c r="B52" s="7"/>
      <c r="C52" s="7"/>
      <c r="D52" s="6"/>
      <c r="F52" s="6"/>
      <c r="H52" s="6"/>
      <c r="J52" s="6"/>
      <c r="L52" s="6"/>
      <c r="N52" s="6"/>
      <c r="P52" s="6"/>
      <c r="R52" s="6"/>
    </row>
    <row r="53" spans="1:18" s="15" customFormat="1" x14ac:dyDescent="0.35">
      <c r="A53" s="7"/>
      <c r="B53" s="22" t="s">
        <v>126</v>
      </c>
      <c r="C53" s="22"/>
      <c r="D53" s="10">
        <f>+D48-D51</f>
        <v>0</v>
      </c>
      <c r="E53" s="12"/>
      <c r="F53" s="10">
        <f>+F48-F51</f>
        <v>-142091.20000000004</v>
      </c>
      <c r="G53" s="5"/>
      <c r="H53" s="10">
        <f>+H48-H51</f>
        <v>0</v>
      </c>
      <c r="I53" s="5"/>
      <c r="J53" s="10">
        <f>+J48-J51</f>
        <v>0</v>
      </c>
      <c r="K53" s="5"/>
      <c r="L53" s="10">
        <f>+L48-L51</f>
        <v>0</v>
      </c>
      <c r="M53" s="5"/>
      <c r="N53" s="10">
        <f>+N48-N51</f>
        <v>0</v>
      </c>
      <c r="O53" s="5"/>
      <c r="P53" s="10">
        <f>+P48-P51</f>
        <v>0</v>
      </c>
      <c r="Q53" s="5"/>
      <c r="R53" s="10">
        <f>+R48-R51</f>
        <v>0</v>
      </c>
    </row>
    <row r="54" spans="1:18" s="27" customFormat="1" x14ac:dyDescent="0.35">
      <c r="A54" s="18"/>
      <c r="B54" s="18"/>
      <c r="C54" s="18"/>
      <c r="D54" s="9">
        <f>IFERROR(D53/D10, 0)</f>
        <v>0</v>
      </c>
      <c r="E54" s="18"/>
      <c r="F54" s="9">
        <f>IFERROR(F53/F10, 0)</f>
        <v>0</v>
      </c>
      <c r="G54" s="14"/>
      <c r="H54" s="9">
        <f>IFERROR(H53/H10, 0)</f>
        <v>0</v>
      </c>
      <c r="I54" s="14"/>
      <c r="J54" s="9">
        <f>IFERROR(J53/J10, 0)</f>
        <v>0</v>
      </c>
      <c r="K54" s="14"/>
      <c r="L54" s="9">
        <f>IFERROR(L53/L10, 0)</f>
        <v>0</v>
      </c>
      <c r="M54" s="14"/>
      <c r="N54" s="9">
        <f>IFERROR(N53/N10, 0)</f>
        <v>0</v>
      </c>
      <c r="O54" s="14"/>
      <c r="P54" s="9">
        <f>IFERROR(P53/P10, 0)</f>
        <v>0</v>
      </c>
      <c r="Q54" s="14"/>
      <c r="R54" s="9">
        <f>IFERROR(R53/R10, 0)</f>
        <v>0</v>
      </c>
    </row>
    <row r="55" spans="1:18" s="27" customFormat="1" x14ac:dyDescent="0.35">
      <c r="A55" s="18"/>
      <c r="B55" s="18"/>
      <c r="C55" s="18"/>
      <c r="D55" s="13"/>
      <c r="E55" s="18"/>
      <c r="F55" s="13"/>
      <c r="G55" s="14"/>
      <c r="H55" s="13"/>
      <c r="I55" s="14"/>
      <c r="J55" s="13"/>
      <c r="K55" s="14"/>
      <c r="L55" s="13"/>
      <c r="M55" s="14"/>
      <c r="N55" s="13"/>
      <c r="O55" s="14"/>
      <c r="P55" s="13"/>
      <c r="Q55" s="14"/>
      <c r="R55" s="13"/>
    </row>
    <row r="56" spans="1:18" x14ac:dyDescent="0.35">
      <c r="A56" s="12"/>
      <c r="B56" s="12"/>
      <c r="C56" s="12"/>
      <c r="D56" s="6"/>
      <c r="F56" s="6"/>
      <c r="H56" s="6"/>
      <c r="J56" s="6"/>
      <c r="L56" s="6"/>
      <c r="N56" s="6"/>
      <c r="P56" s="6"/>
      <c r="R56" s="6"/>
    </row>
    <row r="57" spans="1:18" s="15" customFormat="1" x14ac:dyDescent="0.35">
      <c r="A57" s="7"/>
      <c r="B57" s="22" t="s">
        <v>296</v>
      </c>
      <c r="C57" s="22"/>
      <c r="D57" s="10">
        <f>SUM(D53:D56)</f>
        <v>0</v>
      </c>
      <c r="E57" s="12"/>
      <c r="F57" s="10">
        <f>SUM(F53:F56)</f>
        <v>-142091.20000000004</v>
      </c>
      <c r="G57" s="5"/>
      <c r="H57" s="10">
        <f>SUM(H53:H56)</f>
        <v>0</v>
      </c>
      <c r="I57" s="5"/>
      <c r="J57" s="10">
        <f>SUM(J53:J56)</f>
        <v>0</v>
      </c>
      <c r="K57" s="5"/>
      <c r="L57" s="10">
        <f>SUM(L53:L56)</f>
        <v>0</v>
      </c>
      <c r="M57" s="5"/>
      <c r="N57" s="10">
        <f>SUM(N53:N56)</f>
        <v>0</v>
      </c>
      <c r="O57" s="5"/>
      <c r="P57" s="10">
        <f>SUM(P53:P56)</f>
        <v>0</v>
      </c>
      <c r="Q57" s="5"/>
      <c r="R57" s="10">
        <f>SUM(R53:R56)</f>
        <v>0</v>
      </c>
    </row>
    <row r="58" spans="1:18" s="27" customFormat="1" x14ac:dyDescent="0.35">
      <c r="A58" s="18"/>
      <c r="B58" s="41"/>
      <c r="C58" s="18"/>
      <c r="D58" s="9">
        <f>IFERROR(D57/D10, 0)</f>
        <v>0</v>
      </c>
      <c r="E58" s="18"/>
      <c r="F58" s="9">
        <f>IFERROR(F57/F10, 0)</f>
        <v>0</v>
      </c>
      <c r="G58" s="14"/>
      <c r="H58" s="9">
        <f>IFERROR(H57/H10, 0)</f>
        <v>0</v>
      </c>
      <c r="I58" s="14"/>
      <c r="J58" s="9">
        <f>IFERROR(J57/J10, 0)</f>
        <v>0</v>
      </c>
      <c r="K58" s="14"/>
      <c r="L58" s="9">
        <f>IFERROR(L57/L10, 0)</f>
        <v>0</v>
      </c>
      <c r="M58" s="14"/>
      <c r="N58" s="9">
        <f>IFERROR(N57/N10, 0)</f>
        <v>0</v>
      </c>
      <c r="O58" s="14"/>
      <c r="P58" s="9">
        <f>IFERROR(P57/P10, 0)</f>
        <v>0</v>
      </c>
      <c r="Q58" s="14"/>
      <c r="R58" s="9">
        <f>IFERROR(R57/R10, 0)</f>
        <v>0</v>
      </c>
    </row>
    <row r="59" spans="1:18" x14ac:dyDescent="0.35">
      <c r="A59" s="12"/>
      <c r="B59" s="40">
        <v>44319.883572604165</v>
      </c>
      <c r="D59" s="24"/>
      <c r="F59" s="24"/>
      <c r="H59" s="24"/>
      <c r="J59" s="24"/>
      <c r="L59" s="24"/>
      <c r="N59" s="24"/>
      <c r="P59" s="24"/>
      <c r="R59" s="24"/>
    </row>
    <row r="60" spans="1:18" x14ac:dyDescent="0.35">
      <c r="A60" s="12"/>
      <c r="B60" s="39" t="s">
        <v>23</v>
      </c>
      <c r="D60" s="24"/>
      <c r="F60" s="24"/>
      <c r="H60" s="24"/>
      <c r="J60" s="24"/>
      <c r="L60" s="24"/>
      <c r="N60" s="24"/>
      <c r="P60" s="24"/>
      <c r="R60" s="24"/>
    </row>
    <row r="61" spans="1:18" x14ac:dyDescent="0.35">
      <c r="A61" s="12"/>
      <c r="D61" s="24"/>
      <c r="F61" s="24"/>
      <c r="H61" s="24"/>
      <c r="J61" s="24"/>
      <c r="L61" s="24"/>
      <c r="N61" s="24"/>
      <c r="P61" s="24"/>
      <c r="R61" s="24"/>
    </row>
    <row r="62" spans="1:18" x14ac:dyDescent="0.35">
      <c r="D62" s="24"/>
      <c r="F62" s="24"/>
      <c r="H62" s="24"/>
      <c r="J62" s="24"/>
      <c r="L62" s="24"/>
      <c r="N62" s="24"/>
      <c r="P62" s="24"/>
      <c r="R62" s="24"/>
    </row>
  </sheetData>
  <pageMargins left="0.5" right="0.5" top="0.5" bottom="0.5" header="0.3" footer="0.3"/>
  <pageSetup scale="59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","320", " - ", "Customer Service (old)")</f>
        <v>Department 320 - Customer Service (old)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327273.5</v>
      </c>
      <c r="F10" s="8">
        <f>SUM(OSRRefF11x_0)</f>
        <v>390500.38</v>
      </c>
      <c r="G10" s="8"/>
      <c r="H10" s="8">
        <f>SUM(OSRRefH11x_0)</f>
        <v>424695.32</v>
      </c>
      <c r="I10" s="8"/>
      <c r="J10" s="8">
        <f>SUM(OSRRefJ11x_0)</f>
        <v>483024.86</v>
      </c>
      <c r="K10" s="8"/>
      <c r="L10" s="8">
        <f>SUM(OSRRefL11x_0)</f>
        <v>216464.27999999997</v>
      </c>
      <c r="M10" s="8"/>
      <c r="N10" s="8">
        <f>SUM(OSRRefN11x_0)</f>
        <v>41331.33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"4091", " - ", "TAXABLE SALES-GRAD ANNOUNCEMEN")</f>
        <v xml:space="preserve">          4091 - TAXABLE SALES-GRAD ANNOUNCEMEN</v>
      </c>
      <c r="D11" s="11">
        <f>-1250.64*-1</f>
        <v>1250.6400000000001</v>
      </c>
      <c r="F11" s="11">
        <f>-2134.69*-1</f>
        <v>2134.69</v>
      </c>
      <c r="G11" s="3"/>
      <c r="H11" s="11">
        <f>-927.2*-1</f>
        <v>927.2</v>
      </c>
      <c r="I11" s="3"/>
      <c r="J11" s="11">
        <f>--1013.94</f>
        <v>1013.94</v>
      </c>
      <c r="K11" s="3"/>
      <c r="L11" s="11">
        <f>0</f>
        <v>0</v>
      </c>
      <c r="M11" s="3"/>
      <c r="N11" s="11">
        <f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"4092", " - ", "TAXABLE SALES-GRAD MERCH")</f>
        <v xml:space="preserve">          4092 - TAXABLE SALES-GRAD MERCH</v>
      </c>
      <c r="D12" s="11">
        <f>-344609.69*-1</f>
        <v>344609.69</v>
      </c>
      <c r="F12" s="11">
        <f>-400863.65*-1</f>
        <v>400863.65</v>
      </c>
      <c r="G12" s="3"/>
      <c r="H12" s="11">
        <f>-434425.85*-1</f>
        <v>434425.85</v>
      </c>
      <c r="I12" s="3"/>
      <c r="J12" s="11">
        <f>--520269.45</f>
        <v>520269.45</v>
      </c>
      <c r="K12" s="3"/>
      <c r="L12" s="11">
        <f>--222939.36</f>
        <v>222939.36</v>
      </c>
      <c r="M12" s="3"/>
      <c r="N12" s="11">
        <f>--41725.89</f>
        <v>41725.89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"4093", " - ", "TAXABLE SALES-CATALOGS")</f>
        <v xml:space="preserve">          4093 - TAXABLE SALES-CATALOGS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"4095", " - ", "TAXABLE SALES-CUSTOMER SERVICE")</f>
        <v xml:space="preserve">          4095 - TAXABLE SALES-CUSTOMER SERVICE</v>
      </c>
      <c r="D14" s="11">
        <f>-3008.41*-1</f>
        <v>3008.41</v>
      </c>
      <c r="F14" s="11">
        <f>-2573.67*-1</f>
        <v>2573.67</v>
      </c>
      <c r="G14" s="3"/>
      <c r="H14" s="11">
        <f>-2223.96*-1</f>
        <v>2223.96</v>
      </c>
      <c r="I14" s="3"/>
      <c r="J14" s="11">
        <f>--1640.98</f>
        <v>1640.98</v>
      </c>
      <c r="K14" s="3"/>
      <c r="L14" s="11">
        <f>--2182.65</f>
        <v>2182.65</v>
      </c>
      <c r="M14" s="3"/>
      <c r="N14" s="11">
        <f>--279.56</f>
        <v>279.56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"4192", " - ", "NON-TAXABLE SALES-GRAD MERCH")</f>
        <v xml:space="preserve">          4192 - NON-TAXABLE SALES-GRAD MERCH</v>
      </c>
      <c r="D15" s="11">
        <f>-1271.01*-1</f>
        <v>1271.01</v>
      </c>
      <c r="F15" s="11">
        <f>-413.78*-1</f>
        <v>413.78</v>
      </c>
      <c r="G15" s="3"/>
      <c r="H15" s="11">
        <f>0*-1</f>
        <v>0</v>
      </c>
      <c r="I15" s="3"/>
      <c r="J15" s="11">
        <f t="shared" ref="J15:J17" si="0">0</f>
        <v>0</v>
      </c>
      <c r="K15" s="3"/>
      <c r="L15" s="11">
        <f>--21.25</f>
        <v>21.25</v>
      </c>
      <c r="M15" s="3"/>
      <c r="N15" s="11">
        <f>--119.4</f>
        <v>119.4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"4195", " - ", "NON-TAXABLE SALES-CUSTOMER SER")</f>
        <v xml:space="preserve">          4195 - NON-TAXABLE SALES-CUSTOMER SER</v>
      </c>
      <c r="D16" s="11">
        <f>-10.94*-1</f>
        <v>10.94</v>
      </c>
      <c r="F16" s="11">
        <f>0*-1</f>
        <v>0</v>
      </c>
      <c r="G16" s="3"/>
      <c r="H16" s="11">
        <f>-1.98*-1</f>
        <v>1.98</v>
      </c>
      <c r="I16" s="3"/>
      <c r="J16" s="11">
        <f t="shared" si="0"/>
        <v>0</v>
      </c>
      <c r="K16" s="3"/>
      <c r="L16" s="11">
        <f t="shared" ref="L16:L17" si="1">0</f>
        <v>0</v>
      </c>
      <c r="M16" s="3"/>
      <c r="N16" s="11">
        <f t="shared" ref="N16:N17" si="2">0</f>
        <v>0</v>
      </c>
      <c r="O16" s="3"/>
      <c r="P16" s="11"/>
      <c r="Q16" s="3"/>
      <c r="R16" s="11"/>
    </row>
    <row r="17" spans="1:18" s="16" customFormat="1" hidden="1" outlineLevel="1" x14ac:dyDescent="0.35">
      <c r="B17" s="35" t="str">
        <f>CONCATENATE("          ", "4291", " - ", "SALES RETURN TAXABLE-GRAD ANNO")</f>
        <v xml:space="preserve">          4291 - SALES RETURN TAXABLE-GRAD ANNO</v>
      </c>
      <c r="D17" s="11">
        <f>976.49*-1</f>
        <v>-976.49</v>
      </c>
      <c r="F17" s="11">
        <f>678.04*-1</f>
        <v>-678.04</v>
      </c>
      <c r="G17" s="3"/>
      <c r="H17" s="11">
        <f>459.6*-1</f>
        <v>-459.6</v>
      </c>
      <c r="I17" s="3"/>
      <c r="J17" s="11">
        <f t="shared" si="0"/>
        <v>0</v>
      </c>
      <c r="K17" s="3"/>
      <c r="L17" s="11">
        <f t="shared" si="1"/>
        <v>0</v>
      </c>
      <c r="M17" s="3"/>
      <c r="N17" s="11">
        <f t="shared" si="2"/>
        <v>0</v>
      </c>
      <c r="O17" s="3"/>
      <c r="P17" s="11"/>
      <c r="Q17" s="3"/>
      <c r="R17" s="11"/>
    </row>
    <row r="18" spans="1:18" s="16" customFormat="1" hidden="1" outlineLevel="1" x14ac:dyDescent="0.35">
      <c r="B18" s="35" t="str">
        <f>CONCATENATE("          ", "4292", " - ", "SALES RETURN TAXABLE-GRAD MERC")</f>
        <v xml:space="preserve">          4292 - SALES RETURN TAXABLE-GRAD MERC</v>
      </c>
      <c r="D18" s="11">
        <f>21697.5*-1</f>
        <v>-21697.5</v>
      </c>
      <c r="F18" s="11">
        <f>14483.28*-1</f>
        <v>-14483.28</v>
      </c>
      <c r="G18" s="3"/>
      <c r="H18" s="11">
        <f>12378.21*-1</f>
        <v>-12378.21</v>
      </c>
      <c r="I18" s="3"/>
      <c r="J18" s="11">
        <f>-39897.48</f>
        <v>-39897.480000000003</v>
      </c>
      <c r="K18" s="3"/>
      <c r="L18" s="11">
        <f>-8552.26</f>
        <v>-8552.26</v>
      </c>
      <c r="M18" s="3"/>
      <c r="N18" s="11">
        <f>-793.52</f>
        <v>-793.52</v>
      </c>
      <c r="O18" s="3"/>
      <c r="P18" s="11"/>
      <c r="Q18" s="3"/>
      <c r="R18" s="11"/>
    </row>
    <row r="19" spans="1:18" s="16" customFormat="1" hidden="1" outlineLevel="1" x14ac:dyDescent="0.35">
      <c r="B19" s="35" t="str">
        <f>CONCATENATE("          ", "4295", " - ", "SALES RETURN TAXABLE-CUSTOMER")</f>
        <v xml:space="preserve">          4295 - SALES RETURN TAXABLE-CUSTOMER</v>
      </c>
      <c r="D19" s="11">
        <f>203.2*-1</f>
        <v>-203.2</v>
      </c>
      <c r="F19" s="11">
        <f>324.09*-1</f>
        <v>-324.08999999999997</v>
      </c>
      <c r="G19" s="3"/>
      <c r="H19" s="11">
        <f>8.91*-1</f>
        <v>-8.91</v>
      </c>
      <c r="I19" s="3"/>
      <c r="J19" s="11">
        <f>-2.03</f>
        <v>-2.0299999999999998</v>
      </c>
      <c r="K19" s="3"/>
      <c r="L19" s="11">
        <f>-126.72</f>
        <v>-126.72</v>
      </c>
      <c r="M19" s="3"/>
      <c r="N19" s="11">
        <f t="shared" ref="N19:N20" si="3">0</f>
        <v>0</v>
      </c>
      <c r="O19" s="3"/>
      <c r="P19" s="11"/>
      <c r="Q19" s="3"/>
      <c r="R19" s="11"/>
    </row>
    <row r="20" spans="1:18" s="16" customFormat="1" hidden="1" outlineLevel="1" x14ac:dyDescent="0.35">
      <c r="B20" s="35" t="str">
        <f>CONCATENATE("          ", "4392", " - ", "SALES RETURN NON TAXABLE-GRAD")</f>
        <v xml:space="preserve">          4392 - SALES RETURN NON TAXABLE-GRAD</v>
      </c>
      <c r="D20" s="11">
        <f>0*-1</f>
        <v>0</v>
      </c>
      <c r="F20" s="11">
        <f>0*-1</f>
        <v>0</v>
      </c>
      <c r="G20" s="3"/>
      <c r="H20" s="11">
        <f>36.95*-1</f>
        <v>-36.950000000000003</v>
      </c>
      <c r="I20" s="3"/>
      <c r="J20" s="11">
        <f>0</f>
        <v>0</v>
      </c>
      <c r="K20" s="3"/>
      <c r="L20" s="11">
        <f>0</f>
        <v>0</v>
      </c>
      <c r="M20" s="3"/>
      <c r="N20" s="11">
        <f t="shared" si="3"/>
        <v>0</v>
      </c>
      <c r="O20" s="3"/>
      <c r="P20" s="11"/>
      <c r="Q20" s="3"/>
      <c r="R20" s="11"/>
    </row>
    <row r="21" spans="1:18" s="12" customFormat="1" x14ac:dyDescent="0.35">
      <c r="B21" s="7"/>
      <c r="D21" s="6"/>
      <c r="F21" s="6"/>
      <c r="G21" s="5"/>
      <c r="H21" s="6"/>
      <c r="I21" s="5"/>
      <c r="J21" s="6"/>
      <c r="K21" s="5"/>
      <c r="L21" s="6"/>
      <c r="M21" s="5"/>
      <c r="N21" s="6"/>
      <c r="O21" s="5"/>
      <c r="P21" s="6"/>
      <c r="Q21" s="5"/>
      <c r="R21" s="6"/>
    </row>
    <row r="22" spans="1:18" s="12" customFormat="1" collapsed="1" x14ac:dyDescent="0.35">
      <c r="B22" s="7" t="s">
        <v>278</v>
      </c>
      <c r="D22" s="8">
        <f>SUM(OSRRefD14x_0)</f>
        <v>137692.06</v>
      </c>
      <c r="E22" s="8"/>
      <c r="F22" s="8">
        <f>SUM(OSRRefF14x_0)</f>
        <v>157659.12000000002</v>
      </c>
      <c r="G22" s="8"/>
      <c r="H22" s="8">
        <f>SUM(OSRRefH14x_0)</f>
        <v>188620.36999999997</v>
      </c>
      <c r="I22" s="8"/>
      <c r="J22" s="8">
        <f>SUM(OSRRefJ14x_0)</f>
        <v>194105.47</v>
      </c>
      <c r="K22" s="8"/>
      <c r="L22" s="8">
        <f>SUM(OSRRefL14x_0)</f>
        <v>117842.95</v>
      </c>
      <c r="M22" s="8"/>
      <c r="N22" s="8">
        <f>SUM(OSRRefN14x_0)</f>
        <v>13729.05</v>
      </c>
      <c r="O22" s="8"/>
      <c r="P22" s="8">
        <f>SUM(OSRRefP14x_0)</f>
        <v>0</v>
      </c>
      <c r="Q22" s="8"/>
      <c r="R22" s="8">
        <f>SUM(OSRRefR14x_0)</f>
        <v>0</v>
      </c>
    </row>
    <row r="23" spans="1:18" s="44" customFormat="1" hidden="1" outlineLevel="1" x14ac:dyDescent="0.35">
      <c r="A23" s="16"/>
      <c r="B23" s="35" t="str">
        <f>CONCATENATE("          ", "5091", " - ", "PURCHASES @ COST-GRAD ANNOUNCE")</f>
        <v xml:space="preserve">          5091 - PURCHASES @ COST-GRAD ANNOUNCE</v>
      </c>
      <c r="C23" s="16"/>
      <c r="D23" s="11">
        <v>478.5</v>
      </c>
      <c r="E23" s="16"/>
      <c r="F23" s="11">
        <v>715</v>
      </c>
      <c r="G23" s="3"/>
      <c r="H23" s="11"/>
      <c r="I23" s="3"/>
      <c r="J23" s="11">
        <v>0</v>
      </c>
      <c r="K23" s="3"/>
      <c r="L23" s="11"/>
      <c r="M23" s="3"/>
      <c r="N23" s="11"/>
      <c r="O23" s="3"/>
      <c r="P23" s="11"/>
      <c r="Q23" s="3"/>
      <c r="R23" s="11"/>
    </row>
    <row r="24" spans="1:18" s="44" customFormat="1" hidden="1" outlineLevel="1" x14ac:dyDescent="0.35">
      <c r="A24" s="16"/>
      <c r="B24" s="35" t="str">
        <f>CONCATENATE("          ", "5092", " - ", "PURCHASES @ COST-GRAD MERCH")</f>
        <v xml:space="preserve">          5092 - PURCHASES @ COST-GRAD MERCH</v>
      </c>
      <c r="C24" s="16"/>
      <c r="D24" s="11">
        <v>128559.12</v>
      </c>
      <c r="E24" s="16"/>
      <c r="F24" s="11">
        <v>155028.54</v>
      </c>
      <c r="G24" s="3"/>
      <c r="H24" s="11">
        <v>187114.68</v>
      </c>
      <c r="I24" s="3"/>
      <c r="J24" s="11">
        <v>207654.96</v>
      </c>
      <c r="K24" s="3"/>
      <c r="L24" s="11">
        <v>96740</v>
      </c>
      <c r="M24" s="3"/>
      <c r="N24" s="11">
        <v>13900.33</v>
      </c>
      <c r="O24" s="3"/>
      <c r="P24" s="11"/>
      <c r="Q24" s="3"/>
      <c r="R24" s="11"/>
    </row>
    <row r="25" spans="1:18" s="44" customFormat="1" hidden="1" outlineLevel="1" x14ac:dyDescent="0.35">
      <c r="A25" s="16"/>
      <c r="B25" s="35" t="str">
        <f>CONCATENATE("          ", "5095", " - ", "PURCHASES @ COST-CUSTOMER SERV")</f>
        <v xml:space="preserve">          5095 - PURCHASES @ COST-CUSTOMER SERV</v>
      </c>
      <c r="C25" s="16"/>
      <c r="D25" s="11">
        <v>13.7</v>
      </c>
      <c r="E25" s="16"/>
      <c r="F25" s="11">
        <v>-53.49</v>
      </c>
      <c r="G25" s="3"/>
      <c r="H25" s="11">
        <v>-134.63999999999999</v>
      </c>
      <c r="I25" s="3"/>
      <c r="J25" s="11">
        <v>-28.8</v>
      </c>
      <c r="K25" s="3"/>
      <c r="L25" s="11">
        <v>-78.48</v>
      </c>
      <c r="M25" s="3"/>
      <c r="N25" s="11">
        <v>30.84</v>
      </c>
      <c r="O25" s="3"/>
      <c r="P25" s="11"/>
      <c r="Q25" s="3"/>
      <c r="R25" s="11"/>
    </row>
    <row r="26" spans="1:18" s="44" customFormat="1" hidden="1" outlineLevel="1" x14ac:dyDescent="0.35">
      <c r="A26" s="16"/>
      <c r="B26" s="35" t="str">
        <f>CONCATENATE("          ", "5200", " - ", "PURCHASES OFFSET")</f>
        <v xml:space="preserve">          5200 - PURCHASES OFFSET</v>
      </c>
      <c r="C26" s="16"/>
      <c r="D26" s="11">
        <v>-132067</v>
      </c>
      <c r="E26" s="16"/>
      <c r="F26" s="11">
        <v>-159868</v>
      </c>
      <c r="G26" s="3"/>
      <c r="H26" s="11">
        <v>-189272</v>
      </c>
      <c r="I26" s="3"/>
      <c r="J26" s="11">
        <v>-211744</v>
      </c>
      <c r="K26" s="3"/>
      <c r="L26" s="11">
        <v>-99112</v>
      </c>
      <c r="M26" s="3"/>
      <c r="N26" s="11">
        <v>-14103</v>
      </c>
      <c r="O26" s="3"/>
      <c r="P26" s="11"/>
      <c r="Q26" s="3"/>
      <c r="R26" s="11"/>
    </row>
    <row r="27" spans="1:18" s="44" customFormat="1" hidden="1" outlineLevel="1" x14ac:dyDescent="0.35">
      <c r="A27" s="16"/>
      <c r="B27" s="35" t="str">
        <f>CONCATENATE("          ", "5300", " - ", "COG$ OFFSET")</f>
        <v xml:space="preserve">          5300 - COG$ OFFSET</v>
      </c>
      <c r="C27" s="16"/>
      <c r="D27" s="11">
        <v>137692</v>
      </c>
      <c r="E27" s="16"/>
      <c r="F27" s="11">
        <v>157660</v>
      </c>
      <c r="G27" s="3"/>
      <c r="H27" s="11">
        <v>188622</v>
      </c>
      <c r="I27" s="3"/>
      <c r="J27" s="11">
        <v>194105</v>
      </c>
      <c r="K27" s="3"/>
      <c r="L27" s="11">
        <v>117842</v>
      </c>
      <c r="M27" s="3"/>
      <c r="N27" s="11">
        <v>13730</v>
      </c>
      <c r="O27" s="3"/>
      <c r="P27" s="11"/>
      <c r="Q27" s="3"/>
      <c r="R27" s="11"/>
    </row>
    <row r="28" spans="1:18" s="44" customFormat="1" hidden="1" outlineLevel="1" x14ac:dyDescent="0.35">
      <c r="A28" s="16"/>
      <c r="B28" s="35" t="str">
        <f>CONCATENATE("          ", "5592", " - ", "FREIGHT-IN-GRAD MERCH")</f>
        <v xml:space="preserve">          5592 - FREIGHT-IN-GRAD MERCH</v>
      </c>
      <c r="C28" s="16"/>
      <c r="D28" s="11">
        <v>3015.74</v>
      </c>
      <c r="E28" s="16"/>
      <c r="F28" s="11">
        <v>4177.07</v>
      </c>
      <c r="G28" s="3"/>
      <c r="H28" s="11">
        <v>2290.33</v>
      </c>
      <c r="I28" s="3"/>
      <c r="J28" s="11">
        <v>4118.3100000000004</v>
      </c>
      <c r="K28" s="3"/>
      <c r="L28" s="11">
        <v>2451.4299999999998</v>
      </c>
      <c r="M28" s="3"/>
      <c r="N28" s="11">
        <v>170.88</v>
      </c>
      <c r="O28" s="3"/>
      <c r="P28" s="11"/>
      <c r="Q28" s="3"/>
      <c r="R28" s="11"/>
    </row>
    <row r="29" spans="1:18" x14ac:dyDescent="0.35">
      <c r="A29" s="12"/>
      <c r="B29" s="7"/>
      <c r="C29" s="7"/>
      <c r="D29" s="6"/>
      <c r="F29" s="6"/>
      <c r="H29" s="6"/>
      <c r="J29" s="6"/>
      <c r="L29" s="6"/>
      <c r="N29" s="6"/>
      <c r="P29" s="6"/>
      <c r="R29" s="6"/>
    </row>
    <row r="30" spans="1:18" s="15" customFormat="1" x14ac:dyDescent="0.35">
      <c r="A30" s="7"/>
      <c r="B30" s="22" t="s">
        <v>107</v>
      </c>
      <c r="C30" s="22"/>
      <c r="D30" s="10">
        <f>+D10-D22</f>
        <v>189581.44</v>
      </c>
      <c r="E30" s="12"/>
      <c r="F30" s="10">
        <f>+F10-F22</f>
        <v>232841.25999999998</v>
      </c>
      <c r="G30" s="5"/>
      <c r="H30" s="10">
        <f>+H10-H22</f>
        <v>236074.95000000004</v>
      </c>
      <c r="I30" s="5"/>
      <c r="J30" s="10">
        <f>+J10-J22</f>
        <v>288919.39</v>
      </c>
      <c r="K30" s="5"/>
      <c r="L30" s="10">
        <f>+L10-L22</f>
        <v>98621.329999999973</v>
      </c>
      <c r="M30" s="5"/>
      <c r="N30" s="10">
        <f>+N10-N22</f>
        <v>27602.280000000002</v>
      </c>
      <c r="O30" s="5"/>
      <c r="P30" s="10">
        <f>+P10-P22</f>
        <v>0</v>
      </c>
      <c r="Q30" s="5"/>
      <c r="R30" s="10">
        <f>+R10-R22</f>
        <v>0</v>
      </c>
    </row>
    <row r="31" spans="1:18" s="27" customFormat="1" x14ac:dyDescent="0.35">
      <c r="A31" s="18"/>
      <c r="B31" s="31"/>
      <c r="C31" s="18"/>
      <c r="D31" s="9">
        <f>IFERROR(D30/D10, 0)</f>
        <v>0.57927525448898243</v>
      </c>
      <c r="E31" s="13"/>
      <c r="F31" s="9">
        <f>IFERROR(F30/F10, 0)</f>
        <v>0.59626384998652238</v>
      </c>
      <c r="G31" s="26"/>
      <c r="H31" s="9">
        <f>IFERROR(H30/H10, 0)</f>
        <v>0.55586896978285527</v>
      </c>
      <c r="I31" s="26"/>
      <c r="J31" s="9">
        <f>IFERROR(J30/J10, 0)</f>
        <v>0.5981460043278104</v>
      </c>
      <c r="K31" s="26"/>
      <c r="L31" s="9">
        <f>IFERROR(L30/L10, 0)</f>
        <v>0.455600942566598</v>
      </c>
      <c r="M31" s="26"/>
      <c r="N31" s="9">
        <f>IFERROR(N30/N10, 0)</f>
        <v>0.66782946496035822</v>
      </c>
      <c r="O31" s="26"/>
      <c r="P31" s="9">
        <f>IFERROR(P30/P10, 0)</f>
        <v>0</v>
      </c>
      <c r="Q31" s="26"/>
      <c r="R31" s="9">
        <f>IFERROR(R30/R10, 0)</f>
        <v>0</v>
      </c>
    </row>
    <row r="32" spans="1:18" s="27" customFormat="1" x14ac:dyDescent="0.35">
      <c r="A32" s="18"/>
      <c r="B32" s="31"/>
      <c r="C32" s="18"/>
      <c r="D32" s="13"/>
      <c r="E32" s="13"/>
      <c r="F32" s="13"/>
      <c r="G32" s="26"/>
      <c r="H32" s="13"/>
      <c r="I32" s="26"/>
      <c r="J32" s="13"/>
      <c r="K32" s="26"/>
      <c r="L32" s="13"/>
      <c r="M32" s="26"/>
      <c r="N32" s="13"/>
      <c r="O32" s="26"/>
      <c r="P32" s="13"/>
      <c r="Q32" s="26"/>
      <c r="R32" s="13"/>
    </row>
    <row r="33" spans="1:18" s="15" customFormat="1" x14ac:dyDescent="0.35">
      <c r="A33" s="7"/>
      <c r="B33" s="34" t="s">
        <v>314</v>
      </c>
      <c r="C33" s="7"/>
      <c r="D33" s="8">
        <f>SUM(OSRRefD21x_0)</f>
        <v>379992.27</v>
      </c>
      <c r="E33" s="19"/>
      <c r="F33" s="8">
        <f>SUM(OSRRefF21x_0)</f>
        <v>143735.10999999999</v>
      </c>
      <c r="G33" s="4"/>
      <c r="H33" s="8">
        <f>SUM(OSRRefH21x_0)</f>
        <v>29432.969999999976</v>
      </c>
      <c r="I33" s="4"/>
      <c r="J33" s="8">
        <f>SUM(OSRRefJ21x_0)</f>
        <v>40969.509999999987</v>
      </c>
      <c r="K33" s="4"/>
      <c r="L33" s="8">
        <f>SUM(OSRRefL21x_0)</f>
        <v>30154.39</v>
      </c>
      <c r="M33" s="4"/>
      <c r="N33" s="8">
        <f>SUM(OSRRefN21x_0)</f>
        <v>27917.400000000005</v>
      </c>
      <c r="O33" s="4"/>
      <c r="P33" s="8">
        <f>SUM(OSRRefP21x_0)</f>
        <v>0</v>
      </c>
      <c r="Q33" s="4"/>
      <c r="R33" s="8">
        <f>SUM(OSRRefR21x_0)</f>
        <v>0</v>
      </c>
    </row>
    <row r="34" spans="1:18" s="15" customFormat="1" outlineLevel="1" collapsed="1" x14ac:dyDescent="0.35">
      <c r="A34" s="7"/>
      <c r="B34" s="20" t="str">
        <f>CONCATENATE("     ","*Benefits                                         ")</f>
        <v xml:space="preserve">     *Benefits                                         </v>
      </c>
      <c r="C34" s="7"/>
      <c r="D34" s="1">
        <f>SUM(OSRRefD21_0x_0)</f>
        <v>53025.3</v>
      </c>
      <c r="E34" s="19"/>
      <c r="F34" s="1">
        <f>SUM(OSRRefF21_0x_0)</f>
        <v>25852.429999999997</v>
      </c>
      <c r="G34" s="4"/>
      <c r="H34" s="1">
        <f>SUM(OSRRefH21_0x_0)</f>
        <v>8326.44</v>
      </c>
      <c r="I34" s="4"/>
      <c r="J34" s="1">
        <f>SUM(OSRRefJ21_0x_0)</f>
        <v>1043.3800000000001</v>
      </c>
      <c r="K34" s="4"/>
      <c r="L34" s="1">
        <f>SUM(OSRRefL21_0x_0)</f>
        <v>4671.8599999999997</v>
      </c>
      <c r="M34" s="4"/>
      <c r="N34" s="1">
        <f>SUM(OSRRefN21_0x_0)</f>
        <v>869.44</v>
      </c>
      <c r="O34" s="4"/>
      <c r="P34" s="1">
        <f>SUM(OSRRefP21_0x_0)</f>
        <v>0</v>
      </c>
      <c r="Q34" s="4"/>
      <c r="R34" s="1">
        <f>SUM(OSRRefR21_0x_0)</f>
        <v>0</v>
      </c>
    </row>
    <row r="35" spans="1:18" s="16" customFormat="1" hidden="1" outlineLevel="2" x14ac:dyDescent="0.35">
      <c r="B35" s="11" t="str">
        <f>CONCATENATE("          ", "6111", " - ", "F.I.C.A.")</f>
        <v xml:space="preserve">          6111 - F.I.C.A.</v>
      </c>
      <c r="D35" s="2">
        <v>10861.24</v>
      </c>
      <c r="F35" s="2">
        <v>4287.3599999999997</v>
      </c>
      <c r="G35" s="3"/>
      <c r="H35" s="2">
        <v>1151.48</v>
      </c>
      <c r="I35" s="3"/>
      <c r="J35" s="2">
        <v>880.59</v>
      </c>
      <c r="K35" s="3"/>
      <c r="L35" s="2">
        <v>1511.68</v>
      </c>
      <c r="M35" s="3"/>
      <c r="N35" s="2">
        <v>208.81</v>
      </c>
      <c r="O35" s="3"/>
      <c r="P35" s="2"/>
      <c r="Q35" s="3"/>
      <c r="R35" s="2"/>
    </row>
    <row r="36" spans="1:18" s="16" customFormat="1" hidden="1" outlineLevel="2" x14ac:dyDescent="0.35">
      <c r="B36" s="11" t="str">
        <f>CONCATENATE("          ", "6112", " - ", "COMPENSATION INSURANCE")</f>
        <v xml:space="preserve">          6112 - COMPENSATION INSURANCE</v>
      </c>
      <c r="D36" s="2">
        <v>5680.51</v>
      </c>
      <c r="F36" s="2">
        <v>4020.67</v>
      </c>
      <c r="G36" s="3"/>
      <c r="H36" s="2">
        <v>260.98</v>
      </c>
      <c r="I36" s="3"/>
      <c r="J36" s="2">
        <v>9.57</v>
      </c>
      <c r="K36" s="3"/>
      <c r="L36" s="2">
        <v>200.68</v>
      </c>
      <c r="M36" s="3"/>
      <c r="N36" s="2">
        <v>22.05</v>
      </c>
      <c r="O36" s="3"/>
      <c r="P36" s="2"/>
      <c r="Q36" s="3"/>
      <c r="R36" s="2"/>
    </row>
    <row r="37" spans="1:18" s="16" customFormat="1" hidden="1" outlineLevel="2" x14ac:dyDescent="0.35">
      <c r="B37" s="11" t="str">
        <f>CONCATENATE("          ", "6113", " - ", "GROUP INSURANCE")</f>
        <v xml:space="preserve">          6113 - GROUP INSURANCE</v>
      </c>
      <c r="D37" s="2">
        <v>14921.69</v>
      </c>
      <c r="F37" s="2">
        <v>7610</v>
      </c>
      <c r="G37" s="3"/>
      <c r="H37" s="2">
        <v>94.2</v>
      </c>
      <c r="I37" s="3"/>
      <c r="J37" s="2"/>
      <c r="K37" s="3"/>
      <c r="L37" s="2">
        <v>1247.0999999999999</v>
      </c>
      <c r="M37" s="3"/>
      <c r="N37" s="2">
        <v>305.26</v>
      </c>
      <c r="O37" s="3"/>
      <c r="P37" s="2"/>
      <c r="Q37" s="3"/>
      <c r="R37" s="2"/>
    </row>
    <row r="38" spans="1:18" s="16" customFormat="1" hidden="1" outlineLevel="2" x14ac:dyDescent="0.35">
      <c r="B38" s="11" t="str">
        <f>CONCATENATE("          ", "6114", " - ", "STATE UNEMPLOYMENT INSURANCE")</f>
        <v xml:space="preserve">          6114 - STATE UNEMPLOYMENT INSURANCE</v>
      </c>
      <c r="D38" s="2">
        <v>2309.52</v>
      </c>
      <c r="F38" s="2">
        <v>971.44</v>
      </c>
      <c r="G38" s="3"/>
      <c r="H38" s="2">
        <v>46.8</v>
      </c>
      <c r="I38" s="3"/>
      <c r="J38" s="2">
        <v>3.22</v>
      </c>
      <c r="K38" s="3"/>
      <c r="L38" s="2">
        <v>22.25</v>
      </c>
      <c r="M38" s="3"/>
      <c r="N38" s="2">
        <v>0</v>
      </c>
      <c r="O38" s="3"/>
      <c r="P38" s="2"/>
      <c r="Q38" s="3"/>
      <c r="R38" s="2"/>
    </row>
    <row r="39" spans="1:18" s="16" customFormat="1" hidden="1" outlineLevel="2" x14ac:dyDescent="0.35">
      <c r="B39" s="11" t="str">
        <f>CONCATENATE("          ", "6115", " - ", "P.E.R.S.")</f>
        <v xml:space="preserve">          6115 - P.E.R.S.</v>
      </c>
      <c r="D39" s="2">
        <v>7907.95</v>
      </c>
      <c r="F39" s="2">
        <v>2704.92</v>
      </c>
      <c r="G39" s="3"/>
      <c r="H39" s="2">
        <v>5025.6000000000004</v>
      </c>
      <c r="I39" s="3"/>
      <c r="J39" s="2"/>
      <c r="K39" s="3"/>
      <c r="L39" s="2">
        <v>484.93</v>
      </c>
      <c r="M39" s="3"/>
      <c r="N39" s="2">
        <v>134.12</v>
      </c>
      <c r="O39" s="3"/>
      <c r="P39" s="2"/>
      <c r="Q39" s="3"/>
      <c r="R39" s="2"/>
    </row>
    <row r="40" spans="1:18" s="16" customFormat="1" hidden="1" outlineLevel="2" x14ac:dyDescent="0.35">
      <c r="B40" s="11" t="str">
        <f>CONCATENATE("          ", "6118", " - ", "VACATION")</f>
        <v xml:space="preserve">          6118 - VACATION</v>
      </c>
      <c r="D40" s="2">
        <v>4574.83</v>
      </c>
      <c r="F40" s="2">
        <v>3030.6</v>
      </c>
      <c r="G40" s="3"/>
      <c r="H40" s="2"/>
      <c r="I40" s="3"/>
      <c r="J40" s="2"/>
      <c r="K40" s="3"/>
      <c r="L40" s="2">
        <v>463.77</v>
      </c>
      <c r="M40" s="3"/>
      <c r="N40" s="2">
        <v>110.64</v>
      </c>
      <c r="O40" s="3"/>
      <c r="P40" s="2"/>
      <c r="Q40" s="3"/>
      <c r="R40" s="2"/>
    </row>
    <row r="41" spans="1:18" s="16" customFormat="1" hidden="1" outlineLevel="2" x14ac:dyDescent="0.35">
      <c r="B41" s="11" t="str">
        <f>CONCATENATE("          ", "6119", " - ", "SICK LEAVE")</f>
        <v xml:space="preserve">          6119 - SICK LEAVE</v>
      </c>
      <c r="D41" s="2">
        <v>3360.37</v>
      </c>
      <c r="F41" s="2">
        <v>1446.25</v>
      </c>
      <c r="G41" s="3"/>
      <c r="H41" s="2"/>
      <c r="I41" s="3"/>
      <c r="J41" s="2"/>
      <c r="K41" s="3"/>
      <c r="L41" s="2">
        <v>448.7</v>
      </c>
      <c r="M41" s="3"/>
      <c r="N41" s="2">
        <v>88.56</v>
      </c>
      <c r="O41" s="3"/>
      <c r="P41" s="2"/>
      <c r="Q41" s="3"/>
      <c r="R41" s="2"/>
    </row>
    <row r="42" spans="1:18" s="16" customFormat="1" hidden="1" outlineLevel="2" x14ac:dyDescent="0.35">
      <c r="B42" s="11" t="str">
        <f>CONCATENATE("          ", "6156", " - ", "EMPLOYEE MEALS")</f>
        <v xml:space="preserve">          6156 - EMPLOYEE MEALS</v>
      </c>
      <c r="D42" s="2">
        <v>3409.19</v>
      </c>
      <c r="F42" s="2">
        <v>1781.19</v>
      </c>
      <c r="G42" s="3"/>
      <c r="H42" s="2">
        <v>1747.38</v>
      </c>
      <c r="I42" s="3"/>
      <c r="J42" s="2">
        <v>150</v>
      </c>
      <c r="K42" s="3"/>
      <c r="L42" s="2">
        <v>292.75</v>
      </c>
      <c r="M42" s="3"/>
      <c r="N42" s="2"/>
      <c r="O42" s="3"/>
      <c r="P42" s="2"/>
      <c r="Q42" s="3"/>
      <c r="R42" s="2"/>
    </row>
    <row r="43" spans="1:18" s="15" customFormat="1" outlineLevel="1" collapsed="1" x14ac:dyDescent="0.35">
      <c r="A43" s="7"/>
      <c r="B43" s="20" t="str">
        <f>CONCATENATE("     ","*Payroll                                          ")</f>
        <v xml:space="preserve">     *Payroll                                          </v>
      </c>
      <c r="C43" s="7"/>
      <c r="D43" s="1">
        <f>SUM(OSRRefD21_1x_0)</f>
        <v>368156.71</v>
      </c>
      <c r="E43" s="19"/>
      <c r="F43" s="1">
        <f>SUM(OSRRefF21_1x_0)</f>
        <v>141460.19</v>
      </c>
      <c r="G43" s="4"/>
      <c r="H43" s="1">
        <f>SUM(OSRRefH21_1x_0)</f>
        <v>50406.079999999994</v>
      </c>
      <c r="I43" s="4"/>
      <c r="J43" s="1">
        <f>SUM(OSRRefJ21_1x_0)</f>
        <v>34529.840000000004</v>
      </c>
      <c r="K43" s="4"/>
      <c r="L43" s="1">
        <f>SUM(OSRRefL21_1x_0)</f>
        <v>34340.409999999996</v>
      </c>
      <c r="M43" s="4"/>
      <c r="N43" s="1">
        <f>SUM(OSRRefN21_1x_0)</f>
        <v>6103</v>
      </c>
      <c r="O43" s="4"/>
      <c r="P43" s="1">
        <f>SUM(OSRRefP21_1x_0)</f>
        <v>0</v>
      </c>
      <c r="Q43" s="4"/>
      <c r="R43" s="1">
        <f>SUM(OSRRefR21_1x_0)</f>
        <v>0</v>
      </c>
    </row>
    <row r="44" spans="1:18" s="16" customFormat="1" hidden="1" outlineLevel="2" x14ac:dyDescent="0.35">
      <c r="B44" s="11" t="str">
        <f>CONCATENATE("          ", "6002", " - ", "STAFF SALARIES")</f>
        <v xml:space="preserve">          6002 - STAFF SALARIES</v>
      </c>
      <c r="D44" s="2">
        <v>71362.77</v>
      </c>
      <c r="F44" s="2">
        <v>19938.259999999998</v>
      </c>
      <c r="G44" s="3"/>
      <c r="H44" s="2"/>
      <c r="I44" s="3"/>
      <c r="J44" s="2"/>
      <c r="K44" s="3"/>
      <c r="L44" s="2">
        <v>12490.98</v>
      </c>
      <c r="M44" s="3"/>
      <c r="N44" s="2">
        <v>1872</v>
      </c>
      <c r="O44" s="3"/>
      <c r="P44" s="2"/>
      <c r="Q44" s="3"/>
      <c r="R44" s="2"/>
    </row>
    <row r="45" spans="1:18" s="16" customFormat="1" hidden="1" outlineLevel="2" x14ac:dyDescent="0.35">
      <c r="B45" s="11" t="str">
        <f>CONCATENATE("          ", "6004", " - ", "STAFF HOURLY")</f>
        <v xml:space="preserve">          6004 - STAFF HOURLY</v>
      </c>
      <c r="D45" s="2"/>
      <c r="F45" s="2"/>
      <c r="G45" s="3"/>
      <c r="H45" s="2"/>
      <c r="I45" s="3"/>
      <c r="J45" s="2">
        <v>273.27999999999997</v>
      </c>
      <c r="K45" s="3"/>
      <c r="L45" s="2">
        <v>142.5</v>
      </c>
      <c r="M45" s="3"/>
      <c r="N45" s="2">
        <v>491.67</v>
      </c>
      <c r="O45" s="3"/>
      <c r="P45" s="2"/>
      <c r="Q45" s="3"/>
      <c r="R45" s="2"/>
    </row>
    <row r="46" spans="1:18" s="16" customFormat="1" hidden="1" outlineLevel="2" x14ac:dyDescent="0.35">
      <c r="B46" s="11" t="str">
        <f>CONCATENATE("          ", "6005", " - ", "TEMPORARY WAGES-HOURLY")</f>
        <v xml:space="preserve">          6005 - TEMPORARY WAGES-HOURLY</v>
      </c>
      <c r="D46" s="2"/>
      <c r="F46" s="2"/>
      <c r="G46" s="3"/>
      <c r="H46" s="2">
        <v>1605.54</v>
      </c>
      <c r="I46" s="3"/>
      <c r="J46" s="2">
        <v>1351.57</v>
      </c>
      <c r="K46" s="3"/>
      <c r="L46" s="2">
        <v>1546.8</v>
      </c>
      <c r="M46" s="3"/>
      <c r="N46" s="2">
        <v>140.61000000000001</v>
      </c>
      <c r="O46" s="3"/>
      <c r="P46" s="2"/>
      <c r="Q46" s="3"/>
      <c r="R46" s="2"/>
    </row>
    <row r="47" spans="1:18" s="16" customFormat="1" hidden="1" outlineLevel="2" x14ac:dyDescent="0.35">
      <c r="B47" s="11" t="str">
        <f>CONCATENATE("          ", "6006", " - ", "TEMPORARY PART TIME")</f>
        <v xml:space="preserve">          6006 - TEMPORARY PART TIME</v>
      </c>
      <c r="D47" s="2">
        <v>21377.34</v>
      </c>
      <c r="F47" s="2">
        <v>1535.38</v>
      </c>
      <c r="G47" s="3"/>
      <c r="H47" s="2">
        <v>1306.45</v>
      </c>
      <c r="I47" s="3"/>
      <c r="J47" s="2">
        <v>2051.9499999999998</v>
      </c>
      <c r="K47" s="3"/>
      <c r="L47" s="2">
        <v>1443.56</v>
      </c>
      <c r="M47" s="3"/>
      <c r="N47" s="2">
        <v>120.35</v>
      </c>
      <c r="O47" s="3"/>
      <c r="P47" s="2"/>
      <c r="Q47" s="3"/>
      <c r="R47" s="2"/>
    </row>
    <row r="48" spans="1:18" s="16" customFormat="1" hidden="1" outlineLevel="2" x14ac:dyDescent="0.35">
      <c r="B48" s="11" t="str">
        <f>CONCATENATE("          ", "6007", " - ", "STUDENT HOURLY")</f>
        <v xml:space="preserve">          6007 - STUDENT HOURLY</v>
      </c>
      <c r="D48" s="2">
        <v>267489.65000000002</v>
      </c>
      <c r="F48" s="2">
        <v>119068.3</v>
      </c>
      <c r="G48" s="3"/>
      <c r="H48" s="2">
        <v>47305.09</v>
      </c>
      <c r="I48" s="3"/>
      <c r="J48" s="2">
        <v>30358.04</v>
      </c>
      <c r="K48" s="3"/>
      <c r="L48" s="2">
        <v>16997.57</v>
      </c>
      <c r="M48" s="3"/>
      <c r="N48" s="2">
        <v>3478.37</v>
      </c>
      <c r="O48" s="3"/>
      <c r="P48" s="2"/>
      <c r="Q48" s="3"/>
      <c r="R48" s="2"/>
    </row>
    <row r="49" spans="1:18" s="16" customFormat="1" hidden="1" outlineLevel="2" x14ac:dyDescent="0.35">
      <c r="B49" s="11" t="str">
        <f>CONCATENATE("          ", "6008", " - ", "STUDENT HOURLY-FICA EXEMPT")</f>
        <v xml:space="preserve">          6008 - STUDENT HOURLY-FICA EXEMPT</v>
      </c>
      <c r="D49" s="2">
        <v>7081.01</v>
      </c>
      <c r="F49" s="2">
        <v>918.25</v>
      </c>
      <c r="G49" s="3"/>
      <c r="H49" s="2">
        <v>189</v>
      </c>
      <c r="I49" s="3"/>
      <c r="J49" s="2">
        <v>495</v>
      </c>
      <c r="K49" s="3"/>
      <c r="L49" s="2">
        <v>1719</v>
      </c>
      <c r="M49" s="3"/>
      <c r="N49" s="2"/>
      <c r="O49" s="3"/>
      <c r="P49" s="2"/>
      <c r="Q49" s="3"/>
      <c r="R49" s="2"/>
    </row>
    <row r="50" spans="1:18" s="16" customFormat="1" hidden="1" outlineLevel="2" x14ac:dyDescent="0.35">
      <c r="B50" s="11" t="str">
        <f>CONCATENATE("          ", "6009", " - ", "TEMPORARY-SEASONAL")</f>
        <v xml:space="preserve">          6009 - TEMPORARY-SEASONAL</v>
      </c>
      <c r="D50" s="2">
        <v>845.94</v>
      </c>
      <c r="F50" s="2"/>
      <c r="G50" s="3"/>
      <c r="H50" s="2"/>
      <c r="I50" s="3"/>
      <c r="J50" s="2"/>
      <c r="K50" s="3"/>
      <c r="L50" s="2"/>
      <c r="M50" s="3"/>
      <c r="N50" s="2"/>
      <c r="O50" s="3"/>
      <c r="P50" s="2"/>
      <c r="Q50" s="3"/>
      <c r="R50" s="2"/>
    </row>
    <row r="51" spans="1:18" s="15" customFormat="1" outlineLevel="1" collapsed="1" x14ac:dyDescent="0.35">
      <c r="A51" s="7"/>
      <c r="B51" s="20" t="str">
        <f>CONCATENATE("     ","Advertising/Promo                                 ")</f>
        <v xml:space="preserve">     Advertising/Promo                                 </v>
      </c>
      <c r="C51" s="7"/>
      <c r="D51" s="1">
        <f>SUM(OSRRefD21_2x_0)</f>
        <v>1025.3699999999999</v>
      </c>
      <c r="E51" s="19"/>
      <c r="F51" s="1">
        <f>SUM(OSRRefF21_2x_0)</f>
        <v>4142.51</v>
      </c>
      <c r="G51" s="4"/>
      <c r="H51" s="1">
        <f>SUM(OSRRefH21_2x_0)</f>
        <v>1946.99</v>
      </c>
      <c r="I51" s="4"/>
      <c r="J51" s="1">
        <f>SUM(OSRRefJ21_2x_0)</f>
        <v>5842.69</v>
      </c>
      <c r="K51" s="4"/>
      <c r="L51" s="1">
        <f>SUM(OSRRefL21_2x_0)</f>
        <v>8599.76</v>
      </c>
      <c r="M51" s="4"/>
      <c r="N51" s="1">
        <f>SUM(OSRRefN21_2x_0)</f>
        <v>1164.77</v>
      </c>
      <c r="O51" s="4"/>
      <c r="P51" s="1">
        <f>SUM(OSRRefP21_2x_0)</f>
        <v>0</v>
      </c>
      <c r="Q51" s="4"/>
      <c r="R51" s="1">
        <f>SUM(OSRRefR21_2x_0)</f>
        <v>0</v>
      </c>
    </row>
    <row r="52" spans="1:18" s="16" customFormat="1" hidden="1" outlineLevel="2" x14ac:dyDescent="0.35">
      <c r="B52" s="11" t="str">
        <f>CONCATENATE("          ", "6362", " - ", "ADVERTISING EXPENSE")</f>
        <v xml:space="preserve">          6362 - ADVERTISING EXPENSE</v>
      </c>
      <c r="D52" s="2">
        <v>1025.3699999999999</v>
      </c>
      <c r="F52" s="2">
        <v>4142.51</v>
      </c>
      <c r="G52" s="3"/>
      <c r="H52" s="2">
        <v>1946.99</v>
      </c>
      <c r="I52" s="3"/>
      <c r="J52" s="2">
        <v>5842.69</v>
      </c>
      <c r="K52" s="3"/>
      <c r="L52" s="2">
        <v>8599.76</v>
      </c>
      <c r="M52" s="3"/>
      <c r="N52" s="2">
        <v>1164.77</v>
      </c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","Discounts and Markdowns                           ")</f>
        <v xml:space="preserve">     Discounts and Markdowns                           </v>
      </c>
      <c r="C53" s="7"/>
      <c r="D53" s="1">
        <f>SUM(OSRRefD21_3x_0)</f>
        <v>1717.61</v>
      </c>
      <c r="E53" s="19"/>
      <c r="F53" s="1">
        <f>SUM(OSRRefF21_3x_0)</f>
        <v>1254.01</v>
      </c>
      <c r="G53" s="4"/>
      <c r="H53" s="1">
        <f>SUM(OSRRefH21_3x_0)</f>
        <v>5773.64</v>
      </c>
      <c r="I53" s="4"/>
      <c r="J53" s="1">
        <f>SUM(OSRRefJ21_3x_0)</f>
        <v>20053.75</v>
      </c>
      <c r="K53" s="4"/>
      <c r="L53" s="1">
        <f>SUM(OSRRefL21_3x_0)</f>
        <v>7066.85</v>
      </c>
      <c r="M53" s="4"/>
      <c r="N53" s="1">
        <f>SUM(OSRRefN21_3x_0)</f>
        <v>563.11</v>
      </c>
      <c r="O53" s="4"/>
      <c r="P53" s="1">
        <f>SUM(OSRRefP21_3x_0)</f>
        <v>0</v>
      </c>
      <c r="Q53" s="4"/>
      <c r="R53" s="1">
        <f>SUM(OSRRefR21_3x_0)</f>
        <v>0</v>
      </c>
    </row>
    <row r="54" spans="1:18" s="16" customFormat="1" hidden="1" outlineLevel="2" x14ac:dyDescent="0.35">
      <c r="B54" s="11" t="str">
        <f>CONCATENATE("          ", "6382", " - ", "DISCOUNTS/MARK DOWNS")</f>
        <v xml:space="preserve">          6382 - DISCOUNTS/MARK DOWNS</v>
      </c>
      <c r="D54" s="2">
        <v>1717.61</v>
      </c>
      <c r="F54" s="2">
        <v>1254.01</v>
      </c>
      <c r="G54" s="3"/>
      <c r="H54" s="2">
        <v>5773.64</v>
      </c>
      <c r="I54" s="3"/>
      <c r="J54" s="2">
        <v>20053.75</v>
      </c>
      <c r="K54" s="3"/>
      <c r="L54" s="2">
        <v>7066.85</v>
      </c>
      <c r="M54" s="3"/>
      <c r="N54" s="2">
        <v>563.11</v>
      </c>
      <c r="O54" s="3"/>
      <c r="P54" s="2"/>
      <c r="Q54" s="3"/>
      <c r="R54" s="2"/>
    </row>
    <row r="55" spans="1:18" s="15" customFormat="1" outlineLevel="1" collapsed="1" x14ac:dyDescent="0.35">
      <c r="A55" s="7"/>
      <c r="B55" s="20" t="str">
        <f>CONCATENATE("     ","Employees' Appreciation                           ")</f>
        <v xml:space="preserve">     Employees' Appreciation                           </v>
      </c>
      <c r="C55" s="7"/>
      <c r="D55" s="1">
        <f>SUM(OSRRefD21_4x_0)</f>
        <v>454.14</v>
      </c>
      <c r="E55" s="19"/>
      <c r="F55" s="1">
        <f>SUM(OSRRefF21_4x_0)</f>
        <v>139.28</v>
      </c>
      <c r="G55" s="4"/>
      <c r="H55" s="1">
        <f>SUM(OSRRefH21_4x_0)</f>
        <v>105.87</v>
      </c>
      <c r="I55" s="4"/>
      <c r="J55" s="1">
        <f>SUM(OSRRefJ21_4x_0)</f>
        <v>217.06</v>
      </c>
      <c r="K55" s="4"/>
      <c r="L55" s="1">
        <f>SUM(OSRRefL21_4x_0)</f>
        <v>0</v>
      </c>
      <c r="M55" s="4"/>
      <c r="N55" s="1">
        <f>SUM(OSRRefN21_4x_0)</f>
        <v>0</v>
      </c>
      <c r="O55" s="4"/>
      <c r="P55" s="1">
        <f>SUM(OSRRefP21_4x_0)</f>
        <v>0</v>
      </c>
      <c r="Q55" s="4"/>
      <c r="R55" s="1">
        <f>SUM(OSRRefR21_4x_0)</f>
        <v>0</v>
      </c>
    </row>
    <row r="56" spans="1:18" s="16" customFormat="1" hidden="1" outlineLevel="2" x14ac:dyDescent="0.35">
      <c r="B56" s="11" t="str">
        <f>CONCATENATE("          ", "6277", " - ", "EMPLOYEE APPRECIATION")</f>
        <v xml:space="preserve">          6277 - EMPLOYEE APPRECIATION</v>
      </c>
      <c r="D56" s="2">
        <v>454.14</v>
      </c>
      <c r="F56" s="2">
        <v>139.28</v>
      </c>
      <c r="G56" s="3"/>
      <c r="H56" s="2">
        <v>105.87</v>
      </c>
      <c r="I56" s="3"/>
      <c r="J56" s="2">
        <v>217.06</v>
      </c>
      <c r="K56" s="3"/>
      <c r="L56" s="2"/>
      <c r="M56" s="3"/>
      <c r="N56" s="2"/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","Freight out/Postage                               ")</f>
        <v xml:space="preserve">     Freight out/Postage                               </v>
      </c>
      <c r="C57" s="7"/>
      <c r="D57" s="1">
        <f>SUM(OSRRefD21_5x_0)</f>
        <v>-50331.549999999996</v>
      </c>
      <c r="E57" s="19"/>
      <c r="F57" s="1">
        <f>SUM(OSRRefF21_5x_0)</f>
        <v>-44610.150000000009</v>
      </c>
      <c r="G57" s="4"/>
      <c r="H57" s="1">
        <f>SUM(OSRRefH21_5x_0)</f>
        <v>-42566.23</v>
      </c>
      <c r="I57" s="4"/>
      <c r="J57" s="1">
        <f>SUM(OSRRefJ21_5x_0)</f>
        <v>-29578.860000000008</v>
      </c>
      <c r="K57" s="4"/>
      <c r="L57" s="1">
        <f>SUM(OSRRefL21_5x_0)</f>
        <v>-35069.020000000004</v>
      </c>
      <c r="M57" s="4"/>
      <c r="N57" s="1">
        <f>SUM(OSRRefN21_5x_0)</f>
        <v>6157.2299999999959</v>
      </c>
      <c r="O57" s="4"/>
      <c r="P57" s="1">
        <f>SUM(OSRRefP21_5x_0)</f>
        <v>0</v>
      </c>
      <c r="Q57" s="4"/>
      <c r="R57" s="1">
        <f>SUM(OSRRefR21_5x_0)</f>
        <v>0</v>
      </c>
    </row>
    <row r="58" spans="1:18" s="16" customFormat="1" hidden="1" outlineLevel="2" x14ac:dyDescent="0.35">
      <c r="B58" s="11" t="str">
        <f>CONCATENATE("          ", "6305", " - ", "FREIGHT OUT")</f>
        <v xml:space="preserve">          6305 - FREIGHT OUT</v>
      </c>
      <c r="D58" s="2">
        <v>21584.43</v>
      </c>
      <c r="F58" s="2">
        <v>47568.95</v>
      </c>
      <c r="G58" s="3"/>
      <c r="H58" s="2">
        <v>55335.65</v>
      </c>
      <c r="I58" s="3"/>
      <c r="J58" s="2">
        <v>48823.71</v>
      </c>
      <c r="K58" s="3"/>
      <c r="L58" s="2">
        <v>46287.59</v>
      </c>
      <c r="M58" s="3"/>
      <c r="N58" s="2">
        <v>71927.3</v>
      </c>
      <c r="O58" s="3"/>
      <c r="P58" s="2"/>
      <c r="Q58" s="3"/>
      <c r="R58" s="2"/>
    </row>
    <row r="59" spans="1:18" s="16" customFormat="1" hidden="1" outlineLevel="2" x14ac:dyDescent="0.35">
      <c r="B59" s="11" t="str">
        <f>CONCATENATE("          ", "6307", " - ", "POSTAGE")</f>
        <v xml:space="preserve">          6307 - POSTAGE</v>
      </c>
      <c r="D59" s="2">
        <v>-71915.98</v>
      </c>
      <c r="F59" s="2">
        <v>-92179.1</v>
      </c>
      <c r="G59" s="3"/>
      <c r="H59" s="2">
        <v>-97901.88</v>
      </c>
      <c r="I59" s="3"/>
      <c r="J59" s="2">
        <v>-78402.570000000007</v>
      </c>
      <c r="K59" s="3"/>
      <c r="L59" s="2">
        <v>-81356.61</v>
      </c>
      <c r="M59" s="3"/>
      <c r="N59" s="2">
        <v>-65770.070000000007</v>
      </c>
      <c r="O59" s="3"/>
      <c r="P59" s="2"/>
      <c r="Q59" s="3"/>
      <c r="R59" s="2"/>
    </row>
    <row r="60" spans="1:18" s="15" customFormat="1" outlineLevel="1" collapsed="1" x14ac:dyDescent="0.35">
      <c r="A60" s="7"/>
      <c r="B60" s="20" t="str">
        <f>CONCATENATE("     ","General                                           ")</f>
        <v xml:space="preserve">     General                                           </v>
      </c>
      <c r="C60" s="7"/>
      <c r="D60" s="1">
        <f>SUM(OSRRefD21_6x_0)</f>
        <v>20.43</v>
      </c>
      <c r="E60" s="19"/>
      <c r="F60" s="1">
        <f>SUM(OSRRefF21_6x_0)</f>
        <v>0</v>
      </c>
      <c r="G60" s="4"/>
      <c r="H60" s="1">
        <f>SUM(OSRRefH21_6x_0)</f>
        <v>53.41</v>
      </c>
      <c r="I60" s="4"/>
      <c r="J60" s="1">
        <f>SUM(OSRRefJ21_6x_0)</f>
        <v>614.33000000000004</v>
      </c>
      <c r="K60" s="4"/>
      <c r="L60" s="1">
        <f>SUM(OSRRefL21_6x_0)</f>
        <v>265.77999999999997</v>
      </c>
      <c r="M60" s="4"/>
      <c r="N60" s="1">
        <f>SUM(OSRRefN21_6x_0)</f>
        <v>80.17</v>
      </c>
      <c r="O60" s="4"/>
      <c r="P60" s="1">
        <f>SUM(OSRRefP21_6x_0)</f>
        <v>0</v>
      </c>
      <c r="Q60" s="4"/>
      <c r="R60" s="1">
        <f>SUM(OSRRefR21_6x_0)</f>
        <v>0</v>
      </c>
    </row>
    <row r="61" spans="1:18" s="16" customFormat="1" hidden="1" outlineLevel="2" x14ac:dyDescent="0.35">
      <c r="B61" s="11" t="str">
        <f>CONCATENATE("          ", "6279", " - ", "GENERAL EXPENSE")</f>
        <v xml:space="preserve">          6279 - GENERAL EXPENSE</v>
      </c>
      <c r="D61" s="2">
        <v>20.43</v>
      </c>
      <c r="F61" s="2"/>
      <c r="G61" s="3"/>
      <c r="H61" s="2">
        <v>53.41</v>
      </c>
      <c r="I61" s="3"/>
      <c r="J61" s="2">
        <v>614.33000000000004</v>
      </c>
      <c r="K61" s="3"/>
      <c r="L61" s="2">
        <v>265.77999999999997</v>
      </c>
      <c r="M61" s="3"/>
      <c r="N61" s="2">
        <v>80.17</v>
      </c>
      <c r="O61" s="3"/>
      <c r="P61" s="2"/>
      <c r="Q61" s="3"/>
      <c r="R61" s="2"/>
    </row>
    <row r="62" spans="1:18" s="15" customFormat="1" outlineLevel="1" collapsed="1" x14ac:dyDescent="0.35">
      <c r="A62" s="7"/>
      <c r="B62" s="20" t="str">
        <f>CONCATENATE("     ","Inventory Adjustment                              ")</f>
        <v xml:space="preserve">     Inventory Adjustment                              </v>
      </c>
      <c r="C62" s="7"/>
      <c r="D62" s="1">
        <f>SUM(OSRRefD21_7x_0)</f>
        <v>-7513</v>
      </c>
      <c r="E62" s="19"/>
      <c r="F62" s="1">
        <f>SUM(OSRRefF21_7x_0)</f>
        <v>-1141</v>
      </c>
      <c r="G62" s="4"/>
      <c r="H62" s="1">
        <f>SUM(OSRRefH21_7x_0)</f>
        <v>-14315</v>
      </c>
      <c r="I62" s="4"/>
      <c r="J62" s="1">
        <f>SUM(OSRRefJ21_7x_0)</f>
        <v>-11302</v>
      </c>
      <c r="K62" s="4"/>
      <c r="L62" s="1">
        <f>SUM(OSRRefL21_7x_0)</f>
        <v>-4067</v>
      </c>
      <c r="M62" s="4"/>
      <c r="N62" s="1">
        <f>SUM(OSRRefN21_7x_0)</f>
        <v>369</v>
      </c>
      <c r="O62" s="4"/>
      <c r="P62" s="1">
        <f>SUM(OSRRefP21_7x_0)</f>
        <v>0</v>
      </c>
      <c r="Q62" s="4"/>
      <c r="R62" s="1">
        <f>SUM(OSRRefR21_7x_0)</f>
        <v>0</v>
      </c>
    </row>
    <row r="63" spans="1:18" s="16" customFormat="1" hidden="1" outlineLevel="2" x14ac:dyDescent="0.35">
      <c r="B63" s="11" t="str">
        <f>CONCATENATE("          ", "6408", " - ", "INVENTORY ADJUSTMENT")</f>
        <v xml:space="preserve">          6408 - INVENTORY ADJUSTMENT</v>
      </c>
      <c r="D63" s="2">
        <v>0</v>
      </c>
      <c r="F63" s="2">
        <v>0</v>
      </c>
      <c r="G63" s="3"/>
      <c r="H63" s="2"/>
      <c r="I63" s="3"/>
      <c r="J63" s="2">
        <v>0</v>
      </c>
      <c r="K63" s="3"/>
      <c r="L63" s="2">
        <v>0</v>
      </c>
      <c r="M63" s="3"/>
      <c r="N63" s="2">
        <v>0</v>
      </c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"7791", " - ", "INV. SHRINKAGE-GRAD ANNOUNCEME")</f>
        <v xml:space="preserve">          7791 - INV. SHRINKAGE-GRAD ANNOUNCEME</v>
      </c>
      <c r="D64" s="2">
        <v>665</v>
      </c>
      <c r="F64" s="2">
        <v>-54</v>
      </c>
      <c r="G64" s="3"/>
      <c r="H64" s="2">
        <v>-468</v>
      </c>
      <c r="I64" s="3"/>
      <c r="J64" s="2">
        <v>-1014</v>
      </c>
      <c r="K64" s="3"/>
      <c r="L64" s="2"/>
      <c r="M64" s="3"/>
      <c r="N64" s="2"/>
      <c r="O64" s="3"/>
      <c r="P64" s="2"/>
      <c r="Q64" s="3"/>
      <c r="R64" s="2"/>
    </row>
    <row r="65" spans="1:18" s="16" customFormat="1" hidden="1" outlineLevel="2" x14ac:dyDescent="0.35">
      <c r="B65" s="11" t="str">
        <f>CONCATENATE("          ", "7792", " - ", "INV. SHRINKAGE-GRAD MERCH")</f>
        <v xml:space="preserve">          7792 - INV. SHRINKAGE-GRAD MERCH</v>
      </c>
      <c r="D65" s="2">
        <v>-8344</v>
      </c>
      <c r="F65" s="2">
        <v>668</v>
      </c>
      <c r="G65" s="3"/>
      <c r="H65" s="2">
        <v>-8540</v>
      </c>
      <c r="I65" s="3"/>
      <c r="J65" s="2">
        <v>-10247</v>
      </c>
      <c r="K65" s="3"/>
      <c r="L65" s="2">
        <v>-3920</v>
      </c>
      <c r="M65" s="3"/>
      <c r="N65" s="2">
        <v>495</v>
      </c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"7795", " - ", "INV. SHRINKAGE-CUSTOMER SERVIC")</f>
        <v xml:space="preserve">          7795 - INV. SHRINKAGE-CUSTOMER SERVIC</v>
      </c>
      <c r="D66" s="2">
        <v>166</v>
      </c>
      <c r="F66" s="2">
        <v>-1755</v>
      </c>
      <c r="G66" s="3"/>
      <c r="H66" s="2">
        <v>-5307</v>
      </c>
      <c r="I66" s="3"/>
      <c r="J66" s="2">
        <v>-41</v>
      </c>
      <c r="K66" s="3"/>
      <c r="L66" s="2">
        <v>-147</v>
      </c>
      <c r="M66" s="3"/>
      <c r="N66" s="2">
        <v>-126</v>
      </c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","Repair and Maintenance                            ")</f>
        <v xml:space="preserve">     Repair and Maintenance                            </v>
      </c>
      <c r="C67" s="7"/>
      <c r="D67" s="1">
        <f>SUM(OSRRefD21_8x_0)</f>
        <v>31.68</v>
      </c>
      <c r="E67" s="19"/>
      <c r="F67" s="1">
        <f>SUM(OSRRefF21_8x_0)</f>
        <v>0</v>
      </c>
      <c r="G67" s="4"/>
      <c r="H67" s="1">
        <f>SUM(OSRRefH21_8x_0)</f>
        <v>0</v>
      </c>
      <c r="I67" s="4"/>
      <c r="J67" s="1">
        <f>SUM(OSRRefJ21_8x_0)</f>
        <v>420.75</v>
      </c>
      <c r="K67" s="4"/>
      <c r="L67" s="1">
        <f>SUM(OSRRefL21_8x_0)</f>
        <v>0</v>
      </c>
      <c r="M67" s="4"/>
      <c r="N67" s="1">
        <f>SUM(OSRRefN21_8x_0)</f>
        <v>0</v>
      </c>
      <c r="O67" s="4"/>
      <c r="P67" s="1">
        <f>SUM(OSRRefP21_8x_0)</f>
        <v>0</v>
      </c>
      <c r="Q67" s="4"/>
      <c r="R67" s="1">
        <f>SUM(OSRRefR21_8x_0)</f>
        <v>0</v>
      </c>
    </row>
    <row r="68" spans="1:18" s="16" customFormat="1" hidden="1" outlineLevel="2" x14ac:dyDescent="0.35">
      <c r="B68" s="11" t="str">
        <f>CONCATENATE("          ", "6371", " - ", "COMPUTER SOFTWARE MAINTENANCE")</f>
        <v xml:space="preserve">          6371 - COMPUTER SOFTWARE MAINTENANCE</v>
      </c>
      <c r="D68" s="2"/>
      <c r="F68" s="2"/>
      <c r="G68" s="3"/>
      <c r="H68" s="2"/>
      <c r="I68" s="3"/>
      <c r="J68" s="2">
        <v>420.75</v>
      </c>
      <c r="K68" s="3"/>
      <c r="L68" s="2"/>
      <c r="M68" s="3"/>
      <c r="N68" s="2"/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"6375", " - ", "OUTSIDE REPAIRS &amp; MAINTENANCE")</f>
        <v xml:space="preserve">          6375 - OUTSIDE REPAIRS &amp; MAINTENANCE</v>
      </c>
      <c r="D69" s="2">
        <v>31.68</v>
      </c>
      <c r="F69" s="2"/>
      <c r="G69" s="3"/>
      <c r="H69" s="2"/>
      <c r="I69" s="3"/>
      <c r="J69" s="2"/>
      <c r="K69" s="3"/>
      <c r="L69" s="2"/>
      <c r="M69" s="3"/>
      <c r="N69" s="2"/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","Supplies                                          ")</f>
        <v xml:space="preserve">     Supplies                                          </v>
      </c>
      <c r="C70" s="7"/>
      <c r="D70" s="1">
        <f>SUM(OSRRefD21_9x_0)</f>
        <v>11153.11</v>
      </c>
      <c r="E70" s="19"/>
      <c r="F70" s="1">
        <f>SUM(OSRRefF21_9x_0)</f>
        <v>14057.869999999999</v>
      </c>
      <c r="G70" s="4"/>
      <c r="H70" s="1">
        <f>SUM(OSRRefH21_9x_0)</f>
        <v>16604.150000000001</v>
      </c>
      <c r="I70" s="4"/>
      <c r="J70" s="1">
        <f>SUM(OSRRefJ21_9x_0)</f>
        <v>16886.620000000003</v>
      </c>
      <c r="K70" s="4"/>
      <c r="L70" s="1">
        <f>SUM(OSRRefL21_9x_0)</f>
        <v>12641.5</v>
      </c>
      <c r="M70" s="4"/>
      <c r="N70" s="1">
        <f>SUM(OSRRefN21_9x_0)</f>
        <v>11924.78</v>
      </c>
      <c r="O70" s="4"/>
      <c r="P70" s="1">
        <f>SUM(OSRRefP21_9x_0)</f>
        <v>0</v>
      </c>
      <c r="Q70" s="4"/>
      <c r="R70" s="1">
        <f>SUM(OSRRefR21_9x_0)</f>
        <v>0</v>
      </c>
    </row>
    <row r="71" spans="1:18" s="16" customFormat="1" hidden="1" outlineLevel="2" x14ac:dyDescent="0.35">
      <c r="B71" s="11" t="str">
        <f>CONCATENATE("          ", "6241", " - ", "OFFICE EXPENSE")</f>
        <v xml:space="preserve">          6241 - OFFICE EXPENSE</v>
      </c>
      <c r="D71" s="2">
        <v>2253.2399999999998</v>
      </c>
      <c r="F71" s="2">
        <v>2481.2600000000002</v>
      </c>
      <c r="G71" s="3"/>
      <c r="H71" s="2">
        <v>3808.14</v>
      </c>
      <c r="I71" s="3"/>
      <c r="J71" s="2">
        <v>2960.57</v>
      </c>
      <c r="K71" s="3"/>
      <c r="L71" s="2">
        <v>42.98</v>
      </c>
      <c r="M71" s="3"/>
      <c r="N71" s="2">
        <v>135.26</v>
      </c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"6245", " - ", "PRINTING")</f>
        <v xml:space="preserve">          6245 - PRINTING</v>
      </c>
      <c r="D72" s="2">
        <v>917.86</v>
      </c>
      <c r="F72" s="2">
        <v>3493.83</v>
      </c>
      <c r="G72" s="3"/>
      <c r="H72" s="2">
        <v>502.09</v>
      </c>
      <c r="I72" s="3"/>
      <c r="J72" s="2">
        <v>489.61</v>
      </c>
      <c r="K72" s="3"/>
      <c r="L72" s="2">
        <v>45.86</v>
      </c>
      <c r="M72" s="3"/>
      <c r="N72" s="2"/>
      <c r="O72" s="3"/>
      <c r="P72" s="2"/>
      <c r="Q72" s="3"/>
      <c r="R72" s="2"/>
    </row>
    <row r="73" spans="1:18" s="16" customFormat="1" hidden="1" outlineLevel="2" x14ac:dyDescent="0.35">
      <c r="B73" s="11" t="str">
        <f>CONCATENATE("          ", "6247", " - ", "STORE SUPPLIES")</f>
        <v xml:space="preserve">          6247 - STORE SUPPLIES</v>
      </c>
      <c r="D73" s="2">
        <v>7982.01</v>
      </c>
      <c r="F73" s="2">
        <v>8082.78</v>
      </c>
      <c r="G73" s="3"/>
      <c r="H73" s="2">
        <v>12293.92</v>
      </c>
      <c r="I73" s="3"/>
      <c r="J73" s="2">
        <v>13436.44</v>
      </c>
      <c r="K73" s="3"/>
      <c r="L73" s="2">
        <v>12552.66</v>
      </c>
      <c r="M73" s="3"/>
      <c r="N73" s="2">
        <v>11789.52</v>
      </c>
      <c r="O73" s="3"/>
      <c r="P73" s="2"/>
      <c r="Q73" s="3"/>
      <c r="R73" s="2"/>
    </row>
    <row r="74" spans="1:18" s="15" customFormat="1" outlineLevel="1" collapsed="1" x14ac:dyDescent="0.35">
      <c r="A74" s="7"/>
      <c r="B74" s="20" t="str">
        <f>CONCATENATE("     ","Telephone/Data Lines                              ")</f>
        <v xml:space="preserve">     Telephone/Data Lines                              </v>
      </c>
      <c r="C74" s="7"/>
      <c r="D74" s="1">
        <f>SUM(OSRRefD21_10x_0)</f>
        <v>2242.4699999999998</v>
      </c>
      <c r="E74" s="19"/>
      <c r="F74" s="1">
        <f>SUM(OSRRefF21_10x_0)</f>
        <v>2579.9699999999998</v>
      </c>
      <c r="G74" s="4"/>
      <c r="H74" s="1">
        <f>SUM(OSRRefH21_10x_0)</f>
        <v>2340.4699999999998</v>
      </c>
      <c r="I74" s="4"/>
      <c r="J74" s="1">
        <f>SUM(OSRRefJ21_10x_0)</f>
        <v>2241.9499999999998</v>
      </c>
      <c r="K74" s="4"/>
      <c r="L74" s="1">
        <f>SUM(OSRRefL21_10x_0)</f>
        <v>1704.25</v>
      </c>
      <c r="M74" s="4"/>
      <c r="N74" s="1">
        <f>SUM(OSRRefN21_10x_0)</f>
        <v>685.9</v>
      </c>
      <c r="O74" s="4"/>
      <c r="P74" s="1">
        <f>SUM(OSRRefP21_10x_0)</f>
        <v>0</v>
      </c>
      <c r="Q74" s="4"/>
      <c r="R74" s="1">
        <f>SUM(OSRRefR21_10x_0)</f>
        <v>0</v>
      </c>
    </row>
    <row r="75" spans="1:18" s="16" customFormat="1" hidden="1" outlineLevel="2" x14ac:dyDescent="0.35">
      <c r="B75" s="11" t="str">
        <f>CONCATENATE("          ", "6309", " - ", "TELEPHONE")</f>
        <v xml:space="preserve">          6309 - TELEPHONE</v>
      </c>
      <c r="D75" s="2">
        <v>2242.4699999999998</v>
      </c>
      <c r="F75" s="2">
        <v>2579.9699999999998</v>
      </c>
      <c r="G75" s="3"/>
      <c r="H75" s="2">
        <v>2340.4699999999998</v>
      </c>
      <c r="I75" s="3"/>
      <c r="J75" s="2">
        <v>2241.9499999999998</v>
      </c>
      <c r="K75" s="3"/>
      <c r="L75" s="2">
        <v>1704.25</v>
      </c>
      <c r="M75" s="3"/>
      <c r="N75" s="2">
        <v>685.9</v>
      </c>
      <c r="O75" s="3"/>
      <c r="P75" s="2"/>
      <c r="Q75" s="3"/>
      <c r="R75" s="2"/>
    </row>
    <row r="76" spans="1:18" s="15" customFormat="1" outlineLevel="1" collapsed="1" x14ac:dyDescent="0.35">
      <c r="A76" s="7"/>
      <c r="B76" s="20" t="str">
        <f>CONCATENATE("     ","Training                                          ")</f>
        <v xml:space="preserve">     Training                                          </v>
      </c>
      <c r="C76" s="7"/>
      <c r="D76" s="1">
        <f>SUM(OSRRefD21_11x_0)</f>
        <v>0</v>
      </c>
      <c r="E76" s="19"/>
      <c r="F76" s="1">
        <f>SUM(OSRRefF21_11x_0)</f>
        <v>0</v>
      </c>
      <c r="G76" s="4"/>
      <c r="H76" s="1">
        <f>SUM(OSRRefH21_11x_0)</f>
        <v>506.96</v>
      </c>
      <c r="I76" s="4"/>
      <c r="J76" s="1">
        <f>SUM(OSRRefJ21_11x_0)</f>
        <v>0</v>
      </c>
      <c r="K76" s="4"/>
      <c r="L76" s="1">
        <f>SUM(OSRRefL21_11x_0)</f>
        <v>0</v>
      </c>
      <c r="M76" s="4"/>
      <c r="N76" s="1">
        <f>SUM(OSRRefN21_11x_0)</f>
        <v>0</v>
      </c>
      <c r="O76" s="4"/>
      <c r="P76" s="1">
        <f>SUM(OSRRefP21_11x_0)</f>
        <v>0</v>
      </c>
      <c r="Q76" s="4"/>
      <c r="R76" s="1">
        <f>SUM(OSRRefR21_11x_0)</f>
        <v>0</v>
      </c>
    </row>
    <row r="77" spans="1:18" s="16" customFormat="1" hidden="1" outlineLevel="2" x14ac:dyDescent="0.35">
      <c r="B77" s="11" t="str">
        <f>CONCATENATE("          ", "6376", " - ", "TRAINING")</f>
        <v xml:space="preserve">          6376 - TRAINING</v>
      </c>
      <c r="D77" s="2"/>
      <c r="F77" s="2"/>
      <c r="G77" s="3"/>
      <c r="H77" s="2">
        <v>506.96</v>
      </c>
      <c r="I77" s="3"/>
      <c r="J77" s="2"/>
      <c r="K77" s="3"/>
      <c r="L77" s="2"/>
      <c r="M77" s="3"/>
      <c r="N77" s="2"/>
      <c r="O77" s="3"/>
      <c r="P77" s="2"/>
      <c r="Q77" s="3"/>
      <c r="R77" s="2"/>
    </row>
    <row r="78" spans="1:18" s="15" customFormat="1" outlineLevel="1" collapsed="1" x14ac:dyDescent="0.35">
      <c r="A78" s="7"/>
      <c r="B78" s="20" t="str">
        <f>CONCATENATE("     ","Travel                                            ")</f>
        <v xml:space="preserve">     Travel                                            </v>
      </c>
      <c r="C78" s="7"/>
      <c r="D78" s="1">
        <f>SUM(OSRRefD21_12x_0)</f>
        <v>10</v>
      </c>
      <c r="E78" s="19"/>
      <c r="F78" s="1">
        <f>SUM(OSRRefF21_12x_0)</f>
        <v>0</v>
      </c>
      <c r="G78" s="4"/>
      <c r="H78" s="1">
        <f>SUM(OSRRefH21_12x_0)</f>
        <v>250.19</v>
      </c>
      <c r="I78" s="4"/>
      <c r="J78" s="1">
        <f>SUM(OSRRefJ21_12x_0)</f>
        <v>0</v>
      </c>
      <c r="K78" s="4"/>
      <c r="L78" s="1">
        <f>SUM(OSRRefL21_12x_0)</f>
        <v>0</v>
      </c>
      <c r="M78" s="4"/>
      <c r="N78" s="1">
        <f>SUM(OSRRefN21_12x_0)</f>
        <v>0</v>
      </c>
      <c r="O78" s="4"/>
      <c r="P78" s="1">
        <f>SUM(OSRRefP21_12x_0)</f>
        <v>0</v>
      </c>
      <c r="Q78" s="4"/>
      <c r="R78" s="1">
        <f>SUM(OSRRefR21_12x_0)</f>
        <v>0</v>
      </c>
    </row>
    <row r="79" spans="1:18" s="16" customFormat="1" hidden="1" outlineLevel="2" x14ac:dyDescent="0.35">
      <c r="B79" s="11" t="str">
        <f>CONCATENATE("          ", "6292", " - ", "TRAVEL/CONFERENCE")</f>
        <v xml:space="preserve">          6292 - TRAVEL/CONFERENCE</v>
      </c>
      <c r="D79" s="2">
        <v>10</v>
      </c>
      <c r="F79" s="2"/>
      <c r="G79" s="3"/>
      <c r="H79" s="2">
        <v>250.19</v>
      </c>
      <c r="I79" s="3"/>
      <c r="J79" s="2"/>
      <c r="K79" s="3"/>
      <c r="L79" s="2"/>
      <c r="M79" s="3"/>
      <c r="N79" s="2"/>
      <c r="O79" s="3"/>
      <c r="P79" s="2"/>
      <c r="Q79" s="3"/>
      <c r="R79" s="2"/>
    </row>
    <row r="80" spans="1:18" x14ac:dyDescent="0.35">
      <c r="A80" s="12"/>
      <c r="B80" s="12"/>
      <c r="C80" s="12"/>
      <c r="D80" s="1"/>
      <c r="F80" s="1"/>
      <c r="H80" s="1"/>
      <c r="J80" s="1"/>
      <c r="L80" s="1"/>
      <c r="N80" s="1"/>
      <c r="P80" s="1"/>
      <c r="R80" s="1"/>
    </row>
    <row r="81" spans="1:18" s="7" customFormat="1" collapsed="1" x14ac:dyDescent="0.35">
      <c r="A81" s="36"/>
      <c r="B81" s="34" t="s">
        <v>295</v>
      </c>
      <c r="D81" s="6">
        <f>SUM(OSRRefD24x_0)</f>
        <v>359627.43999999994</v>
      </c>
      <c r="E81" s="12"/>
      <c r="F81" s="6">
        <f>SUM(OSRRefF24x_0)</f>
        <v>374480.33</v>
      </c>
      <c r="G81" s="5"/>
      <c r="H81" s="6">
        <f>SUM(OSRRefH24x_0)</f>
        <v>433116.16000000003</v>
      </c>
      <c r="I81" s="5"/>
      <c r="J81" s="6">
        <f>SUM(OSRRefJ24x_0)</f>
        <v>398434.42000000004</v>
      </c>
      <c r="K81" s="5"/>
      <c r="L81" s="6">
        <f>SUM(OSRRefL24x_0)</f>
        <v>644037.43999999994</v>
      </c>
      <c r="M81" s="5"/>
      <c r="N81" s="6">
        <f>SUM(OSRRefN24x_0)</f>
        <v>513349.45</v>
      </c>
      <c r="O81" s="5"/>
      <c r="P81" s="6">
        <f>SUM(OSRRefP24x_0)</f>
        <v>0</v>
      </c>
      <c r="Q81" s="5"/>
      <c r="R81" s="6">
        <f>SUM(OSRRefR24x_0)</f>
        <v>0</v>
      </c>
    </row>
    <row r="82" spans="1:18" s="7" customFormat="1" hidden="1" outlineLevel="1" x14ac:dyDescent="0.35">
      <c r="A82" s="36"/>
      <c r="B82" s="11" t="str">
        <f>CONCATENATE("          ", "4096", " - ", "TAXABLE SALES-CUSTOMER SERVICE")</f>
        <v xml:space="preserve">          4096 - TAXABLE SALES-CUSTOMER SERVICE</v>
      </c>
      <c r="D82" s="11">
        <f>--810</f>
        <v>810</v>
      </c>
      <c r="E82" s="16"/>
      <c r="F82" s="11">
        <f>--4.95</f>
        <v>4.95</v>
      </c>
      <c r="G82" s="3"/>
      <c r="H82" s="11">
        <f>0</f>
        <v>0</v>
      </c>
      <c r="I82" s="3"/>
      <c r="J82" s="11">
        <f>0</f>
        <v>0</v>
      </c>
      <c r="K82" s="3"/>
      <c r="L82" s="11">
        <f>0</f>
        <v>0</v>
      </c>
      <c r="M82" s="3"/>
      <c r="N82" s="11">
        <f>0</f>
        <v>0</v>
      </c>
      <c r="O82" s="3"/>
      <c r="P82" s="11"/>
      <c r="Q82" s="3"/>
      <c r="R82" s="11"/>
    </row>
    <row r="83" spans="1:18" s="7" customFormat="1" hidden="1" outlineLevel="1" x14ac:dyDescent="0.35">
      <c r="A83" s="36"/>
      <c r="B83" s="11" t="str">
        <f>CONCATENATE("          ", "4098", " - ", "TAXABLE SALES-GRAD RENTALS")</f>
        <v xml:space="preserve">          4098 - TAXABLE SALES-GRAD RENTALS</v>
      </c>
      <c r="D83" s="11">
        <f>--244356.74</f>
        <v>244356.74</v>
      </c>
      <c r="E83" s="16"/>
      <c r="F83" s="11">
        <f>--178590.88</f>
        <v>178590.88</v>
      </c>
      <c r="G83" s="3"/>
      <c r="H83" s="11">
        <f>--122982.11</f>
        <v>122982.11</v>
      </c>
      <c r="I83" s="3"/>
      <c r="J83" s="11">
        <f>--103080.07</f>
        <v>103080.07</v>
      </c>
      <c r="K83" s="3"/>
      <c r="L83" s="11">
        <f>--86267.28</f>
        <v>86267.28</v>
      </c>
      <c r="M83" s="3"/>
      <c r="N83" s="11">
        <f>--1946.85</f>
        <v>1946.85</v>
      </c>
      <c r="O83" s="3"/>
      <c r="P83" s="11"/>
      <c r="Q83" s="3"/>
      <c r="R83" s="11"/>
    </row>
    <row r="84" spans="1:18" s="7" customFormat="1" hidden="1" outlineLevel="1" x14ac:dyDescent="0.35">
      <c r="A84" s="36"/>
      <c r="B84" s="11" t="str">
        <f>CONCATENATE("          ", "4196", " - ", "NON-TAXABLE SALES-CUSTOMER SER")</f>
        <v xml:space="preserve">          4196 - NON-TAXABLE SALES-CUSTOMER SER</v>
      </c>
      <c r="D84" s="11">
        <f>--125</f>
        <v>125</v>
      </c>
      <c r="E84" s="16"/>
      <c r="F84" s="11">
        <f>0</f>
        <v>0</v>
      </c>
      <c r="G84" s="3"/>
      <c r="H84" s="11">
        <f t="shared" ref="H84:H85" si="4">0</f>
        <v>0</v>
      </c>
      <c r="I84" s="3"/>
      <c r="J84" s="11">
        <f>0</f>
        <v>0</v>
      </c>
      <c r="K84" s="3"/>
      <c r="L84" s="11">
        <f>0</f>
        <v>0</v>
      </c>
      <c r="M84" s="3"/>
      <c r="N84" s="11">
        <f>0</f>
        <v>0</v>
      </c>
      <c r="O84" s="3"/>
      <c r="P84" s="11"/>
      <c r="Q84" s="3"/>
      <c r="R84" s="11"/>
    </row>
    <row r="85" spans="1:18" s="7" customFormat="1" hidden="1" outlineLevel="1" x14ac:dyDescent="0.35">
      <c r="A85" s="36"/>
      <c r="B85" s="11" t="str">
        <f>CONCATENATE("          ", "4197", " - ", "NON-TAXABLE SALES-RETURNED CHE")</f>
        <v xml:space="preserve">          4197 - NON-TAXABLE SALES-RETURNED CHE</v>
      </c>
      <c r="D85" s="11">
        <f>--20</f>
        <v>20</v>
      </c>
      <c r="E85" s="16"/>
      <c r="F85" s="11">
        <f>--70</f>
        <v>70</v>
      </c>
      <c r="G85" s="3"/>
      <c r="H85" s="11">
        <f t="shared" si="4"/>
        <v>0</v>
      </c>
      <c r="I85" s="3"/>
      <c r="J85" s="11">
        <f>--227.5</f>
        <v>227.5</v>
      </c>
      <c r="K85" s="3"/>
      <c r="L85" s="11">
        <f>--335</f>
        <v>335</v>
      </c>
      <c r="M85" s="3"/>
      <c r="N85" s="11">
        <f>--30</f>
        <v>30</v>
      </c>
      <c r="O85" s="3"/>
      <c r="P85" s="11"/>
      <c r="Q85" s="3"/>
      <c r="R85" s="11"/>
    </row>
    <row r="86" spans="1:18" s="7" customFormat="1" hidden="1" outlineLevel="1" x14ac:dyDescent="0.35">
      <c r="A86" s="36"/>
      <c r="B86" s="11" t="str">
        <f>CONCATENATE("          ", "4198", " - ", "NON-TAXABLE SALES-GRAD RENTALS")</f>
        <v xml:space="preserve">          4198 - NON-TAXABLE SALES-GRAD RENTALS</v>
      </c>
      <c r="D86" s="11">
        <f>--740</f>
        <v>740</v>
      </c>
      <c r="E86" s="16"/>
      <c r="F86" s="11">
        <f>--79118.7</f>
        <v>79118.7</v>
      </c>
      <c r="G86" s="3"/>
      <c r="H86" s="11">
        <f>--182844.41</f>
        <v>182844.41</v>
      </c>
      <c r="I86" s="3"/>
      <c r="J86" s="11">
        <f>--192651.25</f>
        <v>192651.25</v>
      </c>
      <c r="K86" s="3"/>
      <c r="L86" s="11">
        <f>--449104.41</f>
        <v>449104.41</v>
      </c>
      <c r="M86" s="3"/>
      <c r="N86" s="11">
        <f>--163.76</f>
        <v>163.76</v>
      </c>
      <c r="O86" s="3"/>
      <c r="P86" s="11"/>
      <c r="Q86" s="3"/>
      <c r="R86" s="11"/>
    </row>
    <row r="87" spans="1:18" s="7" customFormat="1" hidden="1" outlineLevel="1" x14ac:dyDescent="0.35">
      <c r="A87" s="36"/>
      <c r="B87" s="11" t="str">
        <f>CONCATENATE("          ", "4296", " - ", "SALES RETURN TAXABLE-CUSTOMER")</f>
        <v xml:space="preserve">          4296 - SALES RETURN TAXABLE-CUSTOMER</v>
      </c>
      <c r="D87" s="11">
        <f>-810</f>
        <v>-810</v>
      </c>
      <c r="E87" s="16"/>
      <c r="F87" s="11">
        <f>0</f>
        <v>0</v>
      </c>
      <c r="G87" s="3"/>
      <c r="H87" s="11">
        <f>0</f>
        <v>0</v>
      </c>
      <c r="I87" s="3"/>
      <c r="J87" s="11">
        <f>0</f>
        <v>0</v>
      </c>
      <c r="K87" s="3"/>
      <c r="L87" s="11">
        <f t="shared" ref="L87:L91" si="5">0</f>
        <v>0</v>
      </c>
      <c r="M87" s="3"/>
      <c r="N87" s="11">
        <f t="shared" ref="N87:N91" si="6">0</f>
        <v>0</v>
      </c>
      <c r="O87" s="3"/>
      <c r="P87" s="11"/>
      <c r="Q87" s="3"/>
      <c r="R87" s="11"/>
    </row>
    <row r="88" spans="1:18" s="7" customFormat="1" hidden="1" outlineLevel="1" x14ac:dyDescent="0.35">
      <c r="A88" s="36"/>
      <c r="B88" s="11" t="str">
        <f>CONCATENATE("          ", "4298", " - ", "SALES RETURN TAXABLE-GRAD RENT")</f>
        <v xml:space="preserve">          4298 - SALES RETURN TAXABLE-GRAD RENT</v>
      </c>
      <c r="D88" s="11">
        <f>-3554</f>
        <v>-3554</v>
      </c>
      <c r="E88" s="16"/>
      <c r="F88" s="11">
        <f>-646.95</f>
        <v>-646.95000000000005</v>
      </c>
      <c r="G88" s="3"/>
      <c r="H88" s="11">
        <f>-1223.7</f>
        <v>-1223.7</v>
      </c>
      <c r="I88" s="3"/>
      <c r="J88" s="11">
        <f>-196</f>
        <v>-196</v>
      </c>
      <c r="K88" s="3"/>
      <c r="L88" s="11">
        <f t="shared" si="5"/>
        <v>0</v>
      </c>
      <c r="M88" s="3"/>
      <c r="N88" s="11">
        <f t="shared" si="6"/>
        <v>0</v>
      </c>
      <c r="O88" s="3"/>
      <c r="P88" s="11"/>
      <c r="Q88" s="3"/>
      <c r="R88" s="11"/>
    </row>
    <row r="89" spans="1:18" s="7" customFormat="1" hidden="1" outlineLevel="1" x14ac:dyDescent="0.35">
      <c r="A89" s="36"/>
      <c r="B89" s="11" t="str">
        <f>CONCATENATE("          ", "4396", " - ", "SALES RETURN NON TAXABLE-CUSTO")</f>
        <v xml:space="preserve">          4396 - SALES RETURN NON TAXABLE-CUSTO</v>
      </c>
      <c r="D89" s="11">
        <f>-100</f>
        <v>-100</v>
      </c>
      <c r="E89" s="16"/>
      <c r="F89" s="11">
        <f t="shared" ref="F89:F90" si="7">0</f>
        <v>0</v>
      </c>
      <c r="G89" s="3"/>
      <c r="H89" s="11">
        <f t="shared" ref="H89:H90" si="8">0</f>
        <v>0</v>
      </c>
      <c r="I89" s="3"/>
      <c r="J89" s="11">
        <f t="shared" ref="J89:J91" si="9">0</f>
        <v>0</v>
      </c>
      <c r="K89" s="3"/>
      <c r="L89" s="11">
        <f t="shared" si="5"/>
        <v>0</v>
      </c>
      <c r="M89" s="3"/>
      <c r="N89" s="11">
        <f t="shared" si="6"/>
        <v>0</v>
      </c>
      <c r="O89" s="3"/>
      <c r="P89" s="11"/>
      <c r="Q89" s="3"/>
      <c r="R89" s="11"/>
    </row>
    <row r="90" spans="1:18" s="7" customFormat="1" hidden="1" outlineLevel="1" x14ac:dyDescent="0.35">
      <c r="A90" s="36"/>
      <c r="B90" s="11" t="str">
        <f>CONCATENATE("          ", "4398", " - ", "SALES RETURN NON TAXABLE-GRAD")</f>
        <v xml:space="preserve">          4398 - SALES RETURN NON TAXABLE-GRAD</v>
      </c>
      <c r="D90" s="11">
        <f>-374</f>
        <v>-374</v>
      </c>
      <c r="E90" s="16"/>
      <c r="F90" s="11">
        <f t="shared" si="7"/>
        <v>0</v>
      </c>
      <c r="G90" s="3"/>
      <c r="H90" s="11">
        <f t="shared" si="8"/>
        <v>0</v>
      </c>
      <c r="I90" s="3"/>
      <c r="J90" s="11">
        <f t="shared" si="9"/>
        <v>0</v>
      </c>
      <c r="K90" s="3"/>
      <c r="L90" s="11">
        <f t="shared" si="5"/>
        <v>0</v>
      </c>
      <c r="M90" s="3"/>
      <c r="N90" s="11">
        <f t="shared" si="6"/>
        <v>0</v>
      </c>
      <c r="O90" s="3"/>
      <c r="P90" s="11"/>
      <c r="Q90" s="3"/>
      <c r="R90" s="11"/>
    </row>
    <row r="91" spans="1:18" s="7" customFormat="1" hidden="1" outlineLevel="1" x14ac:dyDescent="0.35">
      <c r="A91" s="36"/>
      <c r="B91" s="11" t="str">
        <f>CONCATENATE("          ", "5096", " - ", "PURCHASES @ COST-CUSTOMER SERV")</f>
        <v xml:space="preserve">          5096 - PURCHASES @ COST-CUSTOMER SERV</v>
      </c>
      <c r="D91" s="11">
        <f>-2437.5</f>
        <v>-2437.5</v>
      </c>
      <c r="E91" s="16"/>
      <c r="F91" s="11">
        <f>-4043.75</f>
        <v>-4043.75</v>
      </c>
      <c r="G91" s="3"/>
      <c r="H91" s="11">
        <f>-2337.5</f>
        <v>-2337.5</v>
      </c>
      <c r="I91" s="3"/>
      <c r="J91" s="11">
        <f t="shared" si="9"/>
        <v>0</v>
      </c>
      <c r="K91" s="3"/>
      <c r="L91" s="11">
        <f t="shared" si="5"/>
        <v>0</v>
      </c>
      <c r="M91" s="3"/>
      <c r="N91" s="11">
        <f t="shared" si="6"/>
        <v>0</v>
      </c>
      <c r="O91" s="3"/>
      <c r="P91" s="11"/>
      <c r="Q91" s="3"/>
      <c r="R91" s="11"/>
    </row>
    <row r="92" spans="1:18" s="7" customFormat="1" hidden="1" outlineLevel="1" x14ac:dyDescent="0.35">
      <c r="A92" s="36"/>
      <c r="B92" s="11" t="str">
        <f>CONCATENATE("          ", "9160", " - ", "MISC. INCOME")</f>
        <v xml:space="preserve">          9160 - MISC. INCOME</v>
      </c>
      <c r="D92" s="11">
        <f>--35678.3</f>
        <v>35678.300000000003</v>
      </c>
      <c r="E92" s="16"/>
      <c r="F92" s="11">
        <f>--36250</f>
        <v>36250</v>
      </c>
      <c r="G92" s="3"/>
      <c r="H92" s="11">
        <f>--47850</f>
        <v>47850</v>
      </c>
      <c r="I92" s="3"/>
      <c r="J92" s="11">
        <f>--34795</f>
        <v>34795</v>
      </c>
      <c r="K92" s="3"/>
      <c r="L92" s="11">
        <f>--40000</f>
        <v>40000</v>
      </c>
      <c r="M92" s="3"/>
      <c r="N92" s="11">
        <f>--22475</f>
        <v>22475</v>
      </c>
      <c r="O92" s="3"/>
      <c r="P92" s="11"/>
      <c r="Q92" s="3"/>
      <c r="R92" s="11"/>
    </row>
    <row r="93" spans="1:18" s="7" customFormat="1" hidden="1" outlineLevel="1" x14ac:dyDescent="0.35">
      <c r="A93" s="36"/>
      <c r="B93" s="11" t="str">
        <f>CONCATENATE("          ", "9163", " - ", "MISC. INCOME")</f>
        <v xml:space="preserve">          9163 - MISC. INCOME</v>
      </c>
      <c r="D93" s="11">
        <f>--85172.9</f>
        <v>85172.9</v>
      </c>
      <c r="E93" s="16"/>
      <c r="F93" s="11">
        <f>--85136.5</f>
        <v>85136.5</v>
      </c>
      <c r="G93" s="3"/>
      <c r="H93" s="11">
        <f>--83000.84</f>
        <v>83000.84</v>
      </c>
      <c r="I93" s="3"/>
      <c r="J93" s="11">
        <f>--67876.6</f>
        <v>67876.600000000006</v>
      </c>
      <c r="K93" s="3"/>
      <c r="L93" s="11">
        <f>--68330.75</f>
        <v>68330.75</v>
      </c>
      <c r="M93" s="3"/>
      <c r="N93" s="11">
        <f>--488733.84</f>
        <v>488733.84</v>
      </c>
      <c r="O93" s="3"/>
      <c r="P93" s="11"/>
      <c r="Q93" s="3"/>
      <c r="R93" s="11"/>
    </row>
    <row r="94" spans="1:18" x14ac:dyDescent="0.35">
      <c r="A94" s="12"/>
      <c r="B94" s="7"/>
      <c r="C94" s="7"/>
      <c r="D94" s="6"/>
      <c r="F94" s="6"/>
      <c r="H94" s="6"/>
      <c r="J94" s="6"/>
      <c r="L94" s="6"/>
      <c r="N94" s="6"/>
      <c r="P94" s="6"/>
      <c r="R94" s="6"/>
    </row>
    <row r="95" spans="1:18" s="15" customFormat="1" x14ac:dyDescent="0.35">
      <c r="A95" s="7"/>
      <c r="B95" s="22" t="s">
        <v>279</v>
      </c>
      <c r="C95" s="22"/>
      <c r="D95" s="10">
        <f>+D30-D33+D81</f>
        <v>169216.60999999993</v>
      </c>
      <c r="E95" s="12"/>
      <c r="F95" s="10">
        <f>+F30-F33+F81</f>
        <v>463586.48</v>
      </c>
      <c r="G95" s="5"/>
      <c r="H95" s="10">
        <f>+H30-H33+H81</f>
        <v>639758.14000000013</v>
      </c>
      <c r="I95" s="5"/>
      <c r="J95" s="10">
        <f>+J30-J33+J81</f>
        <v>646384.30000000005</v>
      </c>
      <c r="K95" s="5"/>
      <c r="L95" s="10">
        <f>+L30-L33+L81</f>
        <v>712504.37999999989</v>
      </c>
      <c r="M95" s="5"/>
      <c r="N95" s="10">
        <f>+N30-N33+N81</f>
        <v>513034.33</v>
      </c>
      <c r="O95" s="5"/>
      <c r="P95" s="10">
        <f>+P30-P33+P81</f>
        <v>0</v>
      </c>
      <c r="Q95" s="5"/>
      <c r="R95" s="10">
        <f>+R30-R33+R81</f>
        <v>0</v>
      </c>
    </row>
    <row r="96" spans="1:18" s="27" customFormat="1" x14ac:dyDescent="0.35">
      <c r="A96" s="18"/>
      <c r="B96" s="31"/>
      <c r="C96" s="18"/>
      <c r="D96" s="9">
        <f>IFERROR(D95/D10, 0)</f>
        <v>0.51704953196638259</v>
      </c>
      <c r="E96" s="18"/>
      <c r="F96" s="9">
        <f>IFERROR(F95/F10, 0)</f>
        <v>1.1871601251706847</v>
      </c>
      <c r="G96" s="14"/>
      <c r="H96" s="9">
        <f>IFERROR(H95/H10, 0)</f>
        <v>1.5063931950086007</v>
      </c>
      <c r="I96" s="14"/>
      <c r="J96" s="9">
        <f>IFERROR(J95/J10, 0)</f>
        <v>1.3382008950843649</v>
      </c>
      <c r="K96" s="14"/>
      <c r="L96" s="9">
        <f>IFERROR(L95/L10, 0)</f>
        <v>3.2915563713329514</v>
      </c>
      <c r="M96" s="14"/>
      <c r="N96" s="9">
        <f>IFERROR(N95/N10, 0)</f>
        <v>12.412722503727801</v>
      </c>
      <c r="O96" s="14"/>
      <c r="P96" s="9">
        <f>IFERROR(P95/P10, 0)</f>
        <v>0</v>
      </c>
      <c r="Q96" s="14"/>
      <c r="R96" s="9">
        <f>IFERROR(R95/R10, 0)</f>
        <v>0</v>
      </c>
    </row>
    <row r="97" spans="1:18" s="27" customFormat="1" x14ac:dyDescent="0.35">
      <c r="A97" s="18"/>
      <c r="B97" s="31"/>
      <c r="C97" s="18"/>
      <c r="D97" s="13"/>
      <c r="E97" s="18"/>
      <c r="F97" s="13"/>
      <c r="G97" s="14"/>
      <c r="H97" s="13"/>
      <c r="I97" s="14"/>
      <c r="J97" s="13"/>
      <c r="K97" s="14"/>
      <c r="L97" s="13"/>
      <c r="M97" s="14"/>
      <c r="N97" s="13"/>
      <c r="O97" s="14"/>
      <c r="P97" s="13"/>
      <c r="Q97" s="14"/>
      <c r="R97" s="13"/>
    </row>
    <row r="98" spans="1:18" s="15" customFormat="1" x14ac:dyDescent="0.35">
      <c r="A98" s="37"/>
      <c r="B98" s="7" t="s">
        <v>127</v>
      </c>
      <c r="C98" s="7"/>
      <c r="D98" s="6">
        <v>71119.009999999995</v>
      </c>
      <c r="E98" s="12"/>
      <c r="F98" s="6">
        <v>55590.44</v>
      </c>
      <c r="G98" s="5"/>
      <c r="H98" s="6">
        <v>56784.21</v>
      </c>
      <c r="I98" s="5"/>
      <c r="J98" s="6">
        <v>64828.44</v>
      </c>
      <c r="K98" s="5"/>
      <c r="L98" s="6">
        <v>15428.94</v>
      </c>
      <c r="M98" s="5"/>
      <c r="N98" s="6">
        <v>6258.5</v>
      </c>
      <c r="O98" s="5"/>
      <c r="P98" s="6"/>
      <c r="Q98" s="5"/>
      <c r="R98" s="6"/>
    </row>
    <row r="99" spans="1:18" x14ac:dyDescent="0.35">
      <c r="A99" s="12"/>
      <c r="B99" s="7"/>
      <c r="C99" s="7"/>
      <c r="D99" s="6"/>
      <c r="F99" s="6"/>
      <c r="H99" s="6"/>
      <c r="J99" s="6"/>
      <c r="L99" s="6"/>
      <c r="N99" s="6"/>
      <c r="P99" s="6"/>
      <c r="R99" s="6"/>
    </row>
    <row r="100" spans="1:18" s="15" customFormat="1" x14ac:dyDescent="0.35">
      <c r="A100" s="7"/>
      <c r="B100" s="22" t="s">
        <v>126</v>
      </c>
      <c r="C100" s="22"/>
      <c r="D100" s="10">
        <f>+D95-D98</f>
        <v>98097.599999999933</v>
      </c>
      <c r="E100" s="12"/>
      <c r="F100" s="10">
        <f>+F95-F98</f>
        <v>407996.04</v>
      </c>
      <c r="G100" s="5"/>
      <c r="H100" s="10">
        <f>+H95-H98</f>
        <v>582973.93000000017</v>
      </c>
      <c r="I100" s="5"/>
      <c r="J100" s="10">
        <f>+J95-J98</f>
        <v>581555.8600000001</v>
      </c>
      <c r="K100" s="5"/>
      <c r="L100" s="10">
        <f>+L95-L98</f>
        <v>697075.44</v>
      </c>
      <c r="M100" s="5"/>
      <c r="N100" s="10">
        <f>+N95-N98</f>
        <v>506775.83</v>
      </c>
      <c r="O100" s="5"/>
      <c r="P100" s="10">
        <f>+P95-P98</f>
        <v>0</v>
      </c>
      <c r="Q100" s="5"/>
      <c r="R100" s="10">
        <f>+R95-R98</f>
        <v>0</v>
      </c>
    </row>
    <row r="101" spans="1:18" s="27" customFormat="1" x14ac:dyDescent="0.35">
      <c r="A101" s="18"/>
      <c r="B101" s="18"/>
      <c r="C101" s="18"/>
      <c r="D101" s="9">
        <f>IFERROR(D100/D10, 0)</f>
        <v>0.29974195894259675</v>
      </c>
      <c r="E101" s="18"/>
      <c r="F101" s="9">
        <f>IFERROR(F100/F10, 0)</f>
        <v>1.0448031830340343</v>
      </c>
      <c r="G101" s="14"/>
      <c r="H101" s="9">
        <f>IFERROR(H100/H10, 0)</f>
        <v>1.3726874362543016</v>
      </c>
      <c r="I101" s="14"/>
      <c r="J101" s="9">
        <f>IFERROR(J100/J10, 0)</f>
        <v>1.2039874303778073</v>
      </c>
      <c r="K101" s="14"/>
      <c r="L101" s="9">
        <f>IFERROR(L100/L10, 0)</f>
        <v>3.2202792996608958</v>
      </c>
      <c r="M101" s="14"/>
      <c r="N101" s="9">
        <f>IFERROR(N100/N10, 0)</f>
        <v>12.261299842032667</v>
      </c>
      <c r="O101" s="14"/>
      <c r="P101" s="9">
        <f>IFERROR(P100/P10, 0)</f>
        <v>0</v>
      </c>
      <c r="Q101" s="14"/>
      <c r="R101" s="9">
        <f>IFERROR(R100/R10, 0)</f>
        <v>0</v>
      </c>
    </row>
    <row r="102" spans="1:18" s="27" customFormat="1" x14ac:dyDescent="0.35">
      <c r="A102" s="18"/>
      <c r="B102" s="18"/>
      <c r="C102" s="18"/>
      <c r="D102" s="13"/>
      <c r="E102" s="18"/>
      <c r="F102" s="13"/>
      <c r="G102" s="14"/>
      <c r="H102" s="13"/>
      <c r="I102" s="14"/>
      <c r="J102" s="13"/>
      <c r="K102" s="14"/>
      <c r="L102" s="13"/>
      <c r="M102" s="14"/>
      <c r="N102" s="13"/>
      <c r="O102" s="14"/>
      <c r="P102" s="13"/>
      <c r="Q102" s="14"/>
      <c r="R102" s="13"/>
    </row>
    <row r="103" spans="1:18" x14ac:dyDescent="0.35">
      <c r="A103" s="12"/>
      <c r="B103" s="12"/>
      <c r="C103" s="12"/>
      <c r="D103" s="6"/>
      <c r="F103" s="6"/>
      <c r="H103" s="6"/>
      <c r="J103" s="6"/>
      <c r="L103" s="6"/>
      <c r="N103" s="6"/>
      <c r="P103" s="6"/>
      <c r="R103" s="6"/>
    </row>
    <row r="104" spans="1:18" s="15" customFormat="1" x14ac:dyDescent="0.35">
      <c r="A104" s="7"/>
      <c r="B104" s="22" t="s">
        <v>296</v>
      </c>
      <c r="C104" s="22"/>
      <c r="D104" s="10">
        <f>SUM(D100:D103)</f>
        <v>98097.89974195887</v>
      </c>
      <c r="E104" s="12"/>
      <c r="F104" s="10">
        <f>SUM(F100:F103)</f>
        <v>407997.08480318304</v>
      </c>
      <c r="G104" s="5"/>
      <c r="H104" s="10">
        <f>SUM(H100:H103)</f>
        <v>582975.30268743646</v>
      </c>
      <c r="I104" s="5"/>
      <c r="J104" s="10">
        <f>SUM(J100:J103)</f>
        <v>581557.06398743053</v>
      </c>
      <c r="K104" s="5"/>
      <c r="L104" s="10">
        <f>SUM(L100:L103)</f>
        <v>697078.6602792996</v>
      </c>
      <c r="M104" s="5"/>
      <c r="N104" s="10">
        <f>SUM(N100:N103)</f>
        <v>506788.09129984205</v>
      </c>
      <c r="O104" s="5"/>
      <c r="P104" s="10">
        <f>SUM(P100:P103)</f>
        <v>0</v>
      </c>
      <c r="Q104" s="5"/>
      <c r="R104" s="10">
        <f>SUM(R100:R103)</f>
        <v>0</v>
      </c>
    </row>
    <row r="105" spans="1:18" s="27" customFormat="1" x14ac:dyDescent="0.35">
      <c r="A105" s="18"/>
      <c r="B105" s="41"/>
      <c r="C105" s="18"/>
      <c r="D105" s="9">
        <f>IFERROR(D104/D10, 0)</f>
        <v>0.29974287481864209</v>
      </c>
      <c r="E105" s="18"/>
      <c r="F105" s="9">
        <f>IFERROR(F104/F10, 0)</f>
        <v>1.0448058585837561</v>
      </c>
      <c r="G105" s="14"/>
      <c r="H105" s="9">
        <f>IFERROR(H104/H10, 0)</f>
        <v>1.3726906684242164</v>
      </c>
      <c r="I105" s="14"/>
      <c r="J105" s="9">
        <f>IFERROR(J104/J10, 0)</f>
        <v>1.2039899229771125</v>
      </c>
      <c r="K105" s="14"/>
      <c r="L105" s="9">
        <f>IFERROR(L104/L10, 0)</f>
        <v>3.220294176384666</v>
      </c>
      <c r="M105" s="14"/>
      <c r="N105" s="9">
        <f>IFERROR(N104/N10, 0)</f>
        <v>12.261596500762062</v>
      </c>
      <c r="O105" s="14"/>
      <c r="P105" s="9">
        <f>IFERROR(P104/P10, 0)</f>
        <v>0</v>
      </c>
      <c r="Q105" s="14"/>
      <c r="R105" s="9">
        <f>IFERROR(R104/R10, 0)</f>
        <v>0</v>
      </c>
    </row>
    <row r="106" spans="1:18" x14ac:dyDescent="0.35">
      <c r="A106" s="12"/>
      <c r="B106" s="40">
        <v>44319.883572604165</v>
      </c>
      <c r="D106" s="24"/>
      <c r="F106" s="24"/>
      <c r="H106" s="24"/>
      <c r="J106" s="24"/>
      <c r="L106" s="24"/>
      <c r="N106" s="24"/>
      <c r="P106" s="24"/>
      <c r="R106" s="24"/>
    </row>
    <row r="107" spans="1:18" x14ac:dyDescent="0.35">
      <c r="A107" s="12"/>
      <c r="B107" s="39" t="s">
        <v>23</v>
      </c>
      <c r="D107" s="24"/>
      <c r="F107" s="24"/>
      <c r="H107" s="24"/>
      <c r="J107" s="24"/>
      <c r="L107" s="24"/>
      <c r="N107" s="24"/>
      <c r="P107" s="24"/>
      <c r="R107" s="24"/>
    </row>
    <row r="108" spans="1:18" x14ac:dyDescent="0.35">
      <c r="A108" s="12"/>
      <c r="D108" s="24"/>
      <c r="F108" s="24"/>
      <c r="H108" s="24"/>
      <c r="J108" s="24"/>
      <c r="L108" s="24"/>
      <c r="N108" s="24"/>
      <c r="P108" s="24"/>
      <c r="R108" s="24"/>
    </row>
    <row r="109" spans="1:18" x14ac:dyDescent="0.35">
      <c r="D109" s="24"/>
      <c r="F109" s="24"/>
      <c r="H109" s="24"/>
      <c r="J109" s="24"/>
      <c r="L109" s="24"/>
      <c r="N109" s="24"/>
      <c r="P109" s="24"/>
      <c r="R109" s="24"/>
    </row>
  </sheetData>
  <pageMargins left="0.5" right="0.5" top="0.5" bottom="0.5" header="0.3" footer="0.3"/>
  <pageSetup scale="59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1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","321", " - ", "Corner Market")</f>
        <v>Department 321 - Corner Market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241000.72999999998</v>
      </c>
      <c r="F10" s="8">
        <f>SUM(OSRRefF11x_0)</f>
        <v>280779.17</v>
      </c>
      <c r="G10" s="8"/>
      <c r="H10" s="8">
        <f>SUM(OSRRefH11x_0)</f>
        <v>369431.45</v>
      </c>
      <c r="I10" s="8"/>
      <c r="J10" s="8">
        <f>SUM(OSRRefJ11x_0)</f>
        <v>315026.07</v>
      </c>
      <c r="K10" s="8"/>
      <c r="L10" s="8">
        <f>SUM(OSRRefL11x_0)</f>
        <v>320984.98</v>
      </c>
      <c r="M10" s="8"/>
      <c r="N10" s="8">
        <f>SUM(OSRRefN11x_0)</f>
        <v>281486.67000000004</v>
      </c>
      <c r="O10" s="8"/>
      <c r="P10" s="8">
        <f>SUM(OSRRefP11x_0)</f>
        <v>115155</v>
      </c>
      <c r="Q10" s="8"/>
      <c r="R10" s="8">
        <f>SUM(OSRRefR11x_0)</f>
        <v>157429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/>
      <c r="Q11" s="3"/>
      <c r="R11" s="11">
        <v>36556</v>
      </c>
    </row>
    <row r="12" spans="1:18" s="16" customFormat="1" hidden="1" outlineLevel="1" x14ac:dyDescent="0.35">
      <c r="B12" s="35" t="str">
        <f>CONCATENATE("          ", "4032", " - ", "TAXABLE SALES-JUICE")</f>
        <v xml:space="preserve">          4032 - TAXABLE SALES-JUICE</v>
      </c>
      <c r="D12" s="11">
        <f>-71601.55*-1</f>
        <v>71601.55</v>
      </c>
      <c r="F12" s="11">
        <f>-79166.02*-1</f>
        <v>79166.02</v>
      </c>
      <c r="G12" s="3"/>
      <c r="H12" s="11">
        <f>-77956.81*-1</f>
        <v>77956.81</v>
      </c>
      <c r="I12" s="3"/>
      <c r="J12" s="11">
        <f>--78879.32</f>
        <v>78879.320000000007</v>
      </c>
      <c r="K12" s="3"/>
      <c r="L12" s="11">
        <f>--80766.22</f>
        <v>80766.22</v>
      </c>
      <c r="M12" s="3"/>
      <c r="N12" s="11">
        <f>--65192.75</f>
        <v>65192.75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115155</v>
      </c>
      <c r="Q13" s="3"/>
      <c r="R13" s="11">
        <v>120873</v>
      </c>
    </row>
    <row r="14" spans="1:18" s="16" customFormat="1" hidden="1" outlineLevel="1" x14ac:dyDescent="0.35">
      <c r="B14" s="35" t="str">
        <f>CONCATENATE("          ", "4132", " - ", "NON-TAXABLE SALES-JUICE")</f>
        <v xml:space="preserve">          4132 - NON-TAXABLE SALES-JUICE</v>
      </c>
      <c r="D14" s="11">
        <f>-169399.18*-1</f>
        <v>169399.18</v>
      </c>
      <c r="F14" s="11">
        <f>-201613.15*-1</f>
        <v>201613.15</v>
      </c>
      <c r="G14" s="3"/>
      <c r="H14" s="11">
        <f>-291474.64*-1</f>
        <v>291474.64</v>
      </c>
      <c r="I14" s="3"/>
      <c r="J14" s="11">
        <f>--236146.75</f>
        <v>236146.75</v>
      </c>
      <c r="K14" s="3"/>
      <c r="L14" s="11">
        <f>--240218.76</f>
        <v>240218.76</v>
      </c>
      <c r="M14" s="3"/>
      <c r="N14" s="11">
        <f>--216293.92</f>
        <v>216293.92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125160.11</v>
      </c>
      <c r="E16" s="8"/>
      <c r="F16" s="8">
        <f>SUM(OSRRefF14x_0)</f>
        <v>147746.48000000001</v>
      </c>
      <c r="G16" s="8"/>
      <c r="H16" s="8">
        <f>SUM(OSRRefH14x_0)</f>
        <v>193836.91</v>
      </c>
      <c r="I16" s="8"/>
      <c r="J16" s="8">
        <f>SUM(OSRRefJ14x_0)</f>
        <v>172744.68</v>
      </c>
      <c r="K16" s="8"/>
      <c r="L16" s="8">
        <f>SUM(OSRRefL14x_0)</f>
        <v>157569.79999999999</v>
      </c>
      <c r="M16" s="8"/>
      <c r="N16" s="8">
        <f>SUM(OSRRefN14x_0)</f>
        <v>146811.78</v>
      </c>
      <c r="O16" s="8"/>
      <c r="P16" s="8">
        <f>SUM(OSRRefP14x_0)</f>
        <v>60295</v>
      </c>
      <c r="Q16" s="8"/>
      <c r="R16" s="8">
        <f>SUM(OSRRefR14x_0)</f>
        <v>77139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60295</v>
      </c>
      <c r="Q17" s="3"/>
      <c r="R17" s="11">
        <v>77139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100870</v>
      </c>
      <c r="E18" s="16"/>
      <c r="F18" s="11">
        <v>108819.52</v>
      </c>
      <c r="G18" s="3"/>
      <c r="H18" s="11">
        <v>167009.09</v>
      </c>
      <c r="I18" s="3"/>
      <c r="J18" s="11">
        <v>140552.87</v>
      </c>
      <c r="K18" s="3"/>
      <c r="L18" s="11">
        <v>134249.18</v>
      </c>
      <c r="M18" s="3"/>
      <c r="N18" s="11">
        <v>132578.99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24290.11</v>
      </c>
      <c r="E19" s="16"/>
      <c r="F19" s="11">
        <v>38926.959999999999</v>
      </c>
      <c r="G19" s="3"/>
      <c r="H19" s="11">
        <v>26827.82</v>
      </c>
      <c r="I19" s="3"/>
      <c r="J19" s="11">
        <v>32191.81</v>
      </c>
      <c r="K19" s="3"/>
      <c r="L19" s="11">
        <v>23320.62</v>
      </c>
      <c r="M19" s="3"/>
      <c r="N19" s="11">
        <v>14232.79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115840.61999999998</v>
      </c>
      <c r="E21" s="12"/>
      <c r="F21" s="10">
        <f>+F10-F16</f>
        <v>133032.68999999997</v>
      </c>
      <c r="G21" s="5"/>
      <c r="H21" s="10">
        <f>+H10-H16</f>
        <v>175594.54</v>
      </c>
      <c r="I21" s="5"/>
      <c r="J21" s="10">
        <f>+J10-J16</f>
        <v>142281.39000000001</v>
      </c>
      <c r="K21" s="5"/>
      <c r="L21" s="10">
        <f>+L10-L16</f>
        <v>163415.18</v>
      </c>
      <c r="M21" s="5"/>
      <c r="N21" s="10">
        <f>+N10-N16</f>
        <v>134674.89000000004</v>
      </c>
      <c r="O21" s="5"/>
      <c r="P21" s="10">
        <f>+P10-P16</f>
        <v>54860</v>
      </c>
      <c r="Q21" s="5"/>
      <c r="R21" s="10">
        <f>+R10-R16</f>
        <v>80290</v>
      </c>
    </row>
    <row r="22" spans="1:18" s="27" customFormat="1" x14ac:dyDescent="0.35">
      <c r="A22" s="18"/>
      <c r="B22" s="31"/>
      <c r="C22" s="18"/>
      <c r="D22" s="9">
        <f>IFERROR(D21/D10, 0)</f>
        <v>0.48066501707276982</v>
      </c>
      <c r="E22" s="13"/>
      <c r="F22" s="9">
        <f>IFERROR(F21/F10, 0)</f>
        <v>0.47379828781458388</v>
      </c>
      <c r="G22" s="26"/>
      <c r="H22" s="9">
        <f>IFERROR(H21/H10, 0)</f>
        <v>0.47531020978316818</v>
      </c>
      <c r="I22" s="26"/>
      <c r="J22" s="9">
        <f>IFERROR(J21/J10, 0)</f>
        <v>0.45164957300200587</v>
      </c>
      <c r="K22" s="26"/>
      <c r="L22" s="9">
        <f>IFERROR(L21/L10, 0)</f>
        <v>0.50910537932335653</v>
      </c>
      <c r="M22" s="26"/>
      <c r="N22" s="9">
        <f>IFERROR(N21/N10, 0)</f>
        <v>0.47844144804441369</v>
      </c>
      <c r="O22" s="26"/>
      <c r="P22" s="9">
        <f>IFERROR(P21/P10, 0)</f>
        <v>0.47640137206374017</v>
      </c>
      <c r="Q22" s="26"/>
      <c r="R22" s="9">
        <f>IFERROR(R21/R10, 0)</f>
        <v>0.51000768600448454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100402.49</v>
      </c>
      <c r="E24" s="19"/>
      <c r="F24" s="8">
        <f>SUM(OSRRefF21x_0)</f>
        <v>96746.799999999974</v>
      </c>
      <c r="G24" s="4"/>
      <c r="H24" s="8">
        <f>SUM(OSRRefH21x_0)</f>
        <v>117875.23000000001</v>
      </c>
      <c r="I24" s="4"/>
      <c r="J24" s="8">
        <f>SUM(OSRRefJ21x_0)</f>
        <v>104870.12</v>
      </c>
      <c r="K24" s="4"/>
      <c r="L24" s="8">
        <f>SUM(OSRRefL21x_0)</f>
        <v>106397.20999999999</v>
      </c>
      <c r="M24" s="4"/>
      <c r="N24" s="8">
        <f>SUM(OSRRefN21x_0)</f>
        <v>122078.97</v>
      </c>
      <c r="O24" s="4"/>
      <c r="P24" s="8">
        <f>SUM(OSRRefP21x_0)</f>
        <v>101591.3217878</v>
      </c>
      <c r="Q24" s="4"/>
      <c r="R24" s="8">
        <f>SUM(OSRRefR21x_0)</f>
        <v>88650.110832999999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14233.199999999999</v>
      </c>
      <c r="E25" s="19"/>
      <c r="F25" s="1">
        <f>SUM(OSRRefF21_0x_0)</f>
        <v>4042.1100000000006</v>
      </c>
      <c r="G25" s="4"/>
      <c r="H25" s="1">
        <f>SUM(OSRRefH21_0x_0)</f>
        <v>1137.79</v>
      </c>
      <c r="I25" s="4"/>
      <c r="J25" s="1">
        <f>SUM(OSRRefJ21_0x_0)</f>
        <v>1604.4700000000003</v>
      </c>
      <c r="K25" s="4"/>
      <c r="L25" s="1">
        <f>SUM(OSRRefL21_0x_0)</f>
        <v>1070.8499999999999</v>
      </c>
      <c r="M25" s="4"/>
      <c r="N25" s="1">
        <f>SUM(OSRRefN21_0x_0)</f>
        <v>10137.439999999999</v>
      </c>
      <c r="O25" s="4"/>
      <c r="P25" s="1">
        <f>SUM(OSRRefP21_0x_0)</f>
        <v>4411.3817878</v>
      </c>
      <c r="Q25" s="4"/>
      <c r="R25" s="1">
        <f>SUM(OSRRefR21_0x_0)</f>
        <v>4635.3958330000005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769.45</v>
      </c>
      <c r="F26" s="2">
        <v>1663.14</v>
      </c>
      <c r="G26" s="3"/>
      <c r="H26" s="2">
        <v>255.39</v>
      </c>
      <c r="I26" s="3"/>
      <c r="J26" s="2">
        <v>1087.69</v>
      </c>
      <c r="K26" s="3"/>
      <c r="L26" s="2">
        <v>567.9</v>
      </c>
      <c r="M26" s="3"/>
      <c r="N26" s="2">
        <v>2418.25</v>
      </c>
      <c r="O26" s="3"/>
      <c r="P26" s="2">
        <v>1750.6589538000001</v>
      </c>
      <c r="Q26" s="3"/>
      <c r="R26" s="2">
        <v>1439.2308330000001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696.44</v>
      </c>
      <c r="F27" s="2">
        <v>1211.8800000000001</v>
      </c>
      <c r="G27" s="3"/>
      <c r="H27" s="2">
        <v>739.98</v>
      </c>
      <c r="I27" s="3"/>
      <c r="J27" s="2">
        <v>387.88</v>
      </c>
      <c r="K27" s="3"/>
      <c r="L27" s="2">
        <v>403.63</v>
      </c>
      <c r="M27" s="3"/>
      <c r="N27" s="2">
        <v>874.82</v>
      </c>
      <c r="O27" s="3"/>
      <c r="P27" s="2">
        <v>963.27539000000002</v>
      </c>
      <c r="Q27" s="3"/>
      <c r="R27" s="2">
        <v>1730.49505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7625.76</v>
      </c>
      <c r="F28" s="2"/>
      <c r="G28" s="3"/>
      <c r="H28" s="2"/>
      <c r="I28" s="3"/>
      <c r="J28" s="2"/>
      <c r="K28" s="3"/>
      <c r="L28" s="2"/>
      <c r="M28" s="3"/>
      <c r="N28" s="2">
        <v>4676.5</v>
      </c>
      <c r="O28" s="3"/>
      <c r="P28" s="2">
        <v>0</v>
      </c>
      <c r="Q28" s="3"/>
      <c r="R28" s="2">
        <v>0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273.11</v>
      </c>
      <c r="F29" s="2">
        <v>292.98</v>
      </c>
      <c r="G29" s="3"/>
      <c r="H29" s="2">
        <v>142.41999999999999</v>
      </c>
      <c r="I29" s="3"/>
      <c r="J29" s="2">
        <v>128.9</v>
      </c>
      <c r="K29" s="3"/>
      <c r="L29" s="2">
        <v>99.32</v>
      </c>
      <c r="M29" s="3"/>
      <c r="N29" s="2">
        <v>0</v>
      </c>
      <c r="O29" s="3"/>
      <c r="P29" s="2">
        <v>135.379244</v>
      </c>
      <c r="Q29" s="3"/>
      <c r="R29" s="2">
        <v>95.884950000000003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656.8</v>
      </c>
      <c r="F30" s="2"/>
      <c r="G30" s="3"/>
      <c r="H30" s="2"/>
      <c r="I30" s="3"/>
      <c r="J30" s="2"/>
      <c r="K30" s="3"/>
      <c r="L30" s="2"/>
      <c r="M30" s="3"/>
      <c r="N30" s="2">
        <v>670.55</v>
      </c>
      <c r="O30" s="3"/>
      <c r="P30" s="2">
        <v>0</v>
      </c>
      <c r="Q30" s="3"/>
      <c r="R30" s="2">
        <v>0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>
        <v>1550.84</v>
      </c>
      <c r="F32" s="2"/>
      <c r="G32" s="3"/>
      <c r="H32" s="2"/>
      <c r="I32" s="3"/>
      <c r="J32" s="2"/>
      <c r="K32" s="3"/>
      <c r="L32" s="2"/>
      <c r="M32" s="3"/>
      <c r="N32" s="2">
        <v>1098.8</v>
      </c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>
        <v>898.66</v>
      </c>
      <c r="F33" s="2"/>
      <c r="G33" s="3"/>
      <c r="H33" s="2"/>
      <c r="I33" s="3"/>
      <c r="J33" s="2"/>
      <c r="K33" s="3"/>
      <c r="L33" s="2"/>
      <c r="M33" s="3"/>
      <c r="N33" s="2">
        <v>398.52</v>
      </c>
      <c r="O33" s="3"/>
      <c r="P33" s="2">
        <v>1562.0681999999999</v>
      </c>
      <c r="Q33" s="3"/>
      <c r="R33" s="2">
        <v>1369.7850000000001</v>
      </c>
    </row>
    <row r="34" spans="1:18" s="16" customFormat="1" hidden="1" outlineLevel="2" x14ac:dyDescent="0.35">
      <c r="B34" s="11" t="str">
        <f>CONCATENATE("          ", "6156", " - ", "EMPLOYEE MEALS")</f>
        <v xml:space="preserve">          6156 - EMPLOYEE MEALS</v>
      </c>
      <c r="D34" s="2">
        <v>1762.14</v>
      </c>
      <c r="F34" s="2">
        <v>874.11</v>
      </c>
      <c r="G34" s="3"/>
      <c r="H34" s="2"/>
      <c r="I34" s="3"/>
      <c r="J34" s="2"/>
      <c r="K34" s="3"/>
      <c r="L34" s="2"/>
      <c r="M34" s="3"/>
      <c r="N34" s="2"/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","*Payroll                                          ")</f>
        <v xml:space="preserve">     *Payroll                                          </v>
      </c>
      <c r="C35" s="7"/>
      <c r="D35" s="1">
        <f>SUM(OSRRefD21_1x_0)</f>
        <v>32633.329999999998</v>
      </c>
      <c r="E35" s="19"/>
      <c r="F35" s="1">
        <f>SUM(OSRRefF21_1x_0)</f>
        <v>44043.72</v>
      </c>
      <c r="G35" s="4"/>
      <c r="H35" s="1">
        <f>SUM(OSRRefH21_1x_0)</f>
        <v>41444.829999999994</v>
      </c>
      <c r="I35" s="4"/>
      <c r="J35" s="1">
        <f>SUM(OSRRefJ21_1x_0)</f>
        <v>38854.26</v>
      </c>
      <c r="K35" s="4"/>
      <c r="L35" s="1">
        <f>SUM(OSRRefL21_1x_0)</f>
        <v>41786.589999999997</v>
      </c>
      <c r="M35" s="4"/>
      <c r="N35" s="1">
        <f>SUM(OSRRefN21_1x_0)</f>
        <v>51305.1</v>
      </c>
      <c r="O35" s="4"/>
      <c r="P35" s="1">
        <f>SUM(OSRRefP21_1x_0)</f>
        <v>52068.94</v>
      </c>
      <c r="Q35" s="4"/>
      <c r="R35" s="1">
        <f>SUM(OSRRefR21_1x_0)</f>
        <v>44289.714999999997</v>
      </c>
    </row>
    <row r="36" spans="1:18" s="16" customFormat="1" hidden="1" outlineLevel="2" x14ac:dyDescent="0.35">
      <c r="B36" s="11" t="str">
        <f>CONCATENATE("          ", "6001", " - ", "ADMINISTRATIVE SALARIES")</f>
        <v xml:space="preserve">          6001 - ADMINISTRATIVE SALARIES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"6002", " - ", "STAFF SALARIES")</f>
        <v xml:space="preserve">          6002 - STAFF SALARIES</v>
      </c>
      <c r="D37" s="2">
        <v>3598.75</v>
      </c>
      <c r="F37" s="2"/>
      <c r="G37" s="3"/>
      <c r="H37" s="2"/>
      <c r="I37" s="3"/>
      <c r="J37" s="2"/>
      <c r="K37" s="3"/>
      <c r="L37" s="2"/>
      <c r="M37" s="3"/>
      <c r="N37" s="2">
        <v>10272</v>
      </c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"6003", " - ", "STAFF HOURLY-9 MONTH")</f>
        <v xml:space="preserve">          6003 - STAFF HOURLY-9 MONTH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"6004", " - ", "STAFF HOURLY")</f>
        <v xml:space="preserve">          6004 - STAFF HOURLY</v>
      </c>
      <c r="D39" s="2">
        <v>1111.4100000000001</v>
      </c>
      <c r="F39" s="2">
        <v>702</v>
      </c>
      <c r="G39" s="3"/>
      <c r="H39" s="2">
        <v>383.01</v>
      </c>
      <c r="I39" s="3"/>
      <c r="J39" s="2"/>
      <c r="K39" s="3"/>
      <c r="L39" s="2"/>
      <c r="M39" s="3"/>
      <c r="N39" s="2"/>
      <c r="O39" s="3"/>
      <c r="P39" s="2">
        <v>22875.46</v>
      </c>
      <c r="Q39" s="3"/>
      <c r="R39" s="2">
        <v>18241.917000000001</v>
      </c>
    </row>
    <row r="40" spans="1:18" s="16" customFormat="1" hidden="1" outlineLevel="2" x14ac:dyDescent="0.35">
      <c r="B40" s="11" t="str">
        <f>CONCATENATE("          ", "6005", " - ", "TEMPORARY WAGES-HOURLY")</f>
        <v xml:space="preserve">          6005 - TEMPORARY WAGES-HOURLY</v>
      </c>
      <c r="D40" s="2"/>
      <c r="F40" s="2">
        <v>14985.76</v>
      </c>
      <c r="G40" s="3"/>
      <c r="H40" s="2">
        <v>2213.64</v>
      </c>
      <c r="I40" s="3"/>
      <c r="J40" s="2"/>
      <c r="K40" s="3"/>
      <c r="L40" s="2">
        <v>4442.29</v>
      </c>
      <c r="M40" s="3"/>
      <c r="N40" s="2">
        <v>3822.17</v>
      </c>
      <c r="O40" s="3"/>
      <c r="P40" s="2">
        <v>9726.48</v>
      </c>
      <c r="Q40" s="3"/>
      <c r="R40" s="2">
        <v>0</v>
      </c>
    </row>
    <row r="41" spans="1:18" s="16" customFormat="1" hidden="1" outlineLevel="2" x14ac:dyDescent="0.35">
      <c r="B41" s="11" t="str">
        <f>CONCATENATE("          ", "6006", " - ", "TEMPORARY PART TIME")</f>
        <v xml:space="preserve">          6006 - TEMPORARY PART TIME</v>
      </c>
      <c r="D41" s="2"/>
      <c r="F41" s="2">
        <v>4648.34</v>
      </c>
      <c r="G41" s="3"/>
      <c r="H41" s="2">
        <v>91.88</v>
      </c>
      <c r="I41" s="3"/>
      <c r="J41" s="2">
        <v>11745.43</v>
      </c>
      <c r="K41" s="3"/>
      <c r="L41" s="2">
        <v>940.82</v>
      </c>
      <c r="M41" s="3"/>
      <c r="N41" s="2">
        <v>13120.47</v>
      </c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"6007", " - ", "STUDENT HOURLY")</f>
        <v xml:space="preserve">          6007 - STUDENT HOURLY</v>
      </c>
      <c r="D42" s="2">
        <v>27923.17</v>
      </c>
      <c r="F42" s="2">
        <v>23707.62</v>
      </c>
      <c r="G42" s="3"/>
      <c r="H42" s="2">
        <v>38454.42</v>
      </c>
      <c r="I42" s="3"/>
      <c r="J42" s="2">
        <v>27062.080000000002</v>
      </c>
      <c r="K42" s="3"/>
      <c r="L42" s="2">
        <v>34119.71</v>
      </c>
      <c r="M42" s="3"/>
      <c r="N42" s="2">
        <v>23036.15</v>
      </c>
      <c r="O42" s="3"/>
      <c r="P42" s="2">
        <v>0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"6008", " - ", "STUDENT HOURLY-FICA EXEMPT")</f>
        <v xml:space="preserve">          6008 - STUDENT HOURLY-FICA EXEMPT</v>
      </c>
      <c r="D43" s="2"/>
      <c r="F43" s="2"/>
      <c r="G43" s="3"/>
      <c r="H43" s="2">
        <v>301.88</v>
      </c>
      <c r="I43" s="3"/>
      <c r="J43" s="2">
        <v>46.75</v>
      </c>
      <c r="K43" s="3"/>
      <c r="L43" s="2">
        <v>2283.77</v>
      </c>
      <c r="M43" s="3"/>
      <c r="N43" s="2">
        <v>1054.31</v>
      </c>
      <c r="O43" s="3"/>
      <c r="P43" s="2">
        <v>19467</v>
      </c>
      <c r="Q43" s="3"/>
      <c r="R43" s="2">
        <v>26047.797999999999</v>
      </c>
    </row>
    <row r="44" spans="1:18" s="16" customFormat="1" hidden="1" outlineLevel="2" x14ac:dyDescent="0.35">
      <c r="B44" s="11" t="str">
        <f>CONCATENATE("          ", "6009", " - ", "TEMPORARY-SEASONAL")</f>
        <v xml:space="preserve">          6009 - TEMPORARY-SEASONAL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>
        <v>0</v>
      </c>
    </row>
    <row r="45" spans="1:18" s="16" customFormat="1" hidden="1" outlineLevel="2" x14ac:dyDescent="0.35">
      <c r="B45" s="11" t="str">
        <f>CONCATENATE("          ", "6010", " - ", "GRATUITY")</f>
        <v xml:space="preserve">          6010 - GRATUITY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5" customFormat="1" outlineLevel="1" collapsed="1" x14ac:dyDescent="0.35">
      <c r="A46" s="7"/>
      <c r="B46" s="20" t="str">
        <f>CONCATENATE("     ","Advertising/Promo                                 ")</f>
        <v xml:space="preserve">     Advertising/Promo                                 </v>
      </c>
      <c r="C46" s="7"/>
      <c r="D46" s="1">
        <f>SUM(OSRRefD21_2x_0)</f>
        <v>4506.79</v>
      </c>
      <c r="E46" s="19"/>
      <c r="F46" s="1">
        <f>SUM(OSRRefF21_2x_0)</f>
        <v>1519.59</v>
      </c>
      <c r="G46" s="4"/>
      <c r="H46" s="1">
        <f>SUM(OSRRefH21_2x_0)</f>
        <v>1174.3699999999999</v>
      </c>
      <c r="I46" s="4"/>
      <c r="J46" s="1">
        <f>SUM(OSRRefJ21_2x_0)</f>
        <v>148.12</v>
      </c>
      <c r="K46" s="4"/>
      <c r="L46" s="1">
        <f>SUM(OSRRefL21_2x_0)</f>
        <v>976.5</v>
      </c>
      <c r="M46" s="4"/>
      <c r="N46" s="1">
        <f>SUM(OSRRefN21_2x_0)</f>
        <v>2.4900000000000002</v>
      </c>
      <c r="O46" s="4"/>
      <c r="P46" s="1">
        <f>SUM(OSRRefP21_2x_0)</f>
        <v>1000</v>
      </c>
      <c r="Q46" s="4"/>
      <c r="R46" s="1">
        <f>SUM(OSRRefR21_2x_0)</f>
        <v>0</v>
      </c>
    </row>
    <row r="47" spans="1:18" s="16" customFormat="1" hidden="1" outlineLevel="2" x14ac:dyDescent="0.35">
      <c r="B47" s="11" t="str">
        <f>CONCATENATE("          ", "6362", " - ", "ADVERTISING EXPENSE")</f>
        <v xml:space="preserve">          6362 - ADVERTISING EXPENSE</v>
      </c>
      <c r="D47" s="2">
        <v>4506.79</v>
      </c>
      <c r="F47" s="2">
        <v>1519.59</v>
      </c>
      <c r="G47" s="3"/>
      <c r="H47" s="2">
        <v>1174.3699999999999</v>
      </c>
      <c r="I47" s="3"/>
      <c r="J47" s="2">
        <v>148.12</v>
      </c>
      <c r="K47" s="3"/>
      <c r="L47" s="2">
        <v>976.5</v>
      </c>
      <c r="M47" s="3"/>
      <c r="N47" s="2">
        <v>2.4900000000000002</v>
      </c>
      <c r="O47" s="3"/>
      <c r="P47" s="2">
        <v>1000</v>
      </c>
      <c r="Q47" s="3"/>
      <c r="R47" s="2">
        <v>0</v>
      </c>
    </row>
    <row r="48" spans="1:18" s="15" customFormat="1" outlineLevel="1" collapsed="1" x14ac:dyDescent="0.35">
      <c r="A48" s="7"/>
      <c r="B48" s="20" t="str">
        <f>CONCATENATE("     ","Bad Debts/Over/Short                              ")</f>
        <v xml:space="preserve">     Bad Debts/Over/Short                              </v>
      </c>
      <c r="C48" s="7"/>
      <c r="D48" s="1">
        <f>SUM(OSRRefD21_3x_0)</f>
        <v>230.96</v>
      </c>
      <c r="E48" s="19"/>
      <c r="F48" s="1">
        <f>SUM(OSRRefF21_3x_0)</f>
        <v>59.9</v>
      </c>
      <c r="G48" s="4"/>
      <c r="H48" s="1">
        <f>SUM(OSRRefH21_3x_0)</f>
        <v>-552.88</v>
      </c>
      <c r="I48" s="4"/>
      <c r="J48" s="1">
        <f>SUM(OSRRefJ21_3x_0)</f>
        <v>-187.9</v>
      </c>
      <c r="K48" s="4"/>
      <c r="L48" s="1">
        <f>SUM(OSRRefL21_3x_0)</f>
        <v>417.51</v>
      </c>
      <c r="M48" s="4"/>
      <c r="N48" s="1">
        <f>SUM(OSRRefN21_3x_0)</f>
        <v>-74.03</v>
      </c>
      <c r="O48" s="4"/>
      <c r="P48" s="1">
        <f>SUM(OSRRefP21_3x_0)</f>
        <v>0</v>
      </c>
      <c r="Q48" s="4"/>
      <c r="R48" s="1">
        <f>SUM(OSRRefR21_3x_0)</f>
        <v>0</v>
      </c>
    </row>
    <row r="49" spans="1:18" s="16" customFormat="1" hidden="1" outlineLevel="2" x14ac:dyDescent="0.35">
      <c r="B49" s="11" t="str">
        <f>CONCATENATE("          ", "6272", " - ", "CASH (OVER/SHORT)")</f>
        <v xml:space="preserve">          6272 - CASH (OVER/SHORT)</v>
      </c>
      <c r="D49" s="2">
        <v>230.96</v>
      </c>
      <c r="F49" s="2">
        <v>59.9</v>
      </c>
      <c r="G49" s="3"/>
      <c r="H49" s="2">
        <v>-552.88</v>
      </c>
      <c r="I49" s="3"/>
      <c r="J49" s="2">
        <v>-187.9</v>
      </c>
      <c r="K49" s="3"/>
      <c r="L49" s="2">
        <v>417.51</v>
      </c>
      <c r="M49" s="3"/>
      <c r="N49" s="2">
        <v>-74.03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","Bank/card Fees                                    ")</f>
        <v xml:space="preserve">     Bank/card Fees                                    </v>
      </c>
      <c r="C50" s="7"/>
      <c r="D50" s="1">
        <f>SUM(OSRRefD21_4x_0)</f>
        <v>7659.32</v>
      </c>
      <c r="E50" s="19"/>
      <c r="F50" s="1">
        <f>SUM(OSRRefF21_4x_0)</f>
        <v>10994.16</v>
      </c>
      <c r="G50" s="4"/>
      <c r="H50" s="1">
        <f>SUM(OSRRefH21_4x_0)</f>
        <v>10444.620000000001</v>
      </c>
      <c r="I50" s="4"/>
      <c r="J50" s="1">
        <f>SUM(OSRRefJ21_4x_0)</f>
        <v>10358.370000000001</v>
      </c>
      <c r="K50" s="4"/>
      <c r="L50" s="1">
        <f>SUM(OSRRefL21_4x_0)</f>
        <v>10319.9</v>
      </c>
      <c r="M50" s="4"/>
      <c r="N50" s="1">
        <f>SUM(OSRRefN21_4x_0)</f>
        <v>10703.22</v>
      </c>
      <c r="O50" s="4"/>
      <c r="P50" s="1">
        <f>SUM(OSRRefP21_4x_0)</f>
        <v>7294</v>
      </c>
      <c r="Q50" s="4"/>
      <c r="R50" s="1">
        <f>SUM(OSRRefR21_4x_0)</f>
        <v>5368</v>
      </c>
    </row>
    <row r="51" spans="1:18" s="16" customFormat="1" hidden="1" outlineLevel="2" x14ac:dyDescent="0.35">
      <c r="B51" s="11" t="str">
        <f>CONCATENATE("          ", "6381", " - ", "BANK/CREDIT CARD FEES")</f>
        <v xml:space="preserve">          6381 - BANK/CREDIT CARD FEES</v>
      </c>
      <c r="D51" s="2">
        <v>7659.32</v>
      </c>
      <c r="F51" s="2">
        <v>10994.16</v>
      </c>
      <c r="G51" s="3"/>
      <c r="H51" s="2">
        <v>10444.620000000001</v>
      </c>
      <c r="I51" s="3"/>
      <c r="J51" s="2">
        <v>10358.370000000001</v>
      </c>
      <c r="K51" s="3"/>
      <c r="L51" s="2">
        <v>10319.9</v>
      </c>
      <c r="M51" s="3"/>
      <c r="N51" s="2">
        <v>10703.22</v>
      </c>
      <c r="O51" s="3"/>
      <c r="P51" s="2">
        <v>7294</v>
      </c>
      <c r="Q51" s="3"/>
      <c r="R51" s="2">
        <v>5368</v>
      </c>
    </row>
    <row r="52" spans="1:18" s="15" customFormat="1" outlineLevel="1" collapsed="1" x14ac:dyDescent="0.35">
      <c r="A52" s="7"/>
      <c r="B52" s="20" t="str">
        <f>CONCATENATE("     ","Depreciation                                      ")</f>
        <v xml:space="preserve">     Depreciation                                      </v>
      </c>
      <c r="C52" s="7"/>
      <c r="D52" s="1">
        <f>SUM(OSRRefD21_5x_0)</f>
        <v>0</v>
      </c>
      <c r="E52" s="19"/>
      <c r="F52" s="1">
        <f>SUM(OSRRefF21_5x_0)</f>
        <v>0</v>
      </c>
      <c r="G52" s="4"/>
      <c r="H52" s="1">
        <f>SUM(OSRRefH21_5x_0)</f>
        <v>7455.11</v>
      </c>
      <c r="I52" s="4"/>
      <c r="J52" s="1">
        <f>SUM(OSRRefJ21_5x_0)</f>
        <v>11626.4</v>
      </c>
      <c r="K52" s="4"/>
      <c r="L52" s="1">
        <f>SUM(OSRRefL21_5x_0)</f>
        <v>11626.4</v>
      </c>
      <c r="M52" s="4"/>
      <c r="N52" s="1">
        <f>SUM(OSRRefN21_5x_0)</f>
        <v>12052.44</v>
      </c>
      <c r="O52" s="4"/>
      <c r="P52" s="1">
        <f>SUM(OSRRefP21_5x_0)</f>
        <v>12900</v>
      </c>
      <c r="Q52" s="4"/>
      <c r="R52" s="1">
        <f>SUM(OSRRefR21_5x_0)</f>
        <v>5452</v>
      </c>
    </row>
    <row r="53" spans="1:18" s="16" customFormat="1" hidden="1" outlineLevel="2" x14ac:dyDescent="0.35">
      <c r="B53" s="11" t="str">
        <f>CONCATENATE("          ", "6322", " - ", "EQUIPMENT DEPRECIATION EXPENSE")</f>
        <v xml:space="preserve">          6322 - EQUIPMENT DEPRECIATION EXPENSE</v>
      </c>
      <c r="D53" s="2"/>
      <c r="F53" s="2"/>
      <c r="G53" s="3"/>
      <c r="H53" s="2">
        <v>7455.11</v>
      </c>
      <c r="I53" s="3"/>
      <c r="J53" s="2">
        <v>11626.4</v>
      </c>
      <c r="K53" s="3"/>
      <c r="L53" s="2">
        <v>11626.4</v>
      </c>
      <c r="M53" s="3"/>
      <c r="N53" s="2">
        <v>12052.44</v>
      </c>
      <c r="O53" s="3"/>
      <c r="P53" s="2">
        <v>12900</v>
      </c>
      <c r="Q53" s="3"/>
      <c r="R53" s="2">
        <v>5452</v>
      </c>
    </row>
    <row r="54" spans="1:18" s="15" customFormat="1" outlineLevel="1" collapsed="1" x14ac:dyDescent="0.35">
      <c r="A54" s="7"/>
      <c r="B54" s="20" t="str">
        <f>CONCATENATE("     ","Employees' Appreciation                           ")</f>
        <v xml:space="preserve">     Employees' Appreciation                           </v>
      </c>
      <c r="C54" s="7"/>
      <c r="D54" s="1">
        <f>SUM(OSRRefD21_6x_0)</f>
        <v>53.61</v>
      </c>
      <c r="E54" s="19"/>
      <c r="F54" s="1">
        <f>SUM(OSRRefF21_6x_0)</f>
        <v>73.3</v>
      </c>
      <c r="G54" s="4"/>
      <c r="H54" s="1">
        <f>SUM(OSRRefH21_6x_0)</f>
        <v>126.9</v>
      </c>
      <c r="I54" s="4"/>
      <c r="J54" s="1">
        <f>SUM(OSRRefJ21_6x_0)</f>
        <v>95.2</v>
      </c>
      <c r="K54" s="4"/>
      <c r="L54" s="1">
        <f>SUM(OSRRefL21_6x_0)</f>
        <v>0</v>
      </c>
      <c r="M54" s="4"/>
      <c r="N54" s="1">
        <f>SUM(OSRRefN21_6x_0)</f>
        <v>0</v>
      </c>
      <c r="O54" s="4"/>
      <c r="P54" s="1">
        <f>SUM(OSRRefP21_6x_0)</f>
        <v>0</v>
      </c>
      <c r="Q54" s="4"/>
      <c r="R54" s="1">
        <f>SUM(OSRRefR21_6x_0)</f>
        <v>0</v>
      </c>
    </row>
    <row r="55" spans="1:18" s="16" customFormat="1" hidden="1" outlineLevel="2" x14ac:dyDescent="0.35">
      <c r="B55" s="11" t="str">
        <f>CONCATENATE("          ", "6277", " - ", "EMPLOYEE APPRECIATION")</f>
        <v xml:space="preserve">          6277 - EMPLOYEE APPRECIATION</v>
      </c>
      <c r="D55" s="2">
        <v>53.61</v>
      </c>
      <c r="F55" s="2">
        <v>73.3</v>
      </c>
      <c r="G55" s="3"/>
      <c r="H55" s="2">
        <v>126.9</v>
      </c>
      <c r="I55" s="3"/>
      <c r="J55" s="2">
        <v>95.2</v>
      </c>
      <c r="K55" s="3"/>
      <c r="L55" s="2"/>
      <c r="M55" s="3"/>
      <c r="N55" s="2"/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","General                                           ")</f>
        <v xml:space="preserve">     General                                           </v>
      </c>
      <c r="C56" s="7"/>
      <c r="D56" s="1">
        <f>SUM(OSRRefD21_7x_0)</f>
        <v>4725.34</v>
      </c>
      <c r="E56" s="19"/>
      <c r="F56" s="1">
        <f>SUM(OSRRefF21_7x_0)</f>
        <v>1045.6399999999999</v>
      </c>
      <c r="G56" s="4"/>
      <c r="H56" s="1">
        <f>SUM(OSRRefH21_7x_0)</f>
        <v>1048.6400000000001</v>
      </c>
      <c r="I56" s="4"/>
      <c r="J56" s="1">
        <f>SUM(OSRRefJ21_7x_0)</f>
        <v>1094.31</v>
      </c>
      <c r="K56" s="4"/>
      <c r="L56" s="1">
        <f>SUM(OSRRefL21_7x_0)</f>
        <v>1266.54</v>
      </c>
      <c r="M56" s="4"/>
      <c r="N56" s="1">
        <f>SUM(OSRRefN21_7x_0)</f>
        <v>1356.19</v>
      </c>
      <c r="O56" s="4"/>
      <c r="P56" s="1">
        <f>SUM(OSRRefP21_7x_0)</f>
        <v>1000</v>
      </c>
      <c r="Q56" s="4"/>
      <c r="R56" s="1">
        <f>SUM(OSRRefR21_7x_0)</f>
        <v>755</v>
      </c>
    </row>
    <row r="57" spans="1:18" s="16" customFormat="1" hidden="1" outlineLevel="2" x14ac:dyDescent="0.35">
      <c r="B57" s="11" t="str">
        <f>CONCATENATE("          ", "6276", " - ", "PROPERTY TAX")</f>
        <v xml:space="preserve">          6276 - PROPERTY TAX</v>
      </c>
      <c r="D57" s="2">
        <v>213.38</v>
      </c>
      <c r="F57" s="2">
        <v>211.84</v>
      </c>
      <c r="G57" s="3"/>
      <c r="H57" s="2"/>
      <c r="I57" s="3"/>
      <c r="J57" s="2"/>
      <c r="K57" s="3"/>
      <c r="L57" s="2"/>
      <c r="M57" s="3"/>
      <c r="N57" s="2"/>
      <c r="O57" s="3"/>
      <c r="P57" s="2"/>
      <c r="Q57" s="3"/>
      <c r="R57" s="2"/>
    </row>
    <row r="58" spans="1:18" s="16" customFormat="1" hidden="1" outlineLevel="2" x14ac:dyDescent="0.35">
      <c r="B58" s="11" t="str">
        <f>CONCATENATE("          ", "6279", " - ", "GENERAL EXPENSE")</f>
        <v xml:space="preserve">          6279 - GENERAL EXPENSE</v>
      </c>
      <c r="D58" s="2">
        <v>4511.96</v>
      </c>
      <c r="F58" s="2">
        <v>833.8</v>
      </c>
      <c r="G58" s="3"/>
      <c r="H58" s="2">
        <v>1048.6400000000001</v>
      </c>
      <c r="I58" s="3"/>
      <c r="J58" s="2">
        <v>1094.31</v>
      </c>
      <c r="K58" s="3"/>
      <c r="L58" s="2">
        <v>1266.54</v>
      </c>
      <c r="M58" s="3"/>
      <c r="N58" s="2">
        <v>1356.19</v>
      </c>
      <c r="O58" s="3"/>
      <c r="P58" s="2">
        <v>1000</v>
      </c>
      <c r="Q58" s="3"/>
      <c r="R58" s="2">
        <v>755</v>
      </c>
    </row>
    <row r="59" spans="1:18" s="15" customFormat="1" outlineLevel="1" collapsed="1" x14ac:dyDescent="0.35">
      <c r="A59" s="7"/>
      <c r="B59" s="20" t="str">
        <f>CONCATENATE("     ","Professional Services                             ")</f>
        <v xml:space="preserve">     Professional Services                             </v>
      </c>
      <c r="C59" s="7"/>
      <c r="D59" s="1">
        <f>SUM(OSRRefD21_8x_0)</f>
        <v>750</v>
      </c>
      <c r="E59" s="19"/>
      <c r="F59" s="1">
        <f>SUM(OSRRefF21_8x_0)</f>
        <v>0</v>
      </c>
      <c r="G59" s="4"/>
      <c r="H59" s="1">
        <f>SUM(OSRRefH21_8x_0)</f>
        <v>5561.51</v>
      </c>
      <c r="I59" s="4"/>
      <c r="J59" s="1">
        <f>SUM(OSRRefJ21_8x_0)</f>
        <v>4242</v>
      </c>
      <c r="K59" s="4"/>
      <c r="L59" s="1">
        <f>SUM(OSRRefL21_8x_0)</f>
        <v>0</v>
      </c>
      <c r="M59" s="4"/>
      <c r="N59" s="1">
        <f>SUM(OSRRefN21_8x_0)</f>
        <v>0</v>
      </c>
      <c r="O59" s="4"/>
      <c r="P59" s="1">
        <f>SUM(OSRRefP21_8x_0)</f>
        <v>0</v>
      </c>
      <c r="Q59" s="4"/>
      <c r="R59" s="1">
        <f>SUM(OSRRefR21_8x_0)</f>
        <v>0</v>
      </c>
    </row>
    <row r="60" spans="1:18" s="16" customFormat="1" hidden="1" outlineLevel="2" x14ac:dyDescent="0.35">
      <c r="B60" s="11" t="str">
        <f>CONCATENATE("          ", "6336", " - ", "PROFESSIONAL SERVICES")</f>
        <v xml:space="preserve">          6336 - PROFESSIONAL SERVICES</v>
      </c>
      <c r="D60" s="2">
        <v>750</v>
      </c>
      <c r="F60" s="2"/>
      <c r="G60" s="3"/>
      <c r="H60" s="2">
        <v>5561.51</v>
      </c>
      <c r="I60" s="3"/>
      <c r="J60" s="2">
        <v>4242</v>
      </c>
      <c r="K60" s="3"/>
      <c r="L60" s="2"/>
      <c r="M60" s="3"/>
      <c r="N60" s="2"/>
      <c r="O60" s="3"/>
      <c r="P60" s="2"/>
      <c r="Q60" s="3"/>
      <c r="R60" s="2"/>
    </row>
    <row r="61" spans="1:18" s="15" customFormat="1" outlineLevel="1" collapsed="1" x14ac:dyDescent="0.35">
      <c r="A61" s="7"/>
      <c r="B61" s="20" t="str">
        <f>CONCATENATE("     ","Repair and Maintenance                            ")</f>
        <v xml:space="preserve">     Repair and Maintenance                            </v>
      </c>
      <c r="C61" s="7"/>
      <c r="D61" s="1">
        <f>SUM(OSRRefD21_9x_0)</f>
        <v>3455.4799999999996</v>
      </c>
      <c r="E61" s="19"/>
      <c r="F61" s="1">
        <f>SUM(OSRRefF21_9x_0)</f>
        <v>2437.83</v>
      </c>
      <c r="G61" s="4"/>
      <c r="H61" s="1">
        <f>SUM(OSRRefH21_9x_0)</f>
        <v>4674.53</v>
      </c>
      <c r="I61" s="4"/>
      <c r="J61" s="1">
        <f>SUM(OSRRefJ21_9x_0)</f>
        <v>4184.62</v>
      </c>
      <c r="K61" s="4"/>
      <c r="L61" s="1">
        <f>SUM(OSRRefL21_9x_0)</f>
        <v>1792.19</v>
      </c>
      <c r="M61" s="4"/>
      <c r="N61" s="1">
        <f>SUM(OSRRefN21_9x_0)</f>
        <v>1713.35</v>
      </c>
      <c r="O61" s="4"/>
      <c r="P61" s="1">
        <f>SUM(OSRRefP21_9x_0)</f>
        <v>2750</v>
      </c>
      <c r="Q61" s="4"/>
      <c r="R61" s="1">
        <f>SUM(OSRRefR21_9x_0)</f>
        <v>2394</v>
      </c>
    </row>
    <row r="62" spans="1:18" s="16" customFormat="1" hidden="1" outlineLevel="2" x14ac:dyDescent="0.35">
      <c r="B62" s="11" t="str">
        <f>CONCATENATE("          ", "6371", " - ", "COMPUTER SOFTWARE MAINTENANCE")</f>
        <v xml:space="preserve">          6371 - COMPUTER SOFTWARE MAINTENANCE</v>
      </c>
      <c r="D62" s="2"/>
      <c r="F62" s="2"/>
      <c r="G62" s="3"/>
      <c r="H62" s="2"/>
      <c r="I62" s="3"/>
      <c r="J62" s="2"/>
      <c r="K62" s="3"/>
      <c r="L62" s="2"/>
      <c r="M62" s="3"/>
      <c r="N62" s="2">
        <v>437.31</v>
      </c>
      <c r="O62" s="3"/>
      <c r="P62" s="2"/>
      <c r="Q62" s="3"/>
      <c r="R62" s="2"/>
    </row>
    <row r="63" spans="1:18" s="16" customFormat="1" hidden="1" outlineLevel="2" x14ac:dyDescent="0.35">
      <c r="B63" s="11" t="str">
        <f>CONCATENATE("          ", "6373", " - ", "MAINTENANCE CONTRACTS")</f>
        <v xml:space="preserve">          6373 - MAINTENANCE CONTRACTS</v>
      </c>
      <c r="D63" s="2">
        <v>2202.1799999999998</v>
      </c>
      <c r="F63" s="2">
        <v>915.3</v>
      </c>
      <c r="G63" s="3"/>
      <c r="H63" s="2"/>
      <c r="I63" s="3"/>
      <c r="J63" s="2">
        <v>946.76</v>
      </c>
      <c r="K63" s="3"/>
      <c r="L63" s="2">
        <v>179.92</v>
      </c>
      <c r="M63" s="3"/>
      <c r="N63" s="2">
        <v>189.68</v>
      </c>
      <c r="O63" s="3"/>
      <c r="P63" s="2"/>
      <c r="Q63" s="3"/>
      <c r="R63" s="2">
        <v>1014</v>
      </c>
    </row>
    <row r="64" spans="1:18" s="16" customFormat="1" hidden="1" outlineLevel="2" x14ac:dyDescent="0.35">
      <c r="B64" s="11" t="str">
        <f>CONCATENATE("          ", "6375", " - ", "OUTSIDE REPAIRS &amp; MAINTENANCE")</f>
        <v xml:space="preserve">          6375 - OUTSIDE REPAIRS &amp; MAINTENANCE</v>
      </c>
      <c r="D64" s="2">
        <v>1253.3</v>
      </c>
      <c r="F64" s="2">
        <v>1522.53</v>
      </c>
      <c r="G64" s="3"/>
      <c r="H64" s="2">
        <v>4674.53</v>
      </c>
      <c r="I64" s="3"/>
      <c r="J64" s="2">
        <v>3237.86</v>
      </c>
      <c r="K64" s="3"/>
      <c r="L64" s="2">
        <v>1612.27</v>
      </c>
      <c r="M64" s="3"/>
      <c r="N64" s="2">
        <v>1086.3599999999999</v>
      </c>
      <c r="O64" s="3"/>
      <c r="P64" s="2">
        <v>2750</v>
      </c>
      <c r="Q64" s="3"/>
      <c r="R64" s="2">
        <v>1380</v>
      </c>
    </row>
    <row r="65" spans="1:18" s="15" customFormat="1" outlineLevel="1" collapsed="1" x14ac:dyDescent="0.35">
      <c r="A65" s="7"/>
      <c r="B65" s="20" t="str">
        <f>CONCATENATE("     ","Royalty &amp; Commissions                             ")</f>
        <v xml:space="preserve">     Royalty &amp; Commissions                             </v>
      </c>
      <c r="C65" s="7"/>
      <c r="D65" s="1">
        <f>SUM(OSRRefD21_10x_0)</f>
        <v>18280</v>
      </c>
      <c r="E65" s="19"/>
      <c r="F65" s="1">
        <f>SUM(OSRRefF21_10x_0)</f>
        <v>19654.46</v>
      </c>
      <c r="G65" s="4"/>
      <c r="H65" s="1">
        <f>SUM(OSRRefH21_10x_0)</f>
        <v>33316.86</v>
      </c>
      <c r="I65" s="4"/>
      <c r="J65" s="1">
        <f>SUM(OSRRefJ21_10x_0)</f>
        <v>26803.119999999999</v>
      </c>
      <c r="K65" s="4"/>
      <c r="L65" s="1">
        <f>SUM(OSRRefL21_10x_0)</f>
        <v>29123.13</v>
      </c>
      <c r="M65" s="4"/>
      <c r="N65" s="1">
        <f>SUM(OSRRefN21_10x_0)</f>
        <v>24556.14</v>
      </c>
      <c r="O65" s="4"/>
      <c r="P65" s="1">
        <f>SUM(OSRRefP21_10x_0)</f>
        <v>10320</v>
      </c>
      <c r="Q65" s="4"/>
      <c r="R65" s="1">
        <f>SUM(OSRRefR21_10x_0)</f>
        <v>14170</v>
      </c>
    </row>
    <row r="66" spans="1:18" s="16" customFormat="1" hidden="1" outlineLevel="2" x14ac:dyDescent="0.35">
      <c r="B66" s="11" t="str">
        <f>CONCATENATE("          ", "6254", " - ", "ROYALTY &amp; COMMISSIONS")</f>
        <v xml:space="preserve">          6254 - ROYALTY &amp; COMMISSIONS</v>
      </c>
      <c r="D66" s="2">
        <v>18280</v>
      </c>
      <c r="F66" s="2">
        <v>19654.46</v>
      </c>
      <c r="G66" s="3"/>
      <c r="H66" s="2">
        <v>33316.86</v>
      </c>
      <c r="I66" s="3"/>
      <c r="J66" s="2">
        <v>26803.119999999999</v>
      </c>
      <c r="K66" s="3"/>
      <c r="L66" s="2">
        <v>29123.13</v>
      </c>
      <c r="M66" s="3"/>
      <c r="N66" s="2">
        <v>24556.14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"6259", " - ", "ROYALTY &amp; COMMISSIONS")</f>
        <v xml:space="preserve">          6259 - ROYALTY &amp; COMMISSIONS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>
        <v>10320</v>
      </c>
      <c r="Q67" s="3"/>
      <c r="R67" s="2">
        <v>14170</v>
      </c>
    </row>
    <row r="68" spans="1:18" s="15" customFormat="1" outlineLevel="1" collapsed="1" x14ac:dyDescent="0.35">
      <c r="A68" s="7"/>
      <c r="B68" s="20" t="str">
        <f>CONCATENATE("     ","Services                                          ")</f>
        <v xml:space="preserve">     Services                                          </v>
      </c>
      <c r="C68" s="7"/>
      <c r="D68" s="1">
        <f>SUM(OSRRefD21_11x_0)</f>
        <v>2680.69</v>
      </c>
      <c r="E68" s="19"/>
      <c r="F68" s="1">
        <f>SUM(OSRRefF21_11x_0)</f>
        <v>1951.48</v>
      </c>
      <c r="G68" s="4"/>
      <c r="H68" s="1">
        <f>SUM(OSRRefH21_11x_0)</f>
        <v>2232.79</v>
      </c>
      <c r="I68" s="4"/>
      <c r="J68" s="1">
        <f>SUM(OSRRefJ21_11x_0)</f>
        <v>1915.85</v>
      </c>
      <c r="K68" s="4"/>
      <c r="L68" s="1">
        <f>SUM(OSRRefL21_11x_0)</f>
        <v>1994.23</v>
      </c>
      <c r="M68" s="4"/>
      <c r="N68" s="1">
        <f>SUM(OSRRefN21_11x_0)</f>
        <v>2025.62</v>
      </c>
      <c r="O68" s="4"/>
      <c r="P68" s="1">
        <f>SUM(OSRRefP21_11x_0)</f>
        <v>3157</v>
      </c>
      <c r="Q68" s="4"/>
      <c r="R68" s="1">
        <f>SUM(OSRRefR21_11x_0)</f>
        <v>1100</v>
      </c>
    </row>
    <row r="69" spans="1:18" s="16" customFormat="1" hidden="1" outlineLevel="2" x14ac:dyDescent="0.35">
      <c r="B69" s="11" t="str">
        <f>CONCATENATE("          ", "6282", " - ", "JANITORIAL/EXTERMINATOR EXPENS")</f>
        <v xml:space="preserve">          6282 - JANITORIAL/EXTERMINATOR EXPENS</v>
      </c>
      <c r="D69" s="2">
        <v>328.5</v>
      </c>
      <c r="F69" s="2">
        <v>255.5</v>
      </c>
      <c r="G69" s="3"/>
      <c r="H69" s="2">
        <v>708.6</v>
      </c>
      <c r="I69" s="3"/>
      <c r="J69" s="2">
        <v>498.08</v>
      </c>
      <c r="K69" s="3"/>
      <c r="L69" s="2">
        <v>384.59</v>
      </c>
      <c r="M69" s="3"/>
      <c r="N69" s="2">
        <v>410</v>
      </c>
      <c r="O69" s="3"/>
      <c r="P69" s="2"/>
      <c r="Q69" s="3"/>
      <c r="R69" s="2">
        <v>1100</v>
      </c>
    </row>
    <row r="70" spans="1:18" s="16" customFormat="1" hidden="1" outlineLevel="2" x14ac:dyDescent="0.35">
      <c r="B70" s="11" t="str">
        <f>CONCATENATE("          ", "6285", " - ", "JANITORIAL SERVICES")</f>
        <v xml:space="preserve">          6285 - JANITORIAL SERVICES</v>
      </c>
      <c r="D70" s="2">
        <v>2352.19</v>
      </c>
      <c r="F70" s="2">
        <v>1695.98</v>
      </c>
      <c r="G70" s="3"/>
      <c r="H70" s="2">
        <v>1524.19</v>
      </c>
      <c r="I70" s="3"/>
      <c r="J70" s="2">
        <v>1153.24</v>
      </c>
      <c r="K70" s="3"/>
      <c r="L70" s="2">
        <v>261.72000000000003</v>
      </c>
      <c r="M70" s="3"/>
      <c r="N70" s="2">
        <v>281.04000000000002</v>
      </c>
      <c r="O70" s="3"/>
      <c r="P70" s="2">
        <v>3157</v>
      </c>
      <c r="Q70" s="3"/>
      <c r="R70" s="2"/>
    </row>
    <row r="71" spans="1:18" s="16" customFormat="1" hidden="1" outlineLevel="2" x14ac:dyDescent="0.35">
      <c r="B71" s="11" t="str">
        <f>CONCATENATE("          ", "6286", " - ", "LAUNDRY EXPENSE")</f>
        <v xml:space="preserve">          6286 - LAUNDRY EXPENSE</v>
      </c>
      <c r="D71" s="2"/>
      <c r="F71" s="2"/>
      <c r="G71" s="3"/>
      <c r="H71" s="2"/>
      <c r="I71" s="3"/>
      <c r="J71" s="2">
        <v>264.52999999999997</v>
      </c>
      <c r="K71" s="3"/>
      <c r="L71" s="2">
        <v>1347.92</v>
      </c>
      <c r="M71" s="3"/>
      <c r="N71" s="2">
        <v>1334.58</v>
      </c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","Subscriptions &amp; Dues                              ")</f>
        <v xml:space="preserve">     Subscriptions &amp; Dues                              </v>
      </c>
      <c r="C72" s="7"/>
      <c r="D72" s="1">
        <f>SUM(OSRRefD21_12x_0)</f>
        <v>470</v>
      </c>
      <c r="E72" s="19"/>
      <c r="F72" s="1">
        <f>SUM(OSRRefF21_12x_0)</f>
        <v>1800</v>
      </c>
      <c r="G72" s="4"/>
      <c r="H72" s="1">
        <f>SUM(OSRRefH21_12x_0)</f>
        <v>0</v>
      </c>
      <c r="I72" s="4"/>
      <c r="J72" s="1">
        <f>SUM(OSRRefJ21_12x_0)</f>
        <v>0</v>
      </c>
      <c r="K72" s="4"/>
      <c r="L72" s="1">
        <f>SUM(OSRRefL21_12x_0)</f>
        <v>0</v>
      </c>
      <c r="M72" s="4"/>
      <c r="N72" s="1">
        <f>SUM(OSRRefN21_12x_0)</f>
        <v>0</v>
      </c>
      <c r="O72" s="4"/>
      <c r="P72" s="1">
        <f>SUM(OSRRefP21_12x_0)</f>
        <v>0</v>
      </c>
      <c r="Q72" s="4"/>
      <c r="R72" s="1">
        <f>SUM(OSRRefR21_12x_0)</f>
        <v>0</v>
      </c>
    </row>
    <row r="73" spans="1:18" s="16" customFormat="1" hidden="1" outlineLevel="2" x14ac:dyDescent="0.35">
      <c r="B73" s="11" t="str">
        <f>CONCATENATE("          ", "6258", " - ", "MEMBERSHIP DUES")</f>
        <v xml:space="preserve">          6258 - MEMBERSHIP DUES</v>
      </c>
      <c r="D73" s="2">
        <v>120</v>
      </c>
      <c r="F73" s="2"/>
      <c r="G73" s="3"/>
      <c r="H73" s="2"/>
      <c r="I73" s="3"/>
      <c r="J73" s="2"/>
      <c r="K73" s="3"/>
      <c r="L73" s="2"/>
      <c r="M73" s="3"/>
      <c r="N73" s="2"/>
      <c r="O73" s="3"/>
      <c r="P73" s="2"/>
      <c r="Q73" s="3"/>
      <c r="R73" s="2"/>
    </row>
    <row r="74" spans="1:18" s="16" customFormat="1" hidden="1" outlineLevel="2" x14ac:dyDescent="0.35">
      <c r="B74" s="11" t="str">
        <f>CONCATENATE("          ", "6275", " - ", "SUBSCRIPTIONS")</f>
        <v xml:space="preserve">          6275 - SUBSCRIPTIONS</v>
      </c>
      <c r="D74" s="2">
        <v>350</v>
      </c>
      <c r="F74" s="2">
        <v>1800</v>
      </c>
      <c r="G74" s="3"/>
      <c r="H74" s="2"/>
      <c r="I74" s="3"/>
      <c r="J74" s="2"/>
      <c r="K74" s="3"/>
      <c r="L74" s="2"/>
      <c r="M74" s="3"/>
      <c r="N74" s="2"/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","Supplies                                          ")</f>
        <v xml:space="preserve">     Supplies                                          </v>
      </c>
      <c r="C75" s="7"/>
      <c r="D75" s="1">
        <f>SUM(OSRRefD21_13x_0)</f>
        <v>9223.380000000001</v>
      </c>
      <c r="E75" s="19"/>
      <c r="F75" s="1">
        <f>SUM(OSRRefF21_13x_0)</f>
        <v>6284.43</v>
      </c>
      <c r="G75" s="4"/>
      <c r="H75" s="1">
        <f>SUM(OSRRefH21_13x_0)</f>
        <v>5621.74</v>
      </c>
      <c r="I75" s="4"/>
      <c r="J75" s="1">
        <f>SUM(OSRRefJ21_13x_0)</f>
        <v>1715.21</v>
      </c>
      <c r="K75" s="4"/>
      <c r="L75" s="1">
        <f>SUM(OSRRefL21_13x_0)</f>
        <v>4562.26</v>
      </c>
      <c r="M75" s="4"/>
      <c r="N75" s="1">
        <f>SUM(OSRRefN21_13x_0)</f>
        <v>7668.1800000000012</v>
      </c>
      <c r="O75" s="4"/>
      <c r="P75" s="1">
        <f>SUM(OSRRefP21_13x_0)</f>
        <v>5070</v>
      </c>
      <c r="Q75" s="4"/>
      <c r="R75" s="1">
        <f>SUM(OSRRefR21_13x_0)</f>
        <v>9700</v>
      </c>
    </row>
    <row r="76" spans="1:18" s="16" customFormat="1" hidden="1" outlineLevel="2" x14ac:dyDescent="0.35">
      <c r="B76" s="11" t="str">
        <f>CONCATENATE("          ", "6234", " - ", "EXPENDABLE SUPPLIES &amp; EQUIPMEN")</f>
        <v xml:space="preserve">          6234 - EXPENDABLE SUPPLIES &amp; EQUIPMEN</v>
      </c>
      <c r="D76" s="2">
        <v>6795.28</v>
      </c>
      <c r="F76" s="2">
        <v>509.79</v>
      </c>
      <c r="G76" s="3"/>
      <c r="H76" s="2"/>
      <c r="I76" s="3"/>
      <c r="J76" s="2"/>
      <c r="K76" s="3"/>
      <c r="L76" s="2"/>
      <c r="M76" s="3"/>
      <c r="N76" s="2">
        <v>354.71</v>
      </c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"6235", " - ", "COVID-19 EXPENSES")</f>
        <v xml:space="preserve">          6235 - COVID-19 EXPENSES</v>
      </c>
      <c r="D77" s="2"/>
      <c r="F77" s="2"/>
      <c r="G77" s="3"/>
      <c r="H77" s="2"/>
      <c r="I77" s="3"/>
      <c r="J77" s="2"/>
      <c r="K77" s="3"/>
      <c r="L77" s="2"/>
      <c r="M77" s="3"/>
      <c r="N77" s="2"/>
      <c r="O77" s="3"/>
      <c r="P77" s="2">
        <v>2200</v>
      </c>
      <c r="Q77" s="3"/>
      <c r="R77" s="2"/>
    </row>
    <row r="78" spans="1:18" s="16" customFormat="1" hidden="1" outlineLevel="2" x14ac:dyDescent="0.35">
      <c r="B78" s="11" t="str">
        <f>CONCATENATE("          ", "6237", " - ", "JANITORIAL SUPPLIES")</f>
        <v xml:space="preserve">          6237 - JANITORIAL SUPPLIES</v>
      </c>
      <c r="D78" s="2">
        <v>148.13999999999999</v>
      </c>
      <c r="F78" s="2"/>
      <c r="G78" s="3"/>
      <c r="H78" s="2"/>
      <c r="I78" s="3"/>
      <c r="J78" s="2">
        <v>85.67</v>
      </c>
      <c r="K78" s="3"/>
      <c r="L78" s="2">
        <v>481.06</v>
      </c>
      <c r="M78" s="3"/>
      <c r="N78" s="2">
        <v>38.56</v>
      </c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"6241", " - ", "OFFICE EXPENSE")</f>
        <v xml:space="preserve">          6241 - OFFICE EXPENSE</v>
      </c>
      <c r="D79" s="2"/>
      <c r="F79" s="2"/>
      <c r="G79" s="3"/>
      <c r="H79" s="2">
        <v>69.989999999999995</v>
      </c>
      <c r="I79" s="3"/>
      <c r="J79" s="2">
        <v>10</v>
      </c>
      <c r="K79" s="3"/>
      <c r="L79" s="2">
        <v>34</v>
      </c>
      <c r="M79" s="3"/>
      <c r="N79" s="2"/>
      <c r="O79" s="3"/>
      <c r="P79" s="2"/>
      <c r="Q79" s="3"/>
      <c r="R79" s="2"/>
    </row>
    <row r="80" spans="1:18" s="16" customFormat="1" hidden="1" outlineLevel="2" x14ac:dyDescent="0.35">
      <c r="B80" s="11" t="str">
        <f>CONCATENATE("          ", "6243", " - ", "PAPER SUPPLIES")</f>
        <v xml:space="preserve">          6243 - PAPER SUPPLIES</v>
      </c>
      <c r="D80" s="2"/>
      <c r="F80" s="2"/>
      <c r="G80" s="3"/>
      <c r="H80" s="2"/>
      <c r="I80" s="3"/>
      <c r="J80" s="2"/>
      <c r="K80" s="3"/>
      <c r="L80" s="2">
        <v>45.85</v>
      </c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"6245", " - ", "PRINTING")</f>
        <v xml:space="preserve">          6245 - PRINTING</v>
      </c>
      <c r="D81" s="2">
        <v>432.2</v>
      </c>
      <c r="F81" s="2">
        <v>140.91999999999999</v>
      </c>
      <c r="G81" s="3"/>
      <c r="H81" s="2"/>
      <c r="I81" s="3"/>
      <c r="J81" s="2"/>
      <c r="K81" s="3"/>
      <c r="L81" s="2"/>
      <c r="M81" s="3"/>
      <c r="N81" s="2"/>
      <c r="O81" s="3"/>
      <c r="P81" s="2"/>
      <c r="Q81" s="3"/>
      <c r="R81" s="2"/>
    </row>
    <row r="82" spans="1:18" s="16" customFormat="1" hidden="1" outlineLevel="2" x14ac:dyDescent="0.35">
      <c r="B82" s="11" t="str">
        <f>CONCATENATE("          ", "6247", " - ", "STORE SUPPLIES")</f>
        <v xml:space="preserve">          6247 - STORE SUPPLIES</v>
      </c>
      <c r="D82" s="2">
        <v>1663.66</v>
      </c>
      <c r="F82" s="2">
        <v>5354.54</v>
      </c>
      <c r="G82" s="3"/>
      <c r="H82" s="2">
        <v>5551.75</v>
      </c>
      <c r="I82" s="3"/>
      <c r="J82" s="2">
        <v>1619.54</v>
      </c>
      <c r="K82" s="3"/>
      <c r="L82" s="2">
        <v>3813.48</v>
      </c>
      <c r="M82" s="3"/>
      <c r="N82" s="2">
        <v>7192.77</v>
      </c>
      <c r="O82" s="3"/>
      <c r="P82" s="2">
        <v>2670</v>
      </c>
      <c r="Q82" s="3"/>
      <c r="R82" s="2">
        <v>9700</v>
      </c>
    </row>
    <row r="83" spans="1:18" s="16" customFormat="1" hidden="1" outlineLevel="2" x14ac:dyDescent="0.35">
      <c r="B83" s="11" t="str">
        <f>CONCATENATE("          ", "6248", " - ", "UNIFORMS")</f>
        <v xml:space="preserve">          6248 - UNIFORMS</v>
      </c>
      <c r="D83" s="2">
        <v>184.1</v>
      </c>
      <c r="F83" s="2">
        <v>279.18</v>
      </c>
      <c r="G83" s="3"/>
      <c r="H83" s="2"/>
      <c r="I83" s="3"/>
      <c r="J83" s="2"/>
      <c r="K83" s="3"/>
      <c r="L83" s="2">
        <v>187.87</v>
      </c>
      <c r="M83" s="3"/>
      <c r="N83" s="2">
        <v>82.14</v>
      </c>
      <c r="O83" s="3"/>
      <c r="P83" s="2">
        <v>200</v>
      </c>
      <c r="Q83" s="3"/>
      <c r="R83" s="2"/>
    </row>
    <row r="84" spans="1:18" s="15" customFormat="1" outlineLevel="1" collapsed="1" x14ac:dyDescent="0.35">
      <c r="A84" s="7"/>
      <c r="B84" s="20" t="str">
        <f>CONCATENATE("     ","Telephone/Data Lines                              ")</f>
        <v xml:space="preserve">     Telephone/Data Lines                              </v>
      </c>
      <c r="C84" s="7"/>
      <c r="D84" s="1">
        <f>SUM(OSRRefD21_14x_0)</f>
        <v>636</v>
      </c>
      <c r="E84" s="19"/>
      <c r="F84" s="1">
        <f>SUM(OSRRefF21_14x_0)</f>
        <v>1582.72</v>
      </c>
      <c r="G84" s="4"/>
      <c r="H84" s="1">
        <f>SUM(OSRRefH21_14x_0)</f>
        <v>2338.0300000000002</v>
      </c>
      <c r="I84" s="4"/>
      <c r="J84" s="1">
        <f>SUM(OSRRefJ21_14x_0)</f>
        <v>637.5</v>
      </c>
      <c r="K84" s="4"/>
      <c r="L84" s="1">
        <f>SUM(OSRRefL21_14x_0)</f>
        <v>630</v>
      </c>
      <c r="M84" s="4"/>
      <c r="N84" s="1">
        <f>SUM(OSRRefN21_14x_0)</f>
        <v>656.09</v>
      </c>
      <c r="O84" s="4"/>
      <c r="P84" s="1">
        <f>SUM(OSRRefP21_14x_0)</f>
        <v>900</v>
      </c>
      <c r="Q84" s="4"/>
      <c r="R84" s="1">
        <f>SUM(OSRRefR21_14x_0)</f>
        <v>636</v>
      </c>
    </row>
    <row r="85" spans="1:18" s="16" customFormat="1" hidden="1" outlineLevel="2" x14ac:dyDescent="0.35">
      <c r="B85" s="11" t="str">
        <f>CONCATENATE("          ", "6303", " - ", "DATA PHONE LINES")</f>
        <v xml:space="preserve">          6303 - DATA PHONE LINES</v>
      </c>
      <c r="D85" s="2"/>
      <c r="F85" s="2"/>
      <c r="G85" s="3"/>
      <c r="H85" s="2"/>
      <c r="I85" s="3"/>
      <c r="J85" s="2"/>
      <c r="K85" s="3"/>
      <c r="L85" s="2"/>
      <c r="M85" s="3"/>
      <c r="N85" s="2"/>
      <c r="O85" s="3"/>
      <c r="P85" s="2">
        <v>900</v>
      </c>
      <c r="Q85" s="3"/>
      <c r="R85" s="2"/>
    </row>
    <row r="86" spans="1:18" s="16" customFormat="1" hidden="1" outlineLevel="2" x14ac:dyDescent="0.35">
      <c r="B86" s="11" t="str">
        <f>CONCATENATE("          ", "6309", " - ", "TELEPHONE")</f>
        <v xml:space="preserve">          6309 - TELEPHONE</v>
      </c>
      <c r="D86" s="2">
        <v>636</v>
      </c>
      <c r="F86" s="2">
        <v>1582.72</v>
      </c>
      <c r="G86" s="3"/>
      <c r="H86" s="2">
        <v>2338.0300000000002</v>
      </c>
      <c r="I86" s="3"/>
      <c r="J86" s="2">
        <v>637.5</v>
      </c>
      <c r="K86" s="3"/>
      <c r="L86" s="2">
        <v>630</v>
      </c>
      <c r="M86" s="3"/>
      <c r="N86" s="2">
        <v>656.09</v>
      </c>
      <c r="O86" s="3"/>
      <c r="P86" s="2"/>
      <c r="Q86" s="3"/>
      <c r="R86" s="2">
        <v>636</v>
      </c>
    </row>
    <row r="87" spans="1:18" s="15" customFormat="1" outlineLevel="1" collapsed="1" x14ac:dyDescent="0.35">
      <c r="A87" s="7"/>
      <c r="B87" s="20" t="str">
        <f>CONCATENATE("     ","Training                                          ")</f>
        <v xml:space="preserve">     Training                                          </v>
      </c>
      <c r="C87" s="7"/>
      <c r="D87" s="1">
        <f>SUM(OSRRefD21_15x_0)</f>
        <v>80</v>
      </c>
      <c r="E87" s="19"/>
      <c r="F87" s="1">
        <f>SUM(OSRRefF21_15x_0)</f>
        <v>130</v>
      </c>
      <c r="G87" s="4"/>
      <c r="H87" s="1">
        <f>SUM(OSRRefH21_15x_0)</f>
        <v>0</v>
      </c>
      <c r="I87" s="4"/>
      <c r="J87" s="1">
        <f>SUM(OSRRefJ21_15x_0)</f>
        <v>270</v>
      </c>
      <c r="K87" s="4"/>
      <c r="L87" s="1">
        <f>SUM(OSRRefL21_15x_0)</f>
        <v>60</v>
      </c>
      <c r="M87" s="4"/>
      <c r="N87" s="1">
        <f>SUM(OSRRefN21_15x_0)</f>
        <v>0</v>
      </c>
      <c r="O87" s="4"/>
      <c r="P87" s="1">
        <f>SUM(OSRRefP21_15x_0)</f>
        <v>120</v>
      </c>
      <c r="Q87" s="4"/>
      <c r="R87" s="1">
        <f>SUM(OSRRefR21_15x_0)</f>
        <v>150</v>
      </c>
    </row>
    <row r="88" spans="1:18" s="16" customFormat="1" hidden="1" outlineLevel="2" x14ac:dyDescent="0.35">
      <c r="B88" s="11" t="str">
        <f>CONCATENATE("          ", "6376", " - ", "TRAINING")</f>
        <v xml:space="preserve">          6376 - TRAINING</v>
      </c>
      <c r="D88" s="2">
        <v>80</v>
      </c>
      <c r="F88" s="2">
        <v>130</v>
      </c>
      <c r="G88" s="3"/>
      <c r="H88" s="2"/>
      <c r="I88" s="3"/>
      <c r="J88" s="2">
        <v>270</v>
      </c>
      <c r="K88" s="3"/>
      <c r="L88" s="2">
        <v>60</v>
      </c>
      <c r="M88" s="3"/>
      <c r="N88" s="2"/>
      <c r="O88" s="3"/>
      <c r="P88" s="2">
        <v>120</v>
      </c>
      <c r="Q88" s="3"/>
      <c r="R88" s="2">
        <v>150</v>
      </c>
    </row>
    <row r="89" spans="1:18" s="15" customFormat="1" outlineLevel="1" collapsed="1" x14ac:dyDescent="0.35">
      <c r="A89" s="7"/>
      <c r="B89" s="20" t="str">
        <f>CONCATENATE("     ","Travel                                            ")</f>
        <v xml:space="preserve">     Travel                                            </v>
      </c>
      <c r="C89" s="7"/>
      <c r="D89" s="1">
        <f>SUM(OSRRefD21_16x_0)</f>
        <v>0</v>
      </c>
      <c r="E89" s="19"/>
      <c r="F89" s="1">
        <f>SUM(OSRRefF21_16x_0)</f>
        <v>0</v>
      </c>
      <c r="G89" s="4"/>
      <c r="H89" s="1">
        <f>SUM(OSRRefH21_16x_0)</f>
        <v>377.77</v>
      </c>
      <c r="I89" s="4"/>
      <c r="J89" s="1">
        <f>SUM(OSRRefJ21_16x_0)</f>
        <v>0</v>
      </c>
      <c r="K89" s="4"/>
      <c r="L89" s="1">
        <f>SUM(OSRRefL21_16x_0)</f>
        <v>0</v>
      </c>
      <c r="M89" s="4"/>
      <c r="N89" s="1">
        <f>SUM(OSRRefN21_16x_0)</f>
        <v>0</v>
      </c>
      <c r="O89" s="4"/>
      <c r="P89" s="1">
        <f>SUM(OSRRefP21_16x_0)</f>
        <v>0</v>
      </c>
      <c r="Q89" s="4"/>
      <c r="R89" s="1">
        <f>SUM(OSRRefR21_16x_0)</f>
        <v>0</v>
      </c>
    </row>
    <row r="90" spans="1:18" s="16" customFormat="1" hidden="1" outlineLevel="2" x14ac:dyDescent="0.35">
      <c r="B90" s="11" t="str">
        <f>CONCATENATE("          ", "6292", " - ", "TRAVEL/CONFERENCE")</f>
        <v xml:space="preserve">          6292 - TRAVEL/CONFERENCE</v>
      </c>
      <c r="D90" s="2"/>
      <c r="F90" s="2"/>
      <c r="G90" s="3"/>
      <c r="H90" s="2">
        <v>240.36</v>
      </c>
      <c r="I90" s="3"/>
      <c r="J90" s="2"/>
      <c r="K90" s="3"/>
      <c r="L90" s="2"/>
      <c r="M90" s="3"/>
      <c r="N90" s="2"/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"6294", " - ", "TRAVEL OPERATIONAL")</f>
        <v xml:space="preserve">          6294 - TRAVEL OPERATIONAL</v>
      </c>
      <c r="D91" s="2"/>
      <c r="F91" s="2"/>
      <c r="G91" s="3"/>
      <c r="H91" s="2">
        <v>137.41</v>
      </c>
      <c r="I91" s="3"/>
      <c r="J91" s="2"/>
      <c r="K91" s="3"/>
      <c r="L91" s="2"/>
      <c r="M91" s="3"/>
      <c r="N91" s="2"/>
      <c r="O91" s="3"/>
      <c r="P91" s="2"/>
      <c r="Q91" s="3"/>
      <c r="R91" s="2"/>
    </row>
    <row r="92" spans="1:18" s="15" customFormat="1" outlineLevel="1" collapsed="1" x14ac:dyDescent="0.35">
      <c r="A92" s="7"/>
      <c r="B92" s="20" t="str">
        <f>CONCATENATE("     ","Utilities                                         ")</f>
        <v xml:space="preserve">     Utilities                                         </v>
      </c>
      <c r="C92" s="7"/>
      <c r="D92" s="1">
        <f>SUM(OSRRefD21_17x_0)</f>
        <v>784.39</v>
      </c>
      <c r="E92" s="19"/>
      <c r="F92" s="1">
        <f>SUM(OSRRefF21_17x_0)</f>
        <v>1127.46</v>
      </c>
      <c r="G92" s="4"/>
      <c r="H92" s="1">
        <f>SUM(OSRRefH21_17x_0)</f>
        <v>1472.62</v>
      </c>
      <c r="I92" s="4"/>
      <c r="J92" s="1">
        <f>SUM(OSRRefJ21_17x_0)</f>
        <v>1508.59</v>
      </c>
      <c r="K92" s="4"/>
      <c r="L92" s="1">
        <f>SUM(OSRRefL21_17x_0)</f>
        <v>771.11</v>
      </c>
      <c r="M92" s="4"/>
      <c r="N92" s="1">
        <f>SUM(OSRRefN21_17x_0)</f>
        <v>-23.26</v>
      </c>
      <c r="O92" s="4"/>
      <c r="P92" s="1">
        <f>SUM(OSRRefP21_17x_0)</f>
        <v>600</v>
      </c>
      <c r="Q92" s="4"/>
      <c r="R92" s="1">
        <f>SUM(OSRRefR21_17x_0)</f>
        <v>0</v>
      </c>
    </row>
    <row r="93" spans="1:18" s="16" customFormat="1" hidden="1" outlineLevel="2" x14ac:dyDescent="0.35">
      <c r="B93" s="11" t="str">
        <f>CONCATENATE("          ", "6274", " - ", "UTILITIES")</f>
        <v xml:space="preserve">          6274 - UTILITIES</v>
      </c>
      <c r="D93" s="2">
        <v>784.39</v>
      </c>
      <c r="F93" s="2">
        <v>1127.46</v>
      </c>
      <c r="G93" s="3"/>
      <c r="H93" s="2">
        <v>1472.62</v>
      </c>
      <c r="I93" s="3"/>
      <c r="J93" s="2">
        <v>1508.59</v>
      </c>
      <c r="K93" s="3"/>
      <c r="L93" s="2">
        <v>771.11</v>
      </c>
      <c r="M93" s="3"/>
      <c r="N93" s="2">
        <v>-23.26</v>
      </c>
      <c r="O93" s="3"/>
      <c r="P93" s="2">
        <v>600</v>
      </c>
      <c r="Q93" s="3"/>
      <c r="R93" s="2"/>
    </row>
    <row r="94" spans="1:18" x14ac:dyDescent="0.35">
      <c r="A94" s="12"/>
      <c r="B94" s="12"/>
      <c r="C94" s="12"/>
      <c r="D94" s="1"/>
      <c r="F94" s="1"/>
      <c r="H94" s="1"/>
      <c r="J94" s="1"/>
      <c r="L94" s="1"/>
      <c r="N94" s="1"/>
      <c r="P94" s="1"/>
      <c r="R94" s="1"/>
    </row>
    <row r="95" spans="1:18" s="7" customFormat="1" x14ac:dyDescent="0.35">
      <c r="A95" s="36"/>
      <c r="B95" s="34" t="s">
        <v>295</v>
      </c>
      <c r="D95" s="6">
        <f>SUM(0)</f>
        <v>0</v>
      </c>
      <c r="E95" s="12"/>
      <c r="F95" s="6">
        <f>SUM(0)</f>
        <v>0</v>
      </c>
      <c r="G95" s="5"/>
      <c r="H95" s="6">
        <f>SUM(0)</f>
        <v>0</v>
      </c>
      <c r="I95" s="5"/>
      <c r="J95" s="6">
        <f>SUM(0)</f>
        <v>0</v>
      </c>
      <c r="K95" s="5"/>
      <c r="L95" s="6">
        <f>SUM(0)</f>
        <v>0</v>
      </c>
      <c r="M95" s="5"/>
      <c r="N95" s="6">
        <f>SUM(0)</f>
        <v>0</v>
      </c>
      <c r="O95" s="5"/>
      <c r="P95" s="6">
        <f>SUM(0)</f>
        <v>0</v>
      </c>
      <c r="Q95" s="5"/>
      <c r="R95" s="6">
        <f>SUM(0)</f>
        <v>0</v>
      </c>
    </row>
    <row r="96" spans="1:18" x14ac:dyDescent="0.35">
      <c r="A96" s="12"/>
      <c r="B96" s="7"/>
      <c r="C96" s="7"/>
      <c r="D96" s="6"/>
      <c r="F96" s="6"/>
      <c r="H96" s="6"/>
      <c r="J96" s="6"/>
      <c r="L96" s="6"/>
      <c r="N96" s="6"/>
      <c r="P96" s="6"/>
      <c r="R96" s="6"/>
    </row>
    <row r="97" spans="1:18" s="15" customFormat="1" x14ac:dyDescent="0.35">
      <c r="A97" s="7"/>
      <c r="B97" s="22" t="s">
        <v>279</v>
      </c>
      <c r="C97" s="22"/>
      <c r="D97" s="10">
        <f>+D21-D24+D95</f>
        <v>15438.129999999976</v>
      </c>
      <c r="E97" s="12"/>
      <c r="F97" s="10">
        <f>+F21-F24+F95</f>
        <v>36285.89</v>
      </c>
      <c r="G97" s="5"/>
      <c r="H97" s="10">
        <f>+H21-H24+H95</f>
        <v>57719.31</v>
      </c>
      <c r="I97" s="5"/>
      <c r="J97" s="10">
        <f>+J21-J24+J95</f>
        <v>37411.270000000019</v>
      </c>
      <c r="K97" s="5"/>
      <c r="L97" s="10">
        <f>+L21-L24+L95</f>
        <v>57017.97</v>
      </c>
      <c r="M97" s="5"/>
      <c r="N97" s="10">
        <f>+N21-N24+N95</f>
        <v>12595.920000000042</v>
      </c>
      <c r="O97" s="5"/>
      <c r="P97" s="10">
        <f>+P21-P24+P95</f>
        <v>-46731.3217878</v>
      </c>
      <c r="Q97" s="5"/>
      <c r="R97" s="10">
        <f>+R21-R24+R95</f>
        <v>-8360.1108329999988</v>
      </c>
    </row>
    <row r="98" spans="1:18" s="27" customFormat="1" x14ac:dyDescent="0.35">
      <c r="A98" s="18"/>
      <c r="B98" s="31"/>
      <c r="C98" s="18"/>
      <c r="D98" s="9">
        <f>IFERROR(D97/D10, 0)</f>
        <v>6.405843666946559E-2</v>
      </c>
      <c r="E98" s="18"/>
      <c r="F98" s="9">
        <f>IFERROR(F97/F10, 0)</f>
        <v>0.12923284159576368</v>
      </c>
      <c r="G98" s="14"/>
      <c r="H98" s="9">
        <f>IFERROR(H97/H10, 0)</f>
        <v>0.15623821415312636</v>
      </c>
      <c r="I98" s="14"/>
      <c r="J98" s="9">
        <f>IFERROR(J97/J10, 0)</f>
        <v>0.11875610802623421</v>
      </c>
      <c r="K98" s="14"/>
      <c r="L98" s="9">
        <f>IFERROR(L97/L10, 0)</f>
        <v>0.17763438650618482</v>
      </c>
      <c r="M98" s="14"/>
      <c r="N98" s="9">
        <f>IFERROR(N97/N10, 0)</f>
        <v>4.4747838325701318E-2</v>
      </c>
      <c r="O98" s="14"/>
      <c r="P98" s="9">
        <f>IFERROR(P97/P10, 0)</f>
        <v>-0.40581235541487559</v>
      </c>
      <c r="Q98" s="14"/>
      <c r="R98" s="9">
        <f>IFERROR(R97/R10, 0)</f>
        <v>-5.3104007730468965E-2</v>
      </c>
    </row>
    <row r="99" spans="1:18" s="27" customFormat="1" x14ac:dyDescent="0.35">
      <c r="A99" s="18"/>
      <c r="B99" s="31"/>
      <c r="C99" s="18"/>
      <c r="D99" s="13"/>
      <c r="E99" s="18"/>
      <c r="F99" s="13"/>
      <c r="G99" s="14"/>
      <c r="H99" s="13"/>
      <c r="I99" s="14"/>
      <c r="J99" s="13"/>
      <c r="K99" s="14"/>
      <c r="L99" s="13"/>
      <c r="M99" s="14"/>
      <c r="N99" s="13"/>
      <c r="O99" s="14"/>
      <c r="P99" s="13"/>
      <c r="Q99" s="14"/>
      <c r="R99" s="13"/>
    </row>
    <row r="100" spans="1:18" s="15" customFormat="1" x14ac:dyDescent="0.35">
      <c r="A100" s="37"/>
      <c r="B100" s="7" t="s">
        <v>127</v>
      </c>
      <c r="C100" s="7"/>
      <c r="D100" s="6">
        <v>52371.29</v>
      </c>
      <c r="E100" s="12"/>
      <c r="F100" s="6">
        <v>39970.85</v>
      </c>
      <c r="G100" s="5"/>
      <c r="H100" s="6">
        <v>49395.11</v>
      </c>
      <c r="I100" s="5"/>
      <c r="J100" s="6">
        <v>42280.74</v>
      </c>
      <c r="K100" s="5"/>
      <c r="L100" s="6">
        <v>22878.880000000001</v>
      </c>
      <c r="M100" s="5"/>
      <c r="N100" s="6">
        <v>42623.45</v>
      </c>
      <c r="O100" s="5"/>
      <c r="P100" s="6">
        <v>19458</v>
      </c>
      <c r="Q100" s="5"/>
      <c r="R100" s="6">
        <v>17852</v>
      </c>
    </row>
    <row r="101" spans="1:18" x14ac:dyDescent="0.35">
      <c r="A101" s="12"/>
      <c r="B101" s="7"/>
      <c r="C101" s="7"/>
      <c r="D101" s="6"/>
      <c r="F101" s="6"/>
      <c r="H101" s="6"/>
      <c r="J101" s="6"/>
      <c r="L101" s="6"/>
      <c r="N101" s="6"/>
      <c r="P101" s="6"/>
      <c r="R101" s="6"/>
    </row>
    <row r="102" spans="1:18" s="15" customFormat="1" x14ac:dyDescent="0.35">
      <c r="A102" s="7"/>
      <c r="B102" s="22" t="s">
        <v>126</v>
      </c>
      <c r="C102" s="22"/>
      <c r="D102" s="10">
        <f>+D97-D100</f>
        <v>-36933.160000000025</v>
      </c>
      <c r="E102" s="12"/>
      <c r="F102" s="10">
        <f>+F97-F100</f>
        <v>-3684.9599999999991</v>
      </c>
      <c r="G102" s="5"/>
      <c r="H102" s="10">
        <f>+H97-H100</f>
        <v>8324.1999999999971</v>
      </c>
      <c r="I102" s="5"/>
      <c r="J102" s="10">
        <f>+J97-J100</f>
        <v>-4869.4699999999793</v>
      </c>
      <c r="K102" s="5"/>
      <c r="L102" s="10">
        <f>+L97-L100</f>
        <v>34139.089999999997</v>
      </c>
      <c r="M102" s="5"/>
      <c r="N102" s="10">
        <f>+N97-N100</f>
        <v>-30027.529999999955</v>
      </c>
      <c r="O102" s="5"/>
      <c r="P102" s="10">
        <f>+P97-P100</f>
        <v>-66189.3217878</v>
      </c>
      <c r="Q102" s="5"/>
      <c r="R102" s="10">
        <f>+R97-R100</f>
        <v>-26212.110832999999</v>
      </c>
    </row>
    <row r="103" spans="1:18" s="27" customFormat="1" x14ac:dyDescent="0.35">
      <c r="A103" s="18"/>
      <c r="B103" s="18"/>
      <c r="C103" s="18"/>
      <c r="D103" s="9">
        <f>IFERROR(D102/D10, 0)</f>
        <v>-0.15324916235730915</v>
      </c>
      <c r="E103" s="18"/>
      <c r="F103" s="9">
        <f>IFERROR(F102/F10, 0)</f>
        <v>-1.3124050477106259E-2</v>
      </c>
      <c r="G103" s="14"/>
      <c r="H103" s="9">
        <f>IFERROR(H102/H10, 0)</f>
        <v>2.2532461705683144E-2</v>
      </c>
      <c r="I103" s="14"/>
      <c r="J103" s="9">
        <f>IFERROR(J102/J10, 0)</f>
        <v>-1.545735564043947E-2</v>
      </c>
      <c r="K103" s="14"/>
      <c r="L103" s="9">
        <f>IFERROR(L102/L10, 0)</f>
        <v>0.10635728188901548</v>
      </c>
      <c r="M103" s="14"/>
      <c r="N103" s="9">
        <f>IFERROR(N102/N10, 0)</f>
        <v>-0.10667478499070648</v>
      </c>
      <c r="O103" s="14"/>
      <c r="P103" s="9">
        <f>IFERROR(P102/P10, 0)</f>
        <v>-0.57478461020190175</v>
      </c>
      <c r="Q103" s="14"/>
      <c r="R103" s="9">
        <f>IFERROR(R102/R10, 0)</f>
        <v>-0.16650115819194683</v>
      </c>
    </row>
    <row r="104" spans="1:18" s="27" customFormat="1" x14ac:dyDescent="0.35">
      <c r="A104" s="18"/>
      <c r="B104" s="18"/>
      <c r="C104" s="18"/>
      <c r="D104" s="13"/>
      <c r="E104" s="18"/>
      <c r="F104" s="13"/>
      <c r="G104" s="14"/>
      <c r="H104" s="13"/>
      <c r="I104" s="14"/>
      <c r="J104" s="13"/>
      <c r="K104" s="14"/>
      <c r="L104" s="13"/>
      <c r="M104" s="14"/>
      <c r="N104" s="13"/>
      <c r="O104" s="14"/>
      <c r="P104" s="13"/>
      <c r="Q104" s="14"/>
      <c r="R104" s="13"/>
    </row>
    <row r="105" spans="1:18" x14ac:dyDescent="0.35">
      <c r="A105" s="12"/>
      <c r="B105" s="12"/>
      <c r="C105" s="12"/>
      <c r="D105" s="6"/>
      <c r="F105" s="6"/>
      <c r="H105" s="6"/>
      <c r="J105" s="6"/>
      <c r="L105" s="6"/>
      <c r="N105" s="6"/>
      <c r="P105" s="6"/>
      <c r="R105" s="6"/>
    </row>
    <row r="106" spans="1:18" s="15" customFormat="1" x14ac:dyDescent="0.35">
      <c r="A106" s="7"/>
      <c r="B106" s="22" t="s">
        <v>296</v>
      </c>
      <c r="C106" s="22"/>
      <c r="D106" s="10">
        <f>SUM(D102:D105)</f>
        <v>-36933.313249162384</v>
      </c>
      <c r="E106" s="12"/>
      <c r="F106" s="10">
        <f>SUM(F102:F105)</f>
        <v>-3684.9731240504761</v>
      </c>
      <c r="G106" s="5"/>
      <c r="H106" s="10">
        <f>SUM(H102:H105)</f>
        <v>8324.2225324617029</v>
      </c>
      <c r="I106" s="5"/>
      <c r="J106" s="10">
        <f>SUM(J102:J105)</f>
        <v>-4869.4854573556195</v>
      </c>
      <c r="K106" s="5"/>
      <c r="L106" s="10">
        <f>SUM(L102:L105)</f>
        <v>34139.196357281886</v>
      </c>
      <c r="M106" s="5"/>
      <c r="N106" s="10">
        <f>SUM(N102:N105)</f>
        <v>-30027.636674784946</v>
      </c>
      <c r="O106" s="5"/>
      <c r="P106" s="10">
        <f>SUM(P102:P105)</f>
        <v>-66189.896572410202</v>
      </c>
      <c r="Q106" s="5"/>
      <c r="R106" s="10">
        <f>SUM(R102:R105)</f>
        <v>-26212.277334158192</v>
      </c>
    </row>
    <row r="107" spans="1:18" s="27" customFormat="1" x14ac:dyDescent="0.35">
      <c r="A107" s="18"/>
      <c r="B107" s="41"/>
      <c r="C107" s="18"/>
      <c r="D107" s="9">
        <f>IFERROR(D106/D10, 0)</f>
        <v>-0.15324979824402352</v>
      </c>
      <c r="E107" s="18"/>
      <c r="F107" s="9">
        <f>IFERROR(F106/F10, 0)</f>
        <v>-1.3124097218645088E-2</v>
      </c>
      <c r="G107" s="14"/>
      <c r="H107" s="9">
        <f>IFERROR(H106/H10, 0)</f>
        <v>2.2532522697950332E-2</v>
      </c>
      <c r="I107" s="14"/>
      <c r="J107" s="9">
        <f>IFERROR(J106/J10, 0)</f>
        <v>-1.5457404707348885E-2</v>
      </c>
      <c r="K107" s="14"/>
      <c r="L107" s="9">
        <f>IFERROR(L106/L10, 0)</f>
        <v>0.10635761323561585</v>
      </c>
      <c r="M107" s="14"/>
      <c r="N107" s="9">
        <f>IFERROR(N106/N10, 0)</f>
        <v>-0.10667516395993083</v>
      </c>
      <c r="O107" s="14"/>
      <c r="P107" s="9">
        <f>IFERROR(P106/P10, 0)</f>
        <v>-0.57478960160140857</v>
      </c>
      <c r="Q107" s="14"/>
      <c r="R107" s="9">
        <f>IFERROR(R106/R10, 0)</f>
        <v>-0.16650221581892913</v>
      </c>
    </row>
    <row r="108" spans="1:18" x14ac:dyDescent="0.35">
      <c r="A108" s="12"/>
      <c r="B108" s="40">
        <v>44319.883572604165</v>
      </c>
      <c r="D108" s="24"/>
      <c r="F108" s="24"/>
      <c r="H108" s="24"/>
      <c r="J108" s="24"/>
      <c r="L108" s="24"/>
      <c r="N108" s="24"/>
      <c r="P108" s="24"/>
      <c r="R108" s="24"/>
    </row>
    <row r="109" spans="1:18" x14ac:dyDescent="0.35">
      <c r="A109" s="12"/>
      <c r="B109" s="39" t="s">
        <v>23</v>
      </c>
      <c r="D109" s="24"/>
      <c r="F109" s="24"/>
      <c r="H109" s="24"/>
      <c r="J109" s="24"/>
      <c r="L109" s="24"/>
      <c r="N109" s="24"/>
      <c r="P109" s="24"/>
      <c r="R109" s="24"/>
    </row>
    <row r="110" spans="1:18" x14ac:dyDescent="0.35">
      <c r="A110" s="12"/>
      <c r="D110" s="24"/>
      <c r="F110" s="24"/>
      <c r="H110" s="24"/>
      <c r="J110" s="24"/>
      <c r="L110" s="24"/>
      <c r="N110" s="24"/>
      <c r="P110" s="24"/>
      <c r="R110" s="24"/>
    </row>
    <row r="111" spans="1:18" x14ac:dyDescent="0.35">
      <c r="D111" s="24"/>
      <c r="F111" s="24"/>
      <c r="H111" s="24"/>
      <c r="J111" s="24"/>
      <c r="L111" s="24"/>
      <c r="N111" s="24"/>
      <c r="P111" s="24"/>
      <c r="R111" s="24"/>
    </row>
  </sheetData>
  <pageMargins left="0.5" right="0.5" top="0.5" bottom="0.5" header="0.3" footer="0.3"/>
  <pageSetup scale="59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","322", " - ", "Beach Hut")</f>
        <v>Department 322 - Beach Hut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962515.77</v>
      </c>
      <c r="F10" s="8">
        <f>SUM(OSRRefF11x_0)</f>
        <v>910243.49</v>
      </c>
      <c r="G10" s="8"/>
      <c r="H10" s="8">
        <f>SUM(OSRRefH11x_0)</f>
        <v>1027775.54</v>
      </c>
      <c r="I10" s="8"/>
      <c r="J10" s="8">
        <f>SUM(OSRRefJ11x_0)</f>
        <v>955668.29</v>
      </c>
      <c r="K10" s="8"/>
      <c r="L10" s="8">
        <f>SUM(OSRRefL11x_0)</f>
        <v>921855</v>
      </c>
      <c r="M10" s="8"/>
      <c r="N10" s="8">
        <f>SUM(OSRRefN11x_0)</f>
        <v>689915.82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"4051", " - ", "TAXABLE SALES-FOOD")</f>
        <v xml:space="preserve">          4051 - TAXABLE SALES-FOOD</v>
      </c>
      <c r="D11" s="11">
        <f>-109299.13*-1</f>
        <v>109299.13</v>
      </c>
      <c r="F11" s="11">
        <f>-98928.38*-1</f>
        <v>98928.38</v>
      </c>
      <c r="G11" s="3"/>
      <c r="H11" s="11">
        <f>-123500.44*-1</f>
        <v>123500.44</v>
      </c>
      <c r="I11" s="3"/>
      <c r="J11" s="11">
        <f>--193137.13</f>
        <v>193137.13</v>
      </c>
      <c r="K11" s="3"/>
      <c r="L11" s="11">
        <f>--145498.57</f>
        <v>145498.57</v>
      </c>
      <c r="M11" s="3"/>
      <c r="N11" s="11">
        <f>--85250.21</f>
        <v>85250.21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>0*-1</f>
        <v>0</v>
      </c>
      <c r="F12" s="11">
        <f>0*-1</f>
        <v>0</v>
      </c>
      <c r="G12" s="3"/>
      <c r="H12" s="11">
        <f>0*-1</f>
        <v>0</v>
      </c>
      <c r="I12" s="3"/>
      <c r="J12" s="11">
        <f>0</f>
        <v>0</v>
      </c>
      <c r="K12" s="3"/>
      <c r="L12" s="11">
        <f>0</f>
        <v>0</v>
      </c>
      <c r="M12" s="3"/>
      <c r="N12" s="11">
        <f>0</f>
        <v>0</v>
      </c>
      <c r="O12" s="3"/>
      <c r="P12" s="11">
        <v>0</v>
      </c>
      <c r="Q12" s="3"/>
      <c r="R12" s="11"/>
    </row>
    <row r="13" spans="1:18" s="16" customFormat="1" hidden="1" outlineLevel="1" x14ac:dyDescent="0.35">
      <c r="B13" s="35" t="str">
        <f>CONCATENATE("          ", "4151", " - ", "NON-TAXABLE SALES-FOOD")</f>
        <v xml:space="preserve">          4151 - NON-TAXABLE SALES-FOOD</v>
      </c>
      <c r="D13" s="11">
        <f>-853216.64*-1</f>
        <v>853216.64</v>
      </c>
      <c r="F13" s="11">
        <f>-811315.11*-1</f>
        <v>811315.11</v>
      </c>
      <c r="G13" s="3"/>
      <c r="H13" s="11">
        <f>-904275.1*-1</f>
        <v>904275.1</v>
      </c>
      <c r="I13" s="3"/>
      <c r="J13" s="11">
        <f>--762531.16</f>
        <v>762531.16</v>
      </c>
      <c r="K13" s="3"/>
      <c r="L13" s="11">
        <f>--776356.43</f>
        <v>776356.43</v>
      </c>
      <c r="M13" s="3"/>
      <c r="N13" s="11">
        <f>--604665.61</f>
        <v>604665.61</v>
      </c>
      <c r="O13" s="3"/>
      <c r="P13" s="11"/>
      <c r="Q13" s="3"/>
      <c r="R13" s="11"/>
    </row>
    <row r="14" spans="1:18" s="12" customFormat="1" x14ac:dyDescent="0.35">
      <c r="B14" s="7"/>
      <c r="D14" s="6"/>
      <c r="F14" s="6"/>
      <c r="G14" s="5"/>
      <c r="H14" s="6"/>
      <c r="I14" s="5"/>
      <c r="J14" s="6"/>
      <c r="K14" s="5"/>
      <c r="L14" s="6"/>
      <c r="M14" s="5"/>
      <c r="N14" s="6"/>
      <c r="O14" s="5"/>
      <c r="P14" s="6"/>
      <c r="Q14" s="5"/>
      <c r="R14" s="6"/>
    </row>
    <row r="15" spans="1:18" s="12" customFormat="1" collapsed="1" x14ac:dyDescent="0.35">
      <c r="B15" s="7" t="s">
        <v>278</v>
      </c>
      <c r="D15" s="8">
        <f>SUM(OSRRefD14x_0)</f>
        <v>515548.77</v>
      </c>
      <c r="E15" s="8"/>
      <c r="F15" s="8">
        <f>SUM(OSRRefF14x_0)</f>
        <v>501896.51</v>
      </c>
      <c r="G15" s="8"/>
      <c r="H15" s="8">
        <f>SUM(OSRRefH14x_0)</f>
        <v>480830.61</v>
      </c>
      <c r="I15" s="8"/>
      <c r="J15" s="8">
        <f>SUM(OSRRefJ14x_0)</f>
        <v>488135.5</v>
      </c>
      <c r="K15" s="8"/>
      <c r="L15" s="8">
        <f>SUM(OSRRefL14x_0)</f>
        <v>449860.5</v>
      </c>
      <c r="M15" s="8"/>
      <c r="N15" s="8">
        <f>SUM(OSRRefN14x_0)</f>
        <v>393681.72000000003</v>
      </c>
      <c r="O15" s="8"/>
      <c r="P15" s="8">
        <f>SUM(OSRRefP14x_0)</f>
        <v>0</v>
      </c>
      <c r="Q15" s="8"/>
      <c r="R15" s="8">
        <f>SUM(OSRRefR14x_0)</f>
        <v>0</v>
      </c>
    </row>
    <row r="16" spans="1:18" s="44" customFormat="1" hidden="1" outlineLevel="1" x14ac:dyDescent="0.35">
      <c r="A16" s="16"/>
      <c r="B16" s="35" t="str">
        <f>CONCATENATE("          ", "5000", " - ", "PURCHASES @ COST")</f>
        <v xml:space="preserve">          5000 - PURCHASES @ COST</v>
      </c>
      <c r="C16" s="16"/>
      <c r="D16" s="11"/>
      <c r="E16" s="16"/>
      <c r="F16" s="11"/>
      <c r="G16" s="3"/>
      <c r="H16" s="11"/>
      <c r="I16" s="3"/>
      <c r="J16" s="11"/>
      <c r="K16" s="3"/>
      <c r="L16" s="11"/>
      <c r="M16" s="3"/>
      <c r="N16" s="11"/>
      <c r="O16" s="3"/>
      <c r="P16" s="11">
        <v>0</v>
      </c>
      <c r="Q16" s="3"/>
      <c r="R16" s="11"/>
    </row>
    <row r="17" spans="1:18" s="44" customFormat="1" hidden="1" outlineLevel="1" x14ac:dyDescent="0.35">
      <c r="A17" s="16"/>
      <c r="B17" s="35" t="str">
        <f>CONCATENATE("          ", "5053", " - ", "PURCHASES @ COST-FOOD")</f>
        <v xml:space="preserve">          5053 - PURCHASES @ COST-FOOD</v>
      </c>
      <c r="C17" s="16"/>
      <c r="D17" s="11">
        <v>455910.83</v>
      </c>
      <c r="E17" s="16"/>
      <c r="F17" s="11">
        <v>461408.64</v>
      </c>
      <c r="G17" s="3"/>
      <c r="H17" s="11">
        <v>466373.99</v>
      </c>
      <c r="I17" s="3"/>
      <c r="J17" s="11">
        <v>432650.96</v>
      </c>
      <c r="K17" s="3"/>
      <c r="L17" s="11">
        <v>431901.81</v>
      </c>
      <c r="M17" s="3"/>
      <c r="N17" s="11">
        <v>366024.14</v>
      </c>
      <c r="O17" s="3"/>
      <c r="P17" s="11"/>
      <c r="Q17" s="3"/>
      <c r="R17" s="11"/>
    </row>
    <row r="18" spans="1:18" s="44" customFormat="1" hidden="1" outlineLevel="1" x14ac:dyDescent="0.35">
      <c r="A18" s="16"/>
      <c r="B18" s="35" t="str">
        <f>CONCATENATE("          ", "5059", " - ", "PURCHASES @ COST-FOOD")</f>
        <v xml:space="preserve">          5059 - PURCHASES @ COST-FOOD</v>
      </c>
      <c r="C18" s="16"/>
      <c r="D18" s="11">
        <v>59637.94</v>
      </c>
      <c r="E18" s="16"/>
      <c r="F18" s="11">
        <v>40487.870000000003</v>
      </c>
      <c r="G18" s="3"/>
      <c r="H18" s="11">
        <v>14456.62</v>
      </c>
      <c r="I18" s="3"/>
      <c r="J18" s="11">
        <v>55484.54</v>
      </c>
      <c r="K18" s="3"/>
      <c r="L18" s="11">
        <v>17958.689999999999</v>
      </c>
      <c r="M18" s="3"/>
      <c r="N18" s="11">
        <v>27657.58</v>
      </c>
      <c r="O18" s="3"/>
      <c r="P18" s="11"/>
      <c r="Q18" s="3"/>
      <c r="R18" s="11"/>
    </row>
    <row r="19" spans="1:18" x14ac:dyDescent="0.35">
      <c r="A19" s="12"/>
      <c r="B19" s="7"/>
      <c r="C19" s="7"/>
      <c r="D19" s="6"/>
      <c r="F19" s="6"/>
      <c r="H19" s="6"/>
      <c r="J19" s="6"/>
      <c r="L19" s="6"/>
      <c r="N19" s="6"/>
      <c r="P19" s="6"/>
      <c r="R19" s="6"/>
    </row>
    <row r="20" spans="1:18" s="15" customFormat="1" x14ac:dyDescent="0.35">
      <c r="A20" s="7"/>
      <c r="B20" s="22" t="s">
        <v>107</v>
      </c>
      <c r="C20" s="22"/>
      <c r="D20" s="10">
        <f>+D10-D15</f>
        <v>446967</v>
      </c>
      <c r="E20" s="12"/>
      <c r="F20" s="10">
        <f>+F10-F15</f>
        <v>408346.98</v>
      </c>
      <c r="G20" s="5"/>
      <c r="H20" s="10">
        <f>+H10-H15</f>
        <v>546944.93000000005</v>
      </c>
      <c r="I20" s="5"/>
      <c r="J20" s="10">
        <f>+J10-J15</f>
        <v>467532.79000000004</v>
      </c>
      <c r="K20" s="5"/>
      <c r="L20" s="10">
        <f>+L10-L15</f>
        <v>471994.5</v>
      </c>
      <c r="M20" s="5"/>
      <c r="N20" s="10">
        <f>+N10-N15</f>
        <v>296234.09999999992</v>
      </c>
      <c r="O20" s="5"/>
      <c r="P20" s="10">
        <f>+P10-P15</f>
        <v>0</v>
      </c>
      <c r="Q20" s="5"/>
      <c r="R20" s="10">
        <f>+R10-R15</f>
        <v>0</v>
      </c>
    </row>
    <row r="21" spans="1:18" s="27" customFormat="1" x14ac:dyDescent="0.35">
      <c r="A21" s="18"/>
      <c r="B21" s="31"/>
      <c r="C21" s="18"/>
      <c r="D21" s="9">
        <f>IFERROR(D20/D10, 0)</f>
        <v>0.46437369020977182</v>
      </c>
      <c r="E21" s="13"/>
      <c r="F21" s="9">
        <f>IFERROR(F20/F10, 0)</f>
        <v>0.44861290905799278</v>
      </c>
      <c r="G21" s="26"/>
      <c r="H21" s="9">
        <f>IFERROR(H20/H10, 0)</f>
        <v>0.53216379327338348</v>
      </c>
      <c r="I21" s="26"/>
      <c r="J21" s="9">
        <f>IFERROR(J20/J10, 0)</f>
        <v>0.48922078391865448</v>
      </c>
      <c r="K21" s="26"/>
      <c r="L21" s="9">
        <f>IFERROR(L20/L10, 0)</f>
        <v>0.51200514180646628</v>
      </c>
      <c r="M21" s="26"/>
      <c r="N21" s="9">
        <f>IFERROR(N20/N10, 0)</f>
        <v>0.42937716662302355</v>
      </c>
      <c r="O21" s="26"/>
      <c r="P21" s="9">
        <f>IFERROR(P20/P10, 0)</f>
        <v>0</v>
      </c>
      <c r="Q21" s="26"/>
      <c r="R21" s="9">
        <f>IFERROR(R20/R10, 0)</f>
        <v>0</v>
      </c>
    </row>
    <row r="22" spans="1:18" s="27" customFormat="1" x14ac:dyDescent="0.35">
      <c r="A22" s="18"/>
      <c r="B22" s="31"/>
      <c r="C22" s="18"/>
      <c r="D22" s="13"/>
      <c r="E22" s="13"/>
      <c r="F22" s="13"/>
      <c r="G22" s="26"/>
      <c r="H22" s="13"/>
      <c r="I22" s="26"/>
      <c r="J22" s="13"/>
      <c r="K22" s="26"/>
      <c r="L22" s="13"/>
      <c r="M22" s="26"/>
      <c r="N22" s="13"/>
      <c r="O22" s="26"/>
      <c r="P22" s="13"/>
      <c r="Q22" s="26"/>
      <c r="R22" s="13"/>
    </row>
    <row r="23" spans="1:18" s="15" customFormat="1" x14ac:dyDescent="0.35">
      <c r="A23" s="7"/>
      <c r="B23" s="34" t="s">
        <v>314</v>
      </c>
      <c r="C23" s="7"/>
      <c r="D23" s="8">
        <f>SUM(OSRRefD21x_0)</f>
        <v>318309.61</v>
      </c>
      <c r="E23" s="19"/>
      <c r="F23" s="8">
        <f>SUM(OSRRefF21x_0)</f>
        <v>279018.75999999995</v>
      </c>
      <c r="G23" s="4"/>
      <c r="H23" s="8">
        <f>SUM(OSRRefH21x_0)</f>
        <v>292171.50000000006</v>
      </c>
      <c r="I23" s="4"/>
      <c r="J23" s="8">
        <f>SUM(OSRRefJ21x_0)</f>
        <v>325222.55999999994</v>
      </c>
      <c r="K23" s="4"/>
      <c r="L23" s="8">
        <f>SUM(OSRRefL21x_0)</f>
        <v>326823.97000000003</v>
      </c>
      <c r="M23" s="4"/>
      <c r="N23" s="8">
        <f>SUM(OSRRefN21x_0)</f>
        <v>290734.59000000003</v>
      </c>
      <c r="O23" s="4"/>
      <c r="P23" s="8">
        <f>SUM(OSRRefP21x_0)</f>
        <v>24204</v>
      </c>
      <c r="Q23" s="4"/>
      <c r="R23" s="8">
        <f>SUM(OSRRefR21x_0)</f>
        <v>0</v>
      </c>
    </row>
    <row r="24" spans="1:18" s="15" customFormat="1" outlineLevel="1" collapsed="1" x14ac:dyDescent="0.35">
      <c r="A24" s="7"/>
      <c r="B24" s="20" t="str">
        <f>CONCATENATE("     ","*Benefits                                         ")</f>
        <v xml:space="preserve">     *Benefits                                         </v>
      </c>
      <c r="C24" s="7"/>
      <c r="D24" s="1">
        <f>SUM(OSRRefD21_0x_0)</f>
        <v>46709.999999999993</v>
      </c>
      <c r="E24" s="19"/>
      <c r="F24" s="1">
        <f>SUM(OSRRefF21_0x_0)</f>
        <v>25140.239999999998</v>
      </c>
      <c r="G24" s="4"/>
      <c r="H24" s="1">
        <f>SUM(OSRRefH21_0x_0)</f>
        <v>23950.879999999997</v>
      </c>
      <c r="I24" s="4"/>
      <c r="J24" s="1">
        <f>SUM(OSRRefJ21_0x_0)</f>
        <v>24909.350000000002</v>
      </c>
      <c r="K24" s="4"/>
      <c r="L24" s="1">
        <f>SUM(OSRRefL21_0x_0)</f>
        <v>27234.66</v>
      </c>
      <c r="M24" s="4"/>
      <c r="N24" s="1">
        <f>SUM(OSRRefN21_0x_0)</f>
        <v>27043.710000000003</v>
      </c>
      <c r="O24" s="4"/>
      <c r="P24" s="1">
        <f>SUM(OSRRefP21_0x_0)</f>
        <v>0</v>
      </c>
      <c r="Q24" s="4"/>
      <c r="R24" s="1">
        <f>SUM(OSRRefR21_0x_0)</f>
        <v>0</v>
      </c>
    </row>
    <row r="25" spans="1:18" s="16" customFormat="1" hidden="1" outlineLevel="2" x14ac:dyDescent="0.35">
      <c r="B25" s="11" t="str">
        <f>CONCATENATE("          ", "6111", " - ", "F.I.C.A.")</f>
        <v xml:space="preserve">          6111 - F.I.C.A.</v>
      </c>
      <c r="D25" s="2">
        <v>6578.93</v>
      </c>
      <c r="F25" s="2">
        <v>4982.6899999999996</v>
      </c>
      <c r="G25" s="3"/>
      <c r="H25" s="2">
        <v>4711.59</v>
      </c>
      <c r="I25" s="3"/>
      <c r="J25" s="2">
        <v>5373.36</v>
      </c>
      <c r="K25" s="3"/>
      <c r="L25" s="2">
        <v>6700.92</v>
      </c>
      <c r="M25" s="3"/>
      <c r="N25" s="2">
        <v>5804.54</v>
      </c>
      <c r="O25" s="3"/>
      <c r="P25" s="2">
        <v>0</v>
      </c>
      <c r="Q25" s="3"/>
      <c r="R25" s="2"/>
    </row>
    <row r="26" spans="1:18" s="16" customFormat="1" hidden="1" outlineLevel="2" x14ac:dyDescent="0.35">
      <c r="B26" s="11" t="str">
        <f>CONCATENATE("          ", "6112", " - ", "COMPENSATION INSURANCE")</f>
        <v xml:space="preserve">          6112 - COMPENSATION INSURANCE</v>
      </c>
      <c r="D26" s="2">
        <v>2462.7800000000002</v>
      </c>
      <c r="F26" s="2">
        <v>4519.59</v>
      </c>
      <c r="G26" s="3"/>
      <c r="H26" s="2">
        <v>2881.41</v>
      </c>
      <c r="I26" s="3"/>
      <c r="J26" s="2">
        <v>1836.97</v>
      </c>
      <c r="K26" s="3"/>
      <c r="L26" s="2">
        <v>2283.02</v>
      </c>
      <c r="M26" s="3"/>
      <c r="N26" s="2">
        <v>3114.05</v>
      </c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"6113", " - ", "GROUP INSURANCE")</f>
        <v xml:space="preserve">          6113 - GROUP INSURANCE</v>
      </c>
      <c r="D27" s="2">
        <v>18615.05</v>
      </c>
      <c r="F27" s="2">
        <v>7296.84</v>
      </c>
      <c r="G27" s="3"/>
      <c r="H27" s="2">
        <v>7498.45</v>
      </c>
      <c r="I27" s="3"/>
      <c r="J27" s="2">
        <v>7955.56</v>
      </c>
      <c r="K27" s="3"/>
      <c r="L27" s="2">
        <v>7569.72</v>
      </c>
      <c r="M27" s="3"/>
      <c r="N27" s="2">
        <v>7948.92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"6114", " - ", "STATE UNEMPLOYMENT INSURANCE")</f>
        <v xml:space="preserve">          6114 - STATE UNEMPLOYMENT INSURANCE</v>
      </c>
      <c r="D28" s="2">
        <v>998.15</v>
      </c>
      <c r="F28" s="2">
        <v>1092.6300000000001</v>
      </c>
      <c r="G28" s="3"/>
      <c r="H28" s="2">
        <v>560.48</v>
      </c>
      <c r="I28" s="3"/>
      <c r="J28" s="2">
        <v>612</v>
      </c>
      <c r="K28" s="3"/>
      <c r="L28" s="2">
        <v>551.61</v>
      </c>
      <c r="M28" s="3"/>
      <c r="N28" s="2">
        <v>0</v>
      </c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"6115", " - ", "P.E.R.S.")</f>
        <v xml:space="preserve">          6115 - P.E.R.S.</v>
      </c>
      <c r="D29" s="2">
        <v>9181.3799999999992</v>
      </c>
      <c r="F29" s="2">
        <v>2807.16</v>
      </c>
      <c r="G29" s="3"/>
      <c r="H29" s="2">
        <v>2833.85</v>
      </c>
      <c r="I29" s="3"/>
      <c r="J29" s="2">
        <v>2944.86</v>
      </c>
      <c r="K29" s="3"/>
      <c r="L29" s="2">
        <v>3046.46</v>
      </c>
      <c r="M29" s="3"/>
      <c r="N29" s="2">
        <v>3352.8</v>
      </c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"6116", " - ", "EDUCATIONAL BENEFITS")</f>
        <v xml:space="preserve">          6116 - EDUCATIONAL BENEFITS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"6118", " - ", "VACATION")</f>
        <v xml:space="preserve">          6118 - VACATION</v>
      </c>
      <c r="D31" s="2">
        <v>4667.0200000000004</v>
      </c>
      <c r="F31" s="2">
        <v>1943.21</v>
      </c>
      <c r="G31" s="3"/>
      <c r="H31" s="2">
        <v>1668.46</v>
      </c>
      <c r="I31" s="3"/>
      <c r="J31" s="2">
        <v>2202.86</v>
      </c>
      <c r="K31" s="3"/>
      <c r="L31" s="2">
        <v>2871.31</v>
      </c>
      <c r="M31" s="3"/>
      <c r="N31" s="2">
        <v>2996.5</v>
      </c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"6119", " - ", "SICK LEAVE")</f>
        <v xml:space="preserve">          6119 - SICK LEAVE</v>
      </c>
      <c r="D32" s="2">
        <v>3809.09</v>
      </c>
      <c r="F32" s="2">
        <v>1754.68</v>
      </c>
      <c r="G32" s="3"/>
      <c r="H32" s="2">
        <v>2016.62</v>
      </c>
      <c r="I32" s="3"/>
      <c r="J32" s="2">
        <v>2208.81</v>
      </c>
      <c r="K32" s="3"/>
      <c r="L32" s="2">
        <v>2417.96</v>
      </c>
      <c r="M32" s="3"/>
      <c r="N32" s="2">
        <v>2398.5</v>
      </c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"6156", " - ", "EMPLOYEE MEALS")</f>
        <v xml:space="preserve">          6156 - EMPLOYEE MEALS</v>
      </c>
      <c r="D33" s="2">
        <v>397.6</v>
      </c>
      <c r="F33" s="2">
        <v>743.44</v>
      </c>
      <c r="G33" s="3"/>
      <c r="H33" s="2">
        <v>1780.02</v>
      </c>
      <c r="I33" s="3"/>
      <c r="J33" s="2">
        <v>1774.93</v>
      </c>
      <c r="K33" s="3"/>
      <c r="L33" s="2">
        <v>1793.66</v>
      </c>
      <c r="M33" s="3"/>
      <c r="N33" s="2">
        <v>1428.4</v>
      </c>
      <c r="O33" s="3"/>
      <c r="P33" s="2"/>
      <c r="Q33" s="3"/>
      <c r="R33" s="2"/>
    </row>
    <row r="34" spans="1:18" s="15" customFormat="1" outlineLevel="1" collapsed="1" x14ac:dyDescent="0.35">
      <c r="A34" s="7"/>
      <c r="B34" s="20" t="str">
        <f>CONCATENATE("     ","*Payroll                                          ")</f>
        <v xml:space="preserve">     *Payroll                                          </v>
      </c>
      <c r="C34" s="7"/>
      <c r="D34" s="1">
        <f>SUM(OSRRefD21_1x_0)</f>
        <v>177055.01</v>
      </c>
      <c r="E34" s="19"/>
      <c r="F34" s="1">
        <f>SUM(OSRRefF21_1x_0)</f>
        <v>165064.95999999999</v>
      </c>
      <c r="G34" s="4"/>
      <c r="H34" s="1">
        <f>SUM(OSRRefH21_1x_0)</f>
        <v>174800.91</v>
      </c>
      <c r="I34" s="4"/>
      <c r="J34" s="1">
        <f>SUM(OSRRefJ21_1x_0)</f>
        <v>190008.80999999997</v>
      </c>
      <c r="K34" s="4"/>
      <c r="L34" s="1">
        <f>SUM(OSRRefL21_1x_0)</f>
        <v>197992.71000000002</v>
      </c>
      <c r="M34" s="4"/>
      <c r="N34" s="1">
        <f>SUM(OSRRefN21_1x_0)</f>
        <v>168753.34</v>
      </c>
      <c r="O34" s="4"/>
      <c r="P34" s="1">
        <f>SUM(OSRRefP21_1x_0)</f>
        <v>0</v>
      </c>
      <c r="Q34" s="4"/>
      <c r="R34" s="1">
        <f>SUM(OSRRefR21_1x_0)</f>
        <v>0</v>
      </c>
    </row>
    <row r="35" spans="1:18" s="16" customFormat="1" hidden="1" outlineLevel="2" x14ac:dyDescent="0.35">
      <c r="B35" s="11" t="str">
        <f>CONCATENATE("          ", "6001", " - ", "ADMINISTRATIVE SALARIES")</f>
        <v xml:space="preserve">          6001 - ADMINISTRATIVE SALARIES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/>
    </row>
    <row r="36" spans="1:18" s="16" customFormat="1" hidden="1" outlineLevel="2" x14ac:dyDescent="0.35">
      <c r="B36" s="11" t="str">
        <f>CONCATENATE("          ", "6002", " - ", "STAFF SALARIES")</f>
        <v xml:space="preserve">          6002 - STAFF SALARIES</v>
      </c>
      <c r="D36" s="2">
        <v>71138.22</v>
      </c>
      <c r="F36" s="2">
        <v>41133.69</v>
      </c>
      <c r="G36" s="3"/>
      <c r="H36" s="2">
        <v>39451.199999999997</v>
      </c>
      <c r="I36" s="3"/>
      <c r="J36" s="2">
        <v>41532.480000000003</v>
      </c>
      <c r="K36" s="3"/>
      <c r="L36" s="2">
        <v>44487.08</v>
      </c>
      <c r="M36" s="3"/>
      <c r="N36" s="2">
        <v>46312</v>
      </c>
      <c r="O36" s="3"/>
      <c r="P36" s="2">
        <v>0</v>
      </c>
      <c r="Q36" s="3"/>
      <c r="R36" s="2"/>
    </row>
    <row r="37" spans="1:18" s="16" customFormat="1" hidden="1" outlineLevel="2" x14ac:dyDescent="0.35">
      <c r="B37" s="11" t="str">
        <f>CONCATENATE("          ", "6003", " - ", "STAFF HOURLY-9 MONTH")</f>
        <v xml:space="preserve">          6003 - STAFF HOURLY-9 MONTH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"6004", " - ", "STAFF HOURLY")</f>
        <v xml:space="preserve">          6004 - STAFF HOURLY</v>
      </c>
      <c r="D38" s="2">
        <v>350.37</v>
      </c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"6005", " - ", "TEMPORARY WAGES-HOURLY")</f>
        <v xml:space="preserve">          6005 - TEMPORARY WAGES-HOURLY</v>
      </c>
      <c r="D39" s="2"/>
      <c r="F39" s="2">
        <v>659.75</v>
      </c>
      <c r="G39" s="3"/>
      <c r="H39" s="2">
        <v>498.79</v>
      </c>
      <c r="I39" s="3"/>
      <c r="J39" s="2"/>
      <c r="K39" s="3"/>
      <c r="L39" s="2"/>
      <c r="M39" s="3"/>
      <c r="N39" s="2">
        <v>9018.76</v>
      </c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"6006", " - ", "TEMPORARY PART TIME")</f>
        <v xml:space="preserve">          6006 - TEMPORARY PART TIME</v>
      </c>
      <c r="D40" s="2">
        <v>943.38</v>
      </c>
      <c r="F40" s="2">
        <v>10068.959999999999</v>
      </c>
      <c r="G40" s="3"/>
      <c r="H40" s="2">
        <v>4119.7700000000004</v>
      </c>
      <c r="I40" s="3"/>
      <c r="J40" s="2">
        <v>3088.07</v>
      </c>
      <c r="K40" s="3"/>
      <c r="L40" s="2">
        <v>18579.47</v>
      </c>
      <c r="M40" s="3"/>
      <c r="N40" s="2">
        <v>1199.43</v>
      </c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"6007", " - ", "STUDENT HOURLY")</f>
        <v xml:space="preserve">          6007 - STUDENT HOURLY</v>
      </c>
      <c r="D41" s="2">
        <v>104260.79</v>
      </c>
      <c r="F41" s="2">
        <v>110321.81</v>
      </c>
      <c r="G41" s="3"/>
      <c r="H41" s="2">
        <v>120459.82</v>
      </c>
      <c r="I41" s="3"/>
      <c r="J41" s="2">
        <v>141445.49</v>
      </c>
      <c r="K41" s="3"/>
      <c r="L41" s="2">
        <v>130602.41</v>
      </c>
      <c r="M41" s="3"/>
      <c r="N41" s="2">
        <v>109564.35</v>
      </c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"6008", " - ", "STUDENT HOURLY-FICA EXEMPT")</f>
        <v xml:space="preserve">          6008 - STUDENT HOURLY-FICA EXEMPT</v>
      </c>
      <c r="D42" s="2">
        <v>362.25</v>
      </c>
      <c r="F42" s="2">
        <v>2880.75</v>
      </c>
      <c r="G42" s="3"/>
      <c r="H42" s="2">
        <v>10271.33</v>
      </c>
      <c r="I42" s="3"/>
      <c r="J42" s="2">
        <v>3942.77</v>
      </c>
      <c r="K42" s="3"/>
      <c r="L42" s="2">
        <v>4323.75</v>
      </c>
      <c r="M42" s="3"/>
      <c r="N42" s="2">
        <v>2658.8</v>
      </c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"6009", " - ", "TEMPORARY-SEASONAL")</f>
        <v xml:space="preserve">          6009 - TEMPORARY-SEASONAL</v>
      </c>
      <c r="D43" s="2"/>
      <c r="F43" s="2"/>
      <c r="G43" s="3"/>
      <c r="H43" s="2"/>
      <c r="I43" s="3"/>
      <c r="J43" s="2"/>
      <c r="K43" s="3"/>
      <c r="L43" s="2"/>
      <c r="M43" s="3"/>
      <c r="N43" s="2"/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"6010", " - ", "GRATUITY")</f>
        <v xml:space="preserve">          6010 - GRATUITY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/>
    </row>
    <row r="45" spans="1:18" s="15" customFormat="1" outlineLevel="1" collapsed="1" x14ac:dyDescent="0.35">
      <c r="A45" s="7"/>
      <c r="B45" s="20" t="str">
        <f>CONCATENATE("     ","Advertising/Promo                                 ")</f>
        <v xml:space="preserve">     Advertising/Promo                                 </v>
      </c>
      <c r="C45" s="7"/>
      <c r="D45" s="1">
        <f>SUM(OSRRefD21_2x_0)</f>
        <v>973.71</v>
      </c>
      <c r="E45" s="19"/>
      <c r="F45" s="1">
        <f>SUM(OSRRefF21_2x_0)</f>
        <v>2410.59</v>
      </c>
      <c r="G45" s="4"/>
      <c r="H45" s="1">
        <f>SUM(OSRRefH21_2x_0)</f>
        <v>256.45</v>
      </c>
      <c r="I45" s="4"/>
      <c r="J45" s="1">
        <f>SUM(OSRRefJ21_2x_0)</f>
        <v>371.48</v>
      </c>
      <c r="K45" s="4"/>
      <c r="L45" s="1">
        <f>SUM(OSRRefL21_2x_0)</f>
        <v>438.35</v>
      </c>
      <c r="M45" s="4"/>
      <c r="N45" s="1">
        <f>SUM(OSRRefN21_2x_0)</f>
        <v>262.2</v>
      </c>
      <c r="O45" s="4"/>
      <c r="P45" s="1">
        <f>SUM(OSRRefP21_2x_0)</f>
        <v>0</v>
      </c>
      <c r="Q45" s="4"/>
      <c r="R45" s="1">
        <f>SUM(OSRRefR21_2x_0)</f>
        <v>0</v>
      </c>
    </row>
    <row r="46" spans="1:18" s="16" customFormat="1" hidden="1" outlineLevel="2" x14ac:dyDescent="0.35">
      <c r="B46" s="11" t="str">
        <f>CONCATENATE("          ", "6362", " - ", "ADVERTISING EXPENSE")</f>
        <v xml:space="preserve">          6362 - ADVERTISING EXPENSE</v>
      </c>
      <c r="D46" s="2">
        <v>973.71</v>
      </c>
      <c r="F46" s="2">
        <v>2410.59</v>
      </c>
      <c r="G46" s="3"/>
      <c r="H46" s="2">
        <v>256.45</v>
      </c>
      <c r="I46" s="3"/>
      <c r="J46" s="2">
        <v>371.48</v>
      </c>
      <c r="K46" s="3"/>
      <c r="L46" s="2">
        <v>438.35</v>
      </c>
      <c r="M46" s="3"/>
      <c r="N46" s="2">
        <v>262.2</v>
      </c>
      <c r="O46" s="3"/>
      <c r="P46" s="2">
        <v>0</v>
      </c>
      <c r="Q46" s="3"/>
      <c r="R46" s="2"/>
    </row>
    <row r="47" spans="1:18" s="15" customFormat="1" outlineLevel="1" collapsed="1" x14ac:dyDescent="0.35">
      <c r="A47" s="7"/>
      <c r="B47" s="20" t="str">
        <f>CONCATENATE("     ","Bad Debts/Over/Short                              ")</f>
        <v xml:space="preserve">     Bad Debts/Over/Short                              </v>
      </c>
      <c r="C47" s="7"/>
      <c r="D47" s="1">
        <f>SUM(OSRRefD21_3x_0)</f>
        <v>669.12</v>
      </c>
      <c r="E47" s="19"/>
      <c r="F47" s="1">
        <f>SUM(OSRRefF21_3x_0)</f>
        <v>123.56</v>
      </c>
      <c r="G47" s="4"/>
      <c r="H47" s="1">
        <f>SUM(OSRRefH21_3x_0)</f>
        <v>-55</v>
      </c>
      <c r="I47" s="4"/>
      <c r="J47" s="1">
        <f>SUM(OSRRefJ21_3x_0)</f>
        <v>-126.92</v>
      </c>
      <c r="K47" s="4"/>
      <c r="L47" s="1">
        <f>SUM(OSRRefL21_3x_0)</f>
        <v>1291.52</v>
      </c>
      <c r="M47" s="4"/>
      <c r="N47" s="1">
        <f>SUM(OSRRefN21_3x_0)</f>
        <v>-53.23</v>
      </c>
      <c r="O47" s="4"/>
      <c r="P47" s="1">
        <f>SUM(OSRRefP21_3x_0)</f>
        <v>0</v>
      </c>
      <c r="Q47" s="4"/>
      <c r="R47" s="1">
        <f>SUM(OSRRefR21_3x_0)</f>
        <v>0</v>
      </c>
    </row>
    <row r="48" spans="1:18" s="16" customFormat="1" hidden="1" outlineLevel="2" x14ac:dyDescent="0.35">
      <c r="B48" s="11" t="str">
        <f>CONCATENATE("          ", "6272", " - ", "CASH (OVER/SHORT)")</f>
        <v xml:space="preserve">          6272 - CASH (OVER/SHORT)</v>
      </c>
      <c r="D48" s="2">
        <v>669.12</v>
      </c>
      <c r="F48" s="2">
        <v>123.56</v>
      </c>
      <c r="G48" s="3"/>
      <c r="H48" s="2">
        <v>-55</v>
      </c>
      <c r="I48" s="3"/>
      <c r="J48" s="2">
        <v>-126.92</v>
      </c>
      <c r="K48" s="3"/>
      <c r="L48" s="2">
        <v>1291.52</v>
      </c>
      <c r="M48" s="3"/>
      <c r="N48" s="2">
        <v>-53.23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","Bank/card Fees                                    ")</f>
        <v xml:space="preserve">     Bank/card Fees                                    </v>
      </c>
      <c r="C49" s="7"/>
      <c r="D49" s="1">
        <f>SUM(OSRRefD21_4x_0)</f>
        <v>30736.23</v>
      </c>
      <c r="E49" s="19"/>
      <c r="F49" s="1">
        <f>SUM(OSRRefF21_4x_0)</f>
        <v>34658.93</v>
      </c>
      <c r="G49" s="4"/>
      <c r="H49" s="1">
        <f>SUM(OSRRefH21_4x_0)</f>
        <v>31261.55</v>
      </c>
      <c r="I49" s="4"/>
      <c r="J49" s="1">
        <f>SUM(OSRRefJ21_4x_0)</f>
        <v>30572.47</v>
      </c>
      <c r="K49" s="4"/>
      <c r="L49" s="1">
        <f>SUM(OSRRefL21_4x_0)</f>
        <v>30213.71</v>
      </c>
      <c r="M49" s="4"/>
      <c r="N49" s="1">
        <f>SUM(OSRRefN21_4x_0)</f>
        <v>25665.63</v>
      </c>
      <c r="O49" s="4"/>
      <c r="P49" s="1">
        <f>SUM(OSRRefP21_4x_0)</f>
        <v>0</v>
      </c>
      <c r="Q49" s="4"/>
      <c r="R49" s="1">
        <f>SUM(OSRRefR21_4x_0)</f>
        <v>0</v>
      </c>
    </row>
    <row r="50" spans="1:18" s="16" customFormat="1" hidden="1" outlineLevel="2" x14ac:dyDescent="0.35">
      <c r="B50" s="11" t="str">
        <f>CONCATENATE("          ", "6381", " - ", "BANK/CREDIT CARD FEES")</f>
        <v xml:space="preserve">          6381 - BANK/CREDIT CARD FEES</v>
      </c>
      <c r="D50" s="2">
        <v>30736.23</v>
      </c>
      <c r="F50" s="2">
        <v>34658.93</v>
      </c>
      <c r="G50" s="3"/>
      <c r="H50" s="2">
        <v>31261.55</v>
      </c>
      <c r="I50" s="3"/>
      <c r="J50" s="2">
        <v>30572.47</v>
      </c>
      <c r="K50" s="3"/>
      <c r="L50" s="2">
        <v>30213.71</v>
      </c>
      <c r="M50" s="3"/>
      <c r="N50" s="2">
        <v>25665.63</v>
      </c>
      <c r="O50" s="3"/>
      <c r="P50" s="2">
        <v>0</v>
      </c>
      <c r="Q50" s="3"/>
      <c r="R50" s="2"/>
    </row>
    <row r="51" spans="1:18" s="15" customFormat="1" outlineLevel="1" collapsed="1" x14ac:dyDescent="0.35">
      <c r="A51" s="7"/>
      <c r="B51" s="20" t="str">
        <f>CONCATENATE("     ","Depreciation                                      ")</f>
        <v xml:space="preserve">     Depreciation                                      </v>
      </c>
      <c r="C51" s="7"/>
      <c r="D51" s="1">
        <f>SUM(OSRRefD21_5x_0)</f>
        <v>14031.18</v>
      </c>
      <c r="E51" s="19"/>
      <c r="F51" s="1">
        <f>SUM(OSRRefF21_5x_0)</f>
        <v>10484.44</v>
      </c>
      <c r="G51" s="4"/>
      <c r="H51" s="1">
        <f>SUM(OSRRefH21_5x_0)</f>
        <v>8015.9</v>
      </c>
      <c r="I51" s="4"/>
      <c r="J51" s="1">
        <f>SUM(OSRRefJ21_5x_0)</f>
        <v>25788.880000000001</v>
      </c>
      <c r="K51" s="4"/>
      <c r="L51" s="1">
        <f>SUM(OSRRefL21_5x_0)</f>
        <v>25118.37</v>
      </c>
      <c r="M51" s="4"/>
      <c r="N51" s="1">
        <f>SUM(OSRRefN21_5x_0)</f>
        <v>22930.03</v>
      </c>
      <c r="O51" s="4"/>
      <c r="P51" s="1">
        <f>SUM(OSRRefP21_5x_0)</f>
        <v>24204</v>
      </c>
      <c r="Q51" s="4"/>
      <c r="R51" s="1">
        <f>SUM(OSRRefR21_5x_0)</f>
        <v>0</v>
      </c>
    </row>
    <row r="52" spans="1:18" s="16" customFormat="1" hidden="1" outlineLevel="2" x14ac:dyDescent="0.35">
      <c r="B52" s="11" t="str">
        <f>CONCATENATE("          ", "6322", " - ", "EQUIPMENT DEPRECIATION EXPENSE")</f>
        <v xml:space="preserve">          6322 - EQUIPMENT DEPRECIATION EXPENSE</v>
      </c>
      <c r="D52" s="2">
        <v>14031.18</v>
      </c>
      <c r="F52" s="2">
        <v>10484.44</v>
      </c>
      <c r="G52" s="3"/>
      <c r="H52" s="2">
        <v>8015.9</v>
      </c>
      <c r="I52" s="3"/>
      <c r="J52" s="2">
        <v>25788.880000000001</v>
      </c>
      <c r="K52" s="3"/>
      <c r="L52" s="2">
        <v>25118.37</v>
      </c>
      <c r="M52" s="3"/>
      <c r="N52" s="2">
        <v>22930.03</v>
      </c>
      <c r="O52" s="3"/>
      <c r="P52" s="2">
        <v>24204</v>
      </c>
      <c r="Q52" s="3"/>
      <c r="R52" s="2"/>
    </row>
    <row r="53" spans="1:18" s="15" customFormat="1" outlineLevel="1" collapsed="1" x14ac:dyDescent="0.35">
      <c r="A53" s="7"/>
      <c r="B53" s="20" t="str">
        <f>CONCATENATE("     ","Employees' Appreciation                           ")</f>
        <v xml:space="preserve">     Employees' Appreciation                           </v>
      </c>
      <c r="C53" s="7"/>
      <c r="D53" s="1">
        <f>SUM(OSRRefD21_6x_0)</f>
        <v>86.3</v>
      </c>
      <c r="E53" s="19"/>
      <c r="F53" s="1">
        <f>SUM(OSRRefF21_6x_0)</f>
        <v>112.78</v>
      </c>
      <c r="G53" s="4"/>
      <c r="H53" s="1">
        <f>SUM(OSRRefH21_6x_0)</f>
        <v>35.67</v>
      </c>
      <c r="I53" s="4"/>
      <c r="J53" s="1">
        <f>SUM(OSRRefJ21_6x_0)</f>
        <v>243.36</v>
      </c>
      <c r="K53" s="4"/>
      <c r="L53" s="1">
        <f>SUM(OSRRefL21_6x_0)</f>
        <v>172.13</v>
      </c>
      <c r="M53" s="4"/>
      <c r="N53" s="1">
        <f>SUM(OSRRefN21_6x_0)</f>
        <v>0</v>
      </c>
      <c r="O53" s="4"/>
      <c r="P53" s="1">
        <f>SUM(OSRRefP21_6x_0)</f>
        <v>0</v>
      </c>
      <c r="Q53" s="4"/>
      <c r="R53" s="1">
        <f>SUM(OSRRefR21_6x_0)</f>
        <v>0</v>
      </c>
    </row>
    <row r="54" spans="1:18" s="16" customFormat="1" hidden="1" outlineLevel="2" x14ac:dyDescent="0.35">
      <c r="B54" s="11" t="str">
        <f>CONCATENATE("          ", "6277", " - ", "EMPLOYEE APPRECIATION")</f>
        <v xml:space="preserve">          6277 - EMPLOYEE APPRECIATION</v>
      </c>
      <c r="D54" s="2">
        <v>86.3</v>
      </c>
      <c r="F54" s="2">
        <v>112.78</v>
      </c>
      <c r="G54" s="3"/>
      <c r="H54" s="2">
        <v>35.67</v>
      </c>
      <c r="I54" s="3"/>
      <c r="J54" s="2">
        <v>243.36</v>
      </c>
      <c r="K54" s="3"/>
      <c r="L54" s="2">
        <v>172.13</v>
      </c>
      <c r="M54" s="3"/>
      <c r="N54" s="2"/>
      <c r="O54" s="3"/>
      <c r="P54" s="2"/>
      <c r="Q54" s="3"/>
      <c r="R54" s="2"/>
    </row>
    <row r="55" spans="1:18" s="15" customFormat="1" outlineLevel="1" collapsed="1" x14ac:dyDescent="0.35">
      <c r="A55" s="7"/>
      <c r="B55" s="20" t="str">
        <f>CONCATENATE("     ","Equipment Rental                                  ")</f>
        <v xml:space="preserve">     Equipment Rental                                  </v>
      </c>
      <c r="C55" s="7"/>
      <c r="D55" s="1">
        <f>SUM(OSRRefD21_7x_0)</f>
        <v>12</v>
      </c>
      <c r="E55" s="19"/>
      <c r="F55" s="1">
        <f>SUM(OSRRefF21_7x_0)</f>
        <v>0</v>
      </c>
      <c r="G55" s="4"/>
      <c r="H55" s="1">
        <f>SUM(OSRRefH21_7x_0)</f>
        <v>0</v>
      </c>
      <c r="I55" s="4"/>
      <c r="J55" s="1">
        <f>SUM(OSRRefJ21_7x_0)</f>
        <v>12</v>
      </c>
      <c r="K55" s="4"/>
      <c r="L55" s="1">
        <f>SUM(OSRRefL21_7x_0)</f>
        <v>34.159999999999997</v>
      </c>
      <c r="M55" s="4"/>
      <c r="N55" s="1">
        <f>SUM(OSRRefN21_7x_0)</f>
        <v>0</v>
      </c>
      <c r="O55" s="4"/>
      <c r="P55" s="1">
        <f>SUM(OSRRefP21_7x_0)</f>
        <v>0</v>
      </c>
      <c r="Q55" s="4"/>
      <c r="R55" s="1">
        <f>SUM(OSRRefR21_7x_0)</f>
        <v>0</v>
      </c>
    </row>
    <row r="56" spans="1:18" s="16" customFormat="1" hidden="1" outlineLevel="2" x14ac:dyDescent="0.35">
      <c r="B56" s="11" t="str">
        <f>CONCATENATE("          ", "6351", " - ", "EQUIPMENT RENTAL")</f>
        <v xml:space="preserve">          6351 - EQUIPMENT RENTAL</v>
      </c>
      <c r="D56" s="2">
        <v>12</v>
      </c>
      <c r="F56" s="2"/>
      <c r="G56" s="3"/>
      <c r="H56" s="2"/>
      <c r="I56" s="3"/>
      <c r="J56" s="2">
        <v>12</v>
      </c>
      <c r="K56" s="3"/>
      <c r="L56" s="2">
        <v>34.159999999999997</v>
      </c>
      <c r="M56" s="3"/>
      <c r="N56" s="2"/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","Freight out/Postage                               ")</f>
        <v xml:space="preserve">     Freight out/Postage                               </v>
      </c>
      <c r="C57" s="7"/>
      <c r="D57" s="1">
        <f>SUM(OSRRefD21_8x_0)</f>
        <v>0</v>
      </c>
      <c r="E57" s="19"/>
      <c r="F57" s="1">
        <f>SUM(OSRRefF21_8x_0)</f>
        <v>958.09</v>
      </c>
      <c r="G57" s="4"/>
      <c r="H57" s="1">
        <f>SUM(OSRRefH21_8x_0)</f>
        <v>0</v>
      </c>
      <c r="I57" s="4"/>
      <c r="J57" s="1">
        <f>SUM(OSRRefJ21_8x_0)</f>
        <v>0</v>
      </c>
      <c r="K57" s="4"/>
      <c r="L57" s="1">
        <f>SUM(OSRRefL21_8x_0)</f>
        <v>-39.549999999999997</v>
      </c>
      <c r="M57" s="4"/>
      <c r="N57" s="1">
        <f>SUM(OSRRefN21_8x_0)</f>
        <v>0</v>
      </c>
      <c r="O57" s="4"/>
      <c r="P57" s="1">
        <f>SUM(OSRRefP21_8x_0)</f>
        <v>0</v>
      </c>
      <c r="Q57" s="4"/>
      <c r="R57" s="1">
        <f>SUM(OSRRefR21_8x_0)</f>
        <v>0</v>
      </c>
    </row>
    <row r="58" spans="1:18" s="16" customFormat="1" hidden="1" outlineLevel="2" x14ac:dyDescent="0.35">
      <c r="B58" s="11" t="str">
        <f>CONCATENATE("          ", "6307", " - ", "POSTAGE")</f>
        <v xml:space="preserve">          6307 - POSTAGE</v>
      </c>
      <c r="D58" s="2"/>
      <c r="F58" s="2">
        <v>958.09</v>
      </c>
      <c r="G58" s="3"/>
      <c r="H58" s="2"/>
      <c r="I58" s="3"/>
      <c r="J58" s="2"/>
      <c r="K58" s="3"/>
      <c r="L58" s="2">
        <v>-39.549999999999997</v>
      </c>
      <c r="M58" s="3"/>
      <c r="N58" s="2"/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","General                                           ")</f>
        <v xml:space="preserve">     General                                           </v>
      </c>
      <c r="C59" s="7"/>
      <c r="D59" s="1">
        <f>SUM(OSRRefD21_9x_0)</f>
        <v>4202.66</v>
      </c>
      <c r="E59" s="19"/>
      <c r="F59" s="1">
        <f>SUM(OSRRefF21_9x_0)</f>
        <v>833.8</v>
      </c>
      <c r="G59" s="4"/>
      <c r="H59" s="1">
        <f>SUM(OSRRefH21_9x_0)</f>
        <v>1035.6600000000001</v>
      </c>
      <c r="I59" s="4"/>
      <c r="J59" s="1">
        <f>SUM(OSRRefJ21_9x_0)</f>
        <v>849</v>
      </c>
      <c r="K59" s="4"/>
      <c r="L59" s="1">
        <f>SUM(OSRRefL21_9x_0)</f>
        <v>1649.67</v>
      </c>
      <c r="M59" s="4"/>
      <c r="N59" s="1">
        <f>SUM(OSRRefN21_9x_0)</f>
        <v>1231.03</v>
      </c>
      <c r="O59" s="4"/>
      <c r="P59" s="1">
        <f>SUM(OSRRefP21_9x_0)</f>
        <v>0</v>
      </c>
      <c r="Q59" s="4"/>
      <c r="R59" s="1">
        <f>SUM(OSRRefR21_9x_0)</f>
        <v>0</v>
      </c>
    </row>
    <row r="60" spans="1:18" s="16" customFormat="1" hidden="1" outlineLevel="2" x14ac:dyDescent="0.35">
      <c r="B60" s="11" t="str">
        <f>CONCATENATE("          ", "6279", " - ", "GENERAL EXPENSE")</f>
        <v xml:space="preserve">          6279 - GENERAL EXPENSE</v>
      </c>
      <c r="D60" s="2">
        <v>4202.66</v>
      </c>
      <c r="F60" s="2">
        <v>833.8</v>
      </c>
      <c r="G60" s="3"/>
      <c r="H60" s="2">
        <v>1035.6600000000001</v>
      </c>
      <c r="I60" s="3"/>
      <c r="J60" s="2">
        <v>849</v>
      </c>
      <c r="K60" s="3"/>
      <c r="L60" s="2">
        <v>1649.67</v>
      </c>
      <c r="M60" s="3"/>
      <c r="N60" s="2">
        <v>1231.03</v>
      </c>
      <c r="O60" s="3"/>
      <c r="P60" s="2">
        <v>0</v>
      </c>
      <c r="Q60" s="3"/>
      <c r="R60" s="2"/>
    </row>
    <row r="61" spans="1:18" s="15" customFormat="1" outlineLevel="1" collapsed="1" x14ac:dyDescent="0.35">
      <c r="A61" s="7"/>
      <c r="B61" s="20" t="str">
        <f>CONCATENATE("     ","Professional Services                             ")</f>
        <v xml:space="preserve">     Professional Services                             </v>
      </c>
      <c r="C61" s="7"/>
      <c r="D61" s="1">
        <f>SUM(OSRRefD21_10x_0)</f>
        <v>750</v>
      </c>
      <c r="E61" s="19"/>
      <c r="F61" s="1">
        <f>SUM(OSRRefF21_10x_0)</f>
        <v>0</v>
      </c>
      <c r="G61" s="4"/>
      <c r="H61" s="1">
        <f>SUM(OSRRefH21_10x_0)</f>
        <v>6630.68</v>
      </c>
      <c r="I61" s="4"/>
      <c r="J61" s="1">
        <f>SUM(OSRRefJ21_10x_0)</f>
        <v>4241.9399999999996</v>
      </c>
      <c r="K61" s="4"/>
      <c r="L61" s="1">
        <f>SUM(OSRRefL21_10x_0)</f>
        <v>0</v>
      </c>
      <c r="M61" s="4"/>
      <c r="N61" s="1">
        <f>SUM(OSRRefN21_10x_0)</f>
        <v>0</v>
      </c>
      <c r="O61" s="4"/>
      <c r="P61" s="1">
        <f>SUM(OSRRefP21_10x_0)</f>
        <v>0</v>
      </c>
      <c r="Q61" s="4"/>
      <c r="R61" s="1">
        <f>SUM(OSRRefR21_10x_0)</f>
        <v>0</v>
      </c>
    </row>
    <row r="62" spans="1:18" s="16" customFormat="1" hidden="1" outlineLevel="2" x14ac:dyDescent="0.35">
      <c r="B62" s="11" t="str">
        <f>CONCATENATE("          ", "6336", " - ", "PROFESSIONAL SERVICES")</f>
        <v xml:space="preserve">          6336 - PROFESSIONAL SERVICES</v>
      </c>
      <c r="D62" s="2">
        <v>750</v>
      </c>
      <c r="F62" s="2"/>
      <c r="G62" s="3"/>
      <c r="H62" s="2">
        <v>6630.68</v>
      </c>
      <c r="I62" s="3"/>
      <c r="J62" s="2">
        <v>4241.9399999999996</v>
      </c>
      <c r="K62" s="3"/>
      <c r="L62" s="2"/>
      <c r="M62" s="3"/>
      <c r="N62" s="2"/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","Rent                                              ")</f>
        <v xml:space="preserve">     Rent                                              </v>
      </c>
      <c r="C63" s="7"/>
      <c r="D63" s="1">
        <f>SUM(OSRRefD21_11x_0)</f>
        <v>6000</v>
      </c>
      <c r="E63" s="19"/>
      <c r="F63" s="1">
        <f>SUM(OSRRefF21_11x_0)</f>
        <v>6000</v>
      </c>
      <c r="G63" s="4"/>
      <c r="H63" s="1">
        <f>SUM(OSRRefH21_11x_0)</f>
        <v>6000</v>
      </c>
      <c r="I63" s="4"/>
      <c r="J63" s="1">
        <f>SUM(OSRRefJ21_11x_0)</f>
        <v>6000</v>
      </c>
      <c r="K63" s="4"/>
      <c r="L63" s="1">
        <f>SUM(OSRRefL21_11x_0)</f>
        <v>13800</v>
      </c>
      <c r="M63" s="4"/>
      <c r="N63" s="1">
        <f>SUM(OSRRefN21_11x_0)</f>
        <v>13800</v>
      </c>
      <c r="O63" s="4"/>
      <c r="P63" s="1">
        <f>SUM(OSRRefP21_11x_0)</f>
        <v>0</v>
      </c>
      <c r="Q63" s="4"/>
      <c r="R63" s="1">
        <f>SUM(OSRRefR21_11x_0)</f>
        <v>0</v>
      </c>
    </row>
    <row r="64" spans="1:18" s="16" customFormat="1" hidden="1" outlineLevel="2" x14ac:dyDescent="0.35">
      <c r="B64" s="11" t="str">
        <f>CONCATENATE("          ", "6273", " - ", "RENT")</f>
        <v xml:space="preserve">          6273 - RENT</v>
      </c>
      <c r="D64" s="2">
        <v>6000</v>
      </c>
      <c r="F64" s="2">
        <v>6000</v>
      </c>
      <c r="G64" s="3"/>
      <c r="H64" s="2">
        <v>6000</v>
      </c>
      <c r="I64" s="3"/>
      <c r="J64" s="2">
        <v>6000</v>
      </c>
      <c r="K64" s="3"/>
      <c r="L64" s="2">
        <v>13800</v>
      </c>
      <c r="M64" s="3"/>
      <c r="N64" s="2">
        <v>13800</v>
      </c>
      <c r="O64" s="3"/>
      <c r="P64" s="2">
        <v>0</v>
      </c>
      <c r="Q64" s="3"/>
      <c r="R64" s="2"/>
    </row>
    <row r="65" spans="1:18" s="15" customFormat="1" outlineLevel="1" collapsed="1" x14ac:dyDescent="0.35">
      <c r="A65" s="7"/>
      <c r="B65" s="20" t="str">
        <f>CONCATENATE("     ","Repair and Maintenance                            ")</f>
        <v xml:space="preserve">     Repair and Maintenance                            </v>
      </c>
      <c r="C65" s="7"/>
      <c r="D65" s="1">
        <f>SUM(OSRRefD21_12x_0)</f>
        <v>6084.62</v>
      </c>
      <c r="E65" s="19"/>
      <c r="F65" s="1">
        <f>SUM(OSRRefF21_12x_0)</f>
        <v>4857.5</v>
      </c>
      <c r="G65" s="4"/>
      <c r="H65" s="1">
        <f>SUM(OSRRefH21_12x_0)</f>
        <v>2247.69</v>
      </c>
      <c r="I65" s="4"/>
      <c r="J65" s="1">
        <f>SUM(OSRRefJ21_12x_0)</f>
        <v>8756.2000000000007</v>
      </c>
      <c r="K65" s="4"/>
      <c r="L65" s="1">
        <f>SUM(OSRRefL21_12x_0)</f>
        <v>3845.07</v>
      </c>
      <c r="M65" s="4"/>
      <c r="N65" s="1">
        <f>SUM(OSRRefN21_12x_0)</f>
        <v>6568.8899999999994</v>
      </c>
      <c r="O65" s="4"/>
      <c r="P65" s="1">
        <f>SUM(OSRRefP21_12x_0)</f>
        <v>0</v>
      </c>
      <c r="Q65" s="4"/>
      <c r="R65" s="1">
        <f>SUM(OSRRefR21_12x_0)</f>
        <v>0</v>
      </c>
    </row>
    <row r="66" spans="1:18" s="16" customFormat="1" hidden="1" outlineLevel="2" x14ac:dyDescent="0.35">
      <c r="B66" s="11" t="str">
        <f>CONCATENATE("          ", "6373", " - ", "MAINTENANCE CONTRACTS")</f>
        <v xml:space="preserve">          6373 - MAINTENANCE CONTRACTS</v>
      </c>
      <c r="D66" s="2">
        <v>3213.6</v>
      </c>
      <c r="F66" s="2">
        <v>1476.67</v>
      </c>
      <c r="G66" s="3"/>
      <c r="H66" s="2"/>
      <c r="I66" s="3"/>
      <c r="J66" s="2">
        <v>1816.87</v>
      </c>
      <c r="K66" s="3"/>
      <c r="L66" s="2">
        <v>269.88</v>
      </c>
      <c r="M66" s="3"/>
      <c r="N66" s="2">
        <v>284.52999999999997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"6375", " - ", "OUTSIDE REPAIRS &amp; MAINTENANCE")</f>
        <v xml:space="preserve">          6375 - OUTSIDE REPAIRS &amp; MAINTENANCE</v>
      </c>
      <c r="D67" s="2">
        <v>2871.02</v>
      </c>
      <c r="F67" s="2">
        <v>3380.83</v>
      </c>
      <c r="G67" s="3"/>
      <c r="H67" s="2">
        <v>2247.69</v>
      </c>
      <c r="I67" s="3"/>
      <c r="J67" s="2">
        <v>6939.33</v>
      </c>
      <c r="K67" s="3"/>
      <c r="L67" s="2">
        <v>3575.19</v>
      </c>
      <c r="M67" s="3"/>
      <c r="N67" s="2">
        <v>6284.36</v>
      </c>
      <c r="O67" s="3"/>
      <c r="P67" s="2">
        <v>0</v>
      </c>
      <c r="Q67" s="3"/>
      <c r="R67" s="2"/>
    </row>
    <row r="68" spans="1:18" s="15" customFormat="1" outlineLevel="1" collapsed="1" x14ac:dyDescent="0.35">
      <c r="A68" s="7"/>
      <c r="B68" s="20" t="str">
        <f>CONCATENATE("     ","Services                                          ")</f>
        <v xml:space="preserve">     Services                                          </v>
      </c>
      <c r="C68" s="7"/>
      <c r="D68" s="1">
        <f>SUM(OSRRefD21_13x_0)</f>
        <v>6821.65</v>
      </c>
      <c r="E68" s="19"/>
      <c r="F68" s="1">
        <f>SUM(OSRRefF21_13x_0)</f>
        <v>7120.63</v>
      </c>
      <c r="G68" s="4"/>
      <c r="H68" s="1">
        <f>SUM(OSRRefH21_13x_0)</f>
        <v>5029.4799999999996</v>
      </c>
      <c r="I68" s="4"/>
      <c r="J68" s="1">
        <f>SUM(OSRRefJ21_13x_0)</f>
        <v>5493.5</v>
      </c>
      <c r="K68" s="4"/>
      <c r="L68" s="1">
        <f>SUM(OSRRefL21_13x_0)</f>
        <v>5837.03</v>
      </c>
      <c r="M68" s="4"/>
      <c r="N68" s="1">
        <f>SUM(OSRRefN21_13x_0)</f>
        <v>6676.4</v>
      </c>
      <c r="O68" s="4"/>
      <c r="P68" s="1">
        <f>SUM(OSRRefP21_13x_0)</f>
        <v>0</v>
      </c>
      <c r="Q68" s="4"/>
      <c r="R68" s="1">
        <f>SUM(OSRRefR21_13x_0)</f>
        <v>0</v>
      </c>
    </row>
    <row r="69" spans="1:18" s="16" customFormat="1" hidden="1" outlineLevel="2" x14ac:dyDescent="0.35">
      <c r="B69" s="11" t="str">
        <f>CONCATENATE("          ", "6282", " - ", "JANITORIAL/EXTERMINATOR EXPENS")</f>
        <v xml:space="preserve">          6282 - JANITORIAL/EXTERMINATOR EXPENS</v>
      </c>
      <c r="D69" s="2">
        <v>1110.1199999999999</v>
      </c>
      <c r="F69" s="2">
        <v>948.68</v>
      </c>
      <c r="G69" s="3"/>
      <c r="H69" s="2">
        <v>1579.62</v>
      </c>
      <c r="I69" s="3"/>
      <c r="J69" s="2">
        <v>1788.84</v>
      </c>
      <c r="K69" s="3"/>
      <c r="L69" s="2">
        <v>1193.02</v>
      </c>
      <c r="M69" s="3"/>
      <c r="N69" s="2">
        <v>1051.29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"6285", " - ", "JANITORIAL SERVICES")</f>
        <v xml:space="preserve">          6285 - JANITORIAL SERVICES</v>
      </c>
      <c r="D70" s="2">
        <v>5711.53</v>
      </c>
      <c r="F70" s="2">
        <v>6171.95</v>
      </c>
      <c r="G70" s="3"/>
      <c r="H70" s="2">
        <v>3449.86</v>
      </c>
      <c r="I70" s="3"/>
      <c r="J70" s="2">
        <v>3142.98</v>
      </c>
      <c r="K70" s="3"/>
      <c r="L70" s="2">
        <v>875.58</v>
      </c>
      <c r="M70" s="3"/>
      <c r="N70" s="2">
        <v>3015.51</v>
      </c>
      <c r="O70" s="3"/>
      <c r="P70" s="2">
        <v>0</v>
      </c>
      <c r="Q70" s="3"/>
      <c r="R70" s="2"/>
    </row>
    <row r="71" spans="1:18" s="16" customFormat="1" hidden="1" outlineLevel="2" x14ac:dyDescent="0.35">
      <c r="B71" s="11" t="str">
        <f>CONCATENATE("          ", "6286", " - ", "LAUNDRY EXPENSE")</f>
        <v xml:space="preserve">          6286 - LAUNDRY EXPENSE</v>
      </c>
      <c r="D71" s="2"/>
      <c r="F71" s="2"/>
      <c r="G71" s="3"/>
      <c r="H71" s="2"/>
      <c r="I71" s="3"/>
      <c r="J71" s="2">
        <v>561.67999999999995</v>
      </c>
      <c r="K71" s="3"/>
      <c r="L71" s="2">
        <v>3768.43</v>
      </c>
      <c r="M71" s="3"/>
      <c r="N71" s="2">
        <v>2609.6</v>
      </c>
      <c r="O71" s="3"/>
      <c r="P71" s="2"/>
      <c r="Q71" s="3"/>
      <c r="R71" s="2"/>
    </row>
    <row r="72" spans="1:18" s="15" customFormat="1" outlineLevel="1" collapsed="1" x14ac:dyDescent="0.35">
      <c r="A72" s="7"/>
      <c r="B72" s="20" t="str">
        <f>CONCATENATE("     ","Subscriptions &amp; Dues                              ")</f>
        <v xml:space="preserve">     Subscriptions &amp; Dues                              </v>
      </c>
      <c r="C72" s="7"/>
      <c r="D72" s="1">
        <f>SUM(OSRRefD21_14x_0)</f>
        <v>350</v>
      </c>
      <c r="E72" s="19"/>
      <c r="F72" s="1">
        <f>SUM(OSRRefF21_14x_0)</f>
        <v>1893.75</v>
      </c>
      <c r="G72" s="4"/>
      <c r="H72" s="1">
        <f>SUM(OSRRefH21_14x_0)</f>
        <v>0</v>
      </c>
      <c r="I72" s="4"/>
      <c r="J72" s="1">
        <f>SUM(OSRRefJ21_14x_0)</f>
        <v>0</v>
      </c>
      <c r="K72" s="4"/>
      <c r="L72" s="1">
        <f>SUM(OSRRefL21_14x_0)</f>
        <v>45</v>
      </c>
      <c r="M72" s="4"/>
      <c r="N72" s="1">
        <f>SUM(OSRRefN21_14x_0)</f>
        <v>0</v>
      </c>
      <c r="O72" s="4"/>
      <c r="P72" s="1">
        <f>SUM(OSRRefP21_14x_0)</f>
        <v>0</v>
      </c>
      <c r="Q72" s="4"/>
      <c r="R72" s="1">
        <f>SUM(OSRRefR21_14x_0)</f>
        <v>0</v>
      </c>
    </row>
    <row r="73" spans="1:18" s="16" customFormat="1" hidden="1" outlineLevel="2" x14ac:dyDescent="0.35">
      <c r="B73" s="11" t="str">
        <f>CONCATENATE("          ", "6258", " - ", "MEMBERSHIP DUES")</f>
        <v xml:space="preserve">          6258 - MEMBERSHIP DUES</v>
      </c>
      <c r="D73" s="2"/>
      <c r="F73" s="2">
        <v>93.75</v>
      </c>
      <c r="G73" s="3"/>
      <c r="H73" s="2"/>
      <c r="I73" s="3"/>
      <c r="J73" s="2"/>
      <c r="K73" s="3"/>
      <c r="L73" s="2">
        <v>45</v>
      </c>
      <c r="M73" s="3"/>
      <c r="N73" s="2"/>
      <c r="O73" s="3"/>
      <c r="P73" s="2"/>
      <c r="Q73" s="3"/>
      <c r="R73" s="2"/>
    </row>
    <row r="74" spans="1:18" s="16" customFormat="1" hidden="1" outlineLevel="2" x14ac:dyDescent="0.35">
      <c r="B74" s="11" t="str">
        <f>CONCATENATE("          ", "6275", " - ", "SUBSCRIPTIONS")</f>
        <v xml:space="preserve">          6275 - SUBSCRIPTIONS</v>
      </c>
      <c r="D74" s="2">
        <v>350</v>
      </c>
      <c r="F74" s="2">
        <v>1800</v>
      </c>
      <c r="G74" s="3"/>
      <c r="H74" s="2"/>
      <c r="I74" s="3"/>
      <c r="J74" s="2"/>
      <c r="K74" s="3"/>
      <c r="L74" s="2"/>
      <c r="M74" s="3"/>
      <c r="N74" s="2"/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","Supplies                                          ")</f>
        <v xml:space="preserve">     Supplies                                          </v>
      </c>
      <c r="C75" s="7"/>
      <c r="D75" s="1">
        <f>SUM(OSRRefD21_15x_0)</f>
        <v>19602.16</v>
      </c>
      <c r="E75" s="19"/>
      <c r="F75" s="1">
        <f>SUM(OSRRefF21_15x_0)</f>
        <v>13286.55</v>
      </c>
      <c r="G75" s="4"/>
      <c r="H75" s="1">
        <f>SUM(OSRRefH21_15x_0)</f>
        <v>28707.38</v>
      </c>
      <c r="I75" s="4"/>
      <c r="J75" s="1">
        <f>SUM(OSRRefJ21_15x_0)</f>
        <v>25627.39</v>
      </c>
      <c r="K75" s="4"/>
      <c r="L75" s="1">
        <f>SUM(OSRRefL21_15x_0)</f>
        <v>16900.46</v>
      </c>
      <c r="M75" s="4"/>
      <c r="N75" s="1">
        <f>SUM(OSRRefN21_15x_0)</f>
        <v>14308.310000000001</v>
      </c>
      <c r="O75" s="4"/>
      <c r="P75" s="1">
        <f>SUM(OSRRefP21_15x_0)</f>
        <v>0</v>
      </c>
      <c r="Q75" s="4"/>
      <c r="R75" s="1">
        <f>SUM(OSRRefR21_15x_0)</f>
        <v>0</v>
      </c>
    </row>
    <row r="76" spans="1:18" s="16" customFormat="1" hidden="1" outlineLevel="2" x14ac:dyDescent="0.35">
      <c r="B76" s="11" t="str">
        <f>CONCATENATE("          ", "6234", " - ", "EXPENDABLE SUPPLIES &amp; EQUIPMEN")</f>
        <v xml:space="preserve">          6234 - EXPENDABLE SUPPLIES &amp; EQUIPMEN</v>
      </c>
      <c r="D76" s="2">
        <v>4915.84</v>
      </c>
      <c r="F76" s="2">
        <v>420.41</v>
      </c>
      <c r="G76" s="3"/>
      <c r="H76" s="2"/>
      <c r="I76" s="3"/>
      <c r="J76" s="2"/>
      <c r="K76" s="3"/>
      <c r="L76" s="2"/>
      <c r="M76" s="3"/>
      <c r="N76" s="2">
        <v>354.71</v>
      </c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"6235", " - ", "COVID-19 EXPENSES")</f>
        <v xml:space="preserve">          6235 - COVID-19 EXPENSES</v>
      </c>
      <c r="D77" s="2"/>
      <c r="F77" s="2"/>
      <c r="G77" s="3"/>
      <c r="H77" s="2"/>
      <c r="I77" s="3"/>
      <c r="J77" s="2"/>
      <c r="K77" s="3"/>
      <c r="L77" s="2"/>
      <c r="M77" s="3"/>
      <c r="N77" s="2"/>
      <c r="O77" s="3"/>
      <c r="P77" s="2">
        <v>0</v>
      </c>
      <c r="Q77" s="3"/>
      <c r="R77" s="2"/>
    </row>
    <row r="78" spans="1:18" s="16" customFormat="1" hidden="1" outlineLevel="2" x14ac:dyDescent="0.35">
      <c r="B78" s="11" t="str">
        <f>CONCATENATE("          ", "6237", " - ", "JANITORIAL SUPPLIES")</f>
        <v xml:space="preserve">          6237 - JANITORIAL SUPPLIES</v>
      </c>
      <c r="D78" s="2">
        <v>978.64</v>
      </c>
      <c r="F78" s="2"/>
      <c r="G78" s="3"/>
      <c r="H78" s="2">
        <v>336.22</v>
      </c>
      <c r="I78" s="3"/>
      <c r="J78" s="2">
        <v>421.16</v>
      </c>
      <c r="K78" s="3"/>
      <c r="L78" s="2">
        <v>2355.12</v>
      </c>
      <c r="M78" s="3"/>
      <c r="N78" s="2">
        <v>1709.62</v>
      </c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"6239", " - ", "KITCHEN SUPPLIES")</f>
        <v xml:space="preserve">          6239 - KITCHEN SUPPLIES</v>
      </c>
      <c r="D79" s="2"/>
      <c r="F79" s="2"/>
      <c r="G79" s="3"/>
      <c r="H79" s="2">
        <v>109.73</v>
      </c>
      <c r="I79" s="3"/>
      <c r="J79" s="2"/>
      <c r="K79" s="3"/>
      <c r="L79" s="2">
        <v>43.19</v>
      </c>
      <c r="M79" s="3"/>
      <c r="N79" s="2">
        <v>441.2</v>
      </c>
      <c r="O79" s="3"/>
      <c r="P79" s="2"/>
      <c r="Q79" s="3"/>
      <c r="R79" s="2"/>
    </row>
    <row r="80" spans="1:18" s="16" customFormat="1" hidden="1" outlineLevel="2" x14ac:dyDescent="0.35">
      <c r="B80" s="11" t="str">
        <f>CONCATENATE("          ", "6241", " - ", "OFFICE EXPENSE")</f>
        <v xml:space="preserve">          6241 - OFFICE EXPENSE</v>
      </c>
      <c r="D80" s="2">
        <v>2060.4699999999998</v>
      </c>
      <c r="F80" s="2">
        <v>3757.55</v>
      </c>
      <c r="G80" s="3"/>
      <c r="H80" s="2">
        <v>2627.21</v>
      </c>
      <c r="I80" s="3"/>
      <c r="J80" s="2">
        <v>3379.88</v>
      </c>
      <c r="K80" s="3"/>
      <c r="L80" s="2">
        <v>3377.63</v>
      </c>
      <c r="M80" s="3"/>
      <c r="N80" s="2">
        <v>1564.62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"6243", " - ", "PAPER SUPPLIES")</f>
        <v xml:space="preserve">          6243 - PAPER SUPPLIES</v>
      </c>
      <c r="D81" s="2"/>
      <c r="F81" s="2"/>
      <c r="G81" s="3"/>
      <c r="H81" s="2">
        <v>104.64</v>
      </c>
      <c r="I81" s="3"/>
      <c r="J81" s="2">
        <v>571.47</v>
      </c>
      <c r="K81" s="3"/>
      <c r="L81" s="2">
        <v>5618.59</v>
      </c>
      <c r="M81" s="3"/>
      <c r="N81" s="2">
        <v>2823.28</v>
      </c>
      <c r="O81" s="3"/>
      <c r="P81" s="2"/>
      <c r="Q81" s="3"/>
      <c r="R81" s="2"/>
    </row>
    <row r="82" spans="1:18" s="16" customFormat="1" hidden="1" outlineLevel="2" x14ac:dyDescent="0.35">
      <c r="B82" s="11" t="str">
        <f>CONCATENATE("          ", "6245", " - ", "PRINTING")</f>
        <v xml:space="preserve">          6245 - PRINTING</v>
      </c>
      <c r="D82" s="2"/>
      <c r="F82" s="2">
        <v>10.6</v>
      </c>
      <c r="G82" s="3"/>
      <c r="H82" s="2">
        <v>67.63</v>
      </c>
      <c r="I82" s="3"/>
      <c r="J82" s="2"/>
      <c r="K82" s="3"/>
      <c r="L82" s="2"/>
      <c r="M82" s="3"/>
      <c r="N82" s="2"/>
      <c r="O82" s="3"/>
      <c r="P82" s="2"/>
      <c r="Q82" s="3"/>
      <c r="R82" s="2"/>
    </row>
    <row r="83" spans="1:18" s="16" customFormat="1" hidden="1" outlineLevel="2" x14ac:dyDescent="0.35">
      <c r="B83" s="11" t="str">
        <f>CONCATENATE("          ", "6247", " - ", "STORE SUPPLIES")</f>
        <v xml:space="preserve">          6247 - STORE SUPPLIES</v>
      </c>
      <c r="D83" s="2">
        <v>11463.11</v>
      </c>
      <c r="F83" s="2">
        <v>9097.99</v>
      </c>
      <c r="G83" s="3"/>
      <c r="H83" s="2">
        <v>25461.95</v>
      </c>
      <c r="I83" s="3"/>
      <c r="J83" s="2">
        <v>21254.880000000001</v>
      </c>
      <c r="K83" s="3"/>
      <c r="L83" s="2">
        <v>5318.06</v>
      </c>
      <c r="M83" s="3"/>
      <c r="N83" s="2">
        <v>7337.29</v>
      </c>
      <c r="O83" s="3"/>
      <c r="P83" s="2">
        <v>0</v>
      </c>
      <c r="Q83" s="3"/>
      <c r="R83" s="2"/>
    </row>
    <row r="84" spans="1:18" s="16" customFormat="1" hidden="1" outlineLevel="2" x14ac:dyDescent="0.35">
      <c r="B84" s="11" t="str">
        <f>CONCATENATE("          ", "6248", " - ", "UNIFORMS")</f>
        <v xml:space="preserve">          6248 - UNIFORMS</v>
      </c>
      <c r="D84" s="2">
        <v>184.1</v>
      </c>
      <c r="F84" s="2"/>
      <c r="G84" s="3"/>
      <c r="H84" s="2"/>
      <c r="I84" s="3"/>
      <c r="J84" s="2"/>
      <c r="K84" s="3"/>
      <c r="L84" s="2">
        <v>187.87</v>
      </c>
      <c r="M84" s="3"/>
      <c r="N84" s="2">
        <v>77.59</v>
      </c>
      <c r="O84" s="3"/>
      <c r="P84" s="2">
        <v>0</v>
      </c>
      <c r="Q84" s="3"/>
      <c r="R84" s="2"/>
    </row>
    <row r="85" spans="1:18" s="15" customFormat="1" outlineLevel="1" collapsed="1" x14ac:dyDescent="0.35">
      <c r="A85" s="7"/>
      <c r="B85" s="20" t="str">
        <f>CONCATENATE("     ","Telephone/Data Lines                              ")</f>
        <v xml:space="preserve">     Telephone/Data Lines                              </v>
      </c>
      <c r="C85" s="7"/>
      <c r="D85" s="1">
        <f>SUM(OSRRefD21_16x_0)</f>
        <v>816.02</v>
      </c>
      <c r="E85" s="19"/>
      <c r="F85" s="1">
        <f>SUM(OSRRefF21_16x_0)</f>
        <v>1954.77</v>
      </c>
      <c r="G85" s="4"/>
      <c r="H85" s="1">
        <f>SUM(OSRRefH21_16x_0)</f>
        <v>732</v>
      </c>
      <c r="I85" s="4"/>
      <c r="J85" s="1">
        <f>SUM(OSRRefJ21_16x_0)</f>
        <v>456</v>
      </c>
      <c r="K85" s="4"/>
      <c r="L85" s="1">
        <f>SUM(OSRRefL21_16x_0)</f>
        <v>432</v>
      </c>
      <c r="M85" s="4"/>
      <c r="N85" s="1">
        <f>SUM(OSRRefN21_16x_0)</f>
        <v>737.28</v>
      </c>
      <c r="O85" s="4"/>
      <c r="P85" s="1">
        <f>SUM(OSRRefP21_16x_0)</f>
        <v>0</v>
      </c>
      <c r="Q85" s="4"/>
      <c r="R85" s="1">
        <f>SUM(OSRRefR21_16x_0)</f>
        <v>0</v>
      </c>
    </row>
    <row r="86" spans="1:18" s="16" customFormat="1" hidden="1" outlineLevel="2" x14ac:dyDescent="0.35">
      <c r="B86" s="11" t="str">
        <f>CONCATENATE("          ", "6309", " - ", "TELEPHONE")</f>
        <v xml:space="preserve">          6309 - TELEPHONE</v>
      </c>
      <c r="D86" s="2">
        <v>816.02</v>
      </c>
      <c r="F86" s="2">
        <v>1954.77</v>
      </c>
      <c r="G86" s="3"/>
      <c r="H86" s="2">
        <v>732</v>
      </c>
      <c r="I86" s="3"/>
      <c r="J86" s="2">
        <v>456</v>
      </c>
      <c r="K86" s="3"/>
      <c r="L86" s="2">
        <v>432</v>
      </c>
      <c r="M86" s="3"/>
      <c r="N86" s="2">
        <v>737.28</v>
      </c>
      <c r="O86" s="3"/>
      <c r="P86" s="2"/>
      <c r="Q86" s="3"/>
      <c r="R86" s="2"/>
    </row>
    <row r="87" spans="1:18" s="15" customFormat="1" outlineLevel="1" collapsed="1" x14ac:dyDescent="0.35">
      <c r="A87" s="7"/>
      <c r="B87" s="20" t="str">
        <f>CONCATENATE("     ","Training                                          ")</f>
        <v xml:space="preserve">     Training                                          </v>
      </c>
      <c r="C87" s="7"/>
      <c r="D87" s="1">
        <f>SUM(OSRRefD21_17x_0)</f>
        <v>665</v>
      </c>
      <c r="E87" s="19"/>
      <c r="F87" s="1">
        <f>SUM(OSRRefF21_17x_0)</f>
        <v>445</v>
      </c>
      <c r="G87" s="4"/>
      <c r="H87" s="1">
        <f>SUM(OSRRefH21_17x_0)</f>
        <v>240</v>
      </c>
      <c r="I87" s="4"/>
      <c r="J87" s="1">
        <f>SUM(OSRRefJ21_17x_0)</f>
        <v>180</v>
      </c>
      <c r="K87" s="4"/>
      <c r="L87" s="1">
        <f>SUM(OSRRefL21_17x_0)</f>
        <v>0</v>
      </c>
      <c r="M87" s="4"/>
      <c r="N87" s="1">
        <f>SUM(OSRRefN21_17x_0)</f>
        <v>0</v>
      </c>
      <c r="O87" s="4"/>
      <c r="P87" s="1">
        <f>SUM(OSRRefP21_17x_0)</f>
        <v>0</v>
      </c>
      <c r="Q87" s="4"/>
      <c r="R87" s="1">
        <f>SUM(OSRRefR21_17x_0)</f>
        <v>0</v>
      </c>
    </row>
    <row r="88" spans="1:18" s="16" customFormat="1" hidden="1" outlineLevel="2" x14ac:dyDescent="0.35">
      <c r="B88" s="11" t="str">
        <f>CONCATENATE("          ", "6376", " - ", "TRAINING")</f>
        <v xml:space="preserve">          6376 - TRAINING</v>
      </c>
      <c r="D88" s="2">
        <v>665</v>
      </c>
      <c r="F88" s="2">
        <v>445</v>
      </c>
      <c r="G88" s="3"/>
      <c r="H88" s="2">
        <v>240</v>
      </c>
      <c r="I88" s="3"/>
      <c r="J88" s="2">
        <v>180</v>
      </c>
      <c r="K88" s="3"/>
      <c r="L88" s="2"/>
      <c r="M88" s="3"/>
      <c r="N88" s="2"/>
      <c r="O88" s="3"/>
      <c r="P88" s="2"/>
      <c r="Q88" s="3"/>
      <c r="R88" s="2"/>
    </row>
    <row r="89" spans="1:18" s="15" customFormat="1" outlineLevel="1" collapsed="1" x14ac:dyDescent="0.35">
      <c r="A89" s="7"/>
      <c r="B89" s="20" t="str">
        <f>CONCATENATE("     ","Travel                                            ")</f>
        <v xml:space="preserve">     Travel                                            </v>
      </c>
      <c r="C89" s="7"/>
      <c r="D89" s="1">
        <f>SUM(OSRRefD21_18x_0)</f>
        <v>0</v>
      </c>
      <c r="E89" s="19"/>
      <c r="F89" s="1">
        <f>SUM(OSRRefF21_18x_0)</f>
        <v>0</v>
      </c>
      <c r="G89" s="4"/>
      <c r="H89" s="1">
        <f>SUM(OSRRefH21_18x_0)</f>
        <v>378.51</v>
      </c>
      <c r="I89" s="4"/>
      <c r="J89" s="1">
        <f>SUM(OSRRefJ21_18x_0)</f>
        <v>0</v>
      </c>
      <c r="K89" s="4"/>
      <c r="L89" s="1">
        <f>SUM(OSRRefL21_18x_0)</f>
        <v>0</v>
      </c>
      <c r="M89" s="4"/>
      <c r="N89" s="1">
        <f>SUM(OSRRefN21_18x_0)</f>
        <v>66</v>
      </c>
      <c r="O89" s="4"/>
      <c r="P89" s="1">
        <f>SUM(OSRRefP21_18x_0)</f>
        <v>0</v>
      </c>
      <c r="Q89" s="4"/>
      <c r="R89" s="1">
        <f>SUM(OSRRefR21_18x_0)</f>
        <v>0</v>
      </c>
    </row>
    <row r="90" spans="1:18" s="16" customFormat="1" hidden="1" outlineLevel="2" x14ac:dyDescent="0.35">
      <c r="B90" s="11" t="str">
        <f>CONCATENATE("          ", "6292", " - ", "TRAVEL/CONFERENCE")</f>
        <v xml:space="preserve">          6292 - TRAVEL/CONFERENCE</v>
      </c>
      <c r="D90" s="2"/>
      <c r="F90" s="2"/>
      <c r="G90" s="3"/>
      <c r="H90" s="2">
        <v>266.38</v>
      </c>
      <c r="I90" s="3"/>
      <c r="J90" s="2"/>
      <c r="K90" s="3"/>
      <c r="L90" s="2"/>
      <c r="M90" s="3"/>
      <c r="N90" s="2"/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"6294", " - ", "TRAVEL OPERATIONAL")</f>
        <v xml:space="preserve">          6294 - TRAVEL OPERATIONAL</v>
      </c>
      <c r="D91" s="2"/>
      <c r="F91" s="2"/>
      <c r="G91" s="3"/>
      <c r="H91" s="2">
        <v>112.13</v>
      </c>
      <c r="I91" s="3"/>
      <c r="J91" s="2"/>
      <c r="K91" s="3"/>
      <c r="L91" s="2"/>
      <c r="M91" s="3"/>
      <c r="N91" s="2"/>
      <c r="O91" s="3"/>
      <c r="P91" s="2"/>
      <c r="Q91" s="3"/>
      <c r="R91" s="2"/>
    </row>
    <row r="92" spans="1:18" s="16" customFormat="1" hidden="1" outlineLevel="2" x14ac:dyDescent="0.35">
      <c r="B92" s="11" t="str">
        <f>CONCATENATE("          ", "6298", " - ", "VEHICLE MILEAGE")</f>
        <v xml:space="preserve">          6298 - VEHICLE MILEAGE</v>
      </c>
      <c r="D92" s="2"/>
      <c r="F92" s="2"/>
      <c r="G92" s="3"/>
      <c r="H92" s="2"/>
      <c r="I92" s="3"/>
      <c r="J92" s="2"/>
      <c r="K92" s="3"/>
      <c r="L92" s="2"/>
      <c r="M92" s="3"/>
      <c r="N92" s="2">
        <v>66</v>
      </c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","Utilities                                         ")</f>
        <v xml:space="preserve">     Utilities                                         </v>
      </c>
      <c r="C93" s="7"/>
      <c r="D93" s="1">
        <f>SUM(OSRRefD21_19x_0)</f>
        <v>2743.95</v>
      </c>
      <c r="E93" s="19"/>
      <c r="F93" s="1">
        <f>SUM(OSRRefF21_19x_0)</f>
        <v>3673.17</v>
      </c>
      <c r="G93" s="4"/>
      <c r="H93" s="1">
        <f>SUM(OSRRefH21_19x_0)</f>
        <v>2903.74</v>
      </c>
      <c r="I93" s="4"/>
      <c r="J93" s="1">
        <f>SUM(OSRRefJ21_19x_0)</f>
        <v>1839.1</v>
      </c>
      <c r="K93" s="4"/>
      <c r="L93" s="1">
        <f>SUM(OSRRefL21_19x_0)</f>
        <v>1858.68</v>
      </c>
      <c r="M93" s="4"/>
      <c r="N93" s="1">
        <f>SUM(OSRRefN21_19x_0)</f>
        <v>2745</v>
      </c>
      <c r="O93" s="4"/>
      <c r="P93" s="1">
        <f>SUM(OSRRefP21_19x_0)</f>
        <v>0</v>
      </c>
      <c r="Q93" s="4"/>
      <c r="R93" s="1">
        <f>SUM(OSRRefR21_19x_0)</f>
        <v>0</v>
      </c>
    </row>
    <row r="94" spans="1:18" s="16" customFormat="1" hidden="1" outlineLevel="2" x14ac:dyDescent="0.35">
      <c r="B94" s="11" t="str">
        <f>CONCATENATE("          ", "6274", " - ", "UTILITIES")</f>
        <v xml:space="preserve">          6274 - UTILITIES</v>
      </c>
      <c r="D94" s="2">
        <v>2743.95</v>
      </c>
      <c r="F94" s="2">
        <v>3673.17</v>
      </c>
      <c r="G94" s="3"/>
      <c r="H94" s="2">
        <v>2903.74</v>
      </c>
      <c r="I94" s="3"/>
      <c r="J94" s="2">
        <v>1839.1</v>
      </c>
      <c r="K94" s="3"/>
      <c r="L94" s="2">
        <v>1858.68</v>
      </c>
      <c r="M94" s="3"/>
      <c r="N94" s="2">
        <v>2745</v>
      </c>
      <c r="O94" s="3"/>
      <c r="P94" s="2">
        <v>0</v>
      </c>
      <c r="Q94" s="3"/>
      <c r="R94" s="2"/>
    </row>
    <row r="95" spans="1:18" x14ac:dyDescent="0.35">
      <c r="A95" s="12"/>
      <c r="B95" s="12"/>
      <c r="C95" s="12"/>
      <c r="D95" s="1"/>
      <c r="F95" s="1"/>
      <c r="H95" s="1"/>
      <c r="J95" s="1"/>
      <c r="L95" s="1"/>
      <c r="N95" s="1"/>
      <c r="P95" s="1"/>
      <c r="R95" s="1"/>
    </row>
    <row r="96" spans="1:18" s="7" customFormat="1" x14ac:dyDescent="0.35">
      <c r="A96" s="36"/>
      <c r="B96" s="34" t="s">
        <v>295</v>
      </c>
      <c r="D96" s="6">
        <f>SUM(0)</f>
        <v>0</v>
      </c>
      <c r="E96" s="12"/>
      <c r="F96" s="6">
        <f>SUM(0)</f>
        <v>0</v>
      </c>
      <c r="G96" s="5"/>
      <c r="H96" s="6">
        <f>SUM(0)</f>
        <v>0</v>
      </c>
      <c r="I96" s="5"/>
      <c r="J96" s="6">
        <f>SUM(0)</f>
        <v>0</v>
      </c>
      <c r="K96" s="5"/>
      <c r="L96" s="6">
        <f>SUM(0)</f>
        <v>0</v>
      </c>
      <c r="M96" s="5"/>
      <c r="N96" s="6">
        <f>SUM(0)</f>
        <v>0</v>
      </c>
      <c r="O96" s="5"/>
      <c r="P96" s="6">
        <f>SUM(0)</f>
        <v>0</v>
      </c>
      <c r="Q96" s="5"/>
      <c r="R96" s="6">
        <f>SUM(0)</f>
        <v>0</v>
      </c>
    </row>
    <row r="97" spans="1:18" x14ac:dyDescent="0.35">
      <c r="A97" s="12"/>
      <c r="B97" s="7"/>
      <c r="C97" s="7"/>
      <c r="D97" s="6"/>
      <c r="F97" s="6"/>
      <c r="H97" s="6"/>
      <c r="J97" s="6"/>
      <c r="L97" s="6"/>
      <c r="N97" s="6"/>
      <c r="P97" s="6"/>
      <c r="R97" s="6"/>
    </row>
    <row r="98" spans="1:18" s="15" customFormat="1" x14ac:dyDescent="0.35">
      <c r="A98" s="7"/>
      <c r="B98" s="22" t="s">
        <v>279</v>
      </c>
      <c r="C98" s="22"/>
      <c r="D98" s="10">
        <f>+D20-D23+D96</f>
        <v>128657.39000000001</v>
      </c>
      <c r="E98" s="12"/>
      <c r="F98" s="10">
        <f>+F20-F23+F96</f>
        <v>129328.22000000003</v>
      </c>
      <c r="G98" s="5"/>
      <c r="H98" s="10">
        <f>+H20-H23+H96</f>
        <v>254773.43</v>
      </c>
      <c r="I98" s="5"/>
      <c r="J98" s="10">
        <f>+J20-J23+J96</f>
        <v>142310.2300000001</v>
      </c>
      <c r="K98" s="5"/>
      <c r="L98" s="10">
        <f>+L20-L23+L96</f>
        <v>145170.52999999997</v>
      </c>
      <c r="M98" s="5"/>
      <c r="N98" s="10">
        <f>+N20-N23+N96</f>
        <v>5499.5099999998929</v>
      </c>
      <c r="O98" s="5"/>
      <c r="P98" s="10">
        <f>+P20-P23+P96</f>
        <v>-24204</v>
      </c>
      <c r="Q98" s="5"/>
      <c r="R98" s="10">
        <f>+R20-R23+R96</f>
        <v>0</v>
      </c>
    </row>
    <row r="99" spans="1:18" s="27" customFormat="1" x14ac:dyDescent="0.35">
      <c r="A99" s="18"/>
      <c r="B99" s="31"/>
      <c r="C99" s="18"/>
      <c r="D99" s="9">
        <f>IFERROR(D98/D10, 0)</f>
        <v>0.13366782551521209</v>
      </c>
      <c r="E99" s="18"/>
      <c r="F99" s="9">
        <f>IFERROR(F98/F10, 0)</f>
        <v>0.14208090628585548</v>
      </c>
      <c r="G99" s="14"/>
      <c r="H99" s="9">
        <f>IFERROR(H98/H10, 0)</f>
        <v>0.24788820134793244</v>
      </c>
      <c r="I99" s="14"/>
      <c r="J99" s="9">
        <f>IFERROR(J98/J10, 0)</f>
        <v>0.14891174216945097</v>
      </c>
      <c r="K99" s="14"/>
      <c r="L99" s="9">
        <f>IFERROR(L98/L10, 0)</f>
        <v>0.15747653372818932</v>
      </c>
      <c r="M99" s="14"/>
      <c r="N99" s="9">
        <f>IFERROR(N98/N10, 0)</f>
        <v>7.9712768436008517E-3</v>
      </c>
      <c r="O99" s="14"/>
      <c r="P99" s="9">
        <f>IFERROR(P98/P10, 0)</f>
        <v>0</v>
      </c>
      <c r="Q99" s="14"/>
      <c r="R99" s="9">
        <f>IFERROR(R98/R10, 0)</f>
        <v>0</v>
      </c>
    </row>
    <row r="100" spans="1:18" s="27" customFormat="1" x14ac:dyDescent="0.35">
      <c r="A100" s="18"/>
      <c r="B100" s="31"/>
      <c r="C100" s="18"/>
      <c r="D100" s="13"/>
      <c r="E100" s="18"/>
      <c r="F100" s="13"/>
      <c r="G100" s="14"/>
      <c r="H100" s="13"/>
      <c r="I100" s="14"/>
      <c r="J100" s="13"/>
      <c r="K100" s="14"/>
      <c r="L100" s="13"/>
      <c r="M100" s="14"/>
      <c r="N100" s="13"/>
      <c r="O100" s="14"/>
      <c r="P100" s="13"/>
      <c r="Q100" s="14"/>
      <c r="R100" s="13"/>
    </row>
    <row r="101" spans="1:18" s="15" customFormat="1" x14ac:dyDescent="0.35">
      <c r="A101" s="37"/>
      <c r="B101" s="7" t="s">
        <v>127</v>
      </c>
      <c r="C101" s="7"/>
      <c r="D101" s="6">
        <v>209161.96</v>
      </c>
      <c r="E101" s="12"/>
      <c r="F101" s="6">
        <v>129579.47</v>
      </c>
      <c r="G101" s="5"/>
      <c r="H101" s="6">
        <v>137419.5</v>
      </c>
      <c r="I101" s="5"/>
      <c r="J101" s="6">
        <v>128263.56</v>
      </c>
      <c r="K101" s="5"/>
      <c r="L101" s="6">
        <v>65707.14</v>
      </c>
      <c r="M101" s="5"/>
      <c r="N101" s="6">
        <v>104468.86</v>
      </c>
      <c r="O101" s="5"/>
      <c r="P101" s="6"/>
      <c r="Q101" s="5"/>
      <c r="R101" s="6"/>
    </row>
    <row r="102" spans="1:18" x14ac:dyDescent="0.35">
      <c r="A102" s="12"/>
      <c r="B102" s="7"/>
      <c r="C102" s="7"/>
      <c r="D102" s="6"/>
      <c r="F102" s="6"/>
      <c r="H102" s="6"/>
      <c r="J102" s="6"/>
      <c r="L102" s="6"/>
      <c r="N102" s="6"/>
      <c r="P102" s="6"/>
      <c r="R102" s="6"/>
    </row>
    <row r="103" spans="1:18" s="15" customFormat="1" x14ac:dyDescent="0.35">
      <c r="A103" s="7"/>
      <c r="B103" s="22" t="s">
        <v>126</v>
      </c>
      <c r="C103" s="22"/>
      <c r="D103" s="10">
        <f>+D98-D101</f>
        <v>-80504.569999999978</v>
      </c>
      <c r="E103" s="12"/>
      <c r="F103" s="10">
        <f>+F98-F101</f>
        <v>-251.2499999999709</v>
      </c>
      <c r="G103" s="5"/>
      <c r="H103" s="10">
        <f>+H98-H101</f>
        <v>117353.93</v>
      </c>
      <c r="I103" s="5"/>
      <c r="J103" s="10">
        <f>+J98-J101</f>
        <v>14046.6700000001</v>
      </c>
      <c r="K103" s="5"/>
      <c r="L103" s="10">
        <f>+L98-L101</f>
        <v>79463.38999999997</v>
      </c>
      <c r="M103" s="5"/>
      <c r="N103" s="10">
        <f>+N98-N101</f>
        <v>-98969.350000000108</v>
      </c>
      <c r="O103" s="5"/>
      <c r="P103" s="10">
        <f>+P98-P101</f>
        <v>-24204</v>
      </c>
      <c r="Q103" s="5"/>
      <c r="R103" s="10">
        <f>+R98-R101</f>
        <v>0</v>
      </c>
    </row>
    <row r="104" spans="1:18" s="27" customFormat="1" x14ac:dyDescent="0.35">
      <c r="A104" s="18"/>
      <c r="B104" s="18"/>
      <c r="C104" s="18"/>
      <c r="D104" s="9">
        <f>IFERROR(D103/D10, 0)</f>
        <v>-8.3639741300030837E-2</v>
      </c>
      <c r="E104" s="18"/>
      <c r="F104" s="9">
        <f>IFERROR(F103/F10, 0)</f>
        <v>-2.7602504468334172E-4</v>
      </c>
      <c r="G104" s="14"/>
      <c r="H104" s="9">
        <f>IFERROR(H103/H10, 0)</f>
        <v>0.11418245077130361</v>
      </c>
      <c r="I104" s="14"/>
      <c r="J104" s="9">
        <f>IFERROR(J103/J10, 0)</f>
        <v>1.4698269417310162E-2</v>
      </c>
      <c r="K104" s="14"/>
      <c r="L104" s="9">
        <f>IFERROR(L103/L10, 0)</f>
        <v>8.6199445682889356E-2</v>
      </c>
      <c r="M104" s="14"/>
      <c r="N104" s="9">
        <f>IFERROR(N103/N10, 0)</f>
        <v>-0.1434513416433908</v>
      </c>
      <c r="O104" s="14"/>
      <c r="P104" s="9">
        <f>IFERROR(P103/P10, 0)</f>
        <v>0</v>
      </c>
      <c r="Q104" s="14"/>
      <c r="R104" s="9">
        <f>IFERROR(R103/R10, 0)</f>
        <v>0</v>
      </c>
    </row>
    <row r="105" spans="1:18" s="27" customFormat="1" x14ac:dyDescent="0.35">
      <c r="A105" s="18"/>
      <c r="B105" s="18"/>
      <c r="C105" s="18"/>
      <c r="D105" s="13"/>
      <c r="E105" s="18"/>
      <c r="F105" s="13"/>
      <c r="G105" s="14"/>
      <c r="H105" s="13"/>
      <c r="I105" s="14"/>
      <c r="J105" s="13"/>
      <c r="K105" s="14"/>
      <c r="L105" s="13"/>
      <c r="M105" s="14"/>
      <c r="N105" s="13"/>
      <c r="O105" s="14"/>
      <c r="P105" s="13"/>
      <c r="Q105" s="14"/>
      <c r="R105" s="13"/>
    </row>
    <row r="106" spans="1:18" x14ac:dyDescent="0.35">
      <c r="A106" s="12"/>
      <c r="B106" s="12"/>
      <c r="C106" s="12"/>
      <c r="D106" s="6"/>
      <c r="F106" s="6"/>
      <c r="H106" s="6"/>
      <c r="J106" s="6"/>
      <c r="L106" s="6"/>
      <c r="N106" s="6"/>
      <c r="P106" s="6"/>
      <c r="R106" s="6"/>
    </row>
    <row r="107" spans="1:18" s="15" customFormat="1" x14ac:dyDescent="0.35">
      <c r="A107" s="7"/>
      <c r="B107" s="22" t="s">
        <v>296</v>
      </c>
      <c r="C107" s="22"/>
      <c r="D107" s="10">
        <f>SUM(D103:D106)</f>
        <v>-80504.653639741271</v>
      </c>
      <c r="E107" s="12"/>
      <c r="F107" s="10">
        <f>SUM(F103:F106)</f>
        <v>-251.25027602501558</v>
      </c>
      <c r="G107" s="5"/>
      <c r="H107" s="10">
        <f>SUM(H103:H106)</f>
        <v>117354.04418245076</v>
      </c>
      <c r="I107" s="5"/>
      <c r="J107" s="10">
        <f>SUM(J103:J106)</f>
        <v>14046.684698269517</v>
      </c>
      <c r="K107" s="5"/>
      <c r="L107" s="10">
        <f>SUM(L103:L106)</f>
        <v>79463.476199445649</v>
      </c>
      <c r="M107" s="5"/>
      <c r="N107" s="10">
        <f>SUM(N103:N106)</f>
        <v>-98969.493451341754</v>
      </c>
      <c r="O107" s="5"/>
      <c r="P107" s="10">
        <f>SUM(P103:P106)</f>
        <v>-24204</v>
      </c>
      <c r="Q107" s="5"/>
      <c r="R107" s="10">
        <f>SUM(R103:R106)</f>
        <v>0</v>
      </c>
    </row>
    <row r="108" spans="1:18" s="27" customFormat="1" x14ac:dyDescent="0.35">
      <c r="A108" s="18"/>
      <c r="B108" s="41"/>
      <c r="C108" s="18"/>
      <c r="D108" s="9">
        <f>IFERROR(D107/D10, 0)</f>
        <v>-8.3639828197039592E-2</v>
      </c>
      <c r="E108" s="18"/>
      <c r="F108" s="9">
        <f>IFERROR(F107/F10, 0)</f>
        <v>-2.7602534792642747E-4</v>
      </c>
      <c r="G108" s="14"/>
      <c r="H108" s="9">
        <f>IFERROR(H107/H10, 0)</f>
        <v>0.11418256186798409</v>
      </c>
      <c r="I108" s="14"/>
      <c r="J108" s="9">
        <f>IFERROR(J107/J10, 0)</f>
        <v>1.4698284797405507E-2</v>
      </c>
      <c r="K108" s="14"/>
      <c r="L108" s="9">
        <f>IFERROR(L107/L10, 0)</f>
        <v>8.6199539189401417E-2</v>
      </c>
      <c r="M108" s="14"/>
      <c r="N108" s="9">
        <f>IFERROR(N107/N10, 0)</f>
        <v>-0.14345154956925291</v>
      </c>
      <c r="O108" s="14"/>
      <c r="P108" s="9">
        <f>IFERROR(P107/P10, 0)</f>
        <v>0</v>
      </c>
      <c r="Q108" s="14"/>
      <c r="R108" s="9">
        <f>IFERROR(R107/R10, 0)</f>
        <v>0</v>
      </c>
    </row>
    <row r="109" spans="1:18" x14ac:dyDescent="0.35">
      <c r="A109" s="12"/>
      <c r="B109" s="40">
        <v>44319.883572604165</v>
      </c>
      <c r="D109" s="24"/>
      <c r="F109" s="24"/>
      <c r="H109" s="24"/>
      <c r="J109" s="24"/>
      <c r="L109" s="24"/>
      <c r="N109" s="24"/>
      <c r="P109" s="24"/>
      <c r="R109" s="24"/>
    </row>
    <row r="110" spans="1:18" x14ac:dyDescent="0.35">
      <c r="A110" s="12"/>
      <c r="B110" s="39" t="s">
        <v>23</v>
      </c>
      <c r="D110" s="24"/>
      <c r="F110" s="24"/>
      <c r="H110" s="24"/>
      <c r="J110" s="24"/>
      <c r="L110" s="24"/>
      <c r="N110" s="24"/>
      <c r="P110" s="24"/>
      <c r="R110" s="24"/>
    </row>
    <row r="111" spans="1:18" x14ac:dyDescent="0.35">
      <c r="A111" s="12"/>
      <c r="D111" s="24"/>
      <c r="F111" s="24"/>
      <c r="H111" s="24"/>
      <c r="J111" s="24"/>
      <c r="L111" s="24"/>
      <c r="N111" s="24"/>
      <c r="P111" s="24"/>
      <c r="R111" s="24"/>
    </row>
    <row r="112" spans="1:18" x14ac:dyDescent="0.35">
      <c r="D112" s="24"/>
      <c r="F112" s="24"/>
      <c r="H112" s="24"/>
      <c r="J112" s="24"/>
      <c r="L112" s="24"/>
      <c r="N112" s="24"/>
      <c r="P112" s="24"/>
      <c r="R112" s="24"/>
    </row>
  </sheetData>
  <pageMargins left="0.5" right="0.5" top="0.5" bottom="0.5" header="0.3" footer="0.3"/>
  <pageSetup scale="59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6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","323", " - ", "Library Copy Center")</f>
        <v>Department 323 - Library Copy Center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321627.88999999996</v>
      </c>
      <c r="F10" s="8">
        <f>SUM(OSRRefF11x_0)</f>
        <v>0</v>
      </c>
      <c r="G10" s="8"/>
      <c r="H10" s="8">
        <f>SUM(OSRRefH11x_0)</f>
        <v>0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"4145", " - ", "NON-TAXABLE SALES-SPECIAL ORDE")</f>
        <v xml:space="preserve">          4145 - NON-TAXABLE SALES-SPECIAL ORDE</v>
      </c>
      <c r="D11" s="11">
        <f>-1817.48*-1</f>
        <v>1817.48</v>
      </c>
      <c r="F11" s="11">
        <f t="shared" ref="F11:F12" si="0">0*-1</f>
        <v>0</v>
      </c>
      <c r="G11" s="3"/>
      <c r="H11" s="11">
        <f t="shared" ref="H11:H12" si="1">0*-1</f>
        <v>0</v>
      </c>
      <c r="I11" s="3"/>
      <c r="J11" s="11">
        <f t="shared" ref="J11:J12" si="2">0</f>
        <v>0</v>
      </c>
      <c r="K11" s="3"/>
      <c r="L11" s="11">
        <f t="shared" ref="L11:L12" si="3">0</f>
        <v>0</v>
      </c>
      <c r="M11" s="3"/>
      <c r="N11" s="11">
        <f t="shared" ref="N11:N12" si="4"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"4146", " - ", "NON-TAXABLE SALES-COIN OP MACH")</f>
        <v xml:space="preserve">          4146 - NON-TAXABLE SALES-COIN OP MACH</v>
      </c>
      <c r="D12" s="11">
        <f>-319810.41*-1</f>
        <v>319810.40999999997</v>
      </c>
      <c r="F12" s="11">
        <f t="shared" si="0"/>
        <v>0</v>
      </c>
      <c r="G12" s="3"/>
      <c r="H12" s="11">
        <f t="shared" si="1"/>
        <v>0</v>
      </c>
      <c r="I12" s="3"/>
      <c r="J12" s="11">
        <f t="shared" si="2"/>
        <v>0</v>
      </c>
      <c r="K12" s="3"/>
      <c r="L12" s="11">
        <f t="shared" si="3"/>
        <v>0</v>
      </c>
      <c r="M12" s="3"/>
      <c r="N12" s="11">
        <f t="shared" si="4"/>
        <v>0</v>
      </c>
      <c r="O12" s="3"/>
      <c r="P12" s="11"/>
      <c r="Q12" s="3"/>
      <c r="R12" s="11"/>
    </row>
    <row r="13" spans="1:18" s="12" customFormat="1" x14ac:dyDescent="0.35">
      <c r="B13" s="7"/>
      <c r="D13" s="6"/>
      <c r="F13" s="6"/>
      <c r="G13" s="5"/>
      <c r="H13" s="6"/>
      <c r="I13" s="5"/>
      <c r="J13" s="6"/>
      <c r="K13" s="5"/>
      <c r="L13" s="6"/>
      <c r="M13" s="5"/>
      <c r="N13" s="6"/>
      <c r="O13" s="5"/>
      <c r="P13" s="6"/>
      <c r="Q13" s="5"/>
      <c r="R13" s="6"/>
    </row>
    <row r="14" spans="1:18" s="12" customFormat="1" x14ac:dyDescent="0.35">
      <c r="B14" s="7" t="s">
        <v>278</v>
      </c>
      <c r="D14" s="8">
        <f>SUM(0)</f>
        <v>0</v>
      </c>
      <c r="E14" s="8"/>
      <c r="F14" s="8">
        <f>SUM(0)</f>
        <v>0</v>
      </c>
      <c r="G14" s="8"/>
      <c r="H14" s="8">
        <f>SUM(0)</f>
        <v>0</v>
      </c>
      <c r="I14" s="8"/>
      <c r="J14" s="8">
        <f>SUM(0)</f>
        <v>0</v>
      </c>
      <c r="K14" s="8"/>
      <c r="L14" s="8">
        <f>SUM(0)</f>
        <v>0</v>
      </c>
      <c r="M14" s="8"/>
      <c r="N14" s="8">
        <f>SUM(0)</f>
        <v>0</v>
      </c>
      <c r="O14" s="8"/>
      <c r="P14" s="8">
        <f>SUM(0)</f>
        <v>0</v>
      </c>
      <c r="Q14" s="8"/>
      <c r="R14" s="8">
        <f>SUM(0)</f>
        <v>0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+D10-D14</f>
        <v>321627.88999999996</v>
      </c>
      <c r="E16" s="12"/>
      <c r="F16" s="10">
        <f>+F10-F14</f>
        <v>0</v>
      </c>
      <c r="G16" s="5"/>
      <c r="H16" s="10">
        <f>+H10-H14</f>
        <v>0</v>
      </c>
      <c r="I16" s="5"/>
      <c r="J16" s="10">
        <f>+J10-J14</f>
        <v>0</v>
      </c>
      <c r="K16" s="5"/>
      <c r="L16" s="10">
        <f>+L10-L14</f>
        <v>0</v>
      </c>
      <c r="M16" s="5"/>
      <c r="N16" s="10">
        <f>+N10-N14</f>
        <v>0</v>
      </c>
      <c r="O16" s="5"/>
      <c r="P16" s="10">
        <f>+P10-P14</f>
        <v>0</v>
      </c>
      <c r="Q16" s="5"/>
      <c r="R16" s="10">
        <f>+R10-R14</f>
        <v>0</v>
      </c>
    </row>
    <row r="17" spans="1:18" s="27" customFormat="1" x14ac:dyDescent="0.35">
      <c r="A17" s="18"/>
      <c r="B17" s="31"/>
      <c r="C17" s="18"/>
      <c r="D17" s="9">
        <f>IFERROR(D16/D10, 0)</f>
        <v>1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SUM(OSRRefD21x_0)</f>
        <v>223175.49000000005</v>
      </c>
      <c r="E19" s="19"/>
      <c r="F19" s="8">
        <f>SUM(OSRRefF21x_0)</f>
        <v>0</v>
      </c>
      <c r="G19" s="4"/>
      <c r="H19" s="8">
        <f>SUM(OSRRefH21x_0)</f>
        <v>0</v>
      </c>
      <c r="I19" s="4"/>
      <c r="J19" s="8">
        <f>SUM(OSRRefJ21x_0)</f>
        <v>0</v>
      </c>
      <c r="K19" s="4"/>
      <c r="L19" s="8">
        <f>SUM(OSRRefL21x_0)</f>
        <v>0</v>
      </c>
      <c r="M19" s="4"/>
      <c r="N19" s="8">
        <f>SUM(OSRRefN21x_0)</f>
        <v>0</v>
      </c>
      <c r="O19" s="4"/>
      <c r="P19" s="8">
        <f>SUM(OSRRefP21x_0)</f>
        <v>0</v>
      </c>
      <c r="Q19" s="4"/>
      <c r="R19" s="8">
        <f>SUM(OSRRefR21x_0)</f>
        <v>0</v>
      </c>
    </row>
    <row r="20" spans="1:18" s="15" customFormat="1" outlineLevel="1" collapsed="1" x14ac:dyDescent="0.35">
      <c r="A20" s="7"/>
      <c r="B20" s="20" t="str">
        <f>CONCATENATE("     ","*Benefits                                         ")</f>
        <v xml:space="preserve">     *Benefits                                         </v>
      </c>
      <c r="C20" s="7"/>
      <c r="D20" s="1">
        <f>SUM(OSRRefD21_0x_0)</f>
        <v>11947.2</v>
      </c>
      <c r="E20" s="19"/>
      <c r="F20" s="1">
        <f>SUM(OSRRefF21_0x_0)</f>
        <v>0</v>
      </c>
      <c r="G20" s="4"/>
      <c r="H20" s="1">
        <f>SUM(OSRRefH21_0x_0)</f>
        <v>0</v>
      </c>
      <c r="I20" s="4"/>
      <c r="J20" s="1">
        <f>SUM(OSRRefJ21_0x_0)</f>
        <v>0</v>
      </c>
      <c r="K20" s="4"/>
      <c r="L20" s="1">
        <f>SUM(OSRRefL21_0x_0)</f>
        <v>0</v>
      </c>
      <c r="M20" s="4"/>
      <c r="N20" s="1">
        <f>SUM(OSRRefN21_0x_0)</f>
        <v>0</v>
      </c>
      <c r="O20" s="4"/>
      <c r="P20" s="1">
        <f>SUM(OSRRefP21_0x_0)</f>
        <v>0</v>
      </c>
      <c r="Q20" s="4"/>
      <c r="R20" s="1">
        <f>SUM(OSRRefR21_0x_0)</f>
        <v>0</v>
      </c>
    </row>
    <row r="21" spans="1:18" s="16" customFormat="1" hidden="1" outlineLevel="2" x14ac:dyDescent="0.35">
      <c r="B21" s="11" t="str">
        <f>CONCATENATE("          ", "6111", " - ", "F.I.C.A.")</f>
        <v xml:space="preserve">          6111 - F.I.C.A.</v>
      </c>
      <c r="D21" s="2">
        <v>1506</v>
      </c>
      <c r="F21" s="2"/>
      <c r="G21" s="3"/>
      <c r="H21" s="2"/>
      <c r="I21" s="3"/>
      <c r="J21" s="2"/>
      <c r="K21" s="3"/>
      <c r="L21" s="2"/>
      <c r="M21" s="3"/>
      <c r="N21" s="2"/>
      <c r="O21" s="3"/>
      <c r="P21" s="2"/>
      <c r="Q21" s="3"/>
      <c r="R21" s="2"/>
    </row>
    <row r="22" spans="1:18" s="16" customFormat="1" hidden="1" outlineLevel="2" x14ac:dyDescent="0.35">
      <c r="B22" s="11" t="str">
        <f>CONCATENATE("          ", "6112", " - ", "COMPENSATION INSURANCE")</f>
        <v xml:space="preserve">          6112 - COMPENSATION INSURANCE</v>
      </c>
      <c r="D22" s="2">
        <v>453.68</v>
      </c>
      <c r="F22" s="2"/>
      <c r="G22" s="3"/>
      <c r="H22" s="2"/>
      <c r="I22" s="3"/>
      <c r="J22" s="2"/>
      <c r="K22" s="3"/>
      <c r="L22" s="2"/>
      <c r="M22" s="3"/>
      <c r="N22" s="2"/>
      <c r="O22" s="3"/>
      <c r="P22" s="2"/>
      <c r="Q22" s="3"/>
      <c r="R22" s="2"/>
    </row>
    <row r="23" spans="1:18" s="16" customFormat="1" hidden="1" outlineLevel="2" x14ac:dyDescent="0.35">
      <c r="B23" s="11" t="str">
        <f>CONCATENATE("          ", "6113", " - ", "GROUP INSURANCE")</f>
        <v xml:space="preserve">          6113 - GROUP INSURANCE</v>
      </c>
      <c r="D23" s="2">
        <v>4894.3900000000003</v>
      </c>
      <c r="F23" s="2"/>
      <c r="G23" s="3"/>
      <c r="H23" s="2"/>
      <c r="I23" s="3"/>
      <c r="J23" s="2"/>
      <c r="K23" s="3"/>
      <c r="L23" s="2"/>
      <c r="M23" s="3"/>
      <c r="N23" s="2"/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"6114", " - ", "STATE UNEMPLOYMENT INSURANCE")</f>
        <v xml:space="preserve">          6114 - STATE UNEMPLOYMENT INSURANCE</v>
      </c>
      <c r="D24" s="2">
        <v>184.46</v>
      </c>
      <c r="F24" s="2"/>
      <c r="G24" s="3"/>
      <c r="H24" s="2"/>
      <c r="I24" s="3"/>
      <c r="J24" s="2"/>
      <c r="K24" s="3"/>
      <c r="L24" s="2"/>
      <c r="M24" s="3"/>
      <c r="N24" s="2"/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"6115", " - ", "P.E.R.S.")</f>
        <v xml:space="preserve">          6115 - P.E.R.S.</v>
      </c>
      <c r="D25" s="2">
        <v>2275.11</v>
      </c>
      <c r="F25" s="2"/>
      <c r="G25" s="3"/>
      <c r="H25" s="2"/>
      <c r="I25" s="3"/>
      <c r="J25" s="2"/>
      <c r="K25" s="3"/>
      <c r="L25" s="2"/>
      <c r="M25" s="3"/>
      <c r="N25" s="2"/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1755.67</v>
      </c>
      <c r="F26" s="2"/>
      <c r="G26" s="3"/>
      <c r="H26" s="2"/>
      <c r="I26" s="3"/>
      <c r="J26" s="2"/>
      <c r="K26" s="3"/>
      <c r="L26" s="2"/>
      <c r="M26" s="3"/>
      <c r="N26" s="2"/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877.89</v>
      </c>
      <c r="F27" s="2"/>
      <c r="G27" s="3"/>
      <c r="H27" s="2"/>
      <c r="I27" s="3"/>
      <c r="J27" s="2"/>
      <c r="K27" s="3"/>
      <c r="L27" s="2"/>
      <c r="M27" s="3"/>
      <c r="N27" s="2"/>
      <c r="O27" s="3"/>
      <c r="P27" s="2"/>
      <c r="Q27" s="3"/>
      <c r="R27" s="2"/>
    </row>
    <row r="28" spans="1:18" s="15" customFormat="1" outlineLevel="1" collapsed="1" x14ac:dyDescent="0.35">
      <c r="A28" s="7"/>
      <c r="B28" s="20" t="str">
        <f>CONCATENATE("     ","*Payroll                                          ")</f>
        <v xml:space="preserve">     *Payroll                                          </v>
      </c>
      <c r="C28" s="7"/>
      <c r="D28" s="1">
        <f>SUM(OSRRefD21_1x_0)</f>
        <v>28303.409999999996</v>
      </c>
      <c r="E28" s="19"/>
      <c r="F28" s="1">
        <f>SUM(OSRRefF21_1x_0)</f>
        <v>0</v>
      </c>
      <c r="G28" s="4"/>
      <c r="H28" s="1">
        <f>SUM(OSRRefH21_1x_0)</f>
        <v>0</v>
      </c>
      <c r="I28" s="4"/>
      <c r="J28" s="1">
        <f>SUM(OSRRefJ21_1x_0)</f>
        <v>0</v>
      </c>
      <c r="K28" s="4"/>
      <c r="L28" s="1">
        <f>SUM(OSRRefL21_1x_0)</f>
        <v>0</v>
      </c>
      <c r="M28" s="4"/>
      <c r="N28" s="1">
        <f>SUM(OSRRefN21_1x_0)</f>
        <v>0</v>
      </c>
      <c r="O28" s="4"/>
      <c r="P28" s="1">
        <f>SUM(OSRRefP21_1x_0)</f>
        <v>0</v>
      </c>
      <c r="Q28" s="4"/>
      <c r="R28" s="1">
        <f>SUM(OSRRefR21_1x_0)</f>
        <v>0</v>
      </c>
    </row>
    <row r="29" spans="1:18" s="16" customFormat="1" hidden="1" outlineLevel="2" x14ac:dyDescent="0.35">
      <c r="B29" s="11" t="str">
        <f>CONCATENATE("          ", "6002", " - ", "STAFF SALARIES")</f>
        <v xml:space="preserve">          6002 - STAFF SALARIES</v>
      </c>
      <c r="D29" s="2">
        <v>16275.63</v>
      </c>
      <c r="F29" s="2"/>
      <c r="G29" s="3"/>
      <c r="H29" s="2"/>
      <c r="I29" s="3"/>
      <c r="J29" s="2"/>
      <c r="K29" s="3"/>
      <c r="L29" s="2"/>
      <c r="M29" s="3"/>
      <c r="N29" s="2"/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"6006", " - ", "TEMPORARY PART TIME")</f>
        <v xml:space="preserve">          6006 - TEMPORARY PART TIME</v>
      </c>
      <c r="D30" s="2">
        <v>1082.25</v>
      </c>
      <c r="F30" s="2"/>
      <c r="G30" s="3"/>
      <c r="H30" s="2"/>
      <c r="I30" s="3"/>
      <c r="J30" s="2"/>
      <c r="K30" s="3"/>
      <c r="L30" s="2"/>
      <c r="M30" s="3"/>
      <c r="N30" s="2"/>
      <c r="O30" s="3"/>
      <c r="P30" s="2"/>
      <c r="Q30" s="3"/>
      <c r="R30" s="2"/>
    </row>
    <row r="31" spans="1:18" s="16" customFormat="1" hidden="1" outlineLevel="2" x14ac:dyDescent="0.35">
      <c r="B31" s="11" t="str">
        <f>CONCATENATE("          ", "6007", " - ", "STUDENT HOURLY")</f>
        <v xml:space="preserve">          6007 - STUDENT HOURLY</v>
      </c>
      <c r="D31" s="2">
        <v>10945.53</v>
      </c>
      <c r="F31" s="2"/>
      <c r="G31" s="3"/>
      <c r="H31" s="2"/>
      <c r="I31" s="3"/>
      <c r="J31" s="2"/>
      <c r="K31" s="3"/>
      <c r="L31" s="2"/>
      <c r="M31" s="3"/>
      <c r="N31" s="2"/>
      <c r="O31" s="3"/>
      <c r="P31" s="2"/>
      <c r="Q31" s="3"/>
      <c r="R31" s="2"/>
    </row>
    <row r="32" spans="1:18" s="15" customFormat="1" outlineLevel="1" collapsed="1" x14ac:dyDescent="0.35">
      <c r="A32" s="7"/>
      <c r="B32" s="20" t="str">
        <f>CONCATENATE("     ","Advertising/Promo                                 ")</f>
        <v xml:space="preserve">     Advertising/Promo                                 </v>
      </c>
      <c r="C32" s="7"/>
      <c r="D32" s="1">
        <f>SUM(OSRRefD21_2x_0)</f>
        <v>374.25</v>
      </c>
      <c r="E32" s="19"/>
      <c r="F32" s="1">
        <f>SUM(OSRRefF21_2x_0)</f>
        <v>0</v>
      </c>
      <c r="G32" s="4"/>
      <c r="H32" s="1">
        <f>SUM(OSRRefH21_2x_0)</f>
        <v>0</v>
      </c>
      <c r="I32" s="4"/>
      <c r="J32" s="1">
        <f>SUM(OSRRefJ21_2x_0)</f>
        <v>0</v>
      </c>
      <c r="K32" s="4"/>
      <c r="L32" s="1">
        <f>SUM(OSRRefL21_2x_0)</f>
        <v>0</v>
      </c>
      <c r="M32" s="4"/>
      <c r="N32" s="1">
        <f>SUM(OSRRefN21_2x_0)</f>
        <v>0</v>
      </c>
      <c r="O32" s="4"/>
      <c r="P32" s="1">
        <f>SUM(OSRRefP21_2x_0)</f>
        <v>0</v>
      </c>
      <c r="Q32" s="4"/>
      <c r="R32" s="1">
        <f>SUM(OSRRefR21_2x_0)</f>
        <v>0</v>
      </c>
    </row>
    <row r="33" spans="1:18" s="16" customFormat="1" hidden="1" outlineLevel="2" x14ac:dyDescent="0.35">
      <c r="B33" s="11" t="str">
        <f>CONCATENATE("          ", "6362", " - ", "ADVERTISING EXPENSE")</f>
        <v xml:space="preserve">          6362 - ADVERTISING EXPENSE</v>
      </c>
      <c r="D33" s="2">
        <v>374.25</v>
      </c>
      <c r="F33" s="2"/>
      <c r="G33" s="3"/>
      <c r="H33" s="2"/>
      <c r="I33" s="3"/>
      <c r="J33" s="2"/>
      <c r="K33" s="3"/>
      <c r="L33" s="2"/>
      <c r="M33" s="3"/>
      <c r="N33" s="2"/>
      <c r="O33" s="3"/>
      <c r="P33" s="2"/>
      <c r="Q33" s="3"/>
      <c r="R33" s="2"/>
    </row>
    <row r="34" spans="1:18" s="15" customFormat="1" outlineLevel="1" collapsed="1" x14ac:dyDescent="0.35">
      <c r="A34" s="7"/>
      <c r="B34" s="20" t="str">
        <f>CONCATENATE("     ","Depreciation                                      ")</f>
        <v xml:space="preserve">     Depreciation                                      </v>
      </c>
      <c r="C34" s="7"/>
      <c r="D34" s="1">
        <f>SUM(OSRRefD21_3x_0)</f>
        <v>6663.46</v>
      </c>
      <c r="E34" s="19"/>
      <c r="F34" s="1">
        <f>SUM(OSRRefF21_3x_0)</f>
        <v>0</v>
      </c>
      <c r="G34" s="4"/>
      <c r="H34" s="1">
        <f>SUM(OSRRefH21_3x_0)</f>
        <v>0</v>
      </c>
      <c r="I34" s="4"/>
      <c r="J34" s="1">
        <f>SUM(OSRRefJ21_3x_0)</f>
        <v>0</v>
      </c>
      <c r="K34" s="4"/>
      <c r="L34" s="1">
        <f>SUM(OSRRefL21_3x_0)</f>
        <v>0</v>
      </c>
      <c r="M34" s="4"/>
      <c r="N34" s="1">
        <f>SUM(OSRRefN21_3x_0)</f>
        <v>0</v>
      </c>
      <c r="O34" s="4"/>
      <c r="P34" s="1">
        <f>SUM(OSRRefP21_3x_0)</f>
        <v>0</v>
      </c>
      <c r="Q34" s="4"/>
      <c r="R34" s="1">
        <f>SUM(OSRRefR21_3x_0)</f>
        <v>0</v>
      </c>
    </row>
    <row r="35" spans="1:18" s="16" customFormat="1" hidden="1" outlineLevel="2" x14ac:dyDescent="0.35">
      <c r="B35" s="11" t="str">
        <f>CONCATENATE("          ", "6322", " - ", "EQUIPMENT DEPRECIATION EXPENSE")</f>
        <v xml:space="preserve">          6322 - EQUIPMENT DEPRECIATION EXPENSE</v>
      </c>
      <c r="D35" s="2">
        <v>6663.46</v>
      </c>
      <c r="F35" s="2"/>
      <c r="G35" s="3"/>
      <c r="H35" s="2"/>
      <c r="I35" s="3"/>
      <c r="J35" s="2"/>
      <c r="K35" s="3"/>
      <c r="L35" s="2"/>
      <c r="M35" s="3"/>
      <c r="N35" s="2"/>
      <c r="O35" s="3"/>
      <c r="P35" s="2"/>
      <c r="Q35" s="3"/>
      <c r="R35" s="2"/>
    </row>
    <row r="36" spans="1:18" s="15" customFormat="1" outlineLevel="1" collapsed="1" x14ac:dyDescent="0.35">
      <c r="A36" s="7"/>
      <c r="B36" s="20" t="str">
        <f>CONCATENATE("     ","Equipment Rental                                  ")</f>
        <v xml:space="preserve">     Equipment Rental                                  </v>
      </c>
      <c r="C36" s="7"/>
      <c r="D36" s="1">
        <f>SUM(OSRRefD21_4x_0)</f>
        <v>21125.56</v>
      </c>
      <c r="E36" s="19"/>
      <c r="F36" s="1">
        <f>SUM(OSRRefF21_4x_0)</f>
        <v>0</v>
      </c>
      <c r="G36" s="4"/>
      <c r="H36" s="1">
        <f>SUM(OSRRefH21_4x_0)</f>
        <v>0</v>
      </c>
      <c r="I36" s="4"/>
      <c r="J36" s="1">
        <f>SUM(OSRRefJ21_4x_0)</f>
        <v>0</v>
      </c>
      <c r="K36" s="4"/>
      <c r="L36" s="1">
        <f>SUM(OSRRefL21_4x_0)</f>
        <v>0</v>
      </c>
      <c r="M36" s="4"/>
      <c r="N36" s="1">
        <f>SUM(OSRRefN21_4x_0)</f>
        <v>0</v>
      </c>
      <c r="O36" s="4"/>
      <c r="P36" s="1">
        <f>SUM(OSRRefP21_4x_0)</f>
        <v>0</v>
      </c>
      <c r="Q36" s="4"/>
      <c r="R36" s="1">
        <f>SUM(OSRRefR21_4x_0)</f>
        <v>0</v>
      </c>
    </row>
    <row r="37" spans="1:18" s="16" customFormat="1" hidden="1" outlineLevel="2" x14ac:dyDescent="0.35">
      <c r="B37" s="11" t="str">
        <f>CONCATENATE("          ", "6351", " - ", "EQUIPMENT RENTAL")</f>
        <v xml:space="preserve">          6351 - EQUIPMENT RENTAL</v>
      </c>
      <c r="D37" s="2">
        <v>21125.56</v>
      </c>
      <c r="F37" s="2"/>
      <c r="G37" s="3"/>
      <c r="H37" s="2"/>
      <c r="I37" s="3"/>
      <c r="J37" s="2"/>
      <c r="K37" s="3"/>
      <c r="L37" s="2"/>
      <c r="M37" s="3"/>
      <c r="N37" s="2"/>
      <c r="O37" s="3"/>
      <c r="P37" s="2"/>
      <c r="Q37" s="3"/>
      <c r="R37" s="2"/>
    </row>
    <row r="38" spans="1:18" s="15" customFormat="1" outlineLevel="1" collapsed="1" x14ac:dyDescent="0.35">
      <c r="A38" s="7"/>
      <c r="B38" s="20" t="str">
        <f>CONCATENATE("     ","Repair and Maintenance                            ")</f>
        <v xml:space="preserve">     Repair and Maintenance                            </v>
      </c>
      <c r="C38" s="7"/>
      <c r="D38" s="1">
        <f>SUM(OSRRefD21_5x_0)</f>
        <v>55803.38</v>
      </c>
      <c r="E38" s="19"/>
      <c r="F38" s="1">
        <f>SUM(OSRRefF21_5x_0)</f>
        <v>0</v>
      </c>
      <c r="G38" s="4"/>
      <c r="H38" s="1">
        <f>SUM(OSRRefH21_5x_0)</f>
        <v>0</v>
      </c>
      <c r="I38" s="4"/>
      <c r="J38" s="1">
        <f>SUM(OSRRefJ21_5x_0)</f>
        <v>0</v>
      </c>
      <c r="K38" s="4"/>
      <c r="L38" s="1">
        <f>SUM(OSRRefL21_5x_0)</f>
        <v>0</v>
      </c>
      <c r="M38" s="4"/>
      <c r="N38" s="1">
        <f>SUM(OSRRefN21_5x_0)</f>
        <v>0</v>
      </c>
      <c r="O38" s="4"/>
      <c r="P38" s="1">
        <f>SUM(OSRRefP21_5x_0)</f>
        <v>0</v>
      </c>
      <c r="Q38" s="4"/>
      <c r="R38" s="1">
        <f>SUM(OSRRefR21_5x_0)</f>
        <v>0</v>
      </c>
    </row>
    <row r="39" spans="1:18" s="16" customFormat="1" hidden="1" outlineLevel="2" x14ac:dyDescent="0.35">
      <c r="B39" s="11" t="str">
        <f>CONCATENATE("          ", "6373", " - ", "MAINTENANCE CONTRACTS")</f>
        <v xml:space="preserve">          6373 - MAINTENANCE CONTRACTS</v>
      </c>
      <c r="D39" s="2">
        <v>55803.38</v>
      </c>
      <c r="F39" s="2"/>
      <c r="G39" s="3"/>
      <c r="H39" s="2"/>
      <c r="I39" s="3"/>
      <c r="J39" s="2"/>
      <c r="K39" s="3"/>
      <c r="L39" s="2"/>
      <c r="M39" s="3"/>
      <c r="N39" s="2"/>
      <c r="O39" s="3"/>
      <c r="P39" s="2"/>
      <c r="Q39" s="3"/>
      <c r="R39" s="2"/>
    </row>
    <row r="40" spans="1:18" s="15" customFormat="1" outlineLevel="1" collapsed="1" x14ac:dyDescent="0.35">
      <c r="A40" s="7"/>
      <c r="B40" s="20" t="str">
        <f>CONCATENATE("     ","Royalty &amp; Commissions                             ")</f>
        <v xml:space="preserve">     Royalty &amp; Commissions                             </v>
      </c>
      <c r="C40" s="7"/>
      <c r="D40" s="1">
        <f>SUM(OSRRefD21_6x_0)</f>
        <v>77184.759999999995</v>
      </c>
      <c r="E40" s="19"/>
      <c r="F40" s="1">
        <f>SUM(OSRRefF21_6x_0)</f>
        <v>0</v>
      </c>
      <c r="G40" s="4"/>
      <c r="H40" s="1">
        <f>SUM(OSRRefH21_6x_0)</f>
        <v>0</v>
      </c>
      <c r="I40" s="4"/>
      <c r="J40" s="1">
        <f>SUM(OSRRefJ21_6x_0)</f>
        <v>0</v>
      </c>
      <c r="K40" s="4"/>
      <c r="L40" s="1">
        <f>SUM(OSRRefL21_6x_0)</f>
        <v>0</v>
      </c>
      <c r="M40" s="4"/>
      <c r="N40" s="1">
        <f>SUM(OSRRefN21_6x_0)</f>
        <v>0</v>
      </c>
      <c r="O40" s="4"/>
      <c r="P40" s="1">
        <f>SUM(OSRRefP21_6x_0)</f>
        <v>0</v>
      </c>
      <c r="Q40" s="4"/>
      <c r="R40" s="1">
        <f>SUM(OSRRefR21_6x_0)</f>
        <v>0</v>
      </c>
    </row>
    <row r="41" spans="1:18" s="16" customFormat="1" hidden="1" outlineLevel="2" x14ac:dyDescent="0.35">
      <c r="B41" s="11" t="str">
        <f>CONCATENATE("          ", "6255", " - ", "COMMISSIONS-PENNY/COPY/UNIPRIN")</f>
        <v xml:space="preserve">          6255 - COMMISSIONS-PENNY/COPY/UNIPRIN</v>
      </c>
      <c r="D41" s="2">
        <v>77184.759999999995</v>
      </c>
      <c r="F41" s="2"/>
      <c r="G41" s="3"/>
      <c r="H41" s="2"/>
      <c r="I41" s="3"/>
      <c r="J41" s="2"/>
      <c r="K41" s="3"/>
      <c r="L41" s="2"/>
      <c r="M41" s="3"/>
      <c r="N41" s="2"/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","Supplies                                          ")</f>
        <v xml:space="preserve">     Supplies                                          </v>
      </c>
      <c r="C42" s="7"/>
      <c r="D42" s="1">
        <f>SUM(OSRRefD21_7x_0)</f>
        <v>21773.47</v>
      </c>
      <c r="E42" s="19"/>
      <c r="F42" s="1">
        <f>SUM(OSRRefF21_7x_0)</f>
        <v>0</v>
      </c>
      <c r="G42" s="4"/>
      <c r="H42" s="1">
        <f>SUM(OSRRefH21_7x_0)</f>
        <v>0</v>
      </c>
      <c r="I42" s="4"/>
      <c r="J42" s="1">
        <f>SUM(OSRRefJ21_7x_0)</f>
        <v>0</v>
      </c>
      <c r="K42" s="4"/>
      <c r="L42" s="1">
        <f>SUM(OSRRefL21_7x_0)</f>
        <v>0</v>
      </c>
      <c r="M42" s="4"/>
      <c r="N42" s="1">
        <f>SUM(OSRRefN21_7x_0)</f>
        <v>0</v>
      </c>
      <c r="O42" s="4"/>
      <c r="P42" s="1">
        <f>SUM(OSRRefP21_7x_0)</f>
        <v>0</v>
      </c>
      <c r="Q42" s="4"/>
      <c r="R42" s="1">
        <f>SUM(OSRRefR21_7x_0)</f>
        <v>0</v>
      </c>
    </row>
    <row r="43" spans="1:18" s="16" customFormat="1" hidden="1" outlineLevel="2" x14ac:dyDescent="0.35">
      <c r="B43" s="11" t="str">
        <f>CONCATENATE("          ", "6234", " - ", "EXPENDABLE SUPPLIES &amp; EQUIPMEN")</f>
        <v xml:space="preserve">          6234 - EXPENDABLE SUPPLIES &amp; EQUIPMEN</v>
      </c>
      <c r="D43" s="2">
        <v>4572.7299999999996</v>
      </c>
      <c r="F43" s="2"/>
      <c r="G43" s="3"/>
      <c r="H43" s="2"/>
      <c r="I43" s="3"/>
      <c r="J43" s="2"/>
      <c r="K43" s="3"/>
      <c r="L43" s="2"/>
      <c r="M43" s="3"/>
      <c r="N43" s="2"/>
      <c r="O43" s="3"/>
      <c r="P43" s="2"/>
      <c r="Q43" s="3"/>
      <c r="R43" s="2"/>
    </row>
    <row r="44" spans="1:18" s="16" customFormat="1" hidden="1" outlineLevel="2" x14ac:dyDescent="0.35">
      <c r="B44" s="11" t="str">
        <f>CONCATENATE("          ", "6241", " - ", "OFFICE EXPENSE")</f>
        <v xml:space="preserve">          6241 - OFFICE EXPENSE</v>
      </c>
      <c r="D44" s="2">
        <v>15696.67</v>
      </c>
      <c r="F44" s="2"/>
      <c r="G44" s="3"/>
      <c r="H44" s="2"/>
      <c r="I44" s="3"/>
      <c r="J44" s="2"/>
      <c r="K44" s="3"/>
      <c r="L44" s="2"/>
      <c r="M44" s="3"/>
      <c r="N44" s="2"/>
      <c r="O44" s="3"/>
      <c r="P44" s="2"/>
      <c r="Q44" s="3"/>
      <c r="R44" s="2"/>
    </row>
    <row r="45" spans="1:18" s="16" customFormat="1" hidden="1" outlineLevel="2" x14ac:dyDescent="0.35">
      <c r="B45" s="11" t="str">
        <f>CONCATENATE("          ", "6247", " - ", "STORE SUPPLIES")</f>
        <v xml:space="preserve">          6247 - STORE SUPPLIES</v>
      </c>
      <c r="D45" s="2">
        <v>1504.07</v>
      </c>
      <c r="F45" s="2"/>
      <c r="G45" s="3"/>
      <c r="H45" s="2"/>
      <c r="I45" s="3"/>
      <c r="J45" s="2"/>
      <c r="K45" s="3"/>
      <c r="L45" s="2"/>
      <c r="M45" s="3"/>
      <c r="N45" s="2"/>
      <c r="O45" s="3"/>
      <c r="P45" s="2"/>
      <c r="Q45" s="3"/>
      <c r="R45" s="2"/>
    </row>
    <row r="46" spans="1:18" x14ac:dyDescent="0.35">
      <c r="A46" s="12"/>
      <c r="B46" s="12"/>
      <c r="C46" s="12"/>
      <c r="D46" s="1"/>
      <c r="F46" s="1"/>
      <c r="H46" s="1"/>
      <c r="J46" s="1"/>
      <c r="L46" s="1"/>
      <c r="N46" s="1"/>
      <c r="P46" s="1"/>
      <c r="R46" s="1"/>
    </row>
    <row r="47" spans="1:18" s="7" customFormat="1" x14ac:dyDescent="0.35">
      <c r="A47" s="36"/>
      <c r="B47" s="34" t="s">
        <v>295</v>
      </c>
      <c r="D47" s="6">
        <f>SUM(0)</f>
        <v>0</v>
      </c>
      <c r="E47" s="12"/>
      <c r="F47" s="6">
        <f>SUM(0)</f>
        <v>0</v>
      </c>
      <c r="G47" s="5"/>
      <c r="H47" s="6">
        <f>SUM(0)</f>
        <v>0</v>
      </c>
      <c r="I47" s="5"/>
      <c r="J47" s="6">
        <f>SUM(0)</f>
        <v>0</v>
      </c>
      <c r="K47" s="5"/>
      <c r="L47" s="6">
        <f>SUM(0)</f>
        <v>0</v>
      </c>
      <c r="M47" s="5"/>
      <c r="N47" s="6">
        <f>SUM(0)</f>
        <v>0</v>
      </c>
      <c r="O47" s="5"/>
      <c r="P47" s="6">
        <f>SUM(0)</f>
        <v>0</v>
      </c>
      <c r="Q47" s="5"/>
      <c r="R47" s="6">
        <f>SUM(0)</f>
        <v>0</v>
      </c>
    </row>
    <row r="48" spans="1:18" x14ac:dyDescent="0.35">
      <c r="A48" s="12"/>
      <c r="B48" s="7"/>
      <c r="C48" s="7"/>
      <c r="D48" s="6"/>
      <c r="F48" s="6"/>
      <c r="H48" s="6"/>
      <c r="J48" s="6"/>
      <c r="L48" s="6"/>
      <c r="N48" s="6"/>
      <c r="P48" s="6"/>
      <c r="R48" s="6"/>
    </row>
    <row r="49" spans="1:18" s="15" customFormat="1" x14ac:dyDescent="0.35">
      <c r="A49" s="7"/>
      <c r="B49" s="22" t="s">
        <v>279</v>
      </c>
      <c r="C49" s="22"/>
      <c r="D49" s="10">
        <f>+D16-D19+D47</f>
        <v>98452.399999999907</v>
      </c>
      <c r="E49" s="12"/>
      <c r="F49" s="10">
        <f>+F16-F19+F47</f>
        <v>0</v>
      </c>
      <c r="G49" s="5"/>
      <c r="H49" s="10">
        <f>+H16-H19+H47</f>
        <v>0</v>
      </c>
      <c r="I49" s="5"/>
      <c r="J49" s="10">
        <f>+J16-J19+J47</f>
        <v>0</v>
      </c>
      <c r="K49" s="5"/>
      <c r="L49" s="10">
        <f>+L16-L19+L47</f>
        <v>0</v>
      </c>
      <c r="M49" s="5"/>
      <c r="N49" s="10">
        <f>+N16-N19+N47</f>
        <v>0</v>
      </c>
      <c r="O49" s="5"/>
      <c r="P49" s="10">
        <f>+P16-P19+P47</f>
        <v>0</v>
      </c>
      <c r="Q49" s="5"/>
      <c r="R49" s="10">
        <f>+R16-R19+R47</f>
        <v>0</v>
      </c>
    </row>
    <row r="50" spans="1:18" s="27" customFormat="1" x14ac:dyDescent="0.35">
      <c r="A50" s="18"/>
      <c r="B50" s="31"/>
      <c r="C50" s="18"/>
      <c r="D50" s="9">
        <f>IFERROR(D49/D10, 0)</f>
        <v>0.30610653821097394</v>
      </c>
      <c r="E50" s="18"/>
      <c r="F50" s="9">
        <f>IFERROR(F49/F10, 0)</f>
        <v>0</v>
      </c>
      <c r="G50" s="14"/>
      <c r="H50" s="9">
        <f>IFERROR(H49/H10, 0)</f>
        <v>0</v>
      </c>
      <c r="I50" s="14"/>
      <c r="J50" s="9">
        <f>IFERROR(J49/J10, 0)</f>
        <v>0</v>
      </c>
      <c r="K50" s="14"/>
      <c r="L50" s="9">
        <f>IFERROR(L49/L10, 0)</f>
        <v>0</v>
      </c>
      <c r="M50" s="14"/>
      <c r="N50" s="9">
        <f>IFERROR(N49/N10, 0)</f>
        <v>0</v>
      </c>
      <c r="O50" s="14"/>
      <c r="P50" s="9">
        <f>IFERROR(P49/P10, 0)</f>
        <v>0</v>
      </c>
      <c r="Q50" s="14"/>
      <c r="R50" s="9">
        <f>IFERROR(R49/R10, 0)</f>
        <v>0</v>
      </c>
    </row>
    <row r="51" spans="1:18" s="27" customFormat="1" x14ac:dyDescent="0.35">
      <c r="A51" s="18"/>
      <c r="B51" s="31"/>
      <c r="C51" s="18"/>
      <c r="D51" s="13"/>
      <c r="E51" s="18"/>
      <c r="F51" s="13"/>
      <c r="G51" s="14"/>
      <c r="H51" s="13"/>
      <c r="I51" s="14"/>
      <c r="J51" s="13"/>
      <c r="K51" s="14"/>
      <c r="L51" s="13"/>
      <c r="M51" s="14"/>
      <c r="N51" s="13"/>
      <c r="O51" s="14"/>
      <c r="P51" s="13"/>
      <c r="Q51" s="14"/>
      <c r="R51" s="13"/>
    </row>
    <row r="52" spans="1:18" s="15" customFormat="1" x14ac:dyDescent="0.35">
      <c r="A52" s="37"/>
      <c r="B52" s="7" t="s">
        <v>127</v>
      </c>
      <c r="C52" s="7"/>
      <c r="D52" s="6">
        <v>69892.179999999993</v>
      </c>
      <c r="E52" s="12"/>
      <c r="F52" s="6"/>
      <c r="G52" s="5"/>
      <c r="H52" s="6"/>
      <c r="I52" s="5"/>
      <c r="J52" s="6"/>
      <c r="K52" s="5"/>
      <c r="L52" s="6"/>
      <c r="M52" s="5"/>
      <c r="N52" s="6"/>
      <c r="O52" s="5"/>
      <c r="P52" s="6"/>
      <c r="Q52" s="5"/>
      <c r="R52" s="6"/>
    </row>
    <row r="53" spans="1:18" x14ac:dyDescent="0.35">
      <c r="A53" s="12"/>
      <c r="B53" s="7"/>
      <c r="C53" s="7"/>
      <c r="D53" s="6"/>
      <c r="F53" s="6"/>
      <c r="H53" s="6"/>
      <c r="J53" s="6"/>
      <c r="L53" s="6"/>
      <c r="N53" s="6"/>
      <c r="P53" s="6"/>
      <c r="R53" s="6"/>
    </row>
    <row r="54" spans="1:18" s="15" customFormat="1" x14ac:dyDescent="0.35">
      <c r="A54" s="7"/>
      <c r="B54" s="22" t="s">
        <v>126</v>
      </c>
      <c r="C54" s="22"/>
      <c r="D54" s="10">
        <f>+D49-D52</f>
        <v>28560.219999999914</v>
      </c>
      <c r="E54" s="12"/>
      <c r="F54" s="10">
        <f>+F49-F52</f>
        <v>0</v>
      </c>
      <c r="G54" s="5"/>
      <c r="H54" s="10">
        <f>+H49-H52</f>
        <v>0</v>
      </c>
      <c r="I54" s="5"/>
      <c r="J54" s="10">
        <f>+J49-J52</f>
        <v>0</v>
      </c>
      <c r="K54" s="5"/>
      <c r="L54" s="10">
        <f>+L49-L52</f>
        <v>0</v>
      </c>
      <c r="M54" s="5"/>
      <c r="N54" s="10">
        <f>+N49-N52</f>
        <v>0</v>
      </c>
      <c r="O54" s="5"/>
      <c r="P54" s="10">
        <f>+P49-P52</f>
        <v>0</v>
      </c>
      <c r="Q54" s="5"/>
      <c r="R54" s="10">
        <f>+R49-R52</f>
        <v>0</v>
      </c>
    </row>
    <row r="55" spans="1:18" s="27" customFormat="1" x14ac:dyDescent="0.35">
      <c r="A55" s="18"/>
      <c r="B55" s="18"/>
      <c r="C55" s="18"/>
      <c r="D55" s="9">
        <f>IFERROR(D54/D10, 0)</f>
        <v>8.8798953349474505E-2</v>
      </c>
      <c r="E55" s="18"/>
      <c r="F55" s="9">
        <f>IFERROR(F54/F10, 0)</f>
        <v>0</v>
      </c>
      <c r="G55" s="14"/>
      <c r="H55" s="9">
        <f>IFERROR(H54/H10, 0)</f>
        <v>0</v>
      </c>
      <c r="I55" s="14"/>
      <c r="J55" s="9">
        <f>IFERROR(J54/J10, 0)</f>
        <v>0</v>
      </c>
      <c r="K55" s="14"/>
      <c r="L55" s="9">
        <f>IFERROR(L54/L10, 0)</f>
        <v>0</v>
      </c>
      <c r="M55" s="14"/>
      <c r="N55" s="9">
        <f>IFERROR(N54/N10, 0)</f>
        <v>0</v>
      </c>
      <c r="O55" s="14"/>
      <c r="P55" s="9">
        <f>IFERROR(P54/P10, 0)</f>
        <v>0</v>
      </c>
      <c r="Q55" s="14"/>
      <c r="R55" s="9">
        <f>IFERROR(R54/R10, 0)</f>
        <v>0</v>
      </c>
    </row>
    <row r="56" spans="1:18" s="27" customFormat="1" x14ac:dyDescent="0.35">
      <c r="A56" s="18"/>
      <c r="B56" s="18"/>
      <c r="C56" s="18"/>
      <c r="D56" s="13"/>
      <c r="E56" s="18"/>
      <c r="F56" s="13"/>
      <c r="G56" s="14"/>
      <c r="H56" s="13"/>
      <c r="I56" s="14"/>
      <c r="J56" s="13"/>
      <c r="K56" s="14"/>
      <c r="L56" s="13"/>
      <c r="M56" s="14"/>
      <c r="N56" s="13"/>
      <c r="O56" s="14"/>
      <c r="P56" s="13"/>
      <c r="Q56" s="14"/>
      <c r="R56" s="13"/>
    </row>
    <row r="57" spans="1:18" x14ac:dyDescent="0.35">
      <c r="A57" s="12"/>
      <c r="B57" s="12"/>
      <c r="C57" s="12"/>
      <c r="D57" s="6"/>
      <c r="F57" s="6"/>
      <c r="H57" s="6"/>
      <c r="J57" s="6"/>
      <c r="L57" s="6"/>
      <c r="N57" s="6"/>
      <c r="P57" s="6"/>
      <c r="R57" s="6"/>
    </row>
    <row r="58" spans="1:18" s="15" customFormat="1" x14ac:dyDescent="0.35">
      <c r="A58" s="7"/>
      <c r="B58" s="22" t="s">
        <v>296</v>
      </c>
      <c r="C58" s="22"/>
      <c r="D58" s="10">
        <f>SUM(D54:D57)</f>
        <v>28560.308798953265</v>
      </c>
      <c r="E58" s="12"/>
      <c r="F58" s="10">
        <f>SUM(F54:F57)</f>
        <v>0</v>
      </c>
      <c r="G58" s="5"/>
      <c r="H58" s="10">
        <f>SUM(H54:H57)</f>
        <v>0</v>
      </c>
      <c r="I58" s="5"/>
      <c r="J58" s="10">
        <f>SUM(J54:J57)</f>
        <v>0</v>
      </c>
      <c r="K58" s="5"/>
      <c r="L58" s="10">
        <f>SUM(L54:L57)</f>
        <v>0</v>
      </c>
      <c r="M58" s="5"/>
      <c r="N58" s="10">
        <f>SUM(N54:N57)</f>
        <v>0</v>
      </c>
      <c r="O58" s="5"/>
      <c r="P58" s="10">
        <f>SUM(P54:P57)</f>
        <v>0</v>
      </c>
      <c r="Q58" s="5"/>
      <c r="R58" s="10">
        <f>SUM(R54:R57)</f>
        <v>0</v>
      </c>
    </row>
    <row r="59" spans="1:18" s="27" customFormat="1" x14ac:dyDescent="0.35">
      <c r="A59" s="18"/>
      <c r="B59" s="41"/>
      <c r="C59" s="18"/>
      <c r="D59" s="9">
        <f>IFERROR(D58/D10, 0)</f>
        <v>8.8799229441679547E-2</v>
      </c>
      <c r="E59" s="18"/>
      <c r="F59" s="9">
        <f>IFERROR(F58/F10, 0)</f>
        <v>0</v>
      </c>
      <c r="G59" s="14"/>
      <c r="H59" s="9">
        <f>IFERROR(H58/H10, 0)</f>
        <v>0</v>
      </c>
      <c r="I59" s="14"/>
      <c r="J59" s="9">
        <f>IFERROR(J58/J10, 0)</f>
        <v>0</v>
      </c>
      <c r="K59" s="14"/>
      <c r="L59" s="9">
        <f>IFERROR(L58/L10, 0)</f>
        <v>0</v>
      </c>
      <c r="M59" s="14"/>
      <c r="N59" s="9">
        <f>IFERROR(N58/N10, 0)</f>
        <v>0</v>
      </c>
      <c r="O59" s="14"/>
      <c r="P59" s="9">
        <f>IFERROR(P58/P10, 0)</f>
        <v>0</v>
      </c>
      <c r="Q59" s="14"/>
      <c r="R59" s="9">
        <f>IFERROR(R58/R10, 0)</f>
        <v>0</v>
      </c>
    </row>
    <row r="60" spans="1:18" x14ac:dyDescent="0.35">
      <c r="A60" s="12"/>
      <c r="B60" s="40">
        <v>44319.883572604165</v>
      </c>
      <c r="D60" s="24"/>
      <c r="F60" s="24"/>
      <c r="H60" s="24"/>
      <c r="J60" s="24"/>
      <c r="L60" s="24"/>
      <c r="N60" s="24"/>
      <c r="P60" s="24"/>
      <c r="R60" s="24"/>
    </row>
    <row r="61" spans="1:18" x14ac:dyDescent="0.35">
      <c r="A61" s="12"/>
      <c r="B61" s="39" t="s">
        <v>23</v>
      </c>
      <c r="D61" s="24"/>
      <c r="F61" s="24"/>
      <c r="H61" s="24"/>
      <c r="J61" s="24"/>
      <c r="L61" s="24"/>
      <c r="N61" s="24"/>
      <c r="P61" s="24"/>
      <c r="R61" s="24"/>
    </row>
    <row r="62" spans="1:18" x14ac:dyDescent="0.35">
      <c r="A62" s="12"/>
      <c r="D62" s="24"/>
      <c r="F62" s="24"/>
      <c r="H62" s="24"/>
      <c r="J62" s="24"/>
      <c r="L62" s="24"/>
      <c r="N62" s="24"/>
      <c r="P62" s="24"/>
      <c r="R62" s="24"/>
    </row>
    <row r="63" spans="1:18" x14ac:dyDescent="0.35">
      <c r="D63" s="24"/>
      <c r="F63" s="24"/>
      <c r="H63" s="24"/>
      <c r="J63" s="24"/>
      <c r="L63" s="24"/>
      <c r="N63" s="24"/>
      <c r="P63" s="24"/>
      <c r="R63" s="24"/>
    </row>
  </sheetData>
  <pageMargins left="0.5" right="0.5" top="0.5" bottom="0.5" header="0.3" footer="0.3"/>
  <pageSetup scale="59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6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","324", " - ", "Textbook Rental")</f>
        <v>Department 324 - Textbook Rental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2651324.42</v>
      </c>
      <c r="F10" s="8">
        <f>SUM(OSRRefF11x_0)</f>
        <v>2418384.5099999998</v>
      </c>
      <c r="G10" s="8"/>
      <c r="H10" s="8">
        <f>SUM(OSRRefH11x_0)</f>
        <v>2024879.09</v>
      </c>
      <c r="I10" s="8"/>
      <c r="J10" s="8">
        <f>SUM(OSRRefJ11x_0)</f>
        <v>2406265.54</v>
      </c>
      <c r="K10" s="8"/>
      <c r="L10" s="8">
        <f>SUM(OSRRefL11x_0)</f>
        <v>2110470.23</v>
      </c>
      <c r="M10" s="8"/>
      <c r="N10" s="8">
        <f>SUM(OSRRefN11x_0)</f>
        <v>1603057.4300000002</v>
      </c>
      <c r="O10" s="8"/>
      <c r="P10" s="8">
        <f>SUM(OSRRefP11x_0)</f>
        <v>1422802</v>
      </c>
      <c r="Q10" s="8"/>
      <c r="R10" s="8">
        <f>SUM(OSRRefR11x_0)</f>
        <v>1536393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--1532.75</f>
        <v>1532.75</v>
      </c>
      <c r="M11" s="3"/>
      <c r="N11" s="11">
        <f>0</f>
        <v>0</v>
      </c>
      <c r="O11" s="3"/>
      <c r="P11" s="11">
        <v>1422802</v>
      </c>
      <c r="Q11" s="3"/>
      <c r="R11" s="11">
        <v>1536393</v>
      </c>
    </row>
    <row r="12" spans="1:18" s="16" customFormat="1" hidden="1" outlineLevel="1" x14ac:dyDescent="0.35">
      <c r="B12" s="35" t="str">
        <f>CONCATENATE("          ", "4001", " - ", "TAXABLE SALES-NEW TEXT")</f>
        <v xml:space="preserve">          4001 - TAXABLE SALES-NEW TEXT</v>
      </c>
      <c r="D12" s="11">
        <f>-818622.23*-1</f>
        <v>818622.23</v>
      </c>
      <c r="F12" s="11">
        <f>-699999.55*-1</f>
        <v>699999.55</v>
      </c>
      <c r="G12" s="3"/>
      <c r="H12" s="11">
        <f>-554302.78*-1</f>
        <v>554302.78</v>
      </c>
      <c r="I12" s="3"/>
      <c r="J12" s="11">
        <f>--716644.25</f>
        <v>716644.25</v>
      </c>
      <c r="K12" s="3"/>
      <c r="L12" s="11">
        <f>--564841.39</f>
        <v>564841.39</v>
      </c>
      <c r="M12" s="3"/>
      <c r="N12" s="11">
        <f>--430446.14</f>
        <v>430446.14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"4002", " - ", "TAXABLE SALES-USED TEXT")</f>
        <v xml:space="preserve">          4002 - TAXABLE SALES-USED TEXT</v>
      </c>
      <c r="D13" s="11">
        <f>-658037.16*-1</f>
        <v>658037.16</v>
      </c>
      <c r="F13" s="11">
        <f>-760835.58*-1</f>
        <v>760835.58</v>
      </c>
      <c r="G13" s="3"/>
      <c r="H13" s="11">
        <f>-658531.25*-1</f>
        <v>658531.25</v>
      </c>
      <c r="I13" s="3"/>
      <c r="J13" s="11">
        <f>--728263.97</f>
        <v>728263.97</v>
      </c>
      <c r="K13" s="3"/>
      <c r="L13" s="11">
        <f>--751736.64</f>
        <v>751736.64</v>
      </c>
      <c r="M13" s="3"/>
      <c r="N13" s="11">
        <f>--581364.79</f>
        <v>581364.79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"4100", " - ", "NON-TAXABLE SALES")</f>
        <v xml:space="preserve">          4100 - NON-TAXABLE SALES</v>
      </c>
      <c r="D14" s="11">
        <f>-1174665.03*-1</f>
        <v>1174665.03</v>
      </c>
      <c r="F14" s="11">
        <f>-957549.38*-1</f>
        <v>957549.38</v>
      </c>
      <c r="G14" s="3"/>
      <c r="H14" s="11">
        <f>-812045.06*-1</f>
        <v>812045.06</v>
      </c>
      <c r="I14" s="3"/>
      <c r="J14" s="11">
        <f>--961357.32</f>
        <v>961357.32</v>
      </c>
      <c r="K14" s="3"/>
      <c r="L14" s="11">
        <f>--792359.45</f>
        <v>792359.45</v>
      </c>
      <c r="M14" s="3"/>
      <c r="N14" s="11">
        <f>--591246.5</f>
        <v>591246.5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1997818.19</v>
      </c>
      <c r="E16" s="8"/>
      <c r="F16" s="8">
        <f>SUM(OSRRefF14x_0)</f>
        <v>1797702.73</v>
      </c>
      <c r="G16" s="8"/>
      <c r="H16" s="8">
        <f>SUM(OSRRefH14x_0)</f>
        <v>1449059.85</v>
      </c>
      <c r="I16" s="8"/>
      <c r="J16" s="8">
        <f>SUM(OSRRefJ14x_0)</f>
        <v>1744547.19</v>
      </c>
      <c r="K16" s="8"/>
      <c r="L16" s="8">
        <f>SUM(OSRRefL14x_0)</f>
        <v>1533856.9300000002</v>
      </c>
      <c r="M16" s="8"/>
      <c r="N16" s="8">
        <f>SUM(OSRRefN14x_0)</f>
        <v>1175860.3800000001</v>
      </c>
      <c r="O16" s="8"/>
      <c r="P16" s="8">
        <f>SUM(OSRRefP14x_0)</f>
        <v>1034377</v>
      </c>
      <c r="Q16" s="8"/>
      <c r="R16" s="8">
        <f>SUM(OSRRefR14x_0)</f>
        <v>1113885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>
        <v>172.8</v>
      </c>
      <c r="K17" s="3"/>
      <c r="L17" s="11"/>
      <c r="M17" s="3"/>
      <c r="N17" s="11"/>
      <c r="O17" s="3"/>
      <c r="P17" s="11">
        <v>1034377</v>
      </c>
      <c r="Q17" s="3"/>
      <c r="R17" s="11">
        <v>1113885</v>
      </c>
    </row>
    <row r="18" spans="1:18" s="44" customFormat="1" hidden="1" outlineLevel="1" x14ac:dyDescent="0.35">
      <c r="A18" s="16"/>
      <c r="B18" s="35" t="str">
        <f>CONCATENATE("          ", "5001", " - ", "PURCHASES @ COST-NEW TEXT")</f>
        <v xml:space="preserve">          5001 - PURCHASES @ COST-NEW TEXT</v>
      </c>
      <c r="C18" s="16"/>
      <c r="D18" s="11">
        <v>1080975.25</v>
      </c>
      <c r="E18" s="16"/>
      <c r="F18" s="11">
        <v>851477.35</v>
      </c>
      <c r="G18" s="3"/>
      <c r="H18" s="11">
        <v>643542.12</v>
      </c>
      <c r="I18" s="3"/>
      <c r="J18" s="11">
        <v>834314.72</v>
      </c>
      <c r="K18" s="3"/>
      <c r="L18" s="11">
        <v>660042.81000000006</v>
      </c>
      <c r="M18" s="3"/>
      <c r="N18" s="11">
        <v>488743.96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"5002", " - ", "PURCHASES @ COST-USED TEXT")</f>
        <v xml:space="preserve">          5002 - PURCHASES @ COST-USED TEXT</v>
      </c>
      <c r="C19" s="16"/>
      <c r="D19" s="11">
        <v>916842.94</v>
      </c>
      <c r="E19" s="16"/>
      <c r="F19" s="11">
        <v>946225.38</v>
      </c>
      <c r="G19" s="3"/>
      <c r="H19" s="11">
        <v>805517.73</v>
      </c>
      <c r="I19" s="3"/>
      <c r="J19" s="11">
        <v>910059.67</v>
      </c>
      <c r="K19" s="3"/>
      <c r="L19" s="11">
        <v>873814.12</v>
      </c>
      <c r="M19" s="3"/>
      <c r="N19" s="11">
        <v>687116.42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653506.23</v>
      </c>
      <c r="E21" s="12"/>
      <c r="F21" s="10">
        <f>+F10-F16</f>
        <v>620681.7799999998</v>
      </c>
      <c r="G21" s="5"/>
      <c r="H21" s="10">
        <f>+H10-H16</f>
        <v>575819.24</v>
      </c>
      <c r="I21" s="5"/>
      <c r="J21" s="10">
        <f>+J10-J16</f>
        <v>661718.35000000009</v>
      </c>
      <c r="K21" s="5"/>
      <c r="L21" s="10">
        <f>+L10-L16</f>
        <v>576613.29999999981</v>
      </c>
      <c r="M21" s="5"/>
      <c r="N21" s="10">
        <f>+N10-N16</f>
        <v>427197.05000000005</v>
      </c>
      <c r="O21" s="5"/>
      <c r="P21" s="10">
        <f>+P10-P16</f>
        <v>388425</v>
      </c>
      <c r="Q21" s="5"/>
      <c r="R21" s="10">
        <f>+R10-R16</f>
        <v>422508</v>
      </c>
    </row>
    <row r="22" spans="1:18" s="27" customFormat="1" x14ac:dyDescent="0.35">
      <c r="A22" s="18"/>
      <c r="B22" s="31"/>
      <c r="C22" s="18"/>
      <c r="D22" s="9">
        <f>IFERROR(D21/D10, 0)</f>
        <v>0.24648293700700724</v>
      </c>
      <c r="E22" s="13"/>
      <c r="F22" s="9">
        <f>IFERROR(F21/F10, 0)</f>
        <v>0.25665140403996378</v>
      </c>
      <c r="G22" s="26"/>
      <c r="H22" s="9">
        <f>IFERROR(H21/H10, 0)</f>
        <v>0.28437215972238616</v>
      </c>
      <c r="I22" s="26"/>
      <c r="J22" s="9">
        <f>IFERROR(J21/J10, 0)</f>
        <v>0.27499805777877701</v>
      </c>
      <c r="K22" s="26"/>
      <c r="L22" s="9">
        <f>IFERROR(L21/L10, 0)</f>
        <v>0.27321555727417196</v>
      </c>
      <c r="M22" s="26"/>
      <c r="N22" s="9">
        <f>IFERROR(N21/N10, 0)</f>
        <v>0.26648892423024423</v>
      </c>
      <c r="O22" s="26"/>
      <c r="P22" s="9">
        <f>IFERROR(P21/P10, 0)</f>
        <v>0.2730000379532781</v>
      </c>
      <c r="Q22" s="26"/>
      <c r="R22" s="9">
        <f>IFERROR(R21/R10, 0)</f>
        <v>0.27499995118436493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448.69</v>
      </c>
      <c r="E24" s="19"/>
      <c r="F24" s="8">
        <f>SUM(OSRRefF21x_0)</f>
        <v>391.59</v>
      </c>
      <c r="G24" s="4"/>
      <c r="H24" s="8">
        <f>SUM(OSRRefH21x_0)</f>
        <v>90</v>
      </c>
      <c r="I24" s="4"/>
      <c r="J24" s="8">
        <f>SUM(OSRRefJ21x_0)</f>
        <v>194.94</v>
      </c>
      <c r="K24" s="4"/>
      <c r="L24" s="8">
        <f>SUM(OSRRefL21x_0)</f>
        <v>90</v>
      </c>
      <c r="M24" s="4"/>
      <c r="N24" s="8">
        <f>SUM(OSRRefN21x_0)</f>
        <v>0</v>
      </c>
      <c r="O24" s="4"/>
      <c r="P24" s="8">
        <f>SUM(OSRRefP21x_0)</f>
        <v>0</v>
      </c>
      <c r="Q24" s="4"/>
      <c r="R24" s="8">
        <f>SUM(OSRRefR21x_0)</f>
        <v>0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0</v>
      </c>
      <c r="E25" s="19"/>
      <c r="F25" s="1">
        <f>SUM(OSRRefF21_0x_0)</f>
        <v>0</v>
      </c>
      <c r="G25" s="4"/>
      <c r="H25" s="1">
        <f>SUM(OSRRefH21_0x_0)</f>
        <v>0</v>
      </c>
      <c r="I25" s="4"/>
      <c r="J25" s="1">
        <f>SUM(OSRRefJ21_0x_0)</f>
        <v>0</v>
      </c>
      <c r="K25" s="4"/>
      <c r="L25" s="1">
        <f>SUM(OSRRefL21_0x_0)</f>
        <v>0</v>
      </c>
      <c r="M25" s="4"/>
      <c r="N25" s="1">
        <f>SUM(OSRRefN21_0x_0)</f>
        <v>0</v>
      </c>
      <c r="O25" s="4"/>
      <c r="P25" s="1">
        <f>SUM(OSRRefP21_0x_0)</f>
        <v>0</v>
      </c>
      <c r="Q25" s="4"/>
      <c r="R25" s="1">
        <f>SUM(OSRRefR21_0x_0)</f>
        <v>0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/>
      <c r="F26" s="2"/>
      <c r="G26" s="3"/>
      <c r="H26" s="2"/>
      <c r="I26" s="3"/>
      <c r="J26" s="2"/>
      <c r="K26" s="3"/>
      <c r="L26" s="2"/>
      <c r="M26" s="3"/>
      <c r="N26" s="2"/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/>
      <c r="F27" s="2"/>
      <c r="G27" s="3"/>
      <c r="H27" s="2"/>
      <c r="I27" s="3"/>
      <c r="J27" s="2"/>
      <c r="K27" s="3"/>
      <c r="L27" s="2"/>
      <c r="M27" s="3"/>
      <c r="N27" s="2"/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/>
      <c r="F28" s="2"/>
      <c r="G28" s="3"/>
      <c r="H28" s="2"/>
      <c r="I28" s="3"/>
      <c r="J28" s="2"/>
      <c r="K28" s="3"/>
      <c r="L28" s="2"/>
      <c r="M28" s="3"/>
      <c r="N28" s="2"/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/>
      <c r="F29" s="2"/>
      <c r="G29" s="3"/>
      <c r="H29" s="2"/>
      <c r="I29" s="3"/>
      <c r="J29" s="2"/>
      <c r="K29" s="3"/>
      <c r="L29" s="2"/>
      <c r="M29" s="3"/>
      <c r="N29" s="2"/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/>
    </row>
    <row r="34" spans="1:18" s="15" customFormat="1" outlineLevel="1" collapsed="1" x14ac:dyDescent="0.35">
      <c r="A34" s="7"/>
      <c r="B34" s="20" t="str">
        <f>CONCATENATE("     ","*Payroll                                          ")</f>
        <v xml:space="preserve">     *Payroll                                          </v>
      </c>
      <c r="C34" s="7"/>
      <c r="D34" s="1">
        <f>SUM(OSRRefD21_1x_0)</f>
        <v>0</v>
      </c>
      <c r="E34" s="19"/>
      <c r="F34" s="1">
        <f>SUM(OSRRefF21_1x_0)</f>
        <v>0</v>
      </c>
      <c r="G34" s="4"/>
      <c r="H34" s="1">
        <f>SUM(OSRRefH21_1x_0)</f>
        <v>0</v>
      </c>
      <c r="I34" s="4"/>
      <c r="J34" s="1">
        <f>SUM(OSRRefJ21_1x_0)</f>
        <v>0</v>
      </c>
      <c r="K34" s="4"/>
      <c r="L34" s="1">
        <f>SUM(OSRRefL21_1x_0)</f>
        <v>0</v>
      </c>
      <c r="M34" s="4"/>
      <c r="N34" s="1">
        <f>SUM(OSRRefN21_1x_0)</f>
        <v>0</v>
      </c>
      <c r="O34" s="4"/>
      <c r="P34" s="1">
        <f>SUM(OSRRefP21_1x_0)</f>
        <v>0</v>
      </c>
      <c r="Q34" s="4"/>
      <c r="R34" s="1">
        <f>SUM(OSRRefR21_1x_0)</f>
        <v>0</v>
      </c>
    </row>
    <row r="35" spans="1:18" s="16" customFormat="1" hidden="1" outlineLevel="2" x14ac:dyDescent="0.35">
      <c r="B35" s="11" t="str">
        <f>CONCATENATE("          ", "6001", " - ", "ADMINISTRATIVE SALARIES")</f>
        <v xml:space="preserve">          6001 - ADMINISTRATIVE SALARIES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/>
    </row>
    <row r="36" spans="1:18" s="16" customFormat="1" hidden="1" outlineLevel="2" x14ac:dyDescent="0.35">
      <c r="B36" s="11" t="str">
        <f>CONCATENATE("          ", "6002", " - ", "STAFF SALARIES")</f>
        <v xml:space="preserve">          6002 - STAFF SALARIES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/>
    </row>
    <row r="37" spans="1:18" s="16" customFormat="1" hidden="1" outlineLevel="2" x14ac:dyDescent="0.35">
      <c r="B37" s="11" t="str">
        <f>CONCATENATE("          ", "6003", " - ", "STAFF HOURLY-9 MONTH")</f>
        <v xml:space="preserve">          6003 - STAFF HOURLY-9 MONTH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"6004", " - ", "STAFF HOURLY")</f>
        <v xml:space="preserve">          6004 - STAFF HOURLY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"6005", " - ", "TEMPORARY WAGES-HOURLY")</f>
        <v xml:space="preserve">          6005 - TEMPORARY WAGES-HOURLY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"6006", " - ", "TEMPORARY PART TIME")</f>
        <v xml:space="preserve">          6006 - TEMPORARY PART TIME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"6007", " - ", "STUDENT HOURLY")</f>
        <v xml:space="preserve">          6007 - STUDENT HOURLY</v>
      </c>
      <c r="D41" s="2"/>
      <c r="F41" s="2"/>
      <c r="G41" s="3"/>
      <c r="H41" s="2"/>
      <c r="I41" s="3"/>
      <c r="J41" s="2"/>
      <c r="K41" s="3"/>
      <c r="L41" s="2"/>
      <c r="M41" s="3"/>
      <c r="N41" s="2"/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"6008", " - ", "STUDENT HOURLY-FICA EXEMPT")</f>
        <v xml:space="preserve">          6008 - STUDENT HOURLY-FICA EXEMPT</v>
      </c>
      <c r="D42" s="2"/>
      <c r="F42" s="2"/>
      <c r="G42" s="3"/>
      <c r="H42" s="2"/>
      <c r="I42" s="3"/>
      <c r="J42" s="2"/>
      <c r="K42" s="3"/>
      <c r="L42" s="2"/>
      <c r="M42" s="3"/>
      <c r="N42" s="2"/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"6009", " - ", "TEMPORARY-SEASONAL")</f>
        <v xml:space="preserve">          6009 - TEMPORARY-SEASONAL</v>
      </c>
      <c r="D43" s="2"/>
      <c r="F43" s="2"/>
      <c r="G43" s="3"/>
      <c r="H43" s="2"/>
      <c r="I43" s="3"/>
      <c r="J43" s="2"/>
      <c r="K43" s="3"/>
      <c r="L43" s="2"/>
      <c r="M43" s="3"/>
      <c r="N43" s="2"/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"6010", " - ", "GRATUITY")</f>
        <v xml:space="preserve">          6010 - GRATUITY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/>
    </row>
    <row r="45" spans="1:18" s="15" customFormat="1" outlineLevel="1" collapsed="1" x14ac:dyDescent="0.35">
      <c r="A45" s="7"/>
      <c r="B45" s="20" t="str">
        <f>CONCATENATE("     ","Supplies                                          ")</f>
        <v xml:space="preserve">     Supplies                                          </v>
      </c>
      <c r="C45" s="7"/>
      <c r="D45" s="1">
        <f>SUM(OSRRefD21_2x_0)</f>
        <v>448.69</v>
      </c>
      <c r="E45" s="19"/>
      <c r="F45" s="1">
        <f>SUM(OSRRefF21_2x_0)</f>
        <v>316.52999999999997</v>
      </c>
      <c r="G45" s="4"/>
      <c r="H45" s="1">
        <f>SUM(OSRRefH21_2x_0)</f>
        <v>90</v>
      </c>
      <c r="I45" s="4"/>
      <c r="J45" s="1">
        <f>SUM(OSRRefJ21_2x_0)</f>
        <v>194.94</v>
      </c>
      <c r="K45" s="4"/>
      <c r="L45" s="1">
        <f>SUM(OSRRefL21_2x_0)</f>
        <v>90</v>
      </c>
      <c r="M45" s="4"/>
      <c r="N45" s="1">
        <f>SUM(OSRRefN21_2x_0)</f>
        <v>0</v>
      </c>
      <c r="O45" s="4"/>
      <c r="P45" s="1">
        <f>SUM(OSRRefP21_2x_0)</f>
        <v>0</v>
      </c>
      <c r="Q45" s="4"/>
      <c r="R45" s="1">
        <f>SUM(OSRRefR21_2x_0)</f>
        <v>0</v>
      </c>
    </row>
    <row r="46" spans="1:18" s="16" customFormat="1" hidden="1" outlineLevel="2" x14ac:dyDescent="0.35">
      <c r="B46" s="11" t="str">
        <f>CONCATENATE("          ", "6241", " - ", "OFFICE EXPENSE")</f>
        <v xml:space="preserve">          6241 - OFFICE EXPENSE</v>
      </c>
      <c r="D46" s="2">
        <v>448.69</v>
      </c>
      <c r="F46" s="2">
        <v>316.52999999999997</v>
      </c>
      <c r="G46" s="3"/>
      <c r="H46" s="2">
        <v>90</v>
      </c>
      <c r="I46" s="3"/>
      <c r="J46" s="2">
        <v>194.94</v>
      </c>
      <c r="K46" s="3"/>
      <c r="L46" s="2">
        <v>90</v>
      </c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","Telephone/Data Lines                              ")</f>
        <v xml:space="preserve">     Telephone/Data Lines                              </v>
      </c>
      <c r="C47" s="7"/>
      <c r="D47" s="1">
        <f>SUM(OSRRefD21_3x_0)</f>
        <v>0</v>
      </c>
      <c r="E47" s="19"/>
      <c r="F47" s="1">
        <f>SUM(OSRRefF21_3x_0)</f>
        <v>75.06</v>
      </c>
      <c r="G47" s="4"/>
      <c r="H47" s="1">
        <f>SUM(OSRRefH21_3x_0)</f>
        <v>0</v>
      </c>
      <c r="I47" s="4"/>
      <c r="J47" s="1">
        <f>SUM(OSRRefJ21_3x_0)</f>
        <v>0</v>
      </c>
      <c r="K47" s="4"/>
      <c r="L47" s="1">
        <f>SUM(OSRRefL21_3x_0)</f>
        <v>0</v>
      </c>
      <c r="M47" s="4"/>
      <c r="N47" s="1">
        <f>SUM(OSRRefN21_3x_0)</f>
        <v>0</v>
      </c>
      <c r="O47" s="4"/>
      <c r="P47" s="1">
        <f>SUM(OSRRefP21_3x_0)</f>
        <v>0</v>
      </c>
      <c r="Q47" s="4"/>
      <c r="R47" s="1">
        <f>SUM(OSRRefR21_3x_0)</f>
        <v>0</v>
      </c>
    </row>
    <row r="48" spans="1:18" s="16" customFormat="1" hidden="1" outlineLevel="2" x14ac:dyDescent="0.35">
      <c r="B48" s="11" t="str">
        <f>CONCATENATE("          ", "6309", " - ", "TELEPHONE")</f>
        <v xml:space="preserve">          6309 - TELEPHONE</v>
      </c>
      <c r="D48" s="2"/>
      <c r="F48" s="2">
        <v>75.06</v>
      </c>
      <c r="G48" s="3"/>
      <c r="H48" s="2"/>
      <c r="I48" s="3"/>
      <c r="J48" s="2"/>
      <c r="K48" s="3"/>
      <c r="L48" s="2"/>
      <c r="M48" s="3"/>
      <c r="N48" s="2"/>
      <c r="O48" s="3"/>
      <c r="P48" s="2"/>
      <c r="Q48" s="3"/>
      <c r="R48" s="2"/>
    </row>
    <row r="49" spans="1:18" x14ac:dyDescent="0.35">
      <c r="A49" s="12"/>
      <c r="B49" s="12"/>
      <c r="C49" s="12"/>
      <c r="D49" s="1"/>
      <c r="F49" s="1"/>
      <c r="H49" s="1"/>
      <c r="J49" s="1"/>
      <c r="L49" s="1"/>
      <c r="N49" s="1"/>
      <c r="P49" s="1"/>
      <c r="R49" s="1"/>
    </row>
    <row r="50" spans="1:18" s="7" customFormat="1" x14ac:dyDescent="0.35">
      <c r="A50" s="36"/>
      <c r="B50" s="34" t="s">
        <v>295</v>
      </c>
      <c r="D50" s="6">
        <f>SUM(0)</f>
        <v>0</v>
      </c>
      <c r="E50" s="12"/>
      <c r="F50" s="6">
        <f>SUM(0)</f>
        <v>0</v>
      </c>
      <c r="G50" s="5"/>
      <c r="H50" s="6">
        <f>SUM(0)</f>
        <v>0</v>
      </c>
      <c r="I50" s="5"/>
      <c r="J50" s="6">
        <f>SUM(0)</f>
        <v>0</v>
      </c>
      <c r="K50" s="5"/>
      <c r="L50" s="6">
        <f>SUM(0)</f>
        <v>0</v>
      </c>
      <c r="M50" s="5"/>
      <c r="N50" s="6">
        <f>SUM(0)</f>
        <v>0</v>
      </c>
      <c r="O50" s="5"/>
      <c r="P50" s="6">
        <f>SUM(0)</f>
        <v>0</v>
      </c>
      <c r="Q50" s="5"/>
      <c r="R50" s="6">
        <f>SUM(0)</f>
        <v>0</v>
      </c>
    </row>
    <row r="51" spans="1:18" x14ac:dyDescent="0.35">
      <c r="A51" s="12"/>
      <c r="B51" s="7"/>
      <c r="C51" s="7"/>
      <c r="D51" s="6"/>
      <c r="F51" s="6"/>
      <c r="H51" s="6"/>
      <c r="J51" s="6"/>
      <c r="L51" s="6"/>
      <c r="N51" s="6"/>
      <c r="P51" s="6"/>
      <c r="R51" s="6"/>
    </row>
    <row r="52" spans="1:18" s="15" customFormat="1" x14ac:dyDescent="0.35">
      <c r="A52" s="7"/>
      <c r="B52" s="22" t="s">
        <v>279</v>
      </c>
      <c r="C52" s="22"/>
      <c r="D52" s="10">
        <f>+D21-D24+D50</f>
        <v>653057.54</v>
      </c>
      <c r="E52" s="12"/>
      <c r="F52" s="10">
        <f>+F21-F24+F50</f>
        <v>620290.18999999983</v>
      </c>
      <c r="G52" s="5"/>
      <c r="H52" s="10">
        <f>+H21-H24+H50</f>
        <v>575729.24</v>
      </c>
      <c r="I52" s="5"/>
      <c r="J52" s="10">
        <f>+J21-J24+J50</f>
        <v>661523.41000000015</v>
      </c>
      <c r="K52" s="5"/>
      <c r="L52" s="10">
        <f>+L21-L24+L50</f>
        <v>576523.29999999981</v>
      </c>
      <c r="M52" s="5"/>
      <c r="N52" s="10">
        <f>+N21-N24+N50</f>
        <v>427197.05000000005</v>
      </c>
      <c r="O52" s="5"/>
      <c r="P52" s="10">
        <f>+P21-P24+P50</f>
        <v>388425</v>
      </c>
      <c r="Q52" s="5"/>
      <c r="R52" s="10">
        <f>+R21-R24+R50</f>
        <v>422508</v>
      </c>
    </row>
    <row r="53" spans="1:18" s="27" customFormat="1" x14ac:dyDescent="0.35">
      <c r="A53" s="18"/>
      <c r="B53" s="31"/>
      <c r="C53" s="18"/>
      <c r="D53" s="9">
        <f>IFERROR(D52/D10, 0)</f>
        <v>0.24631370460503663</v>
      </c>
      <c r="E53" s="18"/>
      <c r="F53" s="9">
        <f>IFERROR(F52/F10, 0)</f>
        <v>0.25648948189797988</v>
      </c>
      <c r="G53" s="14"/>
      <c r="H53" s="9">
        <f>IFERROR(H52/H10, 0)</f>
        <v>0.28432771262406586</v>
      </c>
      <c r="I53" s="14"/>
      <c r="J53" s="9">
        <f>IFERROR(J52/J10, 0)</f>
        <v>0.27491704427600294</v>
      </c>
      <c r="K53" s="14"/>
      <c r="L53" s="9">
        <f>IFERROR(L52/L10, 0)</f>
        <v>0.27317291274940175</v>
      </c>
      <c r="M53" s="14"/>
      <c r="N53" s="9">
        <f>IFERROR(N52/N10, 0)</f>
        <v>0.26648892423024423</v>
      </c>
      <c r="O53" s="14"/>
      <c r="P53" s="9">
        <f>IFERROR(P52/P10, 0)</f>
        <v>0.2730000379532781</v>
      </c>
      <c r="Q53" s="14"/>
      <c r="R53" s="9">
        <f>IFERROR(R52/R10, 0)</f>
        <v>0.27499995118436493</v>
      </c>
    </row>
    <row r="54" spans="1:18" s="27" customFormat="1" x14ac:dyDescent="0.35">
      <c r="A54" s="18"/>
      <c r="B54" s="31"/>
      <c r="C54" s="18"/>
      <c r="D54" s="13"/>
      <c r="E54" s="18"/>
      <c r="F54" s="13"/>
      <c r="G54" s="14"/>
      <c r="H54" s="13"/>
      <c r="I54" s="14"/>
      <c r="J54" s="13"/>
      <c r="K54" s="14"/>
      <c r="L54" s="13"/>
      <c r="M54" s="14"/>
      <c r="N54" s="13"/>
      <c r="O54" s="14"/>
      <c r="P54" s="13"/>
      <c r="Q54" s="14"/>
      <c r="R54" s="13"/>
    </row>
    <row r="55" spans="1:18" s="15" customFormat="1" x14ac:dyDescent="0.35">
      <c r="A55" s="37"/>
      <c r="B55" s="7" t="s">
        <v>127</v>
      </c>
      <c r="C55" s="7"/>
      <c r="D55" s="6">
        <v>576152.86</v>
      </c>
      <c r="E55" s="12"/>
      <c r="F55" s="6">
        <v>344273.8</v>
      </c>
      <c r="G55" s="5"/>
      <c r="H55" s="6">
        <v>270737.98</v>
      </c>
      <c r="I55" s="5"/>
      <c r="J55" s="6">
        <v>322953.26</v>
      </c>
      <c r="K55" s="5"/>
      <c r="L55" s="6">
        <v>150428.18</v>
      </c>
      <c r="M55" s="5"/>
      <c r="N55" s="6">
        <v>242739.16</v>
      </c>
      <c r="O55" s="5"/>
      <c r="P55" s="6">
        <v>240422</v>
      </c>
      <c r="Q55" s="5"/>
      <c r="R55" s="6">
        <v>174219</v>
      </c>
    </row>
    <row r="56" spans="1:18" x14ac:dyDescent="0.35">
      <c r="A56" s="12"/>
      <c r="B56" s="7"/>
      <c r="C56" s="7"/>
      <c r="D56" s="6"/>
      <c r="F56" s="6"/>
      <c r="H56" s="6"/>
      <c r="J56" s="6"/>
      <c r="L56" s="6"/>
      <c r="N56" s="6"/>
      <c r="P56" s="6"/>
      <c r="R56" s="6"/>
    </row>
    <row r="57" spans="1:18" s="15" customFormat="1" x14ac:dyDescent="0.35">
      <c r="A57" s="7"/>
      <c r="B57" s="22" t="s">
        <v>126</v>
      </c>
      <c r="C57" s="22"/>
      <c r="D57" s="10">
        <f>+D52-D55</f>
        <v>76904.680000000051</v>
      </c>
      <c r="E57" s="12"/>
      <c r="F57" s="10">
        <f>+F52-F55</f>
        <v>276016.38999999984</v>
      </c>
      <c r="G57" s="5"/>
      <c r="H57" s="10">
        <f>+H52-H55</f>
        <v>304991.26</v>
      </c>
      <c r="I57" s="5"/>
      <c r="J57" s="10">
        <f>+J52-J55</f>
        <v>338570.15000000014</v>
      </c>
      <c r="K57" s="5"/>
      <c r="L57" s="10">
        <f>+L52-L55</f>
        <v>426095.11999999982</v>
      </c>
      <c r="M57" s="5"/>
      <c r="N57" s="10">
        <f>+N52-N55</f>
        <v>184457.89000000004</v>
      </c>
      <c r="O57" s="5"/>
      <c r="P57" s="10">
        <f>+P52-P55</f>
        <v>148003</v>
      </c>
      <c r="Q57" s="5"/>
      <c r="R57" s="10">
        <f>+R52-R55</f>
        <v>248289</v>
      </c>
    </row>
    <row r="58" spans="1:18" s="27" customFormat="1" x14ac:dyDescent="0.35">
      <c r="A58" s="18"/>
      <c r="B58" s="18"/>
      <c r="C58" s="18"/>
      <c r="D58" s="9">
        <f>IFERROR(D57/D10, 0)</f>
        <v>2.9006137242156151E-2</v>
      </c>
      <c r="E58" s="18"/>
      <c r="F58" s="9">
        <f>IFERROR(F57/F10, 0)</f>
        <v>0.11413254958368876</v>
      </c>
      <c r="G58" s="14"/>
      <c r="H58" s="9">
        <f>IFERROR(H57/H10, 0)</f>
        <v>0.15062196133399747</v>
      </c>
      <c r="I58" s="14"/>
      <c r="J58" s="9">
        <f>IFERROR(J57/J10, 0)</f>
        <v>0.14070356923284541</v>
      </c>
      <c r="K58" s="14"/>
      <c r="L58" s="9">
        <f>IFERROR(L57/L10, 0)</f>
        <v>0.20189582110333762</v>
      </c>
      <c r="M58" s="14"/>
      <c r="N58" s="9">
        <f>IFERROR(N57/N10, 0)</f>
        <v>0.11506630177310617</v>
      </c>
      <c r="O58" s="14"/>
      <c r="P58" s="9">
        <f>IFERROR(P57/P10, 0)</f>
        <v>0.10402220407337072</v>
      </c>
      <c r="Q58" s="14"/>
      <c r="R58" s="9">
        <f>IFERROR(R57/R10, 0)</f>
        <v>0.1616051361858587</v>
      </c>
    </row>
    <row r="59" spans="1:18" s="27" customFormat="1" x14ac:dyDescent="0.35">
      <c r="A59" s="18"/>
      <c r="B59" s="18"/>
      <c r="C59" s="18"/>
      <c r="D59" s="13"/>
      <c r="E59" s="18"/>
      <c r="F59" s="13"/>
      <c r="G59" s="14"/>
      <c r="H59" s="13"/>
      <c r="I59" s="14"/>
      <c r="J59" s="13"/>
      <c r="K59" s="14"/>
      <c r="L59" s="13"/>
      <c r="M59" s="14"/>
      <c r="N59" s="13"/>
      <c r="O59" s="14"/>
      <c r="P59" s="13"/>
      <c r="Q59" s="14"/>
      <c r="R59" s="13"/>
    </row>
    <row r="60" spans="1:18" x14ac:dyDescent="0.35">
      <c r="A60" s="12"/>
      <c r="B60" s="12"/>
      <c r="C60" s="12"/>
      <c r="D60" s="6"/>
      <c r="F60" s="6"/>
      <c r="H60" s="6"/>
      <c r="J60" s="6"/>
      <c r="L60" s="6"/>
      <c r="N60" s="6"/>
      <c r="P60" s="6"/>
      <c r="R60" s="6"/>
    </row>
    <row r="61" spans="1:18" s="15" customFormat="1" x14ac:dyDescent="0.35">
      <c r="A61" s="7"/>
      <c r="B61" s="22" t="s">
        <v>296</v>
      </c>
      <c r="C61" s="22"/>
      <c r="D61" s="10">
        <f>SUM(D57:D60)</f>
        <v>76904.709006137287</v>
      </c>
      <c r="E61" s="12"/>
      <c r="F61" s="10">
        <f>SUM(F57:F60)</f>
        <v>276016.50413254939</v>
      </c>
      <c r="G61" s="5"/>
      <c r="H61" s="10">
        <f>SUM(H57:H60)</f>
        <v>304991.41062196135</v>
      </c>
      <c r="I61" s="5"/>
      <c r="J61" s="10">
        <f>SUM(J57:J60)</f>
        <v>338570.29070356936</v>
      </c>
      <c r="K61" s="5"/>
      <c r="L61" s="10">
        <f>SUM(L57:L60)</f>
        <v>426095.3218958209</v>
      </c>
      <c r="M61" s="5"/>
      <c r="N61" s="10">
        <f>SUM(N57:N60)</f>
        <v>184458.00506630182</v>
      </c>
      <c r="O61" s="5"/>
      <c r="P61" s="10">
        <f>SUM(P57:P60)</f>
        <v>148003.10402220406</v>
      </c>
      <c r="Q61" s="5"/>
      <c r="R61" s="10">
        <f>SUM(R57:R60)</f>
        <v>248289.16160513618</v>
      </c>
    </row>
    <row r="62" spans="1:18" s="27" customFormat="1" x14ac:dyDescent="0.35">
      <c r="A62" s="18"/>
      <c r="B62" s="41"/>
      <c r="C62" s="18"/>
      <c r="D62" s="9">
        <f>IFERROR(D61/D10, 0)</f>
        <v>2.9006148182400587E-2</v>
      </c>
      <c r="E62" s="18"/>
      <c r="F62" s="9">
        <f>IFERROR(F61/F10, 0)</f>
        <v>0.11413259677740387</v>
      </c>
      <c r="G62" s="14"/>
      <c r="H62" s="9">
        <f>IFERROR(H61/H10, 0)</f>
        <v>0.15062203571965441</v>
      </c>
      <c r="I62" s="14"/>
      <c r="J62" s="9">
        <f>IFERROR(J61/J10, 0)</f>
        <v>0.14070362770667835</v>
      </c>
      <c r="K62" s="14"/>
      <c r="L62" s="9">
        <f>IFERROR(L61/L10, 0)</f>
        <v>0.20189591676724145</v>
      </c>
      <c r="M62" s="14"/>
      <c r="N62" s="9">
        <f>IFERROR(N61/N10, 0)</f>
        <v>0.11506637355238221</v>
      </c>
      <c r="O62" s="14"/>
      <c r="P62" s="9">
        <f>IFERROR(P61/P10, 0)</f>
        <v>0.10402227718417886</v>
      </c>
      <c r="Q62" s="14"/>
      <c r="R62" s="9">
        <f>IFERROR(R61/R10, 0)</f>
        <v>0.16160524137062338</v>
      </c>
    </row>
    <row r="63" spans="1:18" x14ac:dyDescent="0.35">
      <c r="A63" s="12"/>
      <c r="B63" s="40">
        <v>44319.883572604165</v>
      </c>
      <c r="D63" s="24"/>
      <c r="F63" s="24"/>
      <c r="H63" s="24"/>
      <c r="J63" s="24"/>
      <c r="L63" s="24"/>
      <c r="N63" s="24"/>
      <c r="P63" s="24"/>
      <c r="R63" s="24"/>
    </row>
    <row r="64" spans="1:18" x14ac:dyDescent="0.35">
      <c r="A64" s="12"/>
      <c r="B64" s="39" t="s">
        <v>23</v>
      </c>
      <c r="D64" s="24"/>
      <c r="F64" s="24"/>
      <c r="H64" s="24"/>
      <c r="J64" s="24"/>
      <c r="L64" s="24"/>
      <c r="N64" s="24"/>
      <c r="P64" s="24"/>
      <c r="R64" s="24"/>
    </row>
    <row r="65" spans="1:18" x14ac:dyDescent="0.35">
      <c r="A65" s="12"/>
      <c r="D65" s="24"/>
      <c r="F65" s="24"/>
      <c r="H65" s="24"/>
      <c r="J65" s="24"/>
      <c r="L65" s="24"/>
      <c r="N65" s="24"/>
      <c r="P65" s="24"/>
      <c r="R65" s="24"/>
    </row>
    <row r="66" spans="1:18" x14ac:dyDescent="0.35">
      <c r="D66" s="24"/>
      <c r="F66" s="24"/>
      <c r="H66" s="24"/>
      <c r="J66" s="24"/>
      <c r="L66" s="24"/>
      <c r="N66" s="24"/>
      <c r="P66" s="24"/>
      <c r="R66" s="24"/>
    </row>
  </sheetData>
  <pageMargins left="0.5" right="0.5" top="0.5" bottom="0.5" header="0.3" footer="0.3"/>
  <pageSetup scale="59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","325", " - ", "Outpost C-Store")</f>
        <v>Department 325 - Outpost C-Store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723521.54</v>
      </c>
      <c r="F10" s="8">
        <f>SUM(OSRRefF11x_0)</f>
        <v>764546.62000000011</v>
      </c>
      <c r="G10" s="8"/>
      <c r="H10" s="8">
        <f>SUM(OSRRefH11x_0)</f>
        <v>761476.7300000001</v>
      </c>
      <c r="I10" s="8"/>
      <c r="J10" s="8">
        <f>SUM(OSRRefJ11x_0)</f>
        <v>716947.57</v>
      </c>
      <c r="K10" s="8"/>
      <c r="L10" s="8">
        <f>SUM(OSRRefL11x_0)</f>
        <v>727347.75</v>
      </c>
      <c r="M10" s="8"/>
      <c r="N10" s="8">
        <f>SUM(OSRRefN11x_0)</f>
        <v>596954.75</v>
      </c>
      <c r="O10" s="8"/>
      <c r="P10" s="8">
        <f>SUM(OSRRefP11x_0)</f>
        <v>279086</v>
      </c>
      <c r="Q10" s="8"/>
      <c r="R10" s="8">
        <f>SUM(OSRRefR11x_0)</f>
        <v>359555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49912</v>
      </c>
      <c r="Q11" s="3"/>
      <c r="R11" s="11">
        <v>63790</v>
      </c>
    </row>
    <row r="12" spans="1:18" s="16" customFormat="1" hidden="1" outlineLevel="1" x14ac:dyDescent="0.35">
      <c r="B12" s="35" t="str">
        <f>CONCATENATE("          ", "4032", " - ", "TAXABLE SALES-JUICE")</f>
        <v xml:space="preserve">          4032 - TAXABLE SALES-JUICE</v>
      </c>
      <c r="D12" s="11">
        <f>-125099.61*-1</f>
        <v>125099.61</v>
      </c>
      <c r="F12" s="11">
        <f>-124622.94*-1</f>
        <v>124622.94</v>
      </c>
      <c r="G12" s="3"/>
      <c r="H12" s="11">
        <f>-127228.42*-1</f>
        <v>127228.42</v>
      </c>
      <c r="I12" s="3"/>
      <c r="J12" s="11">
        <f>--168259.11</f>
        <v>168259.11</v>
      </c>
      <c r="K12" s="3"/>
      <c r="L12" s="11">
        <f>--155714.92</f>
        <v>155714.92000000001</v>
      </c>
      <c r="M12" s="3"/>
      <c r="N12" s="11">
        <f>--105564.32</f>
        <v>105564.32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229174</v>
      </c>
      <c r="Q13" s="3"/>
      <c r="R13" s="11">
        <v>295765</v>
      </c>
    </row>
    <row r="14" spans="1:18" s="16" customFormat="1" hidden="1" outlineLevel="1" x14ac:dyDescent="0.35">
      <c r="B14" s="35" t="str">
        <f>CONCATENATE("          ", "4132", " - ", "NON-TAXABLE SALES-JUICE")</f>
        <v xml:space="preserve">          4132 - NON-TAXABLE SALES-JUICE</v>
      </c>
      <c r="D14" s="11">
        <f>-598421.93*-1</f>
        <v>598421.93000000005</v>
      </c>
      <c r="F14" s="11">
        <f>-639923.68*-1</f>
        <v>639923.68000000005</v>
      </c>
      <c r="G14" s="3"/>
      <c r="H14" s="11">
        <f>-634248.31*-1</f>
        <v>634248.31000000006</v>
      </c>
      <c r="I14" s="3"/>
      <c r="J14" s="11">
        <f>--548688.46</f>
        <v>548688.46</v>
      </c>
      <c r="K14" s="3"/>
      <c r="L14" s="11">
        <f>--571632.83</f>
        <v>571632.82999999996</v>
      </c>
      <c r="M14" s="3"/>
      <c r="N14" s="11">
        <f>--491390.43</f>
        <v>491390.43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349486.2</v>
      </c>
      <c r="E16" s="8"/>
      <c r="F16" s="8">
        <f>SUM(OSRRefF14x_0)</f>
        <v>372345.67</v>
      </c>
      <c r="G16" s="8"/>
      <c r="H16" s="8">
        <f>SUM(OSRRefH14x_0)</f>
        <v>366699.73</v>
      </c>
      <c r="I16" s="8"/>
      <c r="J16" s="8">
        <f>SUM(OSRRefJ14x_0)</f>
        <v>365579.17</v>
      </c>
      <c r="K16" s="8"/>
      <c r="L16" s="8">
        <f>SUM(OSRRefL14x_0)</f>
        <v>351973.38</v>
      </c>
      <c r="M16" s="8"/>
      <c r="N16" s="8">
        <f>SUM(OSRRefN14x_0)</f>
        <v>292875.49</v>
      </c>
      <c r="O16" s="8"/>
      <c r="P16" s="8">
        <f>SUM(OSRRefP14x_0)</f>
        <v>122016</v>
      </c>
      <c r="Q16" s="8"/>
      <c r="R16" s="8">
        <f>SUM(OSRRefR14x_0)</f>
        <v>176348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122016</v>
      </c>
      <c r="Q17" s="3"/>
      <c r="R17" s="11">
        <v>176348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305431.40000000002</v>
      </c>
      <c r="E18" s="16"/>
      <c r="F18" s="11">
        <v>335045.67</v>
      </c>
      <c r="G18" s="3"/>
      <c r="H18" s="11">
        <v>332123.59999999998</v>
      </c>
      <c r="I18" s="3"/>
      <c r="J18" s="11">
        <v>325463.78999999998</v>
      </c>
      <c r="K18" s="3"/>
      <c r="L18" s="11">
        <v>325860.83</v>
      </c>
      <c r="M18" s="3"/>
      <c r="N18" s="11">
        <v>281898.5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44054.8</v>
      </c>
      <c r="E19" s="16"/>
      <c r="F19" s="11">
        <v>37300</v>
      </c>
      <c r="G19" s="3"/>
      <c r="H19" s="11">
        <v>34576.129999999997</v>
      </c>
      <c r="I19" s="3"/>
      <c r="J19" s="11">
        <v>40115.379999999997</v>
      </c>
      <c r="K19" s="3"/>
      <c r="L19" s="11">
        <v>26112.55</v>
      </c>
      <c r="M19" s="3"/>
      <c r="N19" s="11">
        <v>10976.99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374035.34</v>
      </c>
      <c r="E21" s="12"/>
      <c r="F21" s="10">
        <f>+F10-F16</f>
        <v>392200.95000000013</v>
      </c>
      <c r="G21" s="5"/>
      <c r="H21" s="10">
        <f>+H10-H16</f>
        <v>394777.00000000012</v>
      </c>
      <c r="I21" s="5"/>
      <c r="J21" s="10">
        <f>+J10-J16</f>
        <v>351368.39999999997</v>
      </c>
      <c r="K21" s="5"/>
      <c r="L21" s="10">
        <f>+L10-L16</f>
        <v>375374.37</v>
      </c>
      <c r="M21" s="5"/>
      <c r="N21" s="10">
        <f>+N10-N16</f>
        <v>304079.26</v>
      </c>
      <c r="O21" s="5"/>
      <c r="P21" s="10">
        <f>+P10-P16</f>
        <v>157070</v>
      </c>
      <c r="Q21" s="5"/>
      <c r="R21" s="10">
        <f>+R10-R16</f>
        <v>183207</v>
      </c>
    </row>
    <row r="22" spans="1:18" s="27" customFormat="1" x14ac:dyDescent="0.35">
      <c r="A22" s="18"/>
      <c r="B22" s="31"/>
      <c r="C22" s="18"/>
      <c r="D22" s="9">
        <f>IFERROR(D21/D10, 0)</f>
        <v>0.51696503741961852</v>
      </c>
      <c r="E22" s="13"/>
      <c r="F22" s="9">
        <f>IFERROR(F21/F10, 0)</f>
        <v>0.51298500279812898</v>
      </c>
      <c r="G22" s="26"/>
      <c r="H22" s="9">
        <f>IFERROR(H21/H10, 0)</f>
        <v>0.51843606566940015</v>
      </c>
      <c r="I22" s="26"/>
      <c r="J22" s="9">
        <f>IFERROR(J21/J10, 0)</f>
        <v>0.49008939384507572</v>
      </c>
      <c r="K22" s="26"/>
      <c r="L22" s="9">
        <f>IFERROR(L21/L10, 0)</f>
        <v>0.51608652119979748</v>
      </c>
      <c r="M22" s="26"/>
      <c r="N22" s="9">
        <f>IFERROR(N21/N10, 0)</f>
        <v>0.50938410323395533</v>
      </c>
      <c r="O22" s="26"/>
      <c r="P22" s="9">
        <f>IFERROR(P21/P10, 0)</f>
        <v>0.56280143038346608</v>
      </c>
      <c r="Q22" s="26"/>
      <c r="R22" s="9">
        <f>IFERROR(R21/R10, 0)</f>
        <v>0.50953817913810129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326307.5799999999</v>
      </c>
      <c r="E24" s="19"/>
      <c r="F24" s="8">
        <f>SUM(OSRRefF21x_0)</f>
        <v>340414.66999999993</v>
      </c>
      <c r="G24" s="4"/>
      <c r="H24" s="8">
        <f>SUM(OSRRefH21x_0)</f>
        <v>318646.17000000004</v>
      </c>
      <c r="I24" s="4"/>
      <c r="J24" s="8">
        <f>SUM(OSRRefJ21x_0)</f>
        <v>308064.89999999997</v>
      </c>
      <c r="K24" s="4"/>
      <c r="L24" s="8">
        <f>SUM(OSRRefL21x_0)</f>
        <v>340061.48000000004</v>
      </c>
      <c r="M24" s="4"/>
      <c r="N24" s="8">
        <f>SUM(OSRRefN21x_0)</f>
        <v>331597.27</v>
      </c>
      <c r="O24" s="4"/>
      <c r="P24" s="8">
        <f>SUM(OSRRefP21x_0)</f>
        <v>330765.93612480001</v>
      </c>
      <c r="Q24" s="4"/>
      <c r="R24" s="8">
        <f>SUM(OSRRefR21x_0)</f>
        <v>340637.84652174998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19922.499999999996</v>
      </c>
      <c r="E25" s="19"/>
      <c r="F25" s="1">
        <f>SUM(OSRRefF21_0x_0)</f>
        <v>28572.46</v>
      </c>
      <c r="G25" s="4"/>
      <c r="H25" s="1">
        <f>SUM(OSRRefH21_0x_0)</f>
        <v>23225.06</v>
      </c>
      <c r="I25" s="4"/>
      <c r="J25" s="1">
        <f>SUM(OSRRefJ21_0x_0)</f>
        <v>18500.050000000003</v>
      </c>
      <c r="K25" s="4"/>
      <c r="L25" s="1">
        <f>SUM(OSRRefL21_0x_0)</f>
        <v>42217.71</v>
      </c>
      <c r="M25" s="4"/>
      <c r="N25" s="1">
        <f>SUM(OSRRefN21_0x_0)</f>
        <v>44347.099999999991</v>
      </c>
      <c r="O25" s="4"/>
      <c r="P25" s="1">
        <f>SUM(OSRRefP21_0x_0)</f>
        <v>42716.152924800001</v>
      </c>
      <c r="Q25" s="4"/>
      <c r="R25" s="1">
        <f>SUM(OSRRefR21_0x_0)</f>
        <v>49059.461371750003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3700.67</v>
      </c>
      <c r="F26" s="2">
        <v>4260.78</v>
      </c>
      <c r="G26" s="3"/>
      <c r="H26" s="2">
        <v>4086.03</v>
      </c>
      <c r="I26" s="3"/>
      <c r="J26" s="2">
        <v>4767.51</v>
      </c>
      <c r="K26" s="3"/>
      <c r="L26" s="2">
        <v>5597.77</v>
      </c>
      <c r="M26" s="3"/>
      <c r="N26" s="2">
        <v>6353.64</v>
      </c>
      <c r="O26" s="3"/>
      <c r="P26" s="2">
        <v>4518.7107888</v>
      </c>
      <c r="Q26" s="3"/>
      <c r="R26" s="2">
        <v>6032.8197217500001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1638.88</v>
      </c>
      <c r="F27" s="2">
        <v>2748.79</v>
      </c>
      <c r="G27" s="3"/>
      <c r="H27" s="2">
        <v>1707.48</v>
      </c>
      <c r="I27" s="3"/>
      <c r="J27" s="2">
        <v>1406.03</v>
      </c>
      <c r="K27" s="3"/>
      <c r="L27" s="2">
        <v>2765.6</v>
      </c>
      <c r="M27" s="3"/>
      <c r="N27" s="2">
        <v>2150.89</v>
      </c>
      <c r="O27" s="3"/>
      <c r="P27" s="2">
        <v>2050.3875600000001</v>
      </c>
      <c r="Q27" s="3"/>
      <c r="R27" s="2">
        <v>5370.3919105000004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8350.98</v>
      </c>
      <c r="F28" s="2">
        <v>13735.86</v>
      </c>
      <c r="G28" s="3"/>
      <c r="H28" s="2">
        <v>8660.44</v>
      </c>
      <c r="I28" s="3"/>
      <c r="J28" s="2">
        <v>7201.23</v>
      </c>
      <c r="K28" s="3"/>
      <c r="L28" s="2">
        <v>21667.11</v>
      </c>
      <c r="M28" s="3"/>
      <c r="N28" s="2">
        <v>22856.35</v>
      </c>
      <c r="O28" s="3"/>
      <c r="P28" s="2">
        <v>23760</v>
      </c>
      <c r="Q28" s="3"/>
      <c r="R28" s="2">
        <v>23724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661.58</v>
      </c>
      <c r="F29" s="2">
        <v>664.53</v>
      </c>
      <c r="G29" s="3"/>
      <c r="H29" s="2">
        <v>327.78</v>
      </c>
      <c r="I29" s="3"/>
      <c r="J29" s="2">
        <v>357.32</v>
      </c>
      <c r="K29" s="3"/>
      <c r="L29" s="2">
        <v>365.1</v>
      </c>
      <c r="M29" s="3"/>
      <c r="N29" s="2">
        <v>0</v>
      </c>
      <c r="O29" s="3"/>
      <c r="P29" s="2">
        <v>288.162576</v>
      </c>
      <c r="Q29" s="3"/>
      <c r="R29" s="2">
        <v>297.56788949999998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2891.08</v>
      </c>
      <c r="F30" s="2">
        <v>2594.59</v>
      </c>
      <c r="G30" s="3"/>
      <c r="H30" s="2">
        <v>2822.01</v>
      </c>
      <c r="I30" s="3"/>
      <c r="J30" s="2">
        <v>2982.42</v>
      </c>
      <c r="K30" s="3"/>
      <c r="L30" s="2">
        <v>4505.18</v>
      </c>
      <c r="M30" s="3"/>
      <c r="N30" s="2">
        <v>5382.95</v>
      </c>
      <c r="O30" s="3"/>
      <c r="P30" s="2">
        <v>4836.9152000000004</v>
      </c>
      <c r="Q30" s="3"/>
      <c r="R30" s="2">
        <v>5173.0720000000001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>
        <v>1479.12</v>
      </c>
      <c r="F32" s="2">
        <v>1746.53</v>
      </c>
      <c r="G32" s="3"/>
      <c r="H32" s="2">
        <v>1684.82</v>
      </c>
      <c r="I32" s="3"/>
      <c r="J32" s="2">
        <v>2151.3200000000002</v>
      </c>
      <c r="K32" s="3"/>
      <c r="L32" s="2">
        <v>3652.94</v>
      </c>
      <c r="M32" s="3"/>
      <c r="N32" s="2">
        <v>3802.5</v>
      </c>
      <c r="O32" s="3"/>
      <c r="P32" s="2">
        <v>2812.16</v>
      </c>
      <c r="Q32" s="3"/>
      <c r="R32" s="2">
        <v>3007.6</v>
      </c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>
        <v>1200.19</v>
      </c>
      <c r="F33" s="2">
        <v>2136.5</v>
      </c>
      <c r="G33" s="3"/>
      <c r="H33" s="2">
        <v>2026.32</v>
      </c>
      <c r="I33" s="3"/>
      <c r="J33" s="2">
        <v>-1387.71</v>
      </c>
      <c r="K33" s="3"/>
      <c r="L33" s="2">
        <v>2774.77</v>
      </c>
      <c r="M33" s="3"/>
      <c r="N33" s="2">
        <v>2398.5</v>
      </c>
      <c r="O33" s="3"/>
      <c r="P33" s="2">
        <v>4449.8167999999996</v>
      </c>
      <c r="Q33" s="3"/>
      <c r="R33" s="2">
        <v>5454.0098500000004</v>
      </c>
    </row>
    <row r="34" spans="1:18" s="16" customFormat="1" hidden="1" outlineLevel="2" x14ac:dyDescent="0.35">
      <c r="B34" s="11" t="str">
        <f>CONCATENATE("          ", "6156", " - ", "EMPLOYEE MEALS")</f>
        <v xml:space="preserve">          6156 - EMPLOYEE MEALS</v>
      </c>
      <c r="D34" s="2"/>
      <c r="F34" s="2">
        <v>684.88</v>
      </c>
      <c r="G34" s="3"/>
      <c r="H34" s="2">
        <v>1910.18</v>
      </c>
      <c r="I34" s="3"/>
      <c r="J34" s="2">
        <v>1021.93</v>
      </c>
      <c r="K34" s="3"/>
      <c r="L34" s="2">
        <v>889.24</v>
      </c>
      <c r="M34" s="3"/>
      <c r="N34" s="2">
        <v>1402.27</v>
      </c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","*Payroll                                          ")</f>
        <v xml:space="preserve">     *Payroll                                          </v>
      </c>
      <c r="C35" s="7"/>
      <c r="D35" s="1">
        <f>SUM(OSRRefD21_1x_0)</f>
        <v>101638.8</v>
      </c>
      <c r="E35" s="19"/>
      <c r="F35" s="1">
        <f>SUM(OSRRefF21_1x_0)</f>
        <v>105756.01999999999</v>
      </c>
      <c r="G35" s="4"/>
      <c r="H35" s="1">
        <f>SUM(OSRRefH21_1x_0)</f>
        <v>104748.29999999999</v>
      </c>
      <c r="I35" s="4"/>
      <c r="J35" s="1">
        <f>SUM(OSRRefJ21_1x_0)</f>
        <v>113069</v>
      </c>
      <c r="K35" s="4"/>
      <c r="L35" s="1">
        <f>SUM(OSRRefL21_1x_0)</f>
        <v>126095.34999999999</v>
      </c>
      <c r="M35" s="4"/>
      <c r="N35" s="1">
        <f>SUM(OSRRefN21_1x_0)</f>
        <v>108603.43000000001</v>
      </c>
      <c r="O35" s="4"/>
      <c r="P35" s="1">
        <f>SUM(OSRRefP21_1x_0)</f>
        <v>103569.78320000001</v>
      </c>
      <c r="Q35" s="4"/>
      <c r="R35" s="1">
        <f>SUM(OSRRefR21_1x_0)</f>
        <v>133237.38514999999</v>
      </c>
    </row>
    <row r="36" spans="1:18" s="16" customFormat="1" hidden="1" outlineLevel="2" x14ac:dyDescent="0.35">
      <c r="B36" s="11" t="str">
        <f>CONCATENATE("          ", "6001", " - ", "ADMINISTRATIVE SALARIES")</f>
        <v xml:space="preserve">          6001 - ADMINISTRATIVE SALARIES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"6002", " - ", "STAFF SALARIES")</f>
        <v xml:space="preserve">          6002 - STAFF SALARIES</v>
      </c>
      <c r="D37" s="2">
        <v>24176.35</v>
      </c>
      <c r="F37" s="2">
        <v>41455.5</v>
      </c>
      <c r="G37" s="3"/>
      <c r="H37" s="2">
        <v>43083.18</v>
      </c>
      <c r="I37" s="3"/>
      <c r="J37" s="2">
        <v>37659</v>
      </c>
      <c r="K37" s="3"/>
      <c r="L37" s="2">
        <v>45600.29</v>
      </c>
      <c r="M37" s="3"/>
      <c r="N37" s="2">
        <v>40384</v>
      </c>
      <c r="O37" s="3"/>
      <c r="P37" s="2">
        <v>50618.879999999997</v>
      </c>
      <c r="Q37" s="3"/>
      <c r="R37" s="2">
        <v>54136.800000000003</v>
      </c>
    </row>
    <row r="38" spans="1:18" s="16" customFormat="1" hidden="1" outlineLevel="2" x14ac:dyDescent="0.35">
      <c r="B38" s="11" t="str">
        <f>CONCATENATE("          ", "6003", " - ", "STAFF HOURLY-9 MONTH")</f>
        <v xml:space="preserve">          6003 - STAFF HOURLY-9 MONTH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"6004", " - ", "STAFF HOURLY")</f>
        <v xml:space="preserve">          6004 - STAFF HOURLY</v>
      </c>
      <c r="D39" s="2"/>
      <c r="F39" s="2"/>
      <c r="G39" s="3"/>
      <c r="H39" s="2"/>
      <c r="I39" s="3"/>
      <c r="J39" s="2"/>
      <c r="K39" s="3"/>
      <c r="L39" s="2"/>
      <c r="M39" s="3"/>
      <c r="N39" s="2">
        <v>254.64</v>
      </c>
      <c r="O39" s="3"/>
      <c r="P39" s="2">
        <v>0</v>
      </c>
      <c r="Q39" s="3"/>
      <c r="R39" s="2">
        <v>18117.150750000001</v>
      </c>
    </row>
    <row r="40" spans="1:18" s="16" customFormat="1" hidden="1" outlineLevel="2" x14ac:dyDescent="0.35">
      <c r="B40" s="11" t="str">
        <f>CONCATENATE("          ", "6005", " - ", "TEMPORARY WAGES-HOURLY")</f>
        <v xml:space="preserve">          6005 - TEMPORARY WAGES-HOURLY</v>
      </c>
      <c r="D40" s="2">
        <v>12347.14</v>
      </c>
      <c r="F40" s="2">
        <v>5485.38</v>
      </c>
      <c r="G40" s="3"/>
      <c r="H40" s="2">
        <v>1687.14</v>
      </c>
      <c r="I40" s="3"/>
      <c r="J40" s="2">
        <v>5346.19</v>
      </c>
      <c r="K40" s="3"/>
      <c r="L40" s="2">
        <v>7610.7</v>
      </c>
      <c r="M40" s="3"/>
      <c r="N40" s="2">
        <v>23945.94</v>
      </c>
      <c r="O40" s="3"/>
      <c r="P40" s="2">
        <v>17303.441999999999</v>
      </c>
      <c r="Q40" s="3"/>
      <c r="R40" s="2">
        <v>0</v>
      </c>
    </row>
    <row r="41" spans="1:18" s="16" customFormat="1" hidden="1" outlineLevel="2" x14ac:dyDescent="0.35">
      <c r="B41" s="11" t="str">
        <f>CONCATENATE("          ", "6006", " - ", "TEMPORARY PART TIME")</f>
        <v xml:space="preserve">          6006 - TEMPORARY PART TIME</v>
      </c>
      <c r="D41" s="2"/>
      <c r="F41" s="2">
        <v>5217.8599999999997</v>
      </c>
      <c r="G41" s="3"/>
      <c r="H41" s="2">
        <v>6078.21</v>
      </c>
      <c r="I41" s="3"/>
      <c r="J41" s="2">
        <v>1204.8699999999999</v>
      </c>
      <c r="K41" s="3"/>
      <c r="L41" s="2">
        <v>4044.5</v>
      </c>
      <c r="M41" s="3"/>
      <c r="N41" s="2"/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"6007", " - ", "STUDENT HOURLY")</f>
        <v xml:space="preserve">          6007 - STUDENT HOURLY</v>
      </c>
      <c r="D42" s="2">
        <v>61644.68</v>
      </c>
      <c r="F42" s="2">
        <v>53597.279999999999</v>
      </c>
      <c r="G42" s="3"/>
      <c r="H42" s="2">
        <v>53899.77</v>
      </c>
      <c r="I42" s="3"/>
      <c r="J42" s="2">
        <v>68858.94</v>
      </c>
      <c r="K42" s="3"/>
      <c r="L42" s="2">
        <v>60628.99</v>
      </c>
      <c r="M42" s="3"/>
      <c r="N42" s="2">
        <v>40507.550000000003</v>
      </c>
      <c r="O42" s="3"/>
      <c r="P42" s="2">
        <v>2717.7071999999998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"6008", " - ", "STUDENT HOURLY-FICA EXEMPT")</f>
        <v xml:space="preserve">          6008 - STUDENT HOURLY-FICA EXEMPT</v>
      </c>
      <c r="D43" s="2">
        <v>3470.63</v>
      </c>
      <c r="F43" s="2"/>
      <c r="G43" s="3"/>
      <c r="H43" s="2"/>
      <c r="I43" s="3"/>
      <c r="J43" s="2"/>
      <c r="K43" s="3"/>
      <c r="L43" s="2">
        <v>8210.8700000000008</v>
      </c>
      <c r="M43" s="3"/>
      <c r="N43" s="2">
        <v>3511.3</v>
      </c>
      <c r="O43" s="3"/>
      <c r="P43" s="2">
        <v>32929.754000000001</v>
      </c>
      <c r="Q43" s="3"/>
      <c r="R43" s="2">
        <v>60983.434399999998</v>
      </c>
    </row>
    <row r="44" spans="1:18" s="16" customFormat="1" hidden="1" outlineLevel="2" x14ac:dyDescent="0.35">
      <c r="B44" s="11" t="str">
        <f>CONCATENATE("          ", "6009", " - ", "TEMPORARY-SEASONAL")</f>
        <v xml:space="preserve">          6009 - TEMPORARY-SEASONAL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>
        <v>0</v>
      </c>
    </row>
    <row r="45" spans="1:18" s="16" customFormat="1" hidden="1" outlineLevel="2" x14ac:dyDescent="0.35">
      <c r="B45" s="11" t="str">
        <f>CONCATENATE("          ", "6010", " - ", "GRATUITY")</f>
        <v xml:space="preserve">          6010 - GRATUITY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5" customFormat="1" outlineLevel="1" collapsed="1" x14ac:dyDescent="0.35">
      <c r="A46" s="7"/>
      <c r="B46" s="20" t="str">
        <f>CONCATENATE("     ","Advertising/Promo                                 ")</f>
        <v xml:space="preserve">     Advertising/Promo                                 </v>
      </c>
      <c r="C46" s="7"/>
      <c r="D46" s="1">
        <f>SUM(OSRRefD21_2x_0)</f>
        <v>947.31</v>
      </c>
      <c r="E46" s="19"/>
      <c r="F46" s="1">
        <f>SUM(OSRRefF21_2x_0)</f>
        <v>1458.86</v>
      </c>
      <c r="G46" s="4"/>
      <c r="H46" s="1">
        <f>SUM(OSRRefH21_2x_0)</f>
        <v>434.76</v>
      </c>
      <c r="I46" s="4"/>
      <c r="J46" s="1">
        <f>SUM(OSRRefJ21_2x_0)</f>
        <v>667.96</v>
      </c>
      <c r="K46" s="4"/>
      <c r="L46" s="1">
        <f>SUM(OSRRefL21_2x_0)</f>
        <v>1722.92</v>
      </c>
      <c r="M46" s="4"/>
      <c r="N46" s="1">
        <f>SUM(OSRRefN21_2x_0)</f>
        <v>968.17</v>
      </c>
      <c r="O46" s="4"/>
      <c r="P46" s="1">
        <f>SUM(OSRRefP21_2x_0)</f>
        <v>1449</v>
      </c>
      <c r="Q46" s="4"/>
      <c r="R46" s="1">
        <f>SUM(OSRRefR21_2x_0)</f>
        <v>0</v>
      </c>
    </row>
    <row r="47" spans="1:18" s="16" customFormat="1" hidden="1" outlineLevel="2" x14ac:dyDescent="0.35">
      <c r="B47" s="11" t="str">
        <f>CONCATENATE("          ", "6362", " - ", "ADVERTISING EXPENSE")</f>
        <v xml:space="preserve">          6362 - ADVERTISING EXPENSE</v>
      </c>
      <c r="D47" s="2">
        <v>947.31</v>
      </c>
      <c r="F47" s="2">
        <v>1458.86</v>
      </c>
      <c r="G47" s="3"/>
      <c r="H47" s="2">
        <v>434.76</v>
      </c>
      <c r="I47" s="3"/>
      <c r="J47" s="2">
        <v>667.96</v>
      </c>
      <c r="K47" s="3"/>
      <c r="L47" s="2">
        <v>1722.92</v>
      </c>
      <c r="M47" s="3"/>
      <c r="N47" s="2">
        <v>968.17</v>
      </c>
      <c r="O47" s="3"/>
      <c r="P47" s="2">
        <v>1449</v>
      </c>
      <c r="Q47" s="3"/>
      <c r="R47" s="2"/>
    </row>
    <row r="48" spans="1:18" s="15" customFormat="1" outlineLevel="1" collapsed="1" x14ac:dyDescent="0.35">
      <c r="A48" s="7"/>
      <c r="B48" s="20" t="str">
        <f>CONCATENATE("     ","Bad Debts/Over/Short                              ")</f>
        <v xml:space="preserve">     Bad Debts/Over/Short                              </v>
      </c>
      <c r="C48" s="7"/>
      <c r="D48" s="1">
        <f>SUM(OSRRefD21_3x_0)</f>
        <v>281.36</v>
      </c>
      <c r="E48" s="19"/>
      <c r="F48" s="1">
        <f>SUM(OSRRefF21_3x_0)</f>
        <v>193.88</v>
      </c>
      <c r="G48" s="4"/>
      <c r="H48" s="1">
        <f>SUM(OSRRefH21_3x_0)</f>
        <v>-488.93</v>
      </c>
      <c r="I48" s="4"/>
      <c r="J48" s="1">
        <f>SUM(OSRRefJ21_3x_0)</f>
        <v>139.4</v>
      </c>
      <c r="K48" s="4"/>
      <c r="L48" s="1">
        <f>SUM(OSRRefL21_3x_0)</f>
        <v>1059.95</v>
      </c>
      <c r="M48" s="4"/>
      <c r="N48" s="1">
        <f>SUM(OSRRefN21_3x_0)</f>
        <v>-84.11</v>
      </c>
      <c r="O48" s="4"/>
      <c r="P48" s="1">
        <f>SUM(OSRRefP21_3x_0)</f>
        <v>89</v>
      </c>
      <c r="Q48" s="4"/>
      <c r="R48" s="1">
        <f>SUM(OSRRefR21_3x_0)</f>
        <v>0</v>
      </c>
    </row>
    <row r="49" spans="1:18" s="16" customFormat="1" hidden="1" outlineLevel="2" x14ac:dyDescent="0.35">
      <c r="B49" s="11" t="str">
        <f>CONCATENATE("          ", "6272", " - ", "CASH (OVER/SHORT)")</f>
        <v xml:space="preserve">          6272 - CASH (OVER/SHORT)</v>
      </c>
      <c r="D49" s="2">
        <v>281.36</v>
      </c>
      <c r="F49" s="2">
        <v>193.88</v>
      </c>
      <c r="G49" s="3"/>
      <c r="H49" s="2">
        <v>-488.93</v>
      </c>
      <c r="I49" s="3"/>
      <c r="J49" s="2">
        <v>139.4</v>
      </c>
      <c r="K49" s="3"/>
      <c r="L49" s="2">
        <v>1059.95</v>
      </c>
      <c r="M49" s="3"/>
      <c r="N49" s="2">
        <v>-84.11</v>
      </c>
      <c r="O49" s="3"/>
      <c r="P49" s="2">
        <v>89</v>
      </c>
      <c r="Q49" s="3"/>
      <c r="R49" s="2">
        <v>0</v>
      </c>
    </row>
    <row r="50" spans="1:18" s="15" customFormat="1" outlineLevel="1" collapsed="1" x14ac:dyDescent="0.35">
      <c r="A50" s="7"/>
      <c r="B50" s="20" t="str">
        <f>CONCATENATE("     ","Bank/card Fees                                    ")</f>
        <v xml:space="preserve">     Bank/card Fees                                    </v>
      </c>
      <c r="C50" s="7"/>
      <c r="D50" s="1">
        <f>SUM(OSRRefD21_4x_0)</f>
        <v>23778.04</v>
      </c>
      <c r="E50" s="19"/>
      <c r="F50" s="1">
        <f>SUM(OSRRefF21_4x_0)</f>
        <v>29847.94</v>
      </c>
      <c r="G50" s="4"/>
      <c r="H50" s="1">
        <f>SUM(OSRRefH21_4x_0)</f>
        <v>24451.59</v>
      </c>
      <c r="I50" s="4"/>
      <c r="J50" s="1">
        <f>SUM(OSRRefJ21_4x_0)</f>
        <v>23931.41</v>
      </c>
      <c r="K50" s="4"/>
      <c r="L50" s="1">
        <f>SUM(OSRRefL21_4x_0)</f>
        <v>24569.89</v>
      </c>
      <c r="M50" s="4"/>
      <c r="N50" s="1">
        <f>SUM(OSRRefN21_4x_0)</f>
        <v>22867.9</v>
      </c>
      <c r="O50" s="4"/>
      <c r="P50" s="1">
        <f>SUM(OSRRefP21_4x_0)</f>
        <v>27037</v>
      </c>
      <c r="Q50" s="4"/>
      <c r="R50" s="1">
        <f>SUM(OSRRefR21_4x_0)</f>
        <v>19008</v>
      </c>
    </row>
    <row r="51" spans="1:18" s="16" customFormat="1" hidden="1" outlineLevel="2" x14ac:dyDescent="0.35">
      <c r="B51" s="11" t="str">
        <f>CONCATENATE("          ", "6381", " - ", "BANK/CREDIT CARD FEES")</f>
        <v xml:space="preserve">          6381 - BANK/CREDIT CARD FEES</v>
      </c>
      <c r="D51" s="2">
        <v>23778.04</v>
      </c>
      <c r="F51" s="2">
        <v>29847.94</v>
      </c>
      <c r="G51" s="3"/>
      <c r="H51" s="2">
        <v>24451.59</v>
      </c>
      <c r="I51" s="3"/>
      <c r="J51" s="2">
        <v>23931.41</v>
      </c>
      <c r="K51" s="3"/>
      <c r="L51" s="2">
        <v>24569.89</v>
      </c>
      <c r="M51" s="3"/>
      <c r="N51" s="2">
        <v>22867.9</v>
      </c>
      <c r="O51" s="3"/>
      <c r="P51" s="2">
        <v>27037</v>
      </c>
      <c r="Q51" s="3"/>
      <c r="R51" s="2">
        <v>19008</v>
      </c>
    </row>
    <row r="52" spans="1:18" s="15" customFormat="1" outlineLevel="1" collapsed="1" x14ac:dyDescent="0.35">
      <c r="A52" s="7"/>
      <c r="B52" s="20" t="str">
        <f>CONCATENATE("     ","Depreciation                                      ")</f>
        <v xml:space="preserve">     Depreciation                                      </v>
      </c>
      <c r="C52" s="7"/>
      <c r="D52" s="1">
        <f>SUM(OSRRefD21_5x_0)</f>
        <v>74620.89</v>
      </c>
      <c r="E52" s="19"/>
      <c r="F52" s="1">
        <f>SUM(OSRRefF21_5x_0)</f>
        <v>75492.45</v>
      </c>
      <c r="G52" s="4"/>
      <c r="H52" s="1">
        <f>SUM(OSRRefH21_5x_0)</f>
        <v>63367.049999999996</v>
      </c>
      <c r="I52" s="4"/>
      <c r="J52" s="1">
        <f>SUM(OSRRefJ21_5x_0)</f>
        <v>63367.049999999996</v>
      </c>
      <c r="K52" s="4"/>
      <c r="L52" s="1">
        <f>SUM(OSRRefL21_5x_0)</f>
        <v>63930.13</v>
      </c>
      <c r="M52" s="4"/>
      <c r="N52" s="1">
        <f>SUM(OSRRefN21_5x_0)</f>
        <v>66220.14</v>
      </c>
      <c r="O52" s="4"/>
      <c r="P52" s="1">
        <f>SUM(OSRRefP21_5x_0)</f>
        <v>66100</v>
      </c>
      <c r="Q52" s="4"/>
      <c r="R52" s="1">
        <f>SUM(OSRRefR21_5x_0)</f>
        <v>65652</v>
      </c>
    </row>
    <row r="53" spans="1:18" s="16" customFormat="1" hidden="1" outlineLevel="2" x14ac:dyDescent="0.35">
      <c r="B53" s="11" t="str">
        <f>CONCATENATE("          ", "6321", " - ", "BUILDING DEPRECIATION")</f>
        <v xml:space="preserve">          6321 - BUILDING DEPRECIATION</v>
      </c>
      <c r="D53" s="2">
        <v>60966.09</v>
      </c>
      <c r="F53" s="2">
        <v>60966.09</v>
      </c>
      <c r="G53" s="3"/>
      <c r="H53" s="2">
        <v>60966.09</v>
      </c>
      <c r="I53" s="3"/>
      <c r="J53" s="2">
        <v>60966.09</v>
      </c>
      <c r="K53" s="3"/>
      <c r="L53" s="2">
        <v>60966.09</v>
      </c>
      <c r="M53" s="3"/>
      <c r="N53" s="2">
        <v>60966.09</v>
      </c>
      <c r="O53" s="3"/>
      <c r="P53" s="2"/>
      <c r="Q53" s="3"/>
      <c r="R53" s="2"/>
    </row>
    <row r="54" spans="1:18" s="16" customFormat="1" hidden="1" outlineLevel="2" x14ac:dyDescent="0.35">
      <c r="B54" s="11" t="str">
        <f>CONCATENATE("          ", "6322", " - ", "EQUIPMENT DEPRECIATION EXPENSE")</f>
        <v xml:space="preserve">          6322 - EQUIPMENT DEPRECIATION EXPENSE</v>
      </c>
      <c r="D54" s="2">
        <v>13654.8</v>
      </c>
      <c r="F54" s="2">
        <v>14526.36</v>
      </c>
      <c r="G54" s="3"/>
      <c r="H54" s="2">
        <v>2400.96</v>
      </c>
      <c r="I54" s="3"/>
      <c r="J54" s="2">
        <v>2400.96</v>
      </c>
      <c r="K54" s="3"/>
      <c r="L54" s="2">
        <v>2964.04</v>
      </c>
      <c r="M54" s="3"/>
      <c r="N54" s="2">
        <v>5254.05</v>
      </c>
      <c r="O54" s="3"/>
      <c r="P54" s="2">
        <v>66100</v>
      </c>
      <c r="Q54" s="3"/>
      <c r="R54" s="2">
        <v>65652</v>
      </c>
    </row>
    <row r="55" spans="1:18" s="15" customFormat="1" outlineLevel="1" collapsed="1" x14ac:dyDescent="0.35">
      <c r="A55" s="7"/>
      <c r="B55" s="20" t="str">
        <f>CONCATENATE("     ","Employees' Appreciation                           ")</f>
        <v xml:space="preserve">     Employees' Appreciation                           </v>
      </c>
      <c r="C55" s="7"/>
      <c r="D55" s="1">
        <f>SUM(OSRRefD21_6x_0)</f>
        <v>0</v>
      </c>
      <c r="E55" s="19"/>
      <c r="F55" s="1">
        <f>SUM(OSRRefF21_6x_0)</f>
        <v>37.4</v>
      </c>
      <c r="G55" s="4"/>
      <c r="H55" s="1">
        <f>SUM(OSRRefH21_6x_0)</f>
        <v>47.73</v>
      </c>
      <c r="I55" s="4"/>
      <c r="J55" s="1">
        <f>SUM(OSRRefJ21_6x_0)</f>
        <v>51.99</v>
      </c>
      <c r="K55" s="4"/>
      <c r="L55" s="1">
        <f>SUM(OSRRefL21_6x_0)</f>
        <v>102.91</v>
      </c>
      <c r="M55" s="4"/>
      <c r="N55" s="1">
        <f>SUM(OSRRefN21_6x_0)</f>
        <v>101.58</v>
      </c>
      <c r="O55" s="4"/>
      <c r="P55" s="1">
        <f>SUM(OSRRefP21_6x_0)</f>
        <v>150</v>
      </c>
      <c r="Q55" s="4"/>
      <c r="R55" s="1">
        <f>SUM(OSRRefR21_6x_0)</f>
        <v>100</v>
      </c>
    </row>
    <row r="56" spans="1:18" s="16" customFormat="1" hidden="1" outlineLevel="2" x14ac:dyDescent="0.35">
      <c r="B56" s="11" t="str">
        <f>CONCATENATE("          ", "6277", " - ", "EMPLOYEE APPRECIATION")</f>
        <v xml:space="preserve">          6277 - EMPLOYEE APPRECIATION</v>
      </c>
      <c r="D56" s="2"/>
      <c r="F56" s="2">
        <v>37.4</v>
      </c>
      <c r="G56" s="3"/>
      <c r="H56" s="2">
        <v>47.73</v>
      </c>
      <c r="I56" s="3"/>
      <c r="J56" s="2">
        <v>51.99</v>
      </c>
      <c r="K56" s="3"/>
      <c r="L56" s="2">
        <v>102.91</v>
      </c>
      <c r="M56" s="3"/>
      <c r="N56" s="2">
        <v>101.58</v>
      </c>
      <c r="O56" s="3"/>
      <c r="P56" s="2">
        <v>150</v>
      </c>
      <c r="Q56" s="3"/>
      <c r="R56" s="2">
        <v>100</v>
      </c>
    </row>
    <row r="57" spans="1:18" s="15" customFormat="1" outlineLevel="1" collapsed="1" x14ac:dyDescent="0.35">
      <c r="A57" s="7"/>
      <c r="B57" s="20" t="str">
        <f>CONCATENATE("     ","Equipment Rental                                  ")</f>
        <v xml:space="preserve">     Equipment Rental                                  </v>
      </c>
      <c r="C57" s="7"/>
      <c r="D57" s="1">
        <f>SUM(OSRRefD21_7x_0)</f>
        <v>30.91</v>
      </c>
      <c r="E57" s="19"/>
      <c r="F57" s="1">
        <f>SUM(OSRRefF21_7x_0)</f>
        <v>60.65</v>
      </c>
      <c r="G57" s="4"/>
      <c r="H57" s="1">
        <f>SUM(OSRRefH21_7x_0)</f>
        <v>944.4</v>
      </c>
      <c r="I57" s="4"/>
      <c r="J57" s="1">
        <f>SUM(OSRRefJ21_7x_0)</f>
        <v>1144.29</v>
      </c>
      <c r="K57" s="4"/>
      <c r="L57" s="1">
        <f>SUM(OSRRefL21_7x_0)</f>
        <v>1410.05</v>
      </c>
      <c r="M57" s="4"/>
      <c r="N57" s="1">
        <f>SUM(OSRRefN21_7x_0)</f>
        <v>1010.39</v>
      </c>
      <c r="O57" s="4"/>
      <c r="P57" s="1">
        <f>SUM(OSRRefP21_7x_0)</f>
        <v>1314</v>
      </c>
      <c r="Q57" s="4"/>
      <c r="R57" s="1">
        <f>SUM(OSRRefR21_7x_0)</f>
        <v>2112</v>
      </c>
    </row>
    <row r="58" spans="1:18" s="16" customFormat="1" hidden="1" outlineLevel="2" x14ac:dyDescent="0.35">
      <c r="B58" s="11" t="str">
        <f>CONCATENATE("          ", "6351", " - ", "EQUIPMENT RENTAL")</f>
        <v xml:space="preserve">          6351 - EQUIPMENT RENTAL</v>
      </c>
      <c r="D58" s="2">
        <v>30.91</v>
      </c>
      <c r="F58" s="2">
        <v>60.65</v>
      </c>
      <c r="G58" s="3"/>
      <c r="H58" s="2">
        <v>944.4</v>
      </c>
      <c r="I58" s="3"/>
      <c r="J58" s="2">
        <v>1144.29</v>
      </c>
      <c r="K58" s="3"/>
      <c r="L58" s="2">
        <v>1410.05</v>
      </c>
      <c r="M58" s="3"/>
      <c r="N58" s="2">
        <v>1010.39</v>
      </c>
      <c r="O58" s="3"/>
      <c r="P58" s="2">
        <v>1314</v>
      </c>
      <c r="Q58" s="3"/>
      <c r="R58" s="2">
        <v>2112</v>
      </c>
    </row>
    <row r="59" spans="1:18" s="15" customFormat="1" outlineLevel="1" collapsed="1" x14ac:dyDescent="0.35">
      <c r="A59" s="7"/>
      <c r="B59" s="20" t="str">
        <f>CONCATENATE("     ","General                                           ")</f>
        <v xml:space="preserve">     General                                           </v>
      </c>
      <c r="C59" s="7"/>
      <c r="D59" s="1">
        <f>SUM(OSRRefD21_8x_0)</f>
        <v>3743.8</v>
      </c>
      <c r="E59" s="19"/>
      <c r="F59" s="1">
        <f>SUM(OSRRefF21_8x_0)</f>
        <v>833.8</v>
      </c>
      <c r="G59" s="4"/>
      <c r="H59" s="1">
        <f>SUM(OSRRefH21_8x_0)</f>
        <v>833.8</v>
      </c>
      <c r="I59" s="4"/>
      <c r="J59" s="1">
        <f>SUM(OSRRefJ21_8x_0)</f>
        <v>849</v>
      </c>
      <c r="K59" s="4"/>
      <c r="L59" s="1">
        <f>SUM(OSRRefL21_8x_0)</f>
        <v>1294.97</v>
      </c>
      <c r="M59" s="4"/>
      <c r="N59" s="1">
        <f>SUM(OSRRefN21_8x_0)</f>
        <v>1345.73</v>
      </c>
      <c r="O59" s="4"/>
      <c r="P59" s="1">
        <f>SUM(OSRRefP21_8x_0)</f>
        <v>800</v>
      </c>
      <c r="Q59" s="4"/>
      <c r="R59" s="1">
        <f>SUM(OSRRefR21_8x_0)</f>
        <v>455</v>
      </c>
    </row>
    <row r="60" spans="1:18" s="16" customFormat="1" hidden="1" outlineLevel="2" x14ac:dyDescent="0.35">
      <c r="B60" s="11" t="str">
        <f>CONCATENATE("          ", "6279", " - ", "GENERAL EXPENSE")</f>
        <v xml:space="preserve">          6279 - GENERAL EXPENSE</v>
      </c>
      <c r="D60" s="2">
        <v>3743.8</v>
      </c>
      <c r="F60" s="2">
        <v>833.8</v>
      </c>
      <c r="G60" s="3"/>
      <c r="H60" s="2">
        <v>833.8</v>
      </c>
      <c r="I60" s="3"/>
      <c r="J60" s="2">
        <v>849</v>
      </c>
      <c r="K60" s="3"/>
      <c r="L60" s="2">
        <v>1294.97</v>
      </c>
      <c r="M60" s="3"/>
      <c r="N60" s="2">
        <v>1345.73</v>
      </c>
      <c r="O60" s="3"/>
      <c r="P60" s="2">
        <v>800</v>
      </c>
      <c r="Q60" s="3"/>
      <c r="R60" s="2">
        <v>455</v>
      </c>
    </row>
    <row r="61" spans="1:18" s="15" customFormat="1" outlineLevel="1" collapsed="1" x14ac:dyDescent="0.35">
      <c r="A61" s="7"/>
      <c r="B61" s="20" t="str">
        <f>CONCATENATE("     ","Insurance                                         ")</f>
        <v xml:space="preserve">     Insurance                                         </v>
      </c>
      <c r="C61" s="7"/>
      <c r="D61" s="1">
        <f>SUM(OSRRefD21_9x_0)</f>
        <v>2022.26</v>
      </c>
      <c r="E61" s="19"/>
      <c r="F61" s="1">
        <f>SUM(OSRRefF21_9x_0)</f>
        <v>2448</v>
      </c>
      <c r="G61" s="4"/>
      <c r="H61" s="1">
        <f>SUM(OSRRefH21_9x_0)</f>
        <v>2159.2199999999998</v>
      </c>
      <c r="I61" s="4"/>
      <c r="J61" s="1">
        <f>SUM(OSRRefJ21_9x_0)</f>
        <v>2413.09</v>
      </c>
      <c r="K61" s="4"/>
      <c r="L61" s="1">
        <f>SUM(OSRRefL21_9x_0)</f>
        <v>2343.89</v>
      </c>
      <c r="M61" s="4"/>
      <c r="N61" s="1">
        <f>SUM(OSRRefN21_9x_0)</f>
        <v>2922.48</v>
      </c>
      <c r="O61" s="4"/>
      <c r="P61" s="1">
        <f>SUM(OSRRefP21_9x_0)</f>
        <v>3240</v>
      </c>
      <c r="Q61" s="4"/>
      <c r="R61" s="1">
        <f>SUM(OSRRefR21_9x_0)</f>
        <v>3960</v>
      </c>
    </row>
    <row r="62" spans="1:18" s="16" customFormat="1" hidden="1" outlineLevel="2" x14ac:dyDescent="0.35">
      <c r="B62" s="11" t="str">
        <f>CONCATENATE("          ", "6314", " - ", "LIABILITY INSURANCE")</f>
        <v xml:space="preserve">          6314 - LIABILITY INSURANCE</v>
      </c>
      <c r="D62" s="2">
        <v>2022.26</v>
      </c>
      <c r="F62" s="2">
        <v>2448</v>
      </c>
      <c r="G62" s="3"/>
      <c r="H62" s="2">
        <v>2159.2199999999998</v>
      </c>
      <c r="I62" s="3"/>
      <c r="J62" s="2">
        <v>2413.09</v>
      </c>
      <c r="K62" s="3"/>
      <c r="L62" s="2">
        <v>2343.89</v>
      </c>
      <c r="M62" s="3"/>
      <c r="N62" s="2">
        <v>2922.48</v>
      </c>
      <c r="O62" s="3"/>
      <c r="P62" s="2">
        <v>3240</v>
      </c>
      <c r="Q62" s="3"/>
      <c r="R62" s="2">
        <v>3960</v>
      </c>
    </row>
    <row r="63" spans="1:18" s="15" customFormat="1" outlineLevel="1" collapsed="1" x14ac:dyDescent="0.35">
      <c r="A63" s="7"/>
      <c r="B63" s="20" t="str">
        <f>CONCATENATE("     ","Interest                                          ")</f>
        <v xml:space="preserve">     Interest                                          </v>
      </c>
      <c r="C63" s="7"/>
      <c r="D63" s="1">
        <f>SUM(OSRRefD21_10x_0)</f>
        <v>63548.57</v>
      </c>
      <c r="E63" s="19"/>
      <c r="F63" s="1">
        <f>SUM(OSRRefF21_10x_0)</f>
        <v>59412.67</v>
      </c>
      <c r="G63" s="4"/>
      <c r="H63" s="1">
        <f>SUM(OSRRefH21_10x_0)</f>
        <v>48946.21</v>
      </c>
      <c r="I63" s="4"/>
      <c r="J63" s="1">
        <f>SUM(OSRRefJ21_10x_0)</f>
        <v>46754.09</v>
      </c>
      <c r="K63" s="4"/>
      <c r="L63" s="1">
        <f>SUM(OSRRefL21_10x_0)</f>
        <v>46032.33</v>
      </c>
      <c r="M63" s="4"/>
      <c r="N63" s="1">
        <f>SUM(OSRRefN21_10x_0)</f>
        <v>44360.7</v>
      </c>
      <c r="O63" s="4"/>
      <c r="P63" s="1">
        <f>SUM(OSRRefP21_10x_0)</f>
        <v>48250</v>
      </c>
      <c r="Q63" s="4"/>
      <c r="R63" s="1">
        <f>SUM(OSRRefR21_10x_0)</f>
        <v>46570</v>
      </c>
    </row>
    <row r="64" spans="1:18" s="16" customFormat="1" hidden="1" outlineLevel="2" x14ac:dyDescent="0.35">
      <c r="B64" s="11" t="str">
        <f>CONCATENATE("          ", "6401", " - ", "INTEREST EXPENSE")</f>
        <v xml:space="preserve">          6401 - INTEREST EXPENSE</v>
      </c>
      <c r="D64" s="2">
        <v>63548.57</v>
      </c>
      <c r="F64" s="2">
        <v>59412.67</v>
      </c>
      <c r="G64" s="3"/>
      <c r="H64" s="2">
        <v>48946.21</v>
      </c>
      <c r="I64" s="3"/>
      <c r="J64" s="2">
        <v>46754.09</v>
      </c>
      <c r="K64" s="3"/>
      <c r="L64" s="2">
        <v>46032.33</v>
      </c>
      <c r="M64" s="3"/>
      <c r="N64" s="2">
        <v>44360.7</v>
      </c>
      <c r="O64" s="3"/>
      <c r="P64" s="2">
        <v>48250</v>
      </c>
      <c r="Q64" s="3"/>
      <c r="R64" s="2">
        <v>46570</v>
      </c>
    </row>
    <row r="65" spans="1:18" s="15" customFormat="1" outlineLevel="1" collapsed="1" x14ac:dyDescent="0.35">
      <c r="A65" s="7"/>
      <c r="B65" s="20" t="str">
        <f>CONCATENATE("     ","Professional Services                             ")</f>
        <v xml:space="preserve">     Professional Services                             </v>
      </c>
      <c r="C65" s="7"/>
      <c r="D65" s="1">
        <f>SUM(OSRRefD21_11x_0)</f>
        <v>750</v>
      </c>
      <c r="E65" s="19"/>
      <c r="F65" s="1">
        <f>SUM(OSRRefF21_11x_0)</f>
        <v>0</v>
      </c>
      <c r="G65" s="4"/>
      <c r="H65" s="1">
        <f>SUM(OSRRefH21_11x_0)</f>
        <v>6096.09</v>
      </c>
      <c r="I65" s="4"/>
      <c r="J65" s="1">
        <f>SUM(OSRRefJ21_11x_0)</f>
        <v>4241.9399999999996</v>
      </c>
      <c r="K65" s="4"/>
      <c r="L65" s="1">
        <f>SUM(OSRRefL21_11x_0)</f>
        <v>0</v>
      </c>
      <c r="M65" s="4"/>
      <c r="N65" s="1">
        <f>SUM(OSRRefN21_11x_0)</f>
        <v>0</v>
      </c>
      <c r="O65" s="4"/>
      <c r="P65" s="1">
        <f>SUM(OSRRefP21_11x_0)</f>
        <v>0</v>
      </c>
      <c r="Q65" s="4"/>
      <c r="R65" s="1">
        <f>SUM(OSRRefR21_11x_0)</f>
        <v>0</v>
      </c>
    </row>
    <row r="66" spans="1:18" s="16" customFormat="1" hidden="1" outlineLevel="2" x14ac:dyDescent="0.35">
      <c r="B66" s="11" t="str">
        <f>CONCATENATE("          ", "6336", " - ", "PROFESSIONAL SERVICES")</f>
        <v xml:space="preserve">          6336 - PROFESSIONAL SERVICES</v>
      </c>
      <c r="D66" s="2">
        <v>750</v>
      </c>
      <c r="F66" s="2"/>
      <c r="G66" s="3"/>
      <c r="H66" s="2">
        <v>6096.09</v>
      </c>
      <c r="I66" s="3"/>
      <c r="J66" s="2">
        <v>4241.9399999999996</v>
      </c>
      <c r="K66" s="3"/>
      <c r="L66" s="2"/>
      <c r="M66" s="3"/>
      <c r="N66" s="2"/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","Repair and Maintenance                            ")</f>
        <v xml:space="preserve">     Repair and Maintenance                            </v>
      </c>
      <c r="C67" s="7"/>
      <c r="D67" s="1">
        <f>SUM(OSRRefD21_12x_0)</f>
        <v>5195.67</v>
      </c>
      <c r="E67" s="19"/>
      <c r="F67" s="1">
        <f>SUM(OSRRefF21_12x_0)</f>
        <v>3978.6899999999996</v>
      </c>
      <c r="G67" s="4"/>
      <c r="H67" s="1">
        <f>SUM(OSRRefH21_12x_0)</f>
        <v>7024.77</v>
      </c>
      <c r="I67" s="4"/>
      <c r="J67" s="1">
        <f>SUM(OSRRefJ21_12x_0)</f>
        <v>4262.88</v>
      </c>
      <c r="K67" s="4"/>
      <c r="L67" s="1">
        <f>SUM(OSRRefL21_12x_0)</f>
        <v>1643.59</v>
      </c>
      <c r="M67" s="4"/>
      <c r="N67" s="1">
        <f>SUM(OSRRefN21_12x_0)</f>
        <v>1154.71</v>
      </c>
      <c r="O67" s="4"/>
      <c r="P67" s="1">
        <f>SUM(OSRRefP21_12x_0)</f>
        <v>1247</v>
      </c>
      <c r="Q67" s="4"/>
      <c r="R67" s="1">
        <f>SUM(OSRRefR21_12x_0)</f>
        <v>5713</v>
      </c>
    </row>
    <row r="68" spans="1:18" s="16" customFormat="1" hidden="1" outlineLevel="2" x14ac:dyDescent="0.35">
      <c r="B68" s="11" t="str">
        <f>CONCATENATE("          ", "6371", " - ", "COMPUTER SOFTWARE MAINTENANCE")</f>
        <v xml:space="preserve">          6371 - COMPUTER SOFTWARE MAINTENANCE</v>
      </c>
      <c r="D68" s="2"/>
      <c r="F68" s="2"/>
      <c r="G68" s="3"/>
      <c r="H68" s="2"/>
      <c r="I68" s="3"/>
      <c r="J68" s="2"/>
      <c r="K68" s="3"/>
      <c r="L68" s="2"/>
      <c r="M68" s="3"/>
      <c r="N68" s="2">
        <v>437.31</v>
      </c>
      <c r="O68" s="3"/>
      <c r="P68" s="2">
        <v>43</v>
      </c>
      <c r="Q68" s="3"/>
      <c r="R68" s="2">
        <v>2623</v>
      </c>
    </row>
    <row r="69" spans="1:18" s="16" customFormat="1" hidden="1" outlineLevel="2" x14ac:dyDescent="0.35">
      <c r="B69" s="11" t="str">
        <f>CONCATENATE("          ", "6372", " - ", "COMPUTER HARDWARE MAINTENANCE")</f>
        <v xml:space="preserve">          6372 - COMPUTER HARDWARE MAINTENANCE</v>
      </c>
      <c r="D69" s="2"/>
      <c r="F69" s="2"/>
      <c r="G69" s="3"/>
      <c r="H69" s="2"/>
      <c r="I69" s="3"/>
      <c r="J69" s="2"/>
      <c r="K69" s="3"/>
      <c r="L69" s="2"/>
      <c r="M69" s="3"/>
      <c r="N69" s="2"/>
      <c r="O69" s="3"/>
      <c r="P69" s="2">
        <v>437</v>
      </c>
      <c r="Q69" s="3"/>
      <c r="R69" s="2"/>
    </row>
    <row r="70" spans="1:18" s="16" customFormat="1" hidden="1" outlineLevel="2" x14ac:dyDescent="0.35">
      <c r="B70" s="11" t="str">
        <f>CONCATENATE("          ", "6373", " - ", "MAINTENANCE CONTRACTS")</f>
        <v xml:space="preserve">          6373 - MAINTENANCE CONTRACTS</v>
      </c>
      <c r="D70" s="2">
        <v>3790.48</v>
      </c>
      <c r="F70" s="2">
        <v>656.01</v>
      </c>
      <c r="G70" s="3"/>
      <c r="H70" s="2"/>
      <c r="I70" s="3"/>
      <c r="J70" s="2">
        <v>791.05</v>
      </c>
      <c r="K70" s="3"/>
      <c r="L70" s="2">
        <v>404.8</v>
      </c>
      <c r="M70" s="3"/>
      <c r="N70" s="2">
        <v>426.78</v>
      </c>
      <c r="O70" s="3"/>
      <c r="P70" s="2">
        <v>231</v>
      </c>
      <c r="Q70" s="3"/>
      <c r="R70" s="2">
        <v>260</v>
      </c>
    </row>
    <row r="71" spans="1:18" s="16" customFormat="1" hidden="1" outlineLevel="2" x14ac:dyDescent="0.35">
      <c r="B71" s="11" t="str">
        <f>CONCATENATE("          ", "6375", " - ", "OUTSIDE REPAIRS &amp; MAINTENANCE")</f>
        <v xml:space="preserve">          6375 - OUTSIDE REPAIRS &amp; MAINTENANCE</v>
      </c>
      <c r="D71" s="2">
        <v>1405.19</v>
      </c>
      <c r="F71" s="2">
        <v>3322.68</v>
      </c>
      <c r="G71" s="3"/>
      <c r="H71" s="2">
        <v>7024.77</v>
      </c>
      <c r="I71" s="3"/>
      <c r="J71" s="2">
        <v>3471.83</v>
      </c>
      <c r="K71" s="3"/>
      <c r="L71" s="2">
        <v>1238.79</v>
      </c>
      <c r="M71" s="3"/>
      <c r="N71" s="2">
        <v>290.62</v>
      </c>
      <c r="O71" s="3"/>
      <c r="P71" s="2">
        <v>536</v>
      </c>
      <c r="Q71" s="3"/>
      <c r="R71" s="2">
        <v>2830</v>
      </c>
    </row>
    <row r="72" spans="1:18" s="15" customFormat="1" outlineLevel="1" collapsed="1" x14ac:dyDescent="0.35">
      <c r="A72" s="7"/>
      <c r="B72" s="20" t="str">
        <f>CONCATENATE("     ","Services                                          ")</f>
        <v xml:space="preserve">     Services                                          </v>
      </c>
      <c r="C72" s="7"/>
      <c r="D72" s="1">
        <f>SUM(OSRRefD21_13x_0)</f>
        <v>6313.29</v>
      </c>
      <c r="E72" s="19"/>
      <c r="F72" s="1">
        <f>SUM(OSRRefF21_13x_0)</f>
        <v>5365.37</v>
      </c>
      <c r="G72" s="4"/>
      <c r="H72" s="1">
        <f>SUM(OSRRefH21_13x_0)</f>
        <v>6196.44</v>
      </c>
      <c r="I72" s="4"/>
      <c r="J72" s="1">
        <f>SUM(OSRRefJ21_13x_0)</f>
        <v>5727.0199999999995</v>
      </c>
      <c r="K72" s="4"/>
      <c r="L72" s="1">
        <f>SUM(OSRRefL21_13x_0)</f>
        <v>6219.25</v>
      </c>
      <c r="M72" s="4"/>
      <c r="N72" s="1">
        <f>SUM(OSRRefN21_13x_0)</f>
        <v>13035.58</v>
      </c>
      <c r="O72" s="4"/>
      <c r="P72" s="1">
        <f>SUM(OSRRefP21_13x_0)</f>
        <v>6220</v>
      </c>
      <c r="Q72" s="4"/>
      <c r="R72" s="1">
        <f>SUM(OSRRefR21_13x_0)</f>
        <v>2121</v>
      </c>
    </row>
    <row r="73" spans="1:18" s="16" customFormat="1" hidden="1" outlineLevel="2" x14ac:dyDescent="0.35">
      <c r="B73" s="11" t="str">
        <f>CONCATENATE("          ", "6282", " - ", "JANITORIAL/EXTERMINATOR EXPENS")</f>
        <v xml:space="preserve">          6282 - JANITORIAL/EXTERMINATOR EXPENS</v>
      </c>
      <c r="D73" s="2">
        <v>1495.23</v>
      </c>
      <c r="F73" s="2">
        <v>1284.57</v>
      </c>
      <c r="G73" s="3"/>
      <c r="H73" s="2">
        <v>2108.9899999999998</v>
      </c>
      <c r="I73" s="3"/>
      <c r="J73" s="2">
        <v>1905.18</v>
      </c>
      <c r="K73" s="3"/>
      <c r="L73" s="2">
        <v>1730.85</v>
      </c>
      <c r="M73" s="3"/>
      <c r="N73" s="2">
        <v>1888.2</v>
      </c>
      <c r="O73" s="3"/>
      <c r="P73" s="2">
        <v>1616</v>
      </c>
      <c r="Q73" s="3"/>
      <c r="R73" s="2">
        <v>1738</v>
      </c>
    </row>
    <row r="74" spans="1:18" s="16" customFormat="1" hidden="1" outlineLevel="2" x14ac:dyDescent="0.35">
      <c r="B74" s="11" t="str">
        <f>CONCATENATE("          ", "6284", " - ", "TRASH REMOVAL EXPENSE")</f>
        <v xml:space="preserve">          6284 - TRASH REMOVAL EXPENSE</v>
      </c>
      <c r="D74" s="2">
        <v>1636.49</v>
      </c>
      <c r="F74" s="2">
        <v>1935.97</v>
      </c>
      <c r="G74" s="3"/>
      <c r="H74" s="2">
        <v>1391.49</v>
      </c>
      <c r="I74" s="3"/>
      <c r="J74" s="2">
        <v>2382.3200000000002</v>
      </c>
      <c r="K74" s="3"/>
      <c r="L74" s="2">
        <v>3414.73</v>
      </c>
      <c r="M74" s="3"/>
      <c r="N74" s="2">
        <v>5916</v>
      </c>
      <c r="O74" s="3"/>
      <c r="P74" s="2">
        <v>3363</v>
      </c>
      <c r="Q74" s="3"/>
      <c r="R74" s="2"/>
    </row>
    <row r="75" spans="1:18" s="16" customFormat="1" hidden="1" outlineLevel="2" x14ac:dyDescent="0.35">
      <c r="B75" s="11" t="str">
        <f>CONCATENATE("          ", "6285", " - ", "JANITORIAL SERVICES")</f>
        <v xml:space="preserve">          6285 - JANITORIAL SERVICES</v>
      </c>
      <c r="D75" s="2">
        <v>3108.12</v>
      </c>
      <c r="F75" s="2">
        <v>2144.83</v>
      </c>
      <c r="G75" s="3"/>
      <c r="H75" s="2">
        <v>2649.62</v>
      </c>
      <c r="I75" s="3"/>
      <c r="J75" s="2">
        <v>847.95</v>
      </c>
      <c r="K75" s="3"/>
      <c r="L75" s="2">
        <v>25</v>
      </c>
      <c r="M75" s="3"/>
      <c r="N75" s="2">
        <v>4354.7</v>
      </c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"6286", " - ", "LAUNDRY EXPENSE")</f>
        <v xml:space="preserve">          6286 - LAUNDRY EXPENSE</v>
      </c>
      <c r="D76" s="2">
        <v>73.45</v>
      </c>
      <c r="F76" s="2"/>
      <c r="G76" s="3"/>
      <c r="H76" s="2">
        <v>46.34</v>
      </c>
      <c r="I76" s="3"/>
      <c r="J76" s="2">
        <v>591.57000000000005</v>
      </c>
      <c r="K76" s="3"/>
      <c r="L76" s="2">
        <v>1048.67</v>
      </c>
      <c r="M76" s="3"/>
      <c r="N76" s="2">
        <v>876.68</v>
      </c>
      <c r="O76" s="3"/>
      <c r="P76" s="2">
        <v>1241</v>
      </c>
      <c r="Q76" s="3"/>
      <c r="R76" s="2">
        <v>383</v>
      </c>
    </row>
    <row r="77" spans="1:18" s="15" customFormat="1" outlineLevel="1" collapsed="1" x14ac:dyDescent="0.35">
      <c r="A77" s="7"/>
      <c r="B77" s="20" t="str">
        <f>CONCATENATE("     ","Subscriptions &amp; Dues                              ")</f>
        <v xml:space="preserve">     Subscriptions &amp; Dues                              </v>
      </c>
      <c r="C77" s="7"/>
      <c r="D77" s="1">
        <f>SUM(OSRRefD21_14x_0)</f>
        <v>0</v>
      </c>
      <c r="E77" s="19"/>
      <c r="F77" s="1">
        <f>SUM(OSRRefF21_14x_0)</f>
        <v>1875</v>
      </c>
      <c r="G77" s="4"/>
      <c r="H77" s="1">
        <f>SUM(OSRRefH21_14x_0)</f>
        <v>0</v>
      </c>
      <c r="I77" s="4"/>
      <c r="J77" s="1">
        <f>SUM(OSRRefJ21_14x_0)</f>
        <v>529.20000000000005</v>
      </c>
      <c r="K77" s="4"/>
      <c r="L77" s="1">
        <f>SUM(OSRRefL21_14x_0)</f>
        <v>1587.6000000000001</v>
      </c>
      <c r="M77" s="4"/>
      <c r="N77" s="1">
        <f>SUM(OSRRefN21_14x_0)</f>
        <v>1411.2</v>
      </c>
      <c r="O77" s="4"/>
      <c r="P77" s="1">
        <f>SUM(OSRRefP21_14x_0)</f>
        <v>2112</v>
      </c>
      <c r="Q77" s="4"/>
      <c r="R77" s="1">
        <f>SUM(OSRRefR21_14x_0)</f>
        <v>0</v>
      </c>
    </row>
    <row r="78" spans="1:18" s="16" customFormat="1" hidden="1" outlineLevel="2" x14ac:dyDescent="0.35">
      <c r="B78" s="11" t="str">
        <f>CONCATENATE("          ", "6258", " - ", "MEMBERSHIP DUES")</f>
        <v xml:space="preserve">          6258 - MEMBERSHIP DUES</v>
      </c>
      <c r="D78" s="2"/>
      <c r="F78" s="2">
        <v>75</v>
      </c>
      <c r="G78" s="3"/>
      <c r="H78" s="2"/>
      <c r="I78" s="3"/>
      <c r="J78" s="2"/>
      <c r="K78" s="3"/>
      <c r="L78" s="2">
        <v>176.4</v>
      </c>
      <c r="M78" s="3"/>
      <c r="N78" s="2"/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"6275", " - ", "SUBSCRIPTIONS")</f>
        <v xml:space="preserve">          6275 - SUBSCRIPTIONS</v>
      </c>
      <c r="D79" s="2"/>
      <c r="F79" s="2">
        <v>1800</v>
      </c>
      <c r="G79" s="3"/>
      <c r="H79" s="2"/>
      <c r="I79" s="3"/>
      <c r="J79" s="2">
        <v>529.20000000000005</v>
      </c>
      <c r="K79" s="3"/>
      <c r="L79" s="2">
        <v>1411.2</v>
      </c>
      <c r="M79" s="3"/>
      <c r="N79" s="2">
        <v>1411.2</v>
      </c>
      <c r="O79" s="3"/>
      <c r="P79" s="2">
        <v>2112</v>
      </c>
      <c r="Q79" s="3"/>
      <c r="R79" s="2"/>
    </row>
    <row r="80" spans="1:18" s="15" customFormat="1" outlineLevel="1" collapsed="1" x14ac:dyDescent="0.35">
      <c r="A80" s="7"/>
      <c r="B80" s="20" t="str">
        <f>CONCATENATE("     ","Supplies                                          ")</f>
        <v xml:space="preserve">     Supplies                                          </v>
      </c>
      <c r="C80" s="7"/>
      <c r="D80" s="1">
        <f>SUM(OSRRefD21_15x_0)</f>
        <v>11363.51</v>
      </c>
      <c r="E80" s="19"/>
      <c r="F80" s="1">
        <f>SUM(OSRRefF21_15x_0)</f>
        <v>8669.23</v>
      </c>
      <c r="G80" s="4"/>
      <c r="H80" s="1">
        <f>SUM(OSRRefH21_15x_0)</f>
        <v>17581.059999999998</v>
      </c>
      <c r="I80" s="4"/>
      <c r="J80" s="1">
        <f>SUM(OSRRefJ21_15x_0)</f>
        <v>13973.34</v>
      </c>
      <c r="K80" s="4"/>
      <c r="L80" s="1">
        <f>SUM(OSRRefL21_15x_0)</f>
        <v>11347.29</v>
      </c>
      <c r="M80" s="4"/>
      <c r="N80" s="1">
        <f>SUM(OSRRefN21_15x_0)</f>
        <v>10919.900000000001</v>
      </c>
      <c r="O80" s="4"/>
      <c r="P80" s="1">
        <f>SUM(OSRRefP21_15x_0)</f>
        <v>14003</v>
      </c>
      <c r="Q80" s="4"/>
      <c r="R80" s="1">
        <f>SUM(OSRRefR21_15x_0)</f>
        <v>11150</v>
      </c>
    </row>
    <row r="81" spans="1:18" s="16" customFormat="1" hidden="1" outlineLevel="2" x14ac:dyDescent="0.35">
      <c r="B81" s="11" t="str">
        <f>CONCATENATE("          ", "6234", " - ", "EXPENDABLE SUPPLIES &amp; EQUIPMEN")</f>
        <v xml:space="preserve">          6234 - EXPENDABLE SUPPLIES &amp; EQUIPMEN</v>
      </c>
      <c r="D81" s="2">
        <v>930.09</v>
      </c>
      <c r="F81" s="2">
        <v>107.97</v>
      </c>
      <c r="G81" s="3"/>
      <c r="H81" s="2">
        <v>34.79</v>
      </c>
      <c r="I81" s="3"/>
      <c r="J81" s="2">
        <v>1162.3</v>
      </c>
      <c r="K81" s="3"/>
      <c r="L81" s="2">
        <v>939.33</v>
      </c>
      <c r="M81" s="3"/>
      <c r="N81" s="2">
        <v>28.22</v>
      </c>
      <c r="O81" s="3"/>
      <c r="P81" s="2">
        <v>28</v>
      </c>
      <c r="Q81" s="3"/>
      <c r="R81" s="2">
        <v>850</v>
      </c>
    </row>
    <row r="82" spans="1:18" s="16" customFormat="1" hidden="1" outlineLevel="2" x14ac:dyDescent="0.35">
      <c r="B82" s="11" t="str">
        <f>CONCATENATE("          ", "6235", " - ", "COVID-19 EXPENSES")</f>
        <v xml:space="preserve">          6235 - COVID-19 EXPENSES</v>
      </c>
      <c r="D82" s="2"/>
      <c r="F82" s="2"/>
      <c r="G82" s="3"/>
      <c r="H82" s="2"/>
      <c r="I82" s="3"/>
      <c r="J82" s="2"/>
      <c r="K82" s="3"/>
      <c r="L82" s="2"/>
      <c r="M82" s="3"/>
      <c r="N82" s="2"/>
      <c r="O82" s="3"/>
      <c r="P82" s="2">
        <v>2900</v>
      </c>
      <c r="Q82" s="3"/>
      <c r="R82" s="2"/>
    </row>
    <row r="83" spans="1:18" s="16" customFormat="1" hidden="1" outlineLevel="2" x14ac:dyDescent="0.35">
      <c r="B83" s="11" t="str">
        <f>CONCATENATE("          ", "6237", " - ", "JANITORIAL SUPPLIES")</f>
        <v xml:space="preserve">          6237 - JANITORIAL SUPPLIES</v>
      </c>
      <c r="D83" s="2">
        <v>1024.78</v>
      </c>
      <c r="F83" s="2"/>
      <c r="G83" s="3"/>
      <c r="H83" s="2">
        <v>447.18</v>
      </c>
      <c r="I83" s="3"/>
      <c r="J83" s="2">
        <v>259.83</v>
      </c>
      <c r="K83" s="3"/>
      <c r="L83" s="2">
        <v>3522.87</v>
      </c>
      <c r="M83" s="3"/>
      <c r="N83" s="2">
        <v>1422.57</v>
      </c>
      <c r="O83" s="3"/>
      <c r="P83" s="2">
        <v>1774</v>
      </c>
      <c r="Q83" s="3"/>
      <c r="R83" s="2">
        <v>250</v>
      </c>
    </row>
    <row r="84" spans="1:18" s="16" customFormat="1" hidden="1" outlineLevel="2" x14ac:dyDescent="0.35">
      <c r="B84" s="11" t="str">
        <f>CONCATENATE("          ", "6241", " - ", "OFFICE EXPENSE")</f>
        <v xml:space="preserve">          6241 - OFFICE EXPENSE</v>
      </c>
      <c r="D84" s="2">
        <v>1148.9100000000001</v>
      </c>
      <c r="F84" s="2">
        <v>2681.83</v>
      </c>
      <c r="G84" s="3"/>
      <c r="H84" s="2">
        <v>398.27</v>
      </c>
      <c r="I84" s="3"/>
      <c r="J84" s="2">
        <v>6699.97</v>
      </c>
      <c r="K84" s="3"/>
      <c r="L84" s="2">
        <v>4093.4</v>
      </c>
      <c r="M84" s="3"/>
      <c r="N84" s="2">
        <v>484.03</v>
      </c>
      <c r="O84" s="3"/>
      <c r="P84" s="2"/>
      <c r="Q84" s="3"/>
      <c r="R84" s="2"/>
    </row>
    <row r="85" spans="1:18" s="16" customFormat="1" hidden="1" outlineLevel="2" x14ac:dyDescent="0.35">
      <c r="B85" s="11" t="str">
        <f>CONCATENATE("          ", "6243", " - ", "PAPER SUPPLIES")</f>
        <v xml:space="preserve">          6243 - PAPER SUPPLIES</v>
      </c>
      <c r="D85" s="2"/>
      <c r="F85" s="2"/>
      <c r="G85" s="3"/>
      <c r="H85" s="2">
        <v>33.14</v>
      </c>
      <c r="I85" s="3"/>
      <c r="J85" s="2">
        <v>2867.4</v>
      </c>
      <c r="K85" s="3"/>
      <c r="L85" s="2">
        <v>1918.67</v>
      </c>
      <c r="M85" s="3"/>
      <c r="N85" s="2">
        <v>1399.73</v>
      </c>
      <c r="O85" s="3"/>
      <c r="P85" s="2">
        <v>1507</v>
      </c>
      <c r="Q85" s="3"/>
      <c r="R85" s="2">
        <v>2200</v>
      </c>
    </row>
    <row r="86" spans="1:18" s="16" customFormat="1" hidden="1" outlineLevel="2" x14ac:dyDescent="0.35">
      <c r="B86" s="11" t="str">
        <f>CONCATENATE("          ", "6245", " - ", "PRINTING")</f>
        <v xml:space="preserve">          6245 - PRINTING</v>
      </c>
      <c r="D86" s="2">
        <v>467.33</v>
      </c>
      <c r="F86" s="2">
        <v>28.46</v>
      </c>
      <c r="G86" s="3"/>
      <c r="H86" s="2">
        <v>245.76</v>
      </c>
      <c r="I86" s="3"/>
      <c r="J86" s="2">
        <v>11.91</v>
      </c>
      <c r="K86" s="3"/>
      <c r="L86" s="2"/>
      <c r="M86" s="3"/>
      <c r="N86" s="2"/>
      <c r="O86" s="3"/>
      <c r="P86" s="2"/>
      <c r="Q86" s="3"/>
      <c r="R86" s="2"/>
    </row>
    <row r="87" spans="1:18" s="16" customFormat="1" hidden="1" outlineLevel="2" x14ac:dyDescent="0.35">
      <c r="B87" s="11" t="str">
        <f>CONCATENATE("          ", "6247", " - ", "STORE SUPPLIES")</f>
        <v xml:space="preserve">          6247 - STORE SUPPLIES</v>
      </c>
      <c r="D87" s="2">
        <v>7608.3</v>
      </c>
      <c r="F87" s="2">
        <v>5850.97</v>
      </c>
      <c r="G87" s="3"/>
      <c r="H87" s="2">
        <v>16421.919999999998</v>
      </c>
      <c r="I87" s="3"/>
      <c r="J87" s="2">
        <v>2971.93</v>
      </c>
      <c r="K87" s="3"/>
      <c r="L87" s="2">
        <v>473.32</v>
      </c>
      <c r="M87" s="3"/>
      <c r="N87" s="2">
        <v>7585.35</v>
      </c>
      <c r="O87" s="3"/>
      <c r="P87" s="2">
        <v>7794</v>
      </c>
      <c r="Q87" s="3"/>
      <c r="R87" s="2">
        <v>7850</v>
      </c>
    </row>
    <row r="88" spans="1:18" s="16" customFormat="1" hidden="1" outlineLevel="2" x14ac:dyDescent="0.35">
      <c r="B88" s="11" t="str">
        <f>CONCATENATE("          ", "6248", " - ", "UNIFORMS")</f>
        <v xml:space="preserve">          6248 - UNIFORMS</v>
      </c>
      <c r="D88" s="2">
        <v>184.1</v>
      </c>
      <c r="F88" s="2"/>
      <c r="G88" s="3"/>
      <c r="H88" s="2"/>
      <c r="I88" s="3"/>
      <c r="J88" s="2"/>
      <c r="K88" s="3"/>
      <c r="L88" s="2">
        <v>399.7</v>
      </c>
      <c r="M88" s="3"/>
      <c r="N88" s="2"/>
      <c r="O88" s="3"/>
      <c r="P88" s="2"/>
      <c r="Q88" s="3"/>
      <c r="R88" s="2"/>
    </row>
    <row r="89" spans="1:18" s="15" customFormat="1" outlineLevel="1" collapsed="1" x14ac:dyDescent="0.35">
      <c r="A89" s="7"/>
      <c r="B89" s="20" t="str">
        <f>CONCATENATE("     ","Telephone/Data Lines                              ")</f>
        <v xml:space="preserve">     Telephone/Data Lines                              </v>
      </c>
      <c r="C89" s="7"/>
      <c r="D89" s="1">
        <f>SUM(OSRRefD21_16x_0)</f>
        <v>460.75</v>
      </c>
      <c r="E89" s="19"/>
      <c r="F89" s="1">
        <f>SUM(OSRRefF21_16x_0)</f>
        <v>640.25</v>
      </c>
      <c r="G89" s="4"/>
      <c r="H89" s="1">
        <f>SUM(OSRRefH21_16x_0)</f>
        <v>537.4</v>
      </c>
      <c r="I89" s="4"/>
      <c r="J89" s="1">
        <f>SUM(OSRRefJ21_16x_0)</f>
        <v>462</v>
      </c>
      <c r="K89" s="4"/>
      <c r="L89" s="1">
        <f>SUM(OSRRefL21_16x_0)</f>
        <v>468.95</v>
      </c>
      <c r="M89" s="4"/>
      <c r="N89" s="1">
        <f>SUM(OSRRefN21_16x_0)</f>
        <v>808.37</v>
      </c>
      <c r="O89" s="4"/>
      <c r="P89" s="1">
        <f>SUM(OSRRefP21_16x_0)</f>
        <v>1075</v>
      </c>
      <c r="Q89" s="4"/>
      <c r="R89" s="1">
        <f>SUM(OSRRefR21_16x_0)</f>
        <v>1500</v>
      </c>
    </row>
    <row r="90" spans="1:18" s="16" customFormat="1" hidden="1" outlineLevel="2" x14ac:dyDescent="0.35">
      <c r="B90" s="11" t="str">
        <f>CONCATENATE("          ", "6303", " - ", "DATA PHONE LINES")</f>
        <v xml:space="preserve">          6303 - DATA PHONE LINES</v>
      </c>
      <c r="D90" s="2"/>
      <c r="F90" s="2"/>
      <c r="G90" s="3"/>
      <c r="H90" s="2"/>
      <c r="I90" s="3"/>
      <c r="J90" s="2"/>
      <c r="K90" s="3"/>
      <c r="L90" s="2"/>
      <c r="M90" s="3"/>
      <c r="N90" s="2"/>
      <c r="O90" s="3"/>
      <c r="P90" s="2">
        <v>475</v>
      </c>
      <c r="Q90" s="3"/>
      <c r="R90" s="2">
        <v>600</v>
      </c>
    </row>
    <row r="91" spans="1:18" s="16" customFormat="1" hidden="1" outlineLevel="2" x14ac:dyDescent="0.35">
      <c r="B91" s="11" t="str">
        <f>CONCATENATE("          ", "6309", " - ", "TELEPHONE")</f>
        <v xml:space="preserve">          6309 - TELEPHONE</v>
      </c>
      <c r="D91" s="2">
        <v>460.75</v>
      </c>
      <c r="F91" s="2">
        <v>640.25</v>
      </c>
      <c r="G91" s="3"/>
      <c r="H91" s="2">
        <v>537.4</v>
      </c>
      <c r="I91" s="3"/>
      <c r="J91" s="2">
        <v>462</v>
      </c>
      <c r="K91" s="3"/>
      <c r="L91" s="2">
        <v>468.95</v>
      </c>
      <c r="M91" s="3"/>
      <c r="N91" s="2">
        <v>808.37</v>
      </c>
      <c r="O91" s="3"/>
      <c r="P91" s="2">
        <v>600</v>
      </c>
      <c r="Q91" s="3"/>
      <c r="R91" s="2">
        <v>900</v>
      </c>
    </row>
    <row r="92" spans="1:18" s="15" customFormat="1" outlineLevel="1" collapsed="1" x14ac:dyDescent="0.35">
      <c r="A92" s="7"/>
      <c r="B92" s="20" t="str">
        <f>CONCATENATE("     ","Training                                          ")</f>
        <v xml:space="preserve">     Training                                          </v>
      </c>
      <c r="C92" s="7"/>
      <c r="D92" s="1">
        <f>SUM(OSRRefD21_17x_0)</f>
        <v>80</v>
      </c>
      <c r="E92" s="19"/>
      <c r="F92" s="1">
        <f>SUM(OSRRefF21_17x_0)</f>
        <v>240</v>
      </c>
      <c r="G92" s="4"/>
      <c r="H92" s="1">
        <f>SUM(OSRRefH21_17x_0)</f>
        <v>270</v>
      </c>
      <c r="I92" s="4"/>
      <c r="J92" s="1">
        <f>SUM(OSRRefJ21_17x_0)</f>
        <v>180</v>
      </c>
      <c r="K92" s="4"/>
      <c r="L92" s="1">
        <f>SUM(OSRRefL21_17x_0)</f>
        <v>139</v>
      </c>
      <c r="M92" s="4"/>
      <c r="N92" s="1">
        <f>SUM(OSRRefN21_17x_0)</f>
        <v>14</v>
      </c>
      <c r="O92" s="4"/>
      <c r="P92" s="1">
        <f>SUM(OSRRefP21_17x_0)</f>
        <v>0</v>
      </c>
      <c r="Q92" s="4"/>
      <c r="R92" s="1">
        <f>SUM(OSRRefR21_17x_0)</f>
        <v>0</v>
      </c>
    </row>
    <row r="93" spans="1:18" s="16" customFormat="1" hidden="1" outlineLevel="2" x14ac:dyDescent="0.35">
      <c r="B93" s="11" t="str">
        <f>CONCATENATE("          ", "6376", " - ", "TRAINING")</f>
        <v xml:space="preserve">          6376 - TRAINING</v>
      </c>
      <c r="D93" s="2">
        <v>80</v>
      </c>
      <c r="F93" s="2">
        <v>240</v>
      </c>
      <c r="G93" s="3"/>
      <c r="H93" s="2">
        <v>270</v>
      </c>
      <c r="I93" s="3"/>
      <c r="J93" s="2">
        <v>180</v>
      </c>
      <c r="K93" s="3"/>
      <c r="L93" s="2">
        <v>139</v>
      </c>
      <c r="M93" s="3"/>
      <c r="N93" s="2">
        <v>14</v>
      </c>
      <c r="O93" s="3"/>
      <c r="P93" s="2"/>
      <c r="Q93" s="3"/>
      <c r="R93" s="2"/>
    </row>
    <row r="94" spans="1:18" s="15" customFormat="1" outlineLevel="1" collapsed="1" x14ac:dyDescent="0.35">
      <c r="A94" s="7"/>
      <c r="B94" s="20" t="str">
        <f>CONCATENATE("     ","Travel                                            ")</f>
        <v xml:space="preserve">     Travel                                            </v>
      </c>
      <c r="C94" s="7"/>
      <c r="D94" s="1">
        <f>SUM(OSRRefD21_18x_0)</f>
        <v>0</v>
      </c>
      <c r="E94" s="19"/>
      <c r="F94" s="1">
        <f>SUM(OSRRefF21_18x_0)</f>
        <v>0</v>
      </c>
      <c r="G94" s="4"/>
      <c r="H94" s="1">
        <f>SUM(OSRRefH21_18x_0)</f>
        <v>0</v>
      </c>
      <c r="I94" s="4"/>
      <c r="J94" s="1">
        <f>SUM(OSRRefJ21_18x_0)</f>
        <v>0</v>
      </c>
      <c r="K94" s="4"/>
      <c r="L94" s="1">
        <f>SUM(OSRRefL21_18x_0)</f>
        <v>0</v>
      </c>
      <c r="M94" s="4"/>
      <c r="N94" s="1">
        <f>SUM(OSRRefN21_18x_0)</f>
        <v>0</v>
      </c>
      <c r="O94" s="4"/>
      <c r="P94" s="1">
        <f>SUM(OSRRefP21_18x_0)</f>
        <v>1500</v>
      </c>
      <c r="Q94" s="4"/>
      <c r="R94" s="1">
        <f>SUM(OSRRefR21_18x_0)</f>
        <v>0</v>
      </c>
    </row>
    <row r="95" spans="1:18" s="16" customFormat="1" hidden="1" outlineLevel="2" x14ac:dyDescent="0.35">
      <c r="B95" s="11" t="str">
        <f>CONCATENATE("          ", "6292", " - ", "TRAVEL/CONFERENCE")</f>
        <v xml:space="preserve">          6292 - TRAVEL/CONFERENCE</v>
      </c>
      <c r="D95" s="2"/>
      <c r="F95" s="2"/>
      <c r="G95" s="3"/>
      <c r="H95" s="2"/>
      <c r="I95" s="3"/>
      <c r="J95" s="2"/>
      <c r="K95" s="3"/>
      <c r="L95" s="2"/>
      <c r="M95" s="3"/>
      <c r="N95" s="2"/>
      <c r="O95" s="3"/>
      <c r="P95" s="2">
        <v>1500</v>
      </c>
      <c r="Q95" s="3"/>
      <c r="R95" s="2"/>
    </row>
    <row r="96" spans="1:18" s="15" customFormat="1" outlineLevel="1" collapsed="1" x14ac:dyDescent="0.35">
      <c r="A96" s="7"/>
      <c r="B96" s="20" t="str">
        <f>CONCATENATE("     ","Utilities                                         ")</f>
        <v xml:space="preserve">     Utilities                                         </v>
      </c>
      <c r="C96" s="7"/>
      <c r="D96" s="1">
        <f>SUM(OSRRefD21_19x_0)</f>
        <v>11609.92</v>
      </c>
      <c r="E96" s="19"/>
      <c r="F96" s="1">
        <f>SUM(OSRRefF21_19x_0)</f>
        <v>15532</v>
      </c>
      <c r="G96" s="4"/>
      <c r="H96" s="1">
        <f>SUM(OSRRefH21_19x_0)</f>
        <v>12271.22</v>
      </c>
      <c r="I96" s="4"/>
      <c r="J96" s="1">
        <f>SUM(OSRRefJ21_19x_0)</f>
        <v>7801.19</v>
      </c>
      <c r="K96" s="4"/>
      <c r="L96" s="1">
        <f>SUM(OSRRefL21_19x_0)</f>
        <v>7875.7</v>
      </c>
      <c r="M96" s="4"/>
      <c r="N96" s="1">
        <f>SUM(OSRRefN21_19x_0)</f>
        <v>11590</v>
      </c>
      <c r="O96" s="4"/>
      <c r="P96" s="1">
        <f>SUM(OSRRefP21_19x_0)</f>
        <v>9894</v>
      </c>
      <c r="Q96" s="4"/>
      <c r="R96" s="1">
        <f>SUM(OSRRefR21_19x_0)</f>
        <v>0</v>
      </c>
    </row>
    <row r="97" spans="1:18" s="16" customFormat="1" hidden="1" outlineLevel="2" x14ac:dyDescent="0.35">
      <c r="B97" s="11" t="str">
        <f>CONCATENATE("          ", "6274", " - ", "UTILITIES")</f>
        <v xml:space="preserve">          6274 - UTILITIES</v>
      </c>
      <c r="D97" s="2">
        <v>11609.92</v>
      </c>
      <c r="F97" s="2">
        <v>15532</v>
      </c>
      <c r="G97" s="3"/>
      <c r="H97" s="2">
        <v>12271.22</v>
      </c>
      <c r="I97" s="3"/>
      <c r="J97" s="2">
        <v>7801.19</v>
      </c>
      <c r="K97" s="3"/>
      <c r="L97" s="2">
        <v>7875.7</v>
      </c>
      <c r="M97" s="3"/>
      <c r="N97" s="2">
        <v>11590</v>
      </c>
      <c r="O97" s="3"/>
      <c r="P97" s="2">
        <v>9894</v>
      </c>
      <c r="Q97" s="3"/>
      <c r="R97" s="2">
        <v>0</v>
      </c>
    </row>
    <row r="98" spans="1:18" x14ac:dyDescent="0.35">
      <c r="A98" s="12"/>
      <c r="B98" s="12"/>
      <c r="C98" s="12"/>
      <c r="D98" s="1"/>
      <c r="F98" s="1"/>
      <c r="H98" s="1"/>
      <c r="J98" s="1"/>
      <c r="L98" s="1"/>
      <c r="N98" s="1"/>
      <c r="P98" s="1"/>
      <c r="R98" s="1"/>
    </row>
    <row r="99" spans="1:18" s="7" customFormat="1" x14ac:dyDescent="0.35">
      <c r="A99" s="36"/>
      <c r="B99" s="34" t="s">
        <v>295</v>
      </c>
      <c r="D99" s="6">
        <f>SUM(0)</f>
        <v>0</v>
      </c>
      <c r="E99" s="12"/>
      <c r="F99" s="6">
        <f>SUM(0)</f>
        <v>0</v>
      </c>
      <c r="G99" s="5"/>
      <c r="H99" s="6">
        <f>SUM(0)</f>
        <v>0</v>
      </c>
      <c r="I99" s="5"/>
      <c r="J99" s="6">
        <f>SUM(0)</f>
        <v>0</v>
      </c>
      <c r="K99" s="5"/>
      <c r="L99" s="6">
        <f>SUM(0)</f>
        <v>0</v>
      </c>
      <c r="M99" s="5"/>
      <c r="N99" s="6">
        <f>SUM(0)</f>
        <v>0</v>
      </c>
      <c r="O99" s="5"/>
      <c r="P99" s="6">
        <f>SUM(0)</f>
        <v>0</v>
      </c>
      <c r="Q99" s="5"/>
      <c r="R99" s="6">
        <f>SUM(0)</f>
        <v>0</v>
      </c>
    </row>
    <row r="100" spans="1:18" x14ac:dyDescent="0.35">
      <c r="A100" s="12"/>
      <c r="B100" s="7"/>
      <c r="C100" s="7"/>
      <c r="D100" s="6"/>
      <c r="F100" s="6"/>
      <c r="H100" s="6"/>
      <c r="J100" s="6"/>
      <c r="L100" s="6"/>
      <c r="N100" s="6"/>
      <c r="P100" s="6"/>
      <c r="R100" s="6"/>
    </row>
    <row r="101" spans="1:18" s="15" customFormat="1" x14ac:dyDescent="0.35">
      <c r="A101" s="7"/>
      <c r="B101" s="22" t="s">
        <v>279</v>
      </c>
      <c r="C101" s="22"/>
      <c r="D101" s="10">
        <f>+D21-D24+D99</f>
        <v>47727.760000000126</v>
      </c>
      <c r="E101" s="12"/>
      <c r="F101" s="10">
        <f>+F21-F24+F99</f>
        <v>51786.280000000203</v>
      </c>
      <c r="G101" s="5"/>
      <c r="H101" s="10">
        <f>+H21-H24+H99</f>
        <v>76130.830000000075</v>
      </c>
      <c r="I101" s="5"/>
      <c r="J101" s="10">
        <f>+J21-J24+J99</f>
        <v>43303.5</v>
      </c>
      <c r="K101" s="5"/>
      <c r="L101" s="10">
        <f>+L21-L24+L99</f>
        <v>35312.889999999956</v>
      </c>
      <c r="M101" s="5"/>
      <c r="N101" s="10">
        <f>+N21-N24+N99</f>
        <v>-27518.010000000009</v>
      </c>
      <c r="O101" s="5"/>
      <c r="P101" s="10">
        <f>+P21-P24+P99</f>
        <v>-173695.93612480001</v>
      </c>
      <c r="Q101" s="5"/>
      <c r="R101" s="10">
        <f>+R21-R24+R99</f>
        <v>-157430.84652174998</v>
      </c>
    </row>
    <row r="102" spans="1:18" s="27" customFormat="1" x14ac:dyDescent="0.35">
      <c r="A102" s="18"/>
      <c r="B102" s="31"/>
      <c r="C102" s="18"/>
      <c r="D102" s="9">
        <f>IFERROR(D101/D10, 0)</f>
        <v>6.596591443566438E-2</v>
      </c>
      <c r="E102" s="18"/>
      <c r="F102" s="9">
        <f>IFERROR(F101/F10, 0)</f>
        <v>6.7734626830212391E-2</v>
      </c>
      <c r="G102" s="14"/>
      <c r="H102" s="9">
        <f>IFERROR(H101/H10, 0)</f>
        <v>9.9977881136302169E-2</v>
      </c>
      <c r="I102" s="14"/>
      <c r="J102" s="9">
        <f>IFERROR(J101/J10, 0)</f>
        <v>6.0399814173301411E-2</v>
      </c>
      <c r="K102" s="14"/>
      <c r="L102" s="9">
        <f>IFERROR(L101/L10, 0)</f>
        <v>4.855021549183311E-2</v>
      </c>
      <c r="M102" s="14"/>
      <c r="N102" s="9">
        <f>IFERROR(N101/N10, 0)</f>
        <v>-4.6097313071049369E-2</v>
      </c>
      <c r="O102" s="14"/>
      <c r="P102" s="9">
        <f>IFERROR(P101/P10, 0)</f>
        <v>-0.62237423634578593</v>
      </c>
      <c r="Q102" s="14"/>
      <c r="R102" s="9">
        <f>IFERROR(R101/R10, 0)</f>
        <v>-0.43784913718832996</v>
      </c>
    </row>
    <row r="103" spans="1:18" s="27" customFormat="1" x14ac:dyDescent="0.35">
      <c r="A103" s="18"/>
      <c r="B103" s="31"/>
      <c r="C103" s="18"/>
      <c r="D103" s="13"/>
      <c r="E103" s="18"/>
      <c r="F103" s="13"/>
      <c r="G103" s="14"/>
      <c r="H103" s="13"/>
      <c r="I103" s="14"/>
      <c r="J103" s="13"/>
      <c r="K103" s="14"/>
      <c r="L103" s="13"/>
      <c r="M103" s="14"/>
      <c r="N103" s="13"/>
      <c r="O103" s="14"/>
      <c r="P103" s="13"/>
      <c r="Q103" s="14"/>
      <c r="R103" s="13"/>
    </row>
    <row r="104" spans="1:18" s="15" customFormat="1" x14ac:dyDescent="0.35">
      <c r="A104" s="37"/>
      <c r="B104" s="7" t="s">
        <v>127</v>
      </c>
      <c r="C104" s="7"/>
      <c r="D104" s="6">
        <v>157226.71</v>
      </c>
      <c r="E104" s="12"/>
      <c r="F104" s="6">
        <v>108838.52</v>
      </c>
      <c r="G104" s="5"/>
      <c r="H104" s="6">
        <v>101813.82</v>
      </c>
      <c r="I104" s="5"/>
      <c r="J104" s="6">
        <v>96224.02</v>
      </c>
      <c r="K104" s="5"/>
      <c r="L104" s="6">
        <v>51843.23</v>
      </c>
      <c r="M104" s="5"/>
      <c r="N104" s="6">
        <v>90392.45</v>
      </c>
      <c r="O104" s="5"/>
      <c r="P104" s="6">
        <v>47158</v>
      </c>
      <c r="Q104" s="5"/>
      <c r="R104" s="6">
        <v>40772</v>
      </c>
    </row>
    <row r="105" spans="1:18" x14ac:dyDescent="0.35">
      <c r="A105" s="12"/>
      <c r="B105" s="7"/>
      <c r="C105" s="7"/>
      <c r="D105" s="6"/>
      <c r="F105" s="6"/>
      <c r="H105" s="6"/>
      <c r="J105" s="6"/>
      <c r="L105" s="6"/>
      <c r="N105" s="6"/>
      <c r="P105" s="6"/>
      <c r="R105" s="6"/>
    </row>
    <row r="106" spans="1:18" s="15" customFormat="1" x14ac:dyDescent="0.35">
      <c r="A106" s="7"/>
      <c r="B106" s="22" t="s">
        <v>126</v>
      </c>
      <c r="C106" s="22"/>
      <c r="D106" s="10">
        <f>+D101-D104</f>
        <v>-109498.94999999987</v>
      </c>
      <c r="E106" s="12"/>
      <c r="F106" s="10">
        <f>+F101-F104</f>
        <v>-57052.239999999802</v>
      </c>
      <c r="G106" s="5"/>
      <c r="H106" s="10">
        <f>+H101-H104</f>
        <v>-25682.989999999932</v>
      </c>
      <c r="I106" s="5"/>
      <c r="J106" s="10">
        <f>+J101-J104</f>
        <v>-52920.520000000004</v>
      </c>
      <c r="K106" s="5"/>
      <c r="L106" s="10">
        <f>+L101-L104</f>
        <v>-16530.340000000047</v>
      </c>
      <c r="M106" s="5"/>
      <c r="N106" s="10">
        <f>+N101-N104</f>
        <v>-117910.46</v>
      </c>
      <c r="O106" s="5"/>
      <c r="P106" s="10">
        <f>+P101-P104</f>
        <v>-220853.93612480001</v>
      </c>
      <c r="Q106" s="5"/>
      <c r="R106" s="10">
        <f>+R101-R104</f>
        <v>-198202.84652174998</v>
      </c>
    </row>
    <row r="107" spans="1:18" s="27" customFormat="1" x14ac:dyDescent="0.35">
      <c r="A107" s="18"/>
      <c r="B107" s="18"/>
      <c r="C107" s="18"/>
      <c r="D107" s="9">
        <f>IFERROR(D106/D10, 0)</f>
        <v>-0.15134165874315209</v>
      </c>
      <c r="E107" s="18"/>
      <c r="F107" s="9">
        <f>IFERROR(F106/F10, 0)</f>
        <v>-7.4622316687502716E-2</v>
      </c>
      <c r="G107" s="14"/>
      <c r="H107" s="9">
        <f>IFERROR(H106/H10, 0)</f>
        <v>-3.3727872419686326E-2</v>
      </c>
      <c r="I107" s="14"/>
      <c r="J107" s="9">
        <f>IFERROR(J106/J10, 0)</f>
        <v>-7.3813654183945435E-2</v>
      </c>
      <c r="K107" s="14"/>
      <c r="L107" s="9">
        <f>IFERROR(L106/L10, 0)</f>
        <v>-2.2726873080998803E-2</v>
      </c>
      <c r="M107" s="14"/>
      <c r="N107" s="9">
        <f>IFERROR(N106/N10, 0)</f>
        <v>-0.19751992927437131</v>
      </c>
      <c r="O107" s="14"/>
      <c r="P107" s="9">
        <f>IFERROR(P106/P10, 0)</f>
        <v>-0.79134724108267707</v>
      </c>
      <c r="Q107" s="14"/>
      <c r="R107" s="9">
        <f>IFERROR(R106/R10, 0)</f>
        <v>-0.55124486245984616</v>
      </c>
    </row>
    <row r="108" spans="1:18" s="27" customFormat="1" x14ac:dyDescent="0.35">
      <c r="A108" s="18"/>
      <c r="B108" s="18"/>
      <c r="C108" s="18"/>
      <c r="D108" s="13"/>
      <c r="E108" s="18"/>
      <c r="F108" s="13"/>
      <c r="G108" s="14"/>
      <c r="H108" s="13"/>
      <c r="I108" s="14"/>
      <c r="J108" s="13"/>
      <c r="K108" s="14"/>
      <c r="L108" s="13"/>
      <c r="M108" s="14"/>
      <c r="N108" s="13"/>
      <c r="O108" s="14"/>
      <c r="P108" s="13"/>
      <c r="Q108" s="14"/>
      <c r="R108" s="13"/>
    </row>
    <row r="109" spans="1:18" x14ac:dyDescent="0.35">
      <c r="A109" s="12"/>
      <c r="B109" s="12"/>
      <c r="C109" s="12"/>
      <c r="D109" s="6"/>
      <c r="F109" s="6"/>
      <c r="H109" s="6"/>
      <c r="J109" s="6"/>
      <c r="L109" s="6"/>
      <c r="N109" s="6"/>
      <c r="P109" s="6"/>
      <c r="R109" s="6"/>
    </row>
    <row r="110" spans="1:18" s="15" customFormat="1" x14ac:dyDescent="0.35">
      <c r="A110" s="7"/>
      <c r="B110" s="22" t="s">
        <v>296</v>
      </c>
      <c r="C110" s="22"/>
      <c r="D110" s="10">
        <f>SUM(D106:D109)</f>
        <v>-109499.10134165861</v>
      </c>
      <c r="E110" s="12"/>
      <c r="F110" s="10">
        <f>SUM(F106:F109)</f>
        <v>-57052.314622316488</v>
      </c>
      <c r="G110" s="5"/>
      <c r="H110" s="10">
        <f>SUM(H106:H109)</f>
        <v>-25683.023727872351</v>
      </c>
      <c r="I110" s="5"/>
      <c r="J110" s="10">
        <f>SUM(J106:J109)</f>
        <v>-52920.593813654188</v>
      </c>
      <c r="K110" s="5"/>
      <c r="L110" s="10">
        <f>SUM(L106:L109)</f>
        <v>-16530.362726873129</v>
      </c>
      <c r="M110" s="5"/>
      <c r="N110" s="10">
        <f>SUM(N106:N109)</f>
        <v>-117910.65751992929</v>
      </c>
      <c r="O110" s="5"/>
      <c r="P110" s="10">
        <f>SUM(P106:P109)</f>
        <v>-220854.72747204109</v>
      </c>
      <c r="Q110" s="5"/>
      <c r="R110" s="10">
        <f>SUM(R106:R109)</f>
        <v>-198203.39776661244</v>
      </c>
    </row>
    <row r="111" spans="1:18" s="27" customFormat="1" x14ac:dyDescent="0.35">
      <c r="A111" s="18"/>
      <c r="B111" s="41"/>
      <c r="C111" s="18"/>
      <c r="D111" s="9">
        <f>IFERROR(D110/D10, 0)</f>
        <v>-0.15134186791682608</v>
      </c>
      <c r="E111" s="18"/>
      <c r="F111" s="9">
        <f>IFERROR(F110/F10, 0)</f>
        <v>-7.4622414290859695E-2</v>
      </c>
      <c r="G111" s="14"/>
      <c r="H111" s="9">
        <f>IFERROR(H110/H10, 0)</f>
        <v>-3.3727916712402162E-2</v>
      </c>
      <c r="I111" s="14"/>
      <c r="J111" s="9">
        <f>IFERROR(J110/J10, 0)</f>
        <v>-7.3813757139387745E-2</v>
      </c>
      <c r="K111" s="14"/>
      <c r="L111" s="9">
        <f>IFERROR(L110/L10, 0)</f>
        <v>-2.2726904327226048E-2</v>
      </c>
      <c r="M111" s="14"/>
      <c r="N111" s="9">
        <f>IFERROR(N110/N10, 0)</f>
        <v>-0.19752026015360341</v>
      </c>
      <c r="O111" s="14"/>
      <c r="P111" s="9">
        <f>IFERROR(P110/P10, 0)</f>
        <v>-0.79135007657869294</v>
      </c>
      <c r="Q111" s="14"/>
      <c r="R111" s="9">
        <f>IFERROR(R110/R10, 0)</f>
        <v>-0.55124639559069533</v>
      </c>
    </row>
    <row r="112" spans="1:18" x14ac:dyDescent="0.35">
      <c r="A112" s="12"/>
      <c r="B112" s="40">
        <v>44319.883572604165</v>
      </c>
      <c r="D112" s="24"/>
      <c r="F112" s="24"/>
      <c r="H112" s="24"/>
      <c r="J112" s="24"/>
      <c r="L112" s="24"/>
      <c r="N112" s="24"/>
      <c r="P112" s="24"/>
      <c r="R112" s="24"/>
    </row>
    <row r="113" spans="1:18" x14ac:dyDescent="0.35">
      <c r="A113" s="12"/>
      <c r="B113" s="39" t="s">
        <v>23</v>
      </c>
      <c r="D113" s="24"/>
      <c r="F113" s="24"/>
      <c r="H113" s="24"/>
      <c r="J113" s="24"/>
      <c r="L113" s="24"/>
      <c r="N113" s="24"/>
      <c r="P113" s="24"/>
      <c r="R113" s="24"/>
    </row>
    <row r="114" spans="1:18" x14ac:dyDescent="0.35">
      <c r="A114" s="12"/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D115" s="24"/>
      <c r="F115" s="24"/>
      <c r="H115" s="24"/>
      <c r="J115" s="24"/>
      <c r="L115" s="24"/>
      <c r="N115" s="24"/>
      <c r="P115" s="24"/>
      <c r="R115" s="24"/>
    </row>
  </sheetData>
  <pageMargins left="0.5" right="0.5" top="0.5" bottom="0.5" header="0.3" footer="0.3"/>
  <pageSetup scale="5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4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221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SUM(_xll.OneStop.ReportPlayer.OSRFunctions.OSRRef(D11))</f>
        <v>0</v>
      </c>
      <c r="F10" s="8">
        <f>SUM(_xll.OneStop.ReportPlayer.OSRFunctions.OSRRef(F11))</f>
        <v>0</v>
      </c>
      <c r="G10" s="8"/>
      <c r="H10" s="8">
        <f>SUM(_xll.OneStop.ReportPlayer.OSRFunctions.OSRRef(H11))</f>
        <v>0</v>
      </c>
      <c r="I10" s="8"/>
      <c r="J10" s="8">
        <f>SUM(_xll.OneStop.ReportPlayer.OSRFunctions.OSRRef(J11))</f>
        <v>0</v>
      </c>
      <c r="K10" s="8"/>
      <c r="L10" s="8">
        <f>SUM(_xll.OneStop.ReportPlayer.OSRFunctions.OSRRef(L11))</f>
        <v>0</v>
      </c>
      <c r="M10" s="8"/>
      <c r="N10" s="8">
        <f>SUM(_xll.OneStop.ReportPlayer.OSRFunctions.OSRRef(N11))</f>
        <v>0</v>
      </c>
      <c r="O10" s="8"/>
      <c r="P10" s="8">
        <f>SUM(_xll.OneStop.ReportPlayer.OSRFunctions.OSRRef(P11))</f>
        <v>0</v>
      </c>
      <c r="Q10" s="8"/>
      <c r="R10" s="8">
        <f>SUM(_xll.OneStop.ReportPlayer.OSRFunctions.OSRRef(R11))</f>
        <v>0</v>
      </c>
    </row>
    <row r="11" spans="1:18" s="16" customFormat="1" hidden="1" outlineLevel="1" x14ac:dyDescent="0.35">
      <c r="B11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11" s="11" t="e">
        <f>_xll.OneStop.ReportPlayer.OSRFunctions.OSRGet("GL_F_Trans","Value1")*-1</f>
        <v>#VALUE!</v>
      </c>
      <c r="F11" s="11" t="e">
        <f>_xll.OneStop.ReportPlayer.OSRFunctions.OSRGet("GL_F_Trans","Value1")*-1</f>
        <v>#VALUE!</v>
      </c>
      <c r="G11" s="3"/>
      <c r="H11" s="11" t="e">
        <f>_xll.OneStop.ReportPlayer.OSRFunctions.OSRGet("GL_F_Trans","Value1")*-1</f>
        <v>#VALUE!</v>
      </c>
      <c r="I11" s="3"/>
      <c r="J11" s="11" t="e">
        <f>-_xll.OneStop.ReportPlayer.OSRFunctions.OSRGet("GL_F_Trans","Value1")</f>
        <v>#VALUE!</v>
      </c>
      <c r="K11" s="3"/>
      <c r="L11" s="11" t="e">
        <f>-_xll.OneStop.ReportPlayer.OSRFunctions.OSRGet("GL_F_Trans","Value1")</f>
        <v>#VALUE!</v>
      </c>
      <c r="M11" s="3"/>
      <c r="N11" s="11" t="e">
        <f>-_xll.OneStop.ReportPlayer.OSRFunctions.OSRGet("GL_F_Trans","Value1")</f>
        <v>#VALUE!</v>
      </c>
      <c r="O11" s="3"/>
      <c r="P11" s="11" t="str">
        <f>_xll.OneStop.ReportPlayer.OSRFunctions.OSRGet("GL_F_Trans","Value1")</f>
        <v>[GL_F_Trans.Value1]</v>
      </c>
      <c r="Q11" s="3"/>
      <c r="R11" s="11" t="str">
        <f>_xll.OneStop.ReportPlayer.OSRFunctions.OSRGet("GL_F_Trans","Value1")</f>
        <v>[GL_F_Trans.Value1]</v>
      </c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collapsed="1" x14ac:dyDescent="0.35">
      <c r="B13" s="7" t="s">
        <v>278</v>
      </c>
      <c r="D13" s="8">
        <f>SUM(_xll.OneStop.ReportPlayer.OSRFunctions.OSRRef(D14))</f>
        <v>0</v>
      </c>
      <c r="E13" s="8"/>
      <c r="F13" s="8">
        <f>SUM(_xll.OneStop.ReportPlayer.OSRFunctions.OSRRef(F14))</f>
        <v>0</v>
      </c>
      <c r="G13" s="8"/>
      <c r="H13" s="8">
        <f>SUM(_xll.OneStop.ReportPlayer.OSRFunctions.OSRRef(H14))</f>
        <v>0</v>
      </c>
      <c r="I13" s="8"/>
      <c r="J13" s="8">
        <f>SUM(_xll.OneStop.ReportPlayer.OSRFunctions.OSRRef(J14))</f>
        <v>0</v>
      </c>
      <c r="K13" s="8"/>
      <c r="L13" s="8">
        <f>SUM(_xll.OneStop.ReportPlayer.OSRFunctions.OSRRef(L14))</f>
        <v>0</v>
      </c>
      <c r="M13" s="8"/>
      <c r="N13" s="8">
        <f>SUM(_xll.OneStop.ReportPlayer.OSRFunctions.OSRRef(N14))</f>
        <v>0</v>
      </c>
      <c r="O13" s="8"/>
      <c r="P13" s="8">
        <f>SUM(_xll.OneStop.ReportPlayer.OSRFunctions.OSRRef(P14))</f>
        <v>0</v>
      </c>
      <c r="Q13" s="8"/>
      <c r="R13" s="8">
        <f>SUM(_xll.OneStop.ReportPlayer.OSRFunctions.OSRRef(R14))</f>
        <v>0</v>
      </c>
    </row>
    <row r="14" spans="1:18" s="44" customFormat="1" hidden="1" outlineLevel="1" x14ac:dyDescent="0.35">
      <c r="A14" s="16"/>
      <c r="B14" s="35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C14" s="16"/>
      <c r="D14" s="11" t="str">
        <f>_xll.OneStop.ReportPlayer.OSRFunctions.OSRGet("GL_F_Trans","Value1")</f>
        <v>[GL_F_Trans.Value1]</v>
      </c>
      <c r="E14" s="16"/>
      <c r="F14" s="11" t="str">
        <f>_xll.OneStop.ReportPlayer.OSRFunctions.OSRGet("GL_F_Trans","Value1")</f>
        <v>[GL_F_Trans.Value1]</v>
      </c>
      <c r="G14" s="3"/>
      <c r="H14" s="11" t="str">
        <f>_xll.OneStop.ReportPlayer.OSRFunctions.OSRGet("GL_F_Trans","Value1")</f>
        <v>[GL_F_Trans.Value1]</v>
      </c>
      <c r="I14" s="3"/>
      <c r="J14" s="11" t="str">
        <f>_xll.OneStop.ReportPlayer.OSRFunctions.OSRGet("GL_F_Trans","Value1")</f>
        <v>[GL_F_Trans.Value1]</v>
      </c>
      <c r="K14" s="3"/>
      <c r="L14" s="11" t="str">
        <f>_xll.OneStop.ReportPlayer.OSRFunctions.OSRGet("GL_F_Trans","Value1")</f>
        <v>[GL_F_Trans.Value1]</v>
      </c>
      <c r="M14" s="3"/>
      <c r="N14" s="11" t="str">
        <f>_xll.OneStop.ReportPlayer.OSRFunctions.OSRGet("GL_F_Trans","Value1")</f>
        <v>[GL_F_Trans.Value1]</v>
      </c>
      <c r="O14" s="3"/>
      <c r="P14" s="11" t="str">
        <f>_xll.OneStop.ReportPlayer.OSRFunctions.OSRGet("GL_F_Trans","Value1")</f>
        <v>[GL_F_Trans.Value1]</v>
      </c>
      <c r="Q14" s="3"/>
      <c r="R14" s="11" t="str">
        <f>_xll.OneStop.ReportPlayer.OSRFunctions.OSRGet("GL_F_Trans","Value1")</f>
        <v>[GL_F_Trans.Value1]</v>
      </c>
    </row>
    <row r="15" spans="1:18" x14ac:dyDescent="0.35">
      <c r="A15" s="12"/>
      <c r="B15" s="7"/>
      <c r="C15" s="7"/>
      <c r="D15" s="6"/>
      <c r="F15" s="6"/>
      <c r="H15" s="6"/>
      <c r="J15" s="6"/>
      <c r="L15" s="6"/>
      <c r="N15" s="6"/>
      <c r="P15" s="6"/>
      <c r="R15" s="6"/>
    </row>
    <row r="16" spans="1:18" s="15" customFormat="1" x14ac:dyDescent="0.35">
      <c r="A16" s="7"/>
      <c r="B16" s="22" t="s">
        <v>107</v>
      </c>
      <c r="C16" s="22"/>
      <c r="D16" s="10">
        <f>+D10-D13</f>
        <v>0</v>
      </c>
      <c r="E16" s="12"/>
      <c r="F16" s="10">
        <f>+F10-F13</f>
        <v>0</v>
      </c>
      <c r="G16" s="5"/>
      <c r="H16" s="10">
        <f>+H10-H13</f>
        <v>0</v>
      </c>
      <c r="I16" s="5"/>
      <c r="J16" s="10">
        <f>+J10-J13</f>
        <v>0</v>
      </c>
      <c r="K16" s="5"/>
      <c r="L16" s="10">
        <f>+L10-L13</f>
        <v>0</v>
      </c>
      <c r="M16" s="5"/>
      <c r="N16" s="10">
        <f>+N10-N13</f>
        <v>0</v>
      </c>
      <c r="O16" s="5"/>
      <c r="P16" s="10">
        <f>+P10-P13</f>
        <v>0</v>
      </c>
      <c r="Q16" s="5"/>
      <c r="R16" s="10">
        <f>+R10-R13</f>
        <v>0</v>
      </c>
    </row>
    <row r="17" spans="1:18" s="27" customFormat="1" x14ac:dyDescent="0.35">
      <c r="A17" s="18"/>
      <c r="B17" s="31"/>
      <c r="C17" s="18"/>
      <c r="D17" s="9">
        <f>IFERROR(D16/D10, 0)</f>
        <v>0</v>
      </c>
      <c r="E17" s="13"/>
      <c r="F17" s="9">
        <f>IFERROR(F16/F10, 0)</f>
        <v>0</v>
      </c>
      <c r="G17" s="26"/>
      <c r="H17" s="9">
        <f>IFERROR(H16/H10, 0)</f>
        <v>0</v>
      </c>
      <c r="I17" s="26"/>
      <c r="J17" s="9">
        <f>IFERROR(J16/J10, 0)</f>
        <v>0</v>
      </c>
      <c r="K17" s="26"/>
      <c r="L17" s="9">
        <f>IFERROR(L16/L10, 0)</f>
        <v>0</v>
      </c>
      <c r="M17" s="26"/>
      <c r="N17" s="9">
        <f>IFERROR(N16/N10, 0)</f>
        <v>0</v>
      </c>
      <c r="O17" s="26"/>
      <c r="P17" s="9">
        <f>IFERROR(P16/P10, 0)</f>
        <v>0</v>
      </c>
      <c r="Q17" s="26"/>
      <c r="R17" s="9">
        <f>IFERROR(R16/R10, 0)</f>
        <v>0</v>
      </c>
    </row>
    <row r="18" spans="1:18" s="27" customFormat="1" x14ac:dyDescent="0.35">
      <c r="A18" s="18"/>
      <c r="B18" s="31"/>
      <c r="C18" s="18"/>
      <c r="D18" s="13"/>
      <c r="E18" s="13"/>
      <c r="F18" s="13"/>
      <c r="G18" s="26"/>
      <c r="H18" s="13"/>
      <c r="I18" s="26"/>
      <c r="J18" s="13"/>
      <c r="K18" s="26"/>
      <c r="L18" s="13"/>
      <c r="M18" s="26"/>
      <c r="N18" s="13"/>
      <c r="O18" s="26"/>
      <c r="P18" s="13"/>
      <c r="Q18" s="26"/>
      <c r="R18" s="13"/>
    </row>
    <row r="19" spans="1:18" s="15" customFormat="1" x14ac:dyDescent="0.35">
      <c r="A19" s="7"/>
      <c r="B19" s="34" t="s">
        <v>314</v>
      </c>
      <c r="C19" s="7"/>
      <c r="D19" s="8">
        <f>SUM(_xll.OneStop.ReportPlayer.OSRFunctions.OSRRef(D21))</f>
        <v>0</v>
      </c>
      <c r="E19" s="19"/>
      <c r="F19" s="8">
        <f>SUM(_xll.OneStop.ReportPlayer.OSRFunctions.OSRRef(F21))</f>
        <v>0</v>
      </c>
      <c r="G19" s="4"/>
      <c r="H19" s="8">
        <f>SUM(_xll.OneStop.ReportPlayer.OSRFunctions.OSRRef(H21))</f>
        <v>0</v>
      </c>
      <c r="I19" s="4"/>
      <c r="J19" s="8">
        <f>SUM(_xll.OneStop.ReportPlayer.OSRFunctions.OSRRef(J21))</f>
        <v>0</v>
      </c>
      <c r="K19" s="4"/>
      <c r="L19" s="8">
        <f>SUM(_xll.OneStop.ReportPlayer.OSRFunctions.OSRRef(L21))</f>
        <v>0</v>
      </c>
      <c r="M19" s="4"/>
      <c r="N19" s="8">
        <f>SUM(_xll.OneStop.ReportPlayer.OSRFunctions.OSRRef(N21))</f>
        <v>0</v>
      </c>
      <c r="O19" s="4"/>
      <c r="P19" s="8">
        <f>SUM(_xll.OneStop.ReportPlayer.OSRFunctions.OSRRef(P21))</f>
        <v>0</v>
      </c>
      <c r="Q19" s="4"/>
      <c r="R19" s="8">
        <f>SUM(_xll.OneStop.ReportPlayer.OSRFunctions.OSRRef(R21))</f>
        <v>0</v>
      </c>
    </row>
    <row r="20" spans="1:18" s="15" customFormat="1" outlineLevel="1" collapsed="1" x14ac:dyDescent="0.35">
      <c r="A20" s="7"/>
      <c r="B20" s="20" t="str">
        <f>CONCATENATE("     ",_xll.OneStop.ReportPlayer.OSRFunctions.OSRGet("d_Account","AccountCategory"))</f>
        <v xml:space="preserve">     [d_Account.AccountCategory]</v>
      </c>
      <c r="C20" s="7"/>
      <c r="D20" s="1">
        <f>SUM(_xll.OneStop.ReportPlayer.OSRFunctions.OSRRef(D21))</f>
        <v>0</v>
      </c>
      <c r="E20" s="19"/>
      <c r="F20" s="1">
        <f>SUM(_xll.OneStop.ReportPlayer.OSRFunctions.OSRRef(F21))</f>
        <v>0</v>
      </c>
      <c r="G20" s="4"/>
      <c r="H20" s="1">
        <f>SUM(_xll.OneStop.ReportPlayer.OSRFunctions.OSRRef(H21))</f>
        <v>0</v>
      </c>
      <c r="I20" s="4"/>
      <c r="J20" s="1">
        <f>SUM(_xll.OneStop.ReportPlayer.OSRFunctions.OSRRef(J21))</f>
        <v>0</v>
      </c>
      <c r="K20" s="4"/>
      <c r="L20" s="1">
        <f>SUM(_xll.OneStop.ReportPlayer.OSRFunctions.OSRRef(L21))</f>
        <v>0</v>
      </c>
      <c r="M20" s="4"/>
      <c r="N20" s="1">
        <f>SUM(_xll.OneStop.ReportPlayer.OSRFunctions.OSRRef(N21))</f>
        <v>0</v>
      </c>
      <c r="O20" s="4"/>
      <c r="P20" s="1">
        <f>SUM(_xll.OneStop.ReportPlayer.OSRFunctions.OSRRef(P21))</f>
        <v>0</v>
      </c>
      <c r="Q20" s="4"/>
      <c r="R20" s="1">
        <f>SUM(_xll.OneStop.ReportPlayer.OSRFunctions.OSRRef(R21))</f>
        <v>0</v>
      </c>
    </row>
    <row r="21" spans="1:18" s="16" customFormat="1" hidden="1" outlineLevel="2" x14ac:dyDescent="0.35">
      <c r="B21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1" s="2" t="str">
        <f>_xll.OneStop.ReportPlayer.OSRFunctions.OSRGet("GL_F_Trans","Value1")</f>
        <v>[GL_F_Trans.Value1]</v>
      </c>
      <c r="F21" s="2" t="str">
        <f>_xll.OneStop.ReportPlayer.OSRFunctions.OSRGet("GL_F_Trans","Value1")</f>
        <v>[GL_F_Trans.Value1]</v>
      </c>
      <c r="G21" s="3"/>
      <c r="H21" s="2" t="str">
        <f>_xll.OneStop.ReportPlayer.OSRFunctions.OSRGet("GL_F_Trans","Value1")</f>
        <v>[GL_F_Trans.Value1]</v>
      </c>
      <c r="I21" s="3"/>
      <c r="J21" s="2" t="str">
        <f>_xll.OneStop.ReportPlayer.OSRFunctions.OSRGet("GL_F_Trans","Value1")</f>
        <v>[GL_F_Trans.Value1]</v>
      </c>
      <c r="K21" s="3"/>
      <c r="L21" s="2" t="str">
        <f>_xll.OneStop.ReportPlayer.OSRFunctions.OSRGet("GL_F_Trans","Value1")</f>
        <v>[GL_F_Trans.Value1]</v>
      </c>
      <c r="M21" s="3"/>
      <c r="N21" s="2" t="str">
        <f>_xll.OneStop.ReportPlayer.OSRFunctions.OSRGet("GL_F_Trans","Value1")</f>
        <v>[GL_F_Trans.Value1]</v>
      </c>
      <c r="O21" s="3"/>
      <c r="P21" s="2" t="str">
        <f>_xll.OneStop.ReportPlayer.OSRFunctions.OSRGet("GL_F_Trans","Value1")</f>
        <v>[GL_F_Trans.Value1]</v>
      </c>
      <c r="Q21" s="3"/>
      <c r="R21" s="2" t="str">
        <f>_xll.OneStop.ReportPlayer.OSRFunctions.OSRGet("GL_F_Trans","Value1")</f>
        <v>[GL_F_Trans.Value1]</v>
      </c>
    </row>
    <row r="22" spans="1:18" x14ac:dyDescent="0.35">
      <c r="A22" s="12"/>
      <c r="B22" s="12"/>
      <c r="C22" s="12"/>
      <c r="D22" s="1"/>
      <c r="F22" s="1"/>
      <c r="H22" s="1"/>
      <c r="J22" s="1"/>
      <c r="L22" s="1"/>
      <c r="N22" s="1"/>
      <c r="P22" s="1"/>
      <c r="R22" s="1"/>
    </row>
    <row r="23" spans="1:18" s="7" customFormat="1" collapsed="1" x14ac:dyDescent="0.35">
      <c r="A23" s="36"/>
      <c r="B23" s="34" t="s">
        <v>295</v>
      </c>
      <c r="D23" s="6">
        <f>SUM(_xll.OneStop.ReportPlayer.OSRFunctions.OSRRef(D24))</f>
        <v>0</v>
      </c>
      <c r="E23" s="12"/>
      <c r="F23" s="6">
        <f>SUM(_xll.OneStop.ReportPlayer.OSRFunctions.OSRRef(F24))</f>
        <v>0</v>
      </c>
      <c r="G23" s="5"/>
      <c r="H23" s="6">
        <f>SUM(_xll.OneStop.ReportPlayer.OSRFunctions.OSRRef(H24))</f>
        <v>0</v>
      </c>
      <c r="I23" s="5"/>
      <c r="J23" s="6">
        <f>SUM(_xll.OneStop.ReportPlayer.OSRFunctions.OSRRef(J24))</f>
        <v>0</v>
      </c>
      <c r="K23" s="5"/>
      <c r="L23" s="6">
        <f>SUM(_xll.OneStop.ReportPlayer.OSRFunctions.OSRRef(L24))</f>
        <v>0</v>
      </c>
      <c r="M23" s="5"/>
      <c r="N23" s="6">
        <f>SUM(_xll.OneStop.ReportPlayer.OSRFunctions.OSRRef(N24))</f>
        <v>0</v>
      </c>
      <c r="O23" s="5"/>
      <c r="P23" s="6">
        <f>SUM(_xll.OneStop.ReportPlayer.OSRFunctions.OSRRef(P24))</f>
        <v>0</v>
      </c>
      <c r="Q23" s="5"/>
      <c r="R23" s="6">
        <f>SUM(_xll.OneStop.ReportPlayer.OSRFunctions.OSRRef(R24))</f>
        <v>0</v>
      </c>
    </row>
    <row r="24" spans="1:18" s="7" customFormat="1" hidden="1" outlineLevel="1" x14ac:dyDescent="0.35">
      <c r="A24" s="36"/>
      <c r="B24" s="11" t="str">
        <f>CONCATENATE("          ", _xll.OneStop.ReportPlayer.OSRFunctions.OSRGet("d_Account","Code"), " - ", _xll.OneStop.ReportPlayer.OSRFunctions.OSRGet("d_Account","Description"))</f>
        <v xml:space="preserve">          [d_Account.Code] - [d_Account.Description]</v>
      </c>
      <c r="D24" s="11" t="e">
        <f>-_xll.OneStop.ReportPlayer.OSRFunctions.OSRGet("GL_F_Trans","Value1")</f>
        <v>#VALUE!</v>
      </c>
      <c r="E24" s="16"/>
      <c r="F24" s="11" t="e">
        <f>-_xll.OneStop.ReportPlayer.OSRFunctions.OSRGet("GL_F_Trans","Value1")</f>
        <v>#VALUE!</v>
      </c>
      <c r="G24" s="3"/>
      <c r="H24" s="11" t="e">
        <f>-_xll.OneStop.ReportPlayer.OSRFunctions.OSRGet("GL_F_Trans","Value1")</f>
        <v>#VALUE!</v>
      </c>
      <c r="I24" s="3"/>
      <c r="J24" s="11" t="e">
        <f>-_xll.OneStop.ReportPlayer.OSRFunctions.OSRGet("GL_F_Trans","Value1")</f>
        <v>#VALUE!</v>
      </c>
      <c r="K24" s="3"/>
      <c r="L24" s="11" t="e">
        <f>-_xll.OneStop.ReportPlayer.OSRFunctions.OSRGet("GL_F_Trans","Value1")</f>
        <v>#VALUE!</v>
      </c>
      <c r="M24" s="3"/>
      <c r="N24" s="11" t="e">
        <f>-_xll.OneStop.ReportPlayer.OSRFunctions.OSRGet("GL_F_Trans","Value1")</f>
        <v>#VALUE!</v>
      </c>
      <c r="O24" s="3"/>
      <c r="P24" s="11" t="str">
        <f>_xll.OneStop.ReportPlayer.OSRFunctions.OSRGet("GL_F_Trans","Value1")</f>
        <v>[GL_F_Trans.Value1]</v>
      </c>
      <c r="Q24" s="3"/>
      <c r="R24" s="11" t="str">
        <f>_xll.OneStop.ReportPlayer.OSRFunctions.OSRGet("GL_F_Trans","Value1")</f>
        <v>[GL_F_Trans.Value1]</v>
      </c>
    </row>
    <row r="25" spans="1:18" x14ac:dyDescent="0.35">
      <c r="A25" s="12"/>
      <c r="B25" s="7"/>
      <c r="C25" s="7"/>
      <c r="D25" s="6"/>
      <c r="F25" s="6"/>
      <c r="H25" s="6"/>
      <c r="J25" s="6"/>
      <c r="L25" s="6"/>
      <c r="N25" s="6"/>
      <c r="P25" s="6"/>
      <c r="R25" s="6"/>
    </row>
    <row r="26" spans="1:18" s="15" customFormat="1" x14ac:dyDescent="0.35">
      <c r="A26" s="7"/>
      <c r="B26" s="22" t="s">
        <v>279</v>
      </c>
      <c r="C26" s="22"/>
      <c r="D26" s="10">
        <f>+D16-D19+D23</f>
        <v>0</v>
      </c>
      <c r="E26" s="12"/>
      <c r="F26" s="10">
        <f>+F16-F19+F23</f>
        <v>0</v>
      </c>
      <c r="G26" s="5"/>
      <c r="H26" s="10">
        <f>+H16-H19+H23</f>
        <v>0</v>
      </c>
      <c r="I26" s="5"/>
      <c r="J26" s="10">
        <f>+J16-J19+J23</f>
        <v>0</v>
      </c>
      <c r="K26" s="5"/>
      <c r="L26" s="10">
        <f>+L16-L19+L23</f>
        <v>0</v>
      </c>
      <c r="M26" s="5"/>
      <c r="N26" s="10">
        <f>+N16-N19+N23</f>
        <v>0</v>
      </c>
      <c r="O26" s="5"/>
      <c r="P26" s="10">
        <f>+P16-P19+P23</f>
        <v>0</v>
      </c>
      <c r="Q26" s="5"/>
      <c r="R26" s="10">
        <f>+R16-R19+R23</f>
        <v>0</v>
      </c>
    </row>
    <row r="27" spans="1:18" s="27" customFormat="1" x14ac:dyDescent="0.35">
      <c r="A27" s="18"/>
      <c r="B27" s="31"/>
      <c r="C27" s="18"/>
      <c r="D27" s="9">
        <f>IFERROR(D26/D10, 0)</f>
        <v>0</v>
      </c>
      <c r="E27" s="18"/>
      <c r="F27" s="9">
        <f>IFERROR(F26/F10, 0)</f>
        <v>0</v>
      </c>
      <c r="G27" s="14"/>
      <c r="H27" s="9">
        <f>IFERROR(H26/H10, 0)</f>
        <v>0</v>
      </c>
      <c r="I27" s="14"/>
      <c r="J27" s="9">
        <f>IFERROR(J26/J10, 0)</f>
        <v>0</v>
      </c>
      <c r="K27" s="14"/>
      <c r="L27" s="9">
        <f>IFERROR(L26/L10, 0)</f>
        <v>0</v>
      </c>
      <c r="M27" s="14"/>
      <c r="N27" s="9">
        <f>IFERROR(N26/N10, 0)</f>
        <v>0</v>
      </c>
      <c r="O27" s="14"/>
      <c r="P27" s="9">
        <f>IFERROR(P26/P10, 0)</f>
        <v>0</v>
      </c>
      <c r="Q27" s="14"/>
      <c r="R27" s="9">
        <f>IFERROR(R26/R10, 0)</f>
        <v>0</v>
      </c>
    </row>
    <row r="28" spans="1:18" s="27" customFormat="1" x14ac:dyDescent="0.35">
      <c r="A28" s="18"/>
      <c r="B28" s="31"/>
      <c r="C28" s="18"/>
      <c r="D28" s="13"/>
      <c r="E28" s="18"/>
      <c r="F28" s="13"/>
      <c r="G28" s="14"/>
      <c r="H28" s="13"/>
      <c r="I28" s="14"/>
      <c r="J28" s="13"/>
      <c r="K28" s="14"/>
      <c r="L28" s="13"/>
      <c r="M28" s="14"/>
      <c r="N28" s="13"/>
      <c r="O28" s="14"/>
      <c r="P28" s="13"/>
      <c r="Q28" s="14"/>
      <c r="R28" s="13"/>
    </row>
    <row r="29" spans="1:18" s="15" customFormat="1" x14ac:dyDescent="0.35">
      <c r="A29" s="37"/>
      <c r="B29" s="7" t="s">
        <v>127</v>
      </c>
      <c r="C29" s="7"/>
      <c r="D29" s="6" t="str">
        <f>_xll.OneStop.ReportPlayer.OSRFunctions.OSRGet("GL_F_Trans","Value1")</f>
        <v>[GL_F_Trans.Value1]</v>
      </c>
      <c r="E29" s="12"/>
      <c r="F29" s="6" t="str">
        <f>_xll.OneStop.ReportPlayer.OSRFunctions.OSRGet("GL_F_Trans","Value1")</f>
        <v>[GL_F_Trans.Value1]</v>
      </c>
      <c r="G29" s="5"/>
      <c r="H29" s="6" t="str">
        <f>_xll.OneStop.ReportPlayer.OSRFunctions.OSRGet("GL_F_Trans","Value1")</f>
        <v>[GL_F_Trans.Value1]</v>
      </c>
      <c r="I29" s="5"/>
      <c r="J29" s="6" t="str">
        <f>_xll.OneStop.ReportPlayer.OSRFunctions.OSRGet("GL_F_Trans","Value1")</f>
        <v>[GL_F_Trans.Value1]</v>
      </c>
      <c r="K29" s="5"/>
      <c r="L29" s="6" t="str">
        <f>_xll.OneStop.ReportPlayer.OSRFunctions.OSRGet("GL_F_Trans","Value1")</f>
        <v>[GL_F_Trans.Value1]</v>
      </c>
      <c r="M29" s="5"/>
      <c r="N29" s="6" t="str">
        <f>_xll.OneStop.ReportPlayer.OSRFunctions.OSRGet("GL_F_Trans","Value1")</f>
        <v>[GL_F_Trans.Value1]</v>
      </c>
      <c r="O29" s="5"/>
      <c r="P29" s="6" t="str">
        <f>_xll.OneStop.ReportPlayer.OSRFunctions.OSRGet("GL_F_Trans","Value1")</f>
        <v>[GL_F_Trans.Value1]</v>
      </c>
      <c r="Q29" s="5"/>
      <c r="R29" s="6" t="str">
        <f>_xll.OneStop.ReportPlayer.OSRFunctions.OSRGet("GL_F_Trans","Value1")</f>
        <v>[GL_F_Trans.Value1]</v>
      </c>
    </row>
    <row r="30" spans="1:18" x14ac:dyDescent="0.35">
      <c r="A30" s="12"/>
      <c r="B30" s="7"/>
      <c r="C30" s="7"/>
      <c r="D30" s="6"/>
      <c r="F30" s="6"/>
      <c r="H30" s="6"/>
      <c r="J30" s="6"/>
      <c r="L30" s="6"/>
      <c r="N30" s="6"/>
      <c r="P30" s="6"/>
      <c r="R30" s="6"/>
    </row>
    <row r="31" spans="1:18" s="15" customFormat="1" x14ac:dyDescent="0.35">
      <c r="A31" s="7"/>
      <c r="B31" s="22" t="s">
        <v>126</v>
      </c>
      <c r="C31" s="22"/>
      <c r="D31" s="10" t="e">
        <f>+D26-D29</f>
        <v>#VALUE!</v>
      </c>
      <c r="E31" s="12"/>
      <c r="F31" s="10" t="e">
        <f>+F26-F29</f>
        <v>#VALUE!</v>
      </c>
      <c r="G31" s="5"/>
      <c r="H31" s="10" t="e">
        <f>+H26-H29</f>
        <v>#VALUE!</v>
      </c>
      <c r="I31" s="5"/>
      <c r="J31" s="10" t="e">
        <f>+J26-J29</f>
        <v>#VALUE!</v>
      </c>
      <c r="K31" s="5"/>
      <c r="L31" s="10" t="e">
        <f>+L26-L29</f>
        <v>#VALUE!</v>
      </c>
      <c r="M31" s="5"/>
      <c r="N31" s="10" t="e">
        <f>+N26-N29</f>
        <v>#VALUE!</v>
      </c>
      <c r="O31" s="5"/>
      <c r="P31" s="10" t="e">
        <f>+P26-P29</f>
        <v>#VALUE!</v>
      </c>
      <c r="Q31" s="5"/>
      <c r="R31" s="10" t="e">
        <f>+R26-R29</f>
        <v>#VALUE!</v>
      </c>
    </row>
    <row r="32" spans="1:18" s="27" customFormat="1" x14ac:dyDescent="0.35">
      <c r="A32" s="18"/>
      <c r="B32" s="18"/>
      <c r="C32" s="18"/>
      <c r="D32" s="9">
        <f>IFERROR(D31/D10, 0)</f>
        <v>0</v>
      </c>
      <c r="E32" s="18"/>
      <c r="F32" s="9">
        <f>IFERROR(F31/F10, 0)</f>
        <v>0</v>
      </c>
      <c r="G32" s="14"/>
      <c r="H32" s="9">
        <f>IFERROR(H31/H10, 0)</f>
        <v>0</v>
      </c>
      <c r="I32" s="14"/>
      <c r="J32" s="9">
        <f>IFERROR(J31/J10, 0)</f>
        <v>0</v>
      </c>
      <c r="K32" s="14"/>
      <c r="L32" s="9">
        <f>IFERROR(L31/L10, 0)</f>
        <v>0</v>
      </c>
      <c r="M32" s="14"/>
      <c r="N32" s="9">
        <f>IFERROR(N31/N10, 0)</f>
        <v>0</v>
      </c>
      <c r="O32" s="14"/>
      <c r="P32" s="9">
        <f>IFERROR(P31/P10, 0)</f>
        <v>0</v>
      </c>
      <c r="Q32" s="14"/>
      <c r="R32" s="9">
        <f>IFERROR(R31/R10, 0)</f>
        <v>0</v>
      </c>
    </row>
    <row r="33" spans="1:18" s="27" customFormat="1" x14ac:dyDescent="0.35">
      <c r="A33" s="18"/>
      <c r="B33" s="18"/>
      <c r="C33" s="18"/>
      <c r="D33" s="13"/>
      <c r="E33" s="18"/>
      <c r="F33" s="13"/>
      <c r="G33" s="14"/>
      <c r="H33" s="13"/>
      <c r="I33" s="14"/>
      <c r="J33" s="13"/>
      <c r="K33" s="14"/>
      <c r="L33" s="13"/>
      <c r="M33" s="14"/>
      <c r="N33" s="13"/>
      <c r="O33" s="14"/>
      <c r="P33" s="13"/>
      <c r="Q33" s="14"/>
      <c r="R33" s="13"/>
    </row>
    <row r="34" spans="1:18" s="15" customFormat="1" x14ac:dyDescent="0.35">
      <c r="A34" s="36"/>
      <c r="B34" s="45" t="s">
        <v>187</v>
      </c>
      <c r="C34" s="7"/>
      <c r="D34" s="30">
        <f>IFERROR(-_xll.OneStop.ReportPlayer.OSRFunctions.OSRGet("GL_F_Trans","Value1"), 0)</f>
        <v>0</v>
      </c>
      <c r="E34" s="12"/>
      <c r="F34" s="30">
        <f>IFERROR(-_xll.OneStop.ReportPlayer.OSRFunctions.OSRGet("GL_F_Trans","Value1"), 0)</f>
        <v>0</v>
      </c>
      <c r="G34" s="5"/>
      <c r="H34" s="30">
        <f>IFERROR(-_xll.OneStop.ReportPlayer.OSRFunctions.OSRGet("GL_F_Trans","Value1"), 0)</f>
        <v>0</v>
      </c>
      <c r="I34" s="5"/>
      <c r="J34" s="30">
        <f>IFERROR(-_xll.OneStop.ReportPlayer.OSRFunctions.OSRGet("GL_F_Trans","Value1"), 0)</f>
        <v>0</v>
      </c>
      <c r="K34" s="5"/>
      <c r="L34" s="30">
        <f>IFERROR(-_xll.OneStop.ReportPlayer.OSRFunctions.OSRGet("GL_F_Trans","Value1"), 0)</f>
        <v>0</v>
      </c>
      <c r="M34" s="5"/>
      <c r="N34" s="30">
        <f>IFERROR(-_xll.OneStop.ReportPlayer.OSRFunctions.OSRGet("GL_F_Trans","Value1"), 0)</f>
        <v>0</v>
      </c>
      <c r="O34" s="5"/>
      <c r="P34" s="30">
        <f>IFERROR(-_xll.OneStop.ReportPlayer.OSRFunctions.OSRGet("GL_F_Trans","Value1"), 0)</f>
        <v>0</v>
      </c>
      <c r="Q34" s="5"/>
      <c r="R34" s="30">
        <f>IFERROR(-_xll.OneStop.ReportPlayer.OSRFunctions.OSRGet("GL_F_Trans","Value1"), 0)</f>
        <v>0</v>
      </c>
    </row>
    <row r="35" spans="1:18" s="15" customFormat="1" x14ac:dyDescent="0.35">
      <c r="A35" s="36"/>
      <c r="B35" s="7" t="s">
        <v>80</v>
      </c>
      <c r="C35" s="7"/>
      <c r="D35" s="30">
        <f>IFERROR(-_xll.OneStop.ReportPlayer.OSRFunctions.OSRGet("GL_F_Trans","Value1"), 0)</f>
        <v>0</v>
      </c>
      <c r="E35" s="12"/>
      <c r="F35" s="30">
        <f>IFERROR(-_xll.OneStop.ReportPlayer.OSRFunctions.OSRGet("GL_F_Trans","Value1"), 0)</f>
        <v>0</v>
      </c>
      <c r="G35" s="5"/>
      <c r="H35" s="30">
        <f>IFERROR(-_xll.OneStop.ReportPlayer.OSRFunctions.OSRGet("GL_F_Trans","Value1"), 0)</f>
        <v>0</v>
      </c>
      <c r="I35" s="5"/>
      <c r="J35" s="30">
        <f>IFERROR(-_xll.OneStop.ReportPlayer.OSRFunctions.OSRGet("GL_F_Trans","Value1"), 0)</f>
        <v>0</v>
      </c>
      <c r="K35" s="5"/>
      <c r="L35" s="30">
        <f>IFERROR(-_xll.OneStop.ReportPlayer.OSRFunctions.OSRGet("GL_F_Trans","Value1"), 0)</f>
        <v>0</v>
      </c>
      <c r="M35" s="5"/>
      <c r="N35" s="30">
        <f>IFERROR(-_xll.OneStop.ReportPlayer.OSRFunctions.OSRGet("GL_F_Trans","Value1"), 0)</f>
        <v>0</v>
      </c>
      <c r="O35" s="5"/>
      <c r="P35" s="30">
        <f>IFERROR(-_xll.OneStop.ReportPlayer.OSRFunctions.OSRGet("GL_F_Trans","Value1"), 0)</f>
        <v>0</v>
      </c>
      <c r="Q35" s="5"/>
      <c r="R35" s="30">
        <f>IFERROR(-_xll.OneStop.ReportPlayer.OSRFunctions.OSRGet("GL_F_Trans","Value1"), 0)</f>
        <v>0</v>
      </c>
    </row>
    <row r="36" spans="1:18" x14ac:dyDescent="0.35">
      <c r="A36" s="12"/>
      <c r="B36" s="12"/>
      <c r="C36" s="12"/>
      <c r="D36" s="6"/>
      <c r="F36" s="6"/>
      <c r="H36" s="6"/>
      <c r="J36" s="6"/>
      <c r="L36" s="6"/>
      <c r="N36" s="6"/>
      <c r="P36" s="6"/>
      <c r="R36" s="6"/>
    </row>
    <row r="37" spans="1:18" s="15" customFormat="1" x14ac:dyDescent="0.35">
      <c r="A37" s="7"/>
      <c r="B37" s="22" t="s">
        <v>296</v>
      </c>
      <c r="C37" s="22"/>
      <c r="D37" s="10" t="e">
        <f>SUM(D31:D36)</f>
        <v>#VALUE!</v>
      </c>
      <c r="E37" s="12"/>
      <c r="F37" s="10" t="e">
        <f>SUM(F31:F36)</f>
        <v>#VALUE!</v>
      </c>
      <c r="G37" s="5"/>
      <c r="H37" s="10" t="e">
        <f>SUM(H31:H36)</f>
        <v>#VALUE!</v>
      </c>
      <c r="I37" s="5"/>
      <c r="J37" s="10" t="e">
        <f>SUM(J31:J36)</f>
        <v>#VALUE!</v>
      </c>
      <c r="K37" s="5"/>
      <c r="L37" s="10" t="e">
        <f>SUM(L31:L36)</f>
        <v>#VALUE!</v>
      </c>
      <c r="M37" s="5"/>
      <c r="N37" s="10" t="e">
        <f>SUM(N31:N36)</f>
        <v>#VALUE!</v>
      </c>
      <c r="O37" s="5"/>
      <c r="P37" s="10" t="e">
        <f>SUM(P31:P36)</f>
        <v>#VALUE!</v>
      </c>
      <c r="Q37" s="5"/>
      <c r="R37" s="10" t="e">
        <f>SUM(R31:R36)</f>
        <v>#VALUE!</v>
      </c>
    </row>
    <row r="38" spans="1:18" s="27" customFormat="1" x14ac:dyDescent="0.35">
      <c r="A38" s="18"/>
      <c r="B38" s="41"/>
      <c r="C38" s="18"/>
      <c r="D38" s="9">
        <f>IFERROR(D37/D10, 0)</f>
        <v>0</v>
      </c>
      <c r="E38" s="18"/>
      <c r="F38" s="9">
        <f>IFERROR(F37/F10, 0)</f>
        <v>0</v>
      </c>
      <c r="G38" s="14"/>
      <c r="H38" s="9">
        <f>IFERROR(H37/H10, 0)</f>
        <v>0</v>
      </c>
      <c r="I38" s="14"/>
      <c r="J38" s="9">
        <f>IFERROR(J37/J10, 0)</f>
        <v>0</v>
      </c>
      <c r="K38" s="14"/>
      <c r="L38" s="9">
        <f>IFERROR(L37/L10, 0)</f>
        <v>0</v>
      </c>
      <c r="M38" s="14"/>
      <c r="N38" s="9">
        <f>IFERROR(N37/N10, 0)</f>
        <v>0</v>
      </c>
      <c r="O38" s="14"/>
      <c r="P38" s="9">
        <f>IFERROR(P37/P10, 0)</f>
        <v>0</v>
      </c>
      <c r="Q38" s="14"/>
      <c r="R38" s="9">
        <f>IFERROR(R37/R10, 0)</f>
        <v>0</v>
      </c>
    </row>
    <row r="39" spans="1:18" x14ac:dyDescent="0.35">
      <c r="A39" s="12"/>
      <c r="B39" s="40" t="str">
        <f>_xll.OneStop.ReportPlayer.OSRFunctions.OSRGet("CurrentDate","Date")</f>
        <v>[CurrentDate.Date]</v>
      </c>
      <c r="D39" s="24"/>
      <c r="F39" s="24"/>
      <c r="H39" s="24"/>
      <c r="J39" s="24"/>
      <c r="L39" s="24"/>
      <c r="N39" s="24"/>
      <c r="P39" s="24"/>
      <c r="R39" s="24"/>
    </row>
    <row r="40" spans="1:18" x14ac:dyDescent="0.35">
      <c r="A40" s="12"/>
      <c r="B40" s="39" t="str">
        <f>_xll.OneStop.ReportPlayer.OSRFunctions.OSRGet("User","UserId")</f>
        <v>[User.UserId]</v>
      </c>
      <c r="D40" s="24"/>
      <c r="F40" s="24"/>
      <c r="H40" s="24"/>
      <c r="J40" s="24"/>
      <c r="L40" s="24"/>
      <c r="N40" s="24"/>
      <c r="P40" s="24"/>
      <c r="R40" s="24"/>
    </row>
    <row r="41" spans="1:18" x14ac:dyDescent="0.35">
      <c r="A41" s="12"/>
      <c r="D41" s="24"/>
      <c r="F41" s="24"/>
      <c r="H41" s="24"/>
      <c r="J41" s="24"/>
      <c r="L41" s="24"/>
      <c r="N41" s="24"/>
      <c r="P41" s="24"/>
      <c r="R41" s="24"/>
    </row>
    <row r="42" spans="1:18" x14ac:dyDescent="0.35">
      <c r="D42" s="24"/>
      <c r="F42" s="24"/>
      <c r="H42" s="24"/>
      <c r="J42" s="24"/>
      <c r="L42" s="24"/>
      <c r="N42" s="24"/>
      <c r="P42" s="24"/>
      <c r="R42" s="24"/>
    </row>
  </sheetData>
  <pageMargins left="0.5" right="0.5" top="0.5" bottom="0.5" header="0.3" footer="0.3"/>
  <pageSetup scale="59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21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","326", " - ", "2nd Street Store")</f>
        <v>Department 326 - 2nd Street Store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544626.16999999981</v>
      </c>
      <c r="F10" s="8">
        <f>SUM(OSRRefF11x_0)</f>
        <v>567814.5199999999</v>
      </c>
      <c r="G10" s="8"/>
      <c r="H10" s="8">
        <f>SUM(OSRRefH11x_0)</f>
        <v>614604.37</v>
      </c>
      <c r="I10" s="8"/>
      <c r="J10" s="8">
        <f>SUM(OSRRefJ11x_0)</f>
        <v>572063.89</v>
      </c>
      <c r="K10" s="8"/>
      <c r="L10" s="8">
        <f>SUM(OSRRefL11x_0)</f>
        <v>500275.34999999992</v>
      </c>
      <c r="M10" s="8"/>
      <c r="N10" s="8">
        <f>SUM(OSRRefN11x_0)</f>
        <v>429840.87</v>
      </c>
      <c r="O10" s="8"/>
      <c r="P10" s="8">
        <f>SUM(OSRRefP11x_0)</f>
        <v>590415</v>
      </c>
      <c r="Q10" s="8"/>
      <c r="R10" s="8">
        <f>SUM(OSRRefR11x_0)</f>
        <v>426706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 t="shared" ref="J11:J15" si="0">0</f>
        <v>0</v>
      </c>
      <c r="K11" s="3"/>
      <c r="L11" s="11">
        <f t="shared" ref="L11:L15" si="1">0</f>
        <v>0</v>
      </c>
      <c r="M11" s="3"/>
      <c r="N11" s="11">
        <f t="shared" ref="N11:N15" si="2">0</f>
        <v>0</v>
      </c>
      <c r="O11" s="3"/>
      <c r="P11" s="11">
        <v>590415</v>
      </c>
      <c r="Q11" s="3"/>
      <c r="R11" s="11">
        <v>426706</v>
      </c>
    </row>
    <row r="12" spans="1:18" s="16" customFormat="1" hidden="1" outlineLevel="1" x14ac:dyDescent="0.35">
      <c r="B12" s="35" t="str">
        <f>CONCATENATE("          ", "4013", " - ", "TAXABLE SALES-TRADE BOOKS")</f>
        <v xml:space="preserve">          4013 - TAXABLE SALES-TRADE BOOKS</v>
      </c>
      <c r="D12" s="11">
        <f>-486.87*-1</f>
        <v>486.87</v>
      </c>
      <c r="F12" s="11">
        <f>-350.03*-1</f>
        <v>350.03</v>
      </c>
      <c r="G12" s="3"/>
      <c r="H12" s="11">
        <f>-841.67*-1</f>
        <v>841.67</v>
      </c>
      <c r="I12" s="3"/>
      <c r="J12" s="11">
        <f t="shared" si="0"/>
        <v>0</v>
      </c>
      <c r="K12" s="3"/>
      <c r="L12" s="11">
        <f t="shared" si="1"/>
        <v>0</v>
      </c>
      <c r="M12" s="3"/>
      <c r="N12" s="11">
        <f t="shared" si="2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"4014", " - ", "TAXABLE SALES-REMAINDERS")</f>
        <v xml:space="preserve">          4014 - TAXABLE SALES-REMAINDERS</v>
      </c>
      <c r="D13" s="11">
        <f t="shared" ref="D13:D15" si="3">0*-1</f>
        <v>0</v>
      </c>
      <c r="F13" s="11">
        <f>0*-1</f>
        <v>0</v>
      </c>
      <c r="G13" s="3"/>
      <c r="H13" s="11">
        <f>-29.93*-1</f>
        <v>29.93</v>
      </c>
      <c r="I13" s="3"/>
      <c r="J13" s="11">
        <f t="shared" si="0"/>
        <v>0</v>
      </c>
      <c r="K13" s="3"/>
      <c r="L13" s="11">
        <f t="shared" si="1"/>
        <v>0</v>
      </c>
      <c r="M13" s="3"/>
      <c r="N13" s="11">
        <f t="shared" si="2"/>
        <v>0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"4015", " - ", "TAXABLE SALES-CALENDARS")</f>
        <v xml:space="preserve">          4015 - TAXABLE SALES-CALENDARS</v>
      </c>
      <c r="D14" s="11">
        <f t="shared" si="3"/>
        <v>0</v>
      </c>
      <c r="F14" s="11">
        <f>-12.49*-1</f>
        <v>12.49</v>
      </c>
      <c r="G14" s="3"/>
      <c r="H14" s="11">
        <f>0*-1</f>
        <v>0</v>
      </c>
      <c r="I14" s="3"/>
      <c r="J14" s="11">
        <f t="shared" si="0"/>
        <v>0</v>
      </c>
      <c r="K14" s="3"/>
      <c r="L14" s="11">
        <f t="shared" si="1"/>
        <v>0</v>
      </c>
      <c r="M14" s="3"/>
      <c r="N14" s="11">
        <f t="shared" si="2"/>
        <v>0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"4019", " - ", "TAXABLE SALES-BOOK RELATED")</f>
        <v xml:space="preserve">          4019 - TAXABLE SALES-BOOK RELATED</v>
      </c>
      <c r="D15" s="11">
        <f t="shared" si="3"/>
        <v>0</v>
      </c>
      <c r="F15" s="11">
        <f>0*-1</f>
        <v>0</v>
      </c>
      <c r="G15" s="3"/>
      <c r="H15" s="11">
        <f>-599.8*-1</f>
        <v>599.79999999999995</v>
      </c>
      <c r="I15" s="3"/>
      <c r="J15" s="11">
        <f t="shared" si="0"/>
        <v>0</v>
      </c>
      <c r="K15" s="3"/>
      <c r="L15" s="11">
        <f t="shared" si="1"/>
        <v>0</v>
      </c>
      <c r="M15" s="3"/>
      <c r="N15" s="11">
        <f t="shared" si="2"/>
        <v>0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"4025", " - ", "TAXABLE SALES-TEST FORMS")</f>
        <v xml:space="preserve">          4025 - TAXABLE SALES-TEST FORMS</v>
      </c>
      <c r="D16" s="11">
        <f>-70.93*-1</f>
        <v>70.930000000000007</v>
      </c>
      <c r="F16" s="11">
        <f>-87.88*-1</f>
        <v>87.88</v>
      </c>
      <c r="G16" s="3"/>
      <c r="H16" s="11">
        <f>-93.77*-1</f>
        <v>93.77</v>
      </c>
      <c r="I16" s="3"/>
      <c r="J16" s="11">
        <f>--17.31</f>
        <v>17.309999999999999</v>
      </c>
      <c r="K16" s="3"/>
      <c r="L16" s="11">
        <f>--16.53</f>
        <v>16.53</v>
      </c>
      <c r="M16" s="3"/>
      <c r="N16" s="11">
        <f>--13.62</f>
        <v>13.62</v>
      </c>
      <c r="O16" s="3"/>
      <c r="P16" s="11"/>
      <c r="Q16" s="3"/>
      <c r="R16" s="11"/>
    </row>
    <row r="17" spans="2:18" s="16" customFormat="1" hidden="1" outlineLevel="1" x14ac:dyDescent="0.35">
      <c r="B17" s="35" t="str">
        <f>CONCATENATE("          ", "4026", " - ", "TAXABLE SALES-WRITING INSTRUME")</f>
        <v xml:space="preserve">          4026 - TAXABLE SALES-WRITING INSTRUME</v>
      </c>
      <c r="D17" s="11">
        <f>-474.57*-1</f>
        <v>474.57</v>
      </c>
      <c r="F17" s="11">
        <f>-485.48*-1</f>
        <v>485.48</v>
      </c>
      <c r="G17" s="3"/>
      <c r="H17" s="11">
        <f>-294.59*-1</f>
        <v>294.58999999999997</v>
      </c>
      <c r="I17" s="3"/>
      <c r="J17" s="11">
        <f>--391.23</f>
        <v>391.23</v>
      </c>
      <c r="K17" s="3"/>
      <c r="L17" s="11">
        <f>--534.9</f>
        <v>534.9</v>
      </c>
      <c r="M17" s="3"/>
      <c r="N17" s="11">
        <f>--229.51</f>
        <v>229.51</v>
      </c>
      <c r="O17" s="3"/>
      <c r="P17" s="11"/>
      <c r="Q17" s="3"/>
      <c r="R17" s="11"/>
    </row>
    <row r="18" spans="2:18" s="16" customFormat="1" hidden="1" outlineLevel="1" x14ac:dyDescent="0.35">
      <c r="B18" s="35" t="str">
        <f>CONCATENATE("          ", "4027", " - ", "TAXABLE SALES-SCHOOL SUPPLIES")</f>
        <v xml:space="preserve">          4027 - TAXABLE SALES-SCHOOL SUPPLIES</v>
      </c>
      <c r="D18" s="11">
        <f>-239.51*-1</f>
        <v>239.51</v>
      </c>
      <c r="F18" s="11">
        <f>-395.22*-1</f>
        <v>395.22</v>
      </c>
      <c r="G18" s="3"/>
      <c r="H18" s="11">
        <f>-727.85*-1</f>
        <v>727.85</v>
      </c>
      <c r="I18" s="3"/>
      <c r="J18" s="11">
        <f>--238.89</f>
        <v>238.89</v>
      </c>
      <c r="K18" s="3"/>
      <c r="L18" s="11">
        <f>--310.93</f>
        <v>310.93</v>
      </c>
      <c r="M18" s="3"/>
      <c r="N18" s="11">
        <f>--161.59</f>
        <v>161.59</v>
      </c>
      <c r="O18" s="3"/>
      <c r="P18" s="11"/>
      <c r="Q18" s="3"/>
      <c r="R18" s="11"/>
    </row>
    <row r="19" spans="2:18" s="16" customFormat="1" hidden="1" outlineLevel="1" x14ac:dyDescent="0.35">
      <c r="B19" s="35" t="str">
        <f>CONCATENATE("          ", "4028", " - ", "TAXABLE SALES-ART/TECH")</f>
        <v xml:space="preserve">          4028 - TAXABLE SALES-ART/TECH</v>
      </c>
      <c r="D19" s="11">
        <f t="shared" ref="D19:D23" si="4">0*-1</f>
        <v>0</v>
      </c>
      <c r="F19" s="11">
        <f t="shared" ref="F19:F20" si="5">0*-1</f>
        <v>0</v>
      </c>
      <c r="G19" s="3"/>
      <c r="H19" s="11">
        <f>0*-1</f>
        <v>0</v>
      </c>
      <c r="I19" s="3"/>
      <c r="J19" s="11">
        <f>--49.9</f>
        <v>49.9</v>
      </c>
      <c r="K19" s="3"/>
      <c r="L19" s="11">
        <f t="shared" ref="L19:L22" si="6">0</f>
        <v>0</v>
      </c>
      <c r="M19" s="3"/>
      <c r="N19" s="11">
        <f t="shared" ref="N19:N23" si="7">0</f>
        <v>0</v>
      </c>
      <c r="O19" s="3"/>
      <c r="P19" s="11"/>
      <c r="Q19" s="3"/>
      <c r="R19" s="11"/>
    </row>
    <row r="20" spans="2:18" s="16" customFormat="1" hidden="1" outlineLevel="1" x14ac:dyDescent="0.35">
      <c r="B20" s="35" t="str">
        <f>CONCATENATE("          ", "4031", " - ", "TAXABLE SALES-FOOD")</f>
        <v xml:space="preserve">          4031 - TAXABLE SALES-FOOD</v>
      </c>
      <c r="D20" s="11">
        <f t="shared" si="4"/>
        <v>0</v>
      </c>
      <c r="F20" s="11">
        <f t="shared" si="5"/>
        <v>0</v>
      </c>
      <c r="G20" s="3"/>
      <c r="H20" s="11">
        <f>-7.05*-1</f>
        <v>7.05</v>
      </c>
      <c r="I20" s="3"/>
      <c r="J20" s="11">
        <f>0</f>
        <v>0</v>
      </c>
      <c r="K20" s="3"/>
      <c r="L20" s="11">
        <f t="shared" si="6"/>
        <v>0</v>
      </c>
      <c r="M20" s="3"/>
      <c r="N20" s="11">
        <f t="shared" si="7"/>
        <v>0</v>
      </c>
      <c r="O20" s="3"/>
      <c r="P20" s="11"/>
      <c r="Q20" s="3"/>
      <c r="R20" s="11"/>
    </row>
    <row r="21" spans="2:18" s="16" customFormat="1" hidden="1" outlineLevel="1" x14ac:dyDescent="0.35">
      <c r="B21" s="35" t="str">
        <f>CONCATENATE("          ", "4032", " - ", "TAXABLE SALES-JUICE")</f>
        <v xml:space="preserve">          4032 - TAXABLE SALES-JUICE</v>
      </c>
      <c r="D21" s="11">
        <f t="shared" si="4"/>
        <v>0</v>
      </c>
      <c r="F21" s="11">
        <f>-5.08*-1</f>
        <v>5.08</v>
      </c>
      <c r="G21" s="3"/>
      <c r="H21" s="11">
        <f>-12.66*-1</f>
        <v>12.66</v>
      </c>
      <c r="I21" s="3"/>
      <c r="J21" s="11">
        <f>--7.13</f>
        <v>7.13</v>
      </c>
      <c r="K21" s="3"/>
      <c r="L21" s="11">
        <f t="shared" si="6"/>
        <v>0</v>
      </c>
      <c r="M21" s="3"/>
      <c r="N21" s="11">
        <f t="shared" si="7"/>
        <v>0</v>
      </c>
      <c r="O21" s="3"/>
      <c r="P21" s="11"/>
      <c r="Q21" s="3"/>
      <c r="R21" s="11"/>
    </row>
    <row r="22" spans="2:18" s="16" customFormat="1" hidden="1" outlineLevel="1" x14ac:dyDescent="0.35">
      <c r="B22" s="35" t="str">
        <f>CONCATENATE("          ", "4033", " - ", "TAXABLE SALES-CANDY")</f>
        <v xml:space="preserve">          4033 - TAXABLE SALES-CANDY</v>
      </c>
      <c r="D22" s="11">
        <f t="shared" si="4"/>
        <v>0</v>
      </c>
      <c r="F22" s="11">
        <f>0*-1</f>
        <v>0</v>
      </c>
      <c r="G22" s="3"/>
      <c r="H22" s="11">
        <f>-5.11*-1</f>
        <v>5.1100000000000003</v>
      </c>
      <c r="I22" s="3"/>
      <c r="J22" s="11">
        <f>0</f>
        <v>0</v>
      </c>
      <c r="K22" s="3"/>
      <c r="L22" s="11">
        <f t="shared" si="6"/>
        <v>0</v>
      </c>
      <c r="M22" s="3"/>
      <c r="N22" s="11">
        <f t="shared" si="7"/>
        <v>0</v>
      </c>
      <c r="O22" s="3"/>
      <c r="P22" s="11"/>
      <c r="Q22" s="3"/>
      <c r="R22" s="11"/>
    </row>
    <row r="23" spans="2:18" s="16" customFormat="1" hidden="1" outlineLevel="1" x14ac:dyDescent="0.35">
      <c r="B23" s="35" t="str">
        <f>CONCATENATE("          ", "4034", " - ", "TAXABLE SALES-SODA")</f>
        <v xml:space="preserve">          4034 - TAXABLE SALES-SODA</v>
      </c>
      <c r="D23" s="11">
        <f t="shared" si="4"/>
        <v>0</v>
      </c>
      <c r="F23" s="11">
        <f>-196.88*-1</f>
        <v>196.88</v>
      </c>
      <c r="G23" s="3"/>
      <c r="H23" s="11">
        <f>-117.8*-1</f>
        <v>117.8</v>
      </c>
      <c r="I23" s="3"/>
      <c r="J23" s="11">
        <f>--210</f>
        <v>210</v>
      </c>
      <c r="K23" s="3"/>
      <c r="L23" s="11">
        <f>--70.49</f>
        <v>70.489999999999995</v>
      </c>
      <c r="M23" s="3"/>
      <c r="N23" s="11">
        <f t="shared" si="7"/>
        <v>0</v>
      </c>
      <c r="O23" s="3"/>
      <c r="P23" s="11"/>
      <c r="Q23" s="3"/>
      <c r="R23" s="11"/>
    </row>
    <row r="24" spans="2:18" s="16" customFormat="1" hidden="1" outlineLevel="1" x14ac:dyDescent="0.35">
      <c r="B24" s="35" t="str">
        <f>CONCATENATE("          ", "4040", " - ", "TAXABLE SALES-LOGO CLOTHING")</f>
        <v xml:space="preserve">          4040 - TAXABLE SALES-LOGO CLOTHING</v>
      </c>
      <c r="D24" s="11">
        <f>-474978.53*-1</f>
        <v>474978.53</v>
      </c>
      <c r="F24" s="11">
        <f>-488493.74*-1</f>
        <v>488493.74</v>
      </c>
      <c r="G24" s="3"/>
      <c r="H24" s="11">
        <f>-522416.91*-1</f>
        <v>522416.91</v>
      </c>
      <c r="I24" s="3"/>
      <c r="J24" s="11">
        <f>--484271.09</f>
        <v>484271.09</v>
      </c>
      <c r="K24" s="3"/>
      <c r="L24" s="11">
        <f>--417347.11</f>
        <v>417347.11</v>
      </c>
      <c r="M24" s="3"/>
      <c r="N24" s="11">
        <f>--361873.67</f>
        <v>361873.67</v>
      </c>
      <c r="O24" s="3"/>
      <c r="P24" s="11"/>
      <c r="Q24" s="3"/>
      <c r="R24" s="11"/>
    </row>
    <row r="25" spans="2:18" s="16" customFormat="1" hidden="1" outlineLevel="1" x14ac:dyDescent="0.35">
      <c r="B25" s="35" t="str">
        <f>CONCATENATE("          ", "4041", " - ", "TAXABLE SALES-LOGO GIFTS")</f>
        <v xml:space="preserve">          4041 - TAXABLE SALES-LOGO GIFTS</v>
      </c>
      <c r="D25" s="11">
        <f>-80753.02*-1</f>
        <v>80753.02</v>
      </c>
      <c r="F25" s="11">
        <f>-82367.64*-1</f>
        <v>82367.64</v>
      </c>
      <c r="G25" s="3"/>
      <c r="H25" s="11">
        <f>-84949.25*-1</f>
        <v>84949.25</v>
      </c>
      <c r="I25" s="3"/>
      <c r="J25" s="11">
        <f>--69913.85</f>
        <v>69913.850000000006</v>
      </c>
      <c r="K25" s="3"/>
      <c r="L25" s="11">
        <f>--66836.6</f>
        <v>66836.600000000006</v>
      </c>
      <c r="M25" s="3"/>
      <c r="N25" s="11">
        <f>--48550.34</f>
        <v>48550.34</v>
      </c>
      <c r="O25" s="3"/>
      <c r="P25" s="11"/>
      <c r="Q25" s="3"/>
      <c r="R25" s="11"/>
    </row>
    <row r="26" spans="2:18" s="16" customFormat="1" hidden="1" outlineLevel="1" x14ac:dyDescent="0.35">
      <c r="B26" s="35" t="str">
        <f>CONCATENATE("          ", "4042", " - ", "TAXABLE SALES-EVERYDAY GIFTS")</f>
        <v xml:space="preserve">          4042 - TAXABLE SALES-EVERYDAY GIFTS</v>
      </c>
      <c r="D26" s="11">
        <f>-6272.95*-1</f>
        <v>6272.95</v>
      </c>
      <c r="F26" s="11">
        <f>-13326.04*-1</f>
        <v>13326.04</v>
      </c>
      <c r="G26" s="3"/>
      <c r="H26" s="11">
        <f>-18048.91*-1</f>
        <v>18048.91</v>
      </c>
      <c r="I26" s="3"/>
      <c r="J26" s="11">
        <f>--33256.88</f>
        <v>33256.879999999997</v>
      </c>
      <c r="K26" s="3"/>
      <c r="L26" s="11">
        <f>--28499.73</f>
        <v>28499.73</v>
      </c>
      <c r="M26" s="3"/>
      <c r="N26" s="11">
        <f>--30701.57</f>
        <v>30701.57</v>
      </c>
      <c r="O26" s="3"/>
      <c r="P26" s="11"/>
      <c r="Q26" s="3"/>
      <c r="R26" s="11"/>
    </row>
    <row r="27" spans="2:18" s="16" customFormat="1" hidden="1" outlineLevel="1" x14ac:dyDescent="0.35">
      <c r="B27" s="35" t="str">
        <f>CONCATENATE("          ", "4043", " - ", "TAXABLE SALES-CARDS")</f>
        <v xml:space="preserve">          4043 - TAXABLE SALES-CARDS</v>
      </c>
      <c r="D27" s="11">
        <f>-736.34*-1</f>
        <v>736.34</v>
      </c>
      <c r="F27" s="11">
        <f>-762.88*-1</f>
        <v>762.88</v>
      </c>
      <c r="G27" s="3"/>
      <c r="H27" s="11">
        <f>-616.11*-1</f>
        <v>616.11</v>
      </c>
      <c r="I27" s="3"/>
      <c r="J27" s="11">
        <f>--549.57</f>
        <v>549.57000000000005</v>
      </c>
      <c r="K27" s="3"/>
      <c r="L27" s="11">
        <f>--349.77</f>
        <v>349.77</v>
      </c>
      <c r="M27" s="3"/>
      <c r="N27" s="11">
        <f>--1544.02</f>
        <v>1544.02</v>
      </c>
      <c r="O27" s="3"/>
      <c r="P27" s="11"/>
      <c r="Q27" s="3"/>
      <c r="R27" s="11"/>
    </row>
    <row r="28" spans="2:18" s="16" customFormat="1" hidden="1" outlineLevel="1" x14ac:dyDescent="0.35">
      <c r="B28" s="35" t="str">
        <f>CONCATENATE("          ", "4044", " - ", "TAXABLE SALES-ACCESSORIES")</f>
        <v xml:space="preserve">          4044 - TAXABLE SALES-ACCESSORIES</v>
      </c>
      <c r="D28" s="11">
        <f>-5509.15*-1</f>
        <v>5509.15</v>
      </c>
      <c r="F28" s="11">
        <f>-6829.17*-1</f>
        <v>6829.17</v>
      </c>
      <c r="G28" s="3"/>
      <c r="H28" s="11">
        <f>-8298.07*-1</f>
        <v>8298.07</v>
      </c>
      <c r="I28" s="3"/>
      <c r="J28" s="11">
        <f>--5415.58</f>
        <v>5415.58</v>
      </c>
      <c r="K28" s="3"/>
      <c r="L28" s="11">
        <f>--6112.31</f>
        <v>6112.31</v>
      </c>
      <c r="M28" s="3"/>
      <c r="N28" s="11">
        <f>--4101.55</f>
        <v>4101.55</v>
      </c>
      <c r="O28" s="3"/>
      <c r="P28" s="11"/>
      <c r="Q28" s="3"/>
      <c r="R28" s="11"/>
    </row>
    <row r="29" spans="2:18" s="16" customFormat="1" hidden="1" outlineLevel="1" x14ac:dyDescent="0.35">
      <c r="B29" s="35" t="str">
        <f>CONCATENATE("          ", "4045", " - ", "TAXABLE SALES-SPECIAL ORDERS")</f>
        <v xml:space="preserve">          4045 - TAXABLE SALES-SPECIAL ORDERS</v>
      </c>
      <c r="D29" s="11">
        <f>0*-1</f>
        <v>0</v>
      </c>
      <c r="F29" s="11">
        <f>-64.75*-1</f>
        <v>64.75</v>
      </c>
      <c r="G29" s="3"/>
      <c r="H29" s="11">
        <f>-434.89*-1</f>
        <v>434.89</v>
      </c>
      <c r="I29" s="3"/>
      <c r="J29" s="11">
        <f>--1915.5</f>
        <v>1915.5</v>
      </c>
      <c r="K29" s="3"/>
      <c r="L29" s="11">
        <f>--2405.69</f>
        <v>2405.69</v>
      </c>
      <c r="M29" s="3"/>
      <c r="N29" s="11">
        <f>--467.6</f>
        <v>467.6</v>
      </c>
      <c r="O29" s="3"/>
      <c r="P29" s="11"/>
      <c r="Q29" s="3"/>
      <c r="R29" s="11"/>
    </row>
    <row r="30" spans="2:18" s="16" customFormat="1" hidden="1" outlineLevel="1" x14ac:dyDescent="0.35">
      <c r="B30" s="35" t="str">
        <f>CONCATENATE("          ", "4081", " - ", "TAXABLE SALES-ELECTRONICS")</f>
        <v xml:space="preserve">          4081 - TAXABLE SALES-ELECTRONICS</v>
      </c>
      <c r="D30" s="11">
        <f>-127.32*-1</f>
        <v>127.32</v>
      </c>
      <c r="F30" s="11">
        <f t="shared" ref="F30:F33" si="8">0*-1</f>
        <v>0</v>
      </c>
      <c r="G30" s="3"/>
      <c r="H30" s="11">
        <f>-19.98*-1</f>
        <v>19.98</v>
      </c>
      <c r="I30" s="3"/>
      <c r="J30" s="11">
        <f t="shared" ref="J30:J32" si="9">0</f>
        <v>0</v>
      </c>
      <c r="K30" s="3"/>
      <c r="L30" s="11">
        <f t="shared" ref="L30:L33" si="10">0</f>
        <v>0</v>
      </c>
      <c r="M30" s="3"/>
      <c r="N30" s="11">
        <f t="shared" ref="N30:N33" si="11">0</f>
        <v>0</v>
      </c>
      <c r="O30" s="3"/>
      <c r="P30" s="11"/>
      <c r="Q30" s="3"/>
      <c r="R30" s="11"/>
    </row>
    <row r="31" spans="2:18" s="16" customFormat="1" hidden="1" outlineLevel="1" x14ac:dyDescent="0.35">
      <c r="B31" s="35" t="str">
        <f>CONCATENATE("          ", "4083", " - ", "TAXABLE SALES-COMPUTER EQUIPME")</f>
        <v xml:space="preserve">          4083 - TAXABLE SALES-COMPUTER EQUIPME</v>
      </c>
      <c r="D31" s="11">
        <f>-239.4*-1</f>
        <v>239.4</v>
      </c>
      <c r="F31" s="11">
        <f t="shared" si="8"/>
        <v>0</v>
      </c>
      <c r="G31" s="3"/>
      <c r="H31" s="11">
        <f>-15.98*-1</f>
        <v>15.98</v>
      </c>
      <c r="I31" s="3"/>
      <c r="J31" s="11">
        <f t="shared" si="9"/>
        <v>0</v>
      </c>
      <c r="K31" s="3"/>
      <c r="L31" s="11">
        <f t="shared" si="10"/>
        <v>0</v>
      </c>
      <c r="M31" s="3"/>
      <c r="N31" s="11">
        <f t="shared" si="11"/>
        <v>0</v>
      </c>
      <c r="O31" s="3"/>
      <c r="P31" s="11"/>
      <c r="Q31" s="3"/>
      <c r="R31" s="11"/>
    </row>
    <row r="32" spans="2:18" s="16" customFormat="1" hidden="1" outlineLevel="1" x14ac:dyDescent="0.35">
      <c r="B32" s="35" t="str">
        <f>CONCATENATE("          ", "4086", " - ", "TAXABLE SALES-COMPUTER SUPPLIE")</f>
        <v xml:space="preserve">          4086 - TAXABLE SALES-COMPUTER SUPPLIE</v>
      </c>
      <c r="D32" s="11">
        <f t="shared" ref="D32:D33" si="12">0*-1</f>
        <v>0</v>
      </c>
      <c r="F32" s="11">
        <f t="shared" si="8"/>
        <v>0</v>
      </c>
      <c r="G32" s="3"/>
      <c r="H32" s="11">
        <f>-9.99*-1</f>
        <v>9.99</v>
      </c>
      <c r="I32" s="3"/>
      <c r="J32" s="11">
        <f t="shared" si="9"/>
        <v>0</v>
      </c>
      <c r="K32" s="3"/>
      <c r="L32" s="11">
        <f t="shared" si="10"/>
        <v>0</v>
      </c>
      <c r="M32" s="3"/>
      <c r="N32" s="11">
        <f t="shared" si="11"/>
        <v>0</v>
      </c>
      <c r="O32" s="3"/>
      <c r="P32" s="11"/>
      <c r="Q32" s="3"/>
      <c r="R32" s="11"/>
    </row>
    <row r="33" spans="2:18" s="16" customFormat="1" hidden="1" outlineLevel="1" x14ac:dyDescent="0.35">
      <c r="B33" s="35" t="str">
        <f>CONCATENATE("          ", "4088", " - ", "TAXABLE SALES-MUSIC")</f>
        <v xml:space="preserve">          4088 - TAXABLE SALES-MUSIC</v>
      </c>
      <c r="D33" s="11">
        <f t="shared" si="12"/>
        <v>0</v>
      </c>
      <c r="F33" s="11">
        <f t="shared" si="8"/>
        <v>0</v>
      </c>
      <c r="G33" s="3"/>
      <c r="H33" s="11">
        <f>0*-1</f>
        <v>0</v>
      </c>
      <c r="I33" s="3"/>
      <c r="J33" s="11">
        <f>--59</f>
        <v>59</v>
      </c>
      <c r="K33" s="3"/>
      <c r="L33" s="11">
        <f t="shared" si="10"/>
        <v>0</v>
      </c>
      <c r="M33" s="3"/>
      <c r="N33" s="11">
        <f t="shared" si="11"/>
        <v>0</v>
      </c>
      <c r="O33" s="3"/>
      <c r="P33" s="11"/>
      <c r="Q33" s="3"/>
      <c r="R33" s="11"/>
    </row>
    <row r="34" spans="2:18" s="16" customFormat="1" hidden="1" outlineLevel="1" x14ac:dyDescent="0.35">
      <c r="B34" s="35" t="str">
        <f>CONCATENATE("          ", "4092", " - ", "TAXABLE SALES-GRAD MERCH")</f>
        <v xml:space="preserve">          4092 - TAXABLE SALES-GRAD MERCH</v>
      </c>
      <c r="D34" s="11">
        <f>-575.2*-1</f>
        <v>575.20000000000005</v>
      </c>
      <c r="F34" s="11">
        <f>-36.95*-1</f>
        <v>36.950000000000003</v>
      </c>
      <c r="G34" s="3"/>
      <c r="H34" s="11">
        <f>-1752.25*-1</f>
        <v>1752.25</v>
      </c>
      <c r="I34" s="3"/>
      <c r="J34" s="11">
        <f>--1018.85</f>
        <v>1018.85</v>
      </c>
      <c r="K34" s="3"/>
      <c r="L34" s="11">
        <f>--364.55</f>
        <v>364.55</v>
      </c>
      <c r="M34" s="3"/>
      <c r="N34" s="11">
        <f>-39.95</f>
        <v>-39.950000000000003</v>
      </c>
      <c r="O34" s="3"/>
      <c r="P34" s="11"/>
      <c r="Q34" s="3"/>
      <c r="R34" s="11"/>
    </row>
    <row r="35" spans="2:18" s="16" customFormat="1" hidden="1" outlineLevel="1" x14ac:dyDescent="0.35">
      <c r="B35" s="35" t="str">
        <f>CONCATENATE("          ", "4095", " - ", "TAXABLE SALES-CUSTOMER SERVICE")</f>
        <v xml:space="preserve">          4095 - TAXABLE SALES-CUSTOMER SERVICE</v>
      </c>
      <c r="D35" s="11">
        <f>-390.21*-1</f>
        <v>390.21</v>
      </c>
      <c r="F35" s="11">
        <f>-124.35*-1</f>
        <v>124.35</v>
      </c>
      <c r="G35" s="3"/>
      <c r="H35" s="11">
        <f>-113.85*-1</f>
        <v>113.85</v>
      </c>
      <c r="I35" s="3"/>
      <c r="J35" s="11">
        <f>--45.54</f>
        <v>45.54</v>
      </c>
      <c r="K35" s="3"/>
      <c r="L35" s="11">
        <f>--52.47</f>
        <v>52.47</v>
      </c>
      <c r="M35" s="3"/>
      <c r="N35" s="11">
        <f>--29.7</f>
        <v>29.7</v>
      </c>
      <c r="O35" s="3"/>
      <c r="P35" s="11"/>
      <c r="Q35" s="3"/>
      <c r="R35" s="11"/>
    </row>
    <row r="36" spans="2:18" s="16" customFormat="1" hidden="1" outlineLevel="1" x14ac:dyDescent="0.35">
      <c r="B36" s="35" t="str">
        <f>CONCATENATE("          ", "4126", " - ", "NON-TAXABLE SALES-WRITING INST")</f>
        <v xml:space="preserve">          4126 - NON-TAXABLE SALES-WRITING INST</v>
      </c>
      <c r="D36" s="11">
        <f t="shared" ref="D36:D40" si="13">0*-1</f>
        <v>0</v>
      </c>
      <c r="F36" s="11">
        <f t="shared" ref="F36:F38" si="14">0*-1</f>
        <v>0</v>
      </c>
      <c r="G36" s="3"/>
      <c r="H36" s="11">
        <f>-2.94*-1</f>
        <v>2.94</v>
      </c>
      <c r="I36" s="3"/>
      <c r="J36" s="11">
        <f>0</f>
        <v>0</v>
      </c>
      <c r="K36" s="3"/>
      <c r="L36" s="11">
        <f t="shared" ref="L36:L39" si="15">0</f>
        <v>0</v>
      </c>
      <c r="M36" s="3"/>
      <c r="N36" s="11">
        <f t="shared" ref="N36:N39" si="16">0</f>
        <v>0</v>
      </c>
      <c r="O36" s="3"/>
      <c r="P36" s="11"/>
      <c r="Q36" s="3"/>
      <c r="R36" s="11"/>
    </row>
    <row r="37" spans="2:18" s="16" customFormat="1" hidden="1" outlineLevel="1" x14ac:dyDescent="0.35">
      <c r="B37" s="35" t="str">
        <f>CONCATENATE("          ", "4131", " - ", "NON-TAXABLE SALES-FOOD")</f>
        <v xml:space="preserve">          4131 - NON-TAXABLE SALES-FOOD</v>
      </c>
      <c r="D37" s="11">
        <f t="shared" si="13"/>
        <v>0</v>
      </c>
      <c r="F37" s="11">
        <f t="shared" si="14"/>
        <v>0</v>
      </c>
      <c r="G37" s="3"/>
      <c r="H37" s="11">
        <f>-205.8*-1</f>
        <v>205.8</v>
      </c>
      <c r="I37" s="3"/>
      <c r="J37" s="11">
        <f>--2.56</f>
        <v>2.56</v>
      </c>
      <c r="K37" s="3"/>
      <c r="L37" s="11">
        <f t="shared" si="15"/>
        <v>0</v>
      </c>
      <c r="M37" s="3"/>
      <c r="N37" s="11">
        <f t="shared" si="16"/>
        <v>0</v>
      </c>
      <c r="O37" s="3"/>
      <c r="P37" s="11"/>
      <c r="Q37" s="3"/>
      <c r="R37" s="11"/>
    </row>
    <row r="38" spans="2:18" s="16" customFormat="1" hidden="1" outlineLevel="1" x14ac:dyDescent="0.35">
      <c r="B38" s="35" t="str">
        <f>CONCATENATE("          ", "4133", " - ", "NON-TAXABLE SALES-CANDY")</f>
        <v xml:space="preserve">          4133 - NON-TAXABLE SALES-CANDY</v>
      </c>
      <c r="D38" s="11">
        <f t="shared" si="13"/>
        <v>0</v>
      </c>
      <c r="F38" s="11">
        <f t="shared" si="14"/>
        <v>0</v>
      </c>
      <c r="G38" s="3"/>
      <c r="H38" s="11">
        <f>-51.88*-1</f>
        <v>51.88</v>
      </c>
      <c r="I38" s="3"/>
      <c r="J38" s="11">
        <f>0</f>
        <v>0</v>
      </c>
      <c r="K38" s="3"/>
      <c r="L38" s="11">
        <f t="shared" si="15"/>
        <v>0</v>
      </c>
      <c r="M38" s="3"/>
      <c r="N38" s="11">
        <f t="shared" si="16"/>
        <v>0</v>
      </c>
      <c r="O38" s="3"/>
      <c r="P38" s="11"/>
      <c r="Q38" s="3"/>
      <c r="R38" s="11"/>
    </row>
    <row r="39" spans="2:18" s="16" customFormat="1" hidden="1" outlineLevel="1" x14ac:dyDescent="0.35">
      <c r="B39" s="35" t="str">
        <f>CONCATENATE("          ", "4134", " - ", "NON-TAXABLE SALES-SODA")</f>
        <v xml:space="preserve">          4134 - NON-TAXABLE SALES-SODA</v>
      </c>
      <c r="D39" s="11">
        <f t="shared" si="13"/>
        <v>0</v>
      </c>
      <c r="F39" s="11">
        <f>-4.04*-1</f>
        <v>4.04</v>
      </c>
      <c r="G39" s="3"/>
      <c r="H39" s="11">
        <f>-89.22*-1</f>
        <v>89.22</v>
      </c>
      <c r="I39" s="3"/>
      <c r="J39" s="11">
        <f>--71.31</f>
        <v>71.31</v>
      </c>
      <c r="K39" s="3"/>
      <c r="L39" s="11">
        <f t="shared" si="15"/>
        <v>0</v>
      </c>
      <c r="M39" s="3"/>
      <c r="N39" s="11">
        <f t="shared" si="16"/>
        <v>0</v>
      </c>
      <c r="O39" s="3"/>
      <c r="P39" s="11"/>
      <c r="Q39" s="3"/>
      <c r="R39" s="11"/>
    </row>
    <row r="40" spans="2:18" s="16" customFormat="1" hidden="1" outlineLevel="1" x14ac:dyDescent="0.35">
      <c r="B40" s="35" t="str">
        <f>CONCATENATE("          ", "4137", " - ", "NON-TAXABLE SALES-WATER")</f>
        <v xml:space="preserve">          4137 - NON-TAXABLE SALES-WATER</v>
      </c>
      <c r="D40" s="11">
        <f t="shared" si="13"/>
        <v>0</v>
      </c>
      <c r="F40" s="11">
        <f>-197.94*-1</f>
        <v>197.94</v>
      </c>
      <c r="G40" s="3"/>
      <c r="H40" s="11">
        <f>-175.96*-1</f>
        <v>175.96</v>
      </c>
      <c r="I40" s="3"/>
      <c r="J40" s="11">
        <f>--151.5</f>
        <v>151.5</v>
      </c>
      <c r="K40" s="3"/>
      <c r="L40" s="11">
        <f>--126</f>
        <v>126</v>
      </c>
      <c r="M40" s="3"/>
      <c r="N40" s="11">
        <f>--123</f>
        <v>123</v>
      </c>
      <c r="O40" s="3"/>
      <c r="P40" s="11"/>
      <c r="Q40" s="3"/>
      <c r="R40" s="11"/>
    </row>
    <row r="41" spans="2:18" s="16" customFormat="1" hidden="1" outlineLevel="1" x14ac:dyDescent="0.35">
      <c r="B41" s="35" t="str">
        <f>CONCATENATE("          ", "4140", " - ", "NON-TAXABLE SALES-LOGO CLOTHIN")</f>
        <v xml:space="preserve">          4140 - NON-TAXABLE SALES-LOGO CLOTHIN</v>
      </c>
      <c r="D41" s="11">
        <f>-22.46*-1</f>
        <v>22.46</v>
      </c>
      <c r="F41" s="11">
        <f t="shared" ref="F41:F46" si="17">0*-1</f>
        <v>0</v>
      </c>
      <c r="G41" s="3"/>
      <c r="H41" s="11">
        <f>-1007.66*-1</f>
        <v>1007.66</v>
      </c>
      <c r="I41" s="3"/>
      <c r="J41" s="11">
        <f>0</f>
        <v>0</v>
      </c>
      <c r="K41" s="3"/>
      <c r="L41" s="11">
        <f>0</f>
        <v>0</v>
      </c>
      <c r="M41" s="3"/>
      <c r="N41" s="11">
        <f t="shared" ref="N41:N42" si="18">0</f>
        <v>0</v>
      </c>
      <c r="O41" s="3"/>
      <c r="P41" s="11"/>
      <c r="Q41" s="3"/>
      <c r="R41" s="11"/>
    </row>
    <row r="42" spans="2:18" s="16" customFormat="1" hidden="1" outlineLevel="1" x14ac:dyDescent="0.35">
      <c r="B42" s="35" t="str">
        <f>CONCATENATE("          ", "4141", " - ", "NON-TAXABLE SALES-LOGO GIFTS")</f>
        <v xml:space="preserve">          4141 - NON-TAXABLE SALES-LOGO GIFTS</v>
      </c>
      <c r="D42" s="11">
        <f t="shared" ref="D42:D45" si="19">0*-1</f>
        <v>0</v>
      </c>
      <c r="F42" s="11">
        <f t="shared" si="17"/>
        <v>0</v>
      </c>
      <c r="G42" s="3"/>
      <c r="H42" s="11">
        <f>-79.18*-1</f>
        <v>79.180000000000007</v>
      </c>
      <c r="I42" s="3"/>
      <c r="J42" s="11">
        <f>--105.4</f>
        <v>105.4</v>
      </c>
      <c r="K42" s="3"/>
      <c r="L42" s="11">
        <f>--101.5</f>
        <v>101.5</v>
      </c>
      <c r="M42" s="3"/>
      <c r="N42" s="11">
        <f t="shared" si="18"/>
        <v>0</v>
      </c>
      <c r="O42" s="3"/>
      <c r="P42" s="11"/>
      <c r="Q42" s="3"/>
      <c r="R42" s="11"/>
    </row>
    <row r="43" spans="2:18" s="16" customFormat="1" hidden="1" outlineLevel="1" x14ac:dyDescent="0.35">
      <c r="B43" s="35" t="str">
        <f>CONCATENATE("          ", "4142", " - ", "NON-TAXABLE SALES-EVERYDAY GIF")</f>
        <v xml:space="preserve">          4142 - NON-TAXABLE SALES-EVERYDAY GIF</v>
      </c>
      <c r="D43" s="11">
        <f t="shared" si="19"/>
        <v>0</v>
      </c>
      <c r="F43" s="11">
        <f t="shared" si="17"/>
        <v>0</v>
      </c>
      <c r="G43" s="3"/>
      <c r="H43" s="11">
        <f>-15.73*-1</f>
        <v>15.73</v>
      </c>
      <c r="I43" s="3"/>
      <c r="J43" s="11">
        <f t="shared" ref="J43:J46" si="20">0</f>
        <v>0</v>
      </c>
      <c r="K43" s="3"/>
      <c r="L43" s="11">
        <f>--607.38</f>
        <v>607.38</v>
      </c>
      <c r="M43" s="3"/>
      <c r="N43" s="11">
        <f>--591.86</f>
        <v>591.86</v>
      </c>
      <c r="O43" s="3"/>
      <c r="P43" s="11"/>
      <c r="Q43" s="3"/>
      <c r="R43" s="11"/>
    </row>
    <row r="44" spans="2:18" s="16" customFormat="1" hidden="1" outlineLevel="1" x14ac:dyDescent="0.35">
      <c r="B44" s="35" t="str">
        <f>CONCATENATE("          ", "4145", " - ", "NON-TAXABLE SALES-SPECIAL ORDE")</f>
        <v xml:space="preserve">          4145 - NON-TAXABLE SALES-SPECIAL ORDE</v>
      </c>
      <c r="D44" s="11">
        <f t="shared" si="19"/>
        <v>0</v>
      </c>
      <c r="F44" s="11">
        <f t="shared" si="17"/>
        <v>0</v>
      </c>
      <c r="G44" s="3"/>
      <c r="H44" s="11">
        <f>0*-1</f>
        <v>0</v>
      </c>
      <c r="I44" s="3"/>
      <c r="J44" s="11">
        <f t="shared" si="20"/>
        <v>0</v>
      </c>
      <c r="K44" s="3"/>
      <c r="L44" s="11">
        <f t="shared" ref="L44:L45" si="21">0</f>
        <v>0</v>
      </c>
      <c r="M44" s="3"/>
      <c r="N44" s="11">
        <f t="shared" ref="N44:N45" si="22">0</f>
        <v>0</v>
      </c>
      <c r="O44" s="3"/>
      <c r="P44" s="11"/>
      <c r="Q44" s="3"/>
      <c r="R44" s="11"/>
    </row>
    <row r="45" spans="2:18" s="16" customFormat="1" hidden="1" outlineLevel="1" x14ac:dyDescent="0.35">
      <c r="B45" s="35" t="str">
        <f>CONCATENATE("          ", "4225", " - ", "SALES RETURN TAXABLE-TEST FORM")</f>
        <v xml:space="preserve">          4225 - SALES RETURN TAXABLE-TEST FORM</v>
      </c>
      <c r="D45" s="11">
        <f t="shared" si="19"/>
        <v>0</v>
      </c>
      <c r="F45" s="11">
        <f t="shared" si="17"/>
        <v>0</v>
      </c>
      <c r="G45" s="3"/>
      <c r="H45" s="11">
        <f>7.32*-1</f>
        <v>-7.32</v>
      </c>
      <c r="I45" s="3"/>
      <c r="J45" s="11">
        <f t="shared" si="20"/>
        <v>0</v>
      </c>
      <c r="K45" s="3"/>
      <c r="L45" s="11">
        <f t="shared" si="21"/>
        <v>0</v>
      </c>
      <c r="M45" s="3"/>
      <c r="N45" s="11">
        <f t="shared" si="22"/>
        <v>0</v>
      </c>
      <c r="O45" s="3"/>
      <c r="P45" s="11"/>
      <c r="Q45" s="3"/>
      <c r="R45" s="11"/>
    </row>
    <row r="46" spans="2:18" s="16" customFormat="1" hidden="1" outlineLevel="1" x14ac:dyDescent="0.35">
      <c r="B46" s="35" t="str">
        <f>CONCATENATE("          ", "4226", " - ", "SALES RETURN TAXABLE-WRITING I")</f>
        <v xml:space="preserve">          4226 - SALES RETURN TAXABLE-WRITING I</v>
      </c>
      <c r="D46" s="11">
        <f>1.69*-1</f>
        <v>-1.69</v>
      </c>
      <c r="F46" s="11">
        <f t="shared" si="17"/>
        <v>0</v>
      </c>
      <c r="G46" s="3"/>
      <c r="H46" s="11">
        <f>2.07*-1</f>
        <v>-2.0699999999999998</v>
      </c>
      <c r="I46" s="3"/>
      <c r="J46" s="11">
        <f t="shared" si="20"/>
        <v>0</v>
      </c>
      <c r="K46" s="3"/>
      <c r="L46" s="11">
        <f>-5.86</f>
        <v>-5.86</v>
      </c>
      <c r="M46" s="3"/>
      <c r="N46" s="11">
        <f>-134.8</f>
        <v>-134.80000000000001</v>
      </c>
      <c r="O46" s="3"/>
      <c r="P46" s="11"/>
      <c r="Q46" s="3"/>
      <c r="R46" s="11"/>
    </row>
    <row r="47" spans="2:18" s="16" customFormat="1" hidden="1" outlineLevel="1" x14ac:dyDescent="0.35">
      <c r="B47" s="35" t="str">
        <f>CONCATENATE("          ", "4227", " - ", "SALES RETURN TAXABLE-SCHOOL SU")</f>
        <v xml:space="preserve">          4227 - SALES RETURN TAXABLE-SCHOOL SU</v>
      </c>
      <c r="D47" s="11">
        <f>5.58*-1</f>
        <v>-5.58</v>
      </c>
      <c r="F47" s="11">
        <f>11.99*-1</f>
        <v>-11.99</v>
      </c>
      <c r="G47" s="3"/>
      <c r="H47" s="11">
        <f>11.18*-1</f>
        <v>-11.18</v>
      </c>
      <c r="I47" s="3"/>
      <c r="J47" s="11">
        <f>-5.99</f>
        <v>-5.99</v>
      </c>
      <c r="K47" s="3"/>
      <c r="L47" s="11">
        <f>-4.99</f>
        <v>-4.99</v>
      </c>
      <c r="M47" s="3"/>
      <c r="N47" s="11">
        <f t="shared" ref="N47:N48" si="23">0</f>
        <v>0</v>
      </c>
      <c r="O47" s="3"/>
      <c r="P47" s="11"/>
      <c r="Q47" s="3"/>
      <c r="R47" s="11"/>
    </row>
    <row r="48" spans="2:18" s="16" customFormat="1" hidden="1" outlineLevel="1" x14ac:dyDescent="0.35">
      <c r="B48" s="35" t="str">
        <f>CONCATENATE("          ", "4234", " - ", "SALES RETURN TAXABLE-SODA")</f>
        <v xml:space="preserve">          4234 - SALES RETURN TAXABLE-SODA</v>
      </c>
      <c r="D48" s="11">
        <f>0*-1</f>
        <v>0</v>
      </c>
      <c r="F48" s="11">
        <f>1.75*-1</f>
        <v>-1.75</v>
      </c>
      <c r="G48" s="3"/>
      <c r="H48" s="11">
        <f>0*-1</f>
        <v>0</v>
      </c>
      <c r="I48" s="3"/>
      <c r="J48" s="11">
        <f>0</f>
        <v>0</v>
      </c>
      <c r="K48" s="3"/>
      <c r="L48" s="11">
        <f>0</f>
        <v>0</v>
      </c>
      <c r="M48" s="3"/>
      <c r="N48" s="11">
        <f t="shared" si="23"/>
        <v>0</v>
      </c>
      <c r="O48" s="3"/>
      <c r="P48" s="11"/>
      <c r="Q48" s="3"/>
      <c r="R48" s="11"/>
    </row>
    <row r="49" spans="1:18" s="16" customFormat="1" hidden="1" outlineLevel="1" x14ac:dyDescent="0.35">
      <c r="B49" s="35" t="str">
        <f>CONCATENATE("          ", "4240", " - ", "SALES RETURN TAXABLE-LOGO CLOT")</f>
        <v xml:space="preserve">          4240 - SALES RETURN TAXABLE-LOGO CLOT</v>
      </c>
      <c r="D49" s="11">
        <f>23749.43*-1</f>
        <v>-23749.43</v>
      </c>
      <c r="F49" s="11">
        <f>23081.11*-1</f>
        <v>-23081.11</v>
      </c>
      <c r="G49" s="3"/>
      <c r="H49" s="11">
        <f>24144.66*-1</f>
        <v>-24144.66</v>
      </c>
      <c r="I49" s="3"/>
      <c r="J49" s="11">
        <f>-22246.97</f>
        <v>-22246.97</v>
      </c>
      <c r="K49" s="3"/>
      <c r="L49" s="11">
        <f>-21242.07</f>
        <v>-21242.07</v>
      </c>
      <c r="M49" s="3"/>
      <c r="N49" s="11">
        <f>-16122.19</f>
        <v>-16122.19</v>
      </c>
      <c r="O49" s="3"/>
      <c r="P49" s="11"/>
      <c r="Q49" s="3"/>
      <c r="R49" s="11"/>
    </row>
    <row r="50" spans="1:18" s="16" customFormat="1" hidden="1" outlineLevel="1" x14ac:dyDescent="0.35">
      <c r="B50" s="35" t="str">
        <f>CONCATENATE("          ", "4241", " - ", "SALES RETURN TAXABLE-LOGO GIFT")</f>
        <v xml:space="preserve">          4241 - SALES RETURN TAXABLE-LOGO GIFT</v>
      </c>
      <c r="D50" s="11">
        <f>1978.79*-1</f>
        <v>-1978.79</v>
      </c>
      <c r="F50" s="11">
        <f>2222.02*-1</f>
        <v>-2222.02</v>
      </c>
      <c r="G50" s="3"/>
      <c r="H50" s="11">
        <f>1590.76*-1</f>
        <v>-1590.76</v>
      </c>
      <c r="I50" s="3"/>
      <c r="J50" s="11">
        <f>-2280.17</f>
        <v>-2280.17</v>
      </c>
      <c r="K50" s="3"/>
      <c r="L50" s="11">
        <f>-1336.19</f>
        <v>-1336.19</v>
      </c>
      <c r="M50" s="3"/>
      <c r="N50" s="11">
        <f>-1260.11</f>
        <v>-1260.1099999999999</v>
      </c>
      <c r="O50" s="3"/>
      <c r="P50" s="11"/>
      <c r="Q50" s="3"/>
      <c r="R50" s="11"/>
    </row>
    <row r="51" spans="1:18" s="16" customFormat="1" hidden="1" outlineLevel="1" x14ac:dyDescent="0.35">
      <c r="B51" s="35" t="str">
        <f>CONCATENATE("          ", "4242", " - ", "SALES RETURN TAXABLE-EVERYDAY")</f>
        <v xml:space="preserve">          4242 - SALES RETURN TAXABLE-EVERYDAY</v>
      </c>
      <c r="D51" s="11">
        <f>182.03*-1</f>
        <v>-182.03</v>
      </c>
      <c r="F51" s="11">
        <f>299.52*-1</f>
        <v>-299.52</v>
      </c>
      <c r="G51" s="3"/>
      <c r="H51" s="11">
        <f>184.12*-1</f>
        <v>-184.12</v>
      </c>
      <c r="I51" s="3"/>
      <c r="J51" s="11">
        <f>-649.18</f>
        <v>-649.17999999999995</v>
      </c>
      <c r="K51" s="3"/>
      <c r="L51" s="11">
        <f>-505.75</f>
        <v>-505.75</v>
      </c>
      <c r="M51" s="3"/>
      <c r="N51" s="11">
        <f>-850.31</f>
        <v>-850.31</v>
      </c>
      <c r="O51" s="3"/>
      <c r="P51" s="11"/>
      <c r="Q51" s="3"/>
      <c r="R51" s="11"/>
    </row>
    <row r="52" spans="1:18" s="16" customFormat="1" hidden="1" outlineLevel="1" x14ac:dyDescent="0.35">
      <c r="B52" s="35" t="str">
        <f>CONCATENATE("          ", "4244", " - ", "SALES RETURN TAXABLE-ACCESSORI")</f>
        <v xml:space="preserve">          4244 - SALES RETURN TAXABLE-ACCESSORI</v>
      </c>
      <c r="D52" s="11">
        <f>215.8*-1</f>
        <v>-215.8</v>
      </c>
      <c r="F52" s="11">
        <f>309.65*-1</f>
        <v>-309.64999999999998</v>
      </c>
      <c r="G52" s="3"/>
      <c r="H52" s="11">
        <f>367.32*-1</f>
        <v>-367.32</v>
      </c>
      <c r="I52" s="3"/>
      <c r="J52" s="11">
        <f>-307.24</f>
        <v>-307.24</v>
      </c>
      <c r="K52" s="3"/>
      <c r="L52" s="11">
        <f>-229.85</f>
        <v>-229.85</v>
      </c>
      <c r="M52" s="3"/>
      <c r="N52" s="11">
        <f>-130.8</f>
        <v>-130.80000000000001</v>
      </c>
      <c r="O52" s="3"/>
      <c r="P52" s="11"/>
      <c r="Q52" s="3"/>
      <c r="R52" s="11"/>
    </row>
    <row r="53" spans="1:18" s="16" customFormat="1" hidden="1" outlineLevel="1" x14ac:dyDescent="0.35">
      <c r="B53" s="35" t="str">
        <f>CONCATENATE("          ", "4245", " - ", "SALES RETURN TAXABLE-SPECIAL O")</f>
        <v xml:space="preserve">          4245 - SALES RETURN TAXABLE-SPECIAL O</v>
      </c>
      <c r="D53" s="11">
        <f>0*-1</f>
        <v>0</v>
      </c>
      <c r="F53" s="11">
        <f t="shared" ref="F53:F55" si="24">0*-1</f>
        <v>0</v>
      </c>
      <c r="G53" s="3"/>
      <c r="H53" s="11">
        <f>122*-1</f>
        <v>-122</v>
      </c>
      <c r="I53" s="3"/>
      <c r="J53" s="11">
        <f>-137.65</f>
        <v>-137.65</v>
      </c>
      <c r="K53" s="3"/>
      <c r="L53" s="11">
        <f>-135.9</f>
        <v>-135.9</v>
      </c>
      <c r="M53" s="3"/>
      <c r="N53" s="11">
        <f>-9.99</f>
        <v>-9.99</v>
      </c>
      <c r="O53" s="3"/>
      <c r="P53" s="11"/>
      <c r="Q53" s="3"/>
      <c r="R53" s="11"/>
    </row>
    <row r="54" spans="1:18" s="16" customFormat="1" hidden="1" outlineLevel="1" x14ac:dyDescent="0.35">
      <c r="B54" s="35" t="str">
        <f>CONCATENATE("          ", "4283", " - ", "SALES RETURN TAXABLE-COMPUTER")</f>
        <v xml:space="preserve">          4283 - SALES RETURN TAXABLE-COMPUTER</v>
      </c>
      <c r="D54" s="11">
        <f>19.95*-1</f>
        <v>-19.95</v>
      </c>
      <c r="F54" s="11">
        <f t="shared" si="24"/>
        <v>0</v>
      </c>
      <c r="G54" s="3"/>
      <c r="H54" s="11">
        <f>0*-1</f>
        <v>0</v>
      </c>
      <c r="I54" s="3"/>
      <c r="J54" s="11">
        <f t="shared" ref="J54:J55" si="25">0</f>
        <v>0</v>
      </c>
      <c r="K54" s="3"/>
      <c r="L54" s="11">
        <f t="shared" ref="L54:L55" si="26">0</f>
        <v>0</v>
      </c>
      <c r="M54" s="3"/>
      <c r="N54" s="11">
        <f>0</f>
        <v>0</v>
      </c>
      <c r="O54" s="3"/>
      <c r="P54" s="11"/>
      <c r="Q54" s="3"/>
      <c r="R54" s="11"/>
    </row>
    <row r="55" spans="1:18" s="16" customFormat="1" hidden="1" outlineLevel="1" x14ac:dyDescent="0.35">
      <c r="B55" s="35" t="str">
        <f>CONCATENATE("          ", "4295", " - ", "SALES RETURN TAXABLE-CUSTOMER")</f>
        <v xml:space="preserve">          4295 - SALES RETURN TAXABLE-CUSTOMER</v>
      </c>
      <c r="D55" s="11">
        <f>97.02*-1</f>
        <v>-97.02</v>
      </c>
      <c r="F55" s="11">
        <f t="shared" si="24"/>
        <v>0</v>
      </c>
      <c r="G55" s="3"/>
      <c r="H55" s="11">
        <f>0.99*-1</f>
        <v>-0.99</v>
      </c>
      <c r="I55" s="3"/>
      <c r="J55" s="11">
        <f t="shared" si="25"/>
        <v>0</v>
      </c>
      <c r="K55" s="3"/>
      <c r="L55" s="11">
        <f t="shared" si="26"/>
        <v>0</v>
      </c>
      <c r="M55" s="3"/>
      <c r="N55" s="11">
        <f>--0.99</f>
        <v>0.99</v>
      </c>
      <c r="O55" s="3"/>
      <c r="P55" s="11"/>
      <c r="Q55" s="3"/>
      <c r="R55" s="11"/>
    </row>
    <row r="56" spans="1:18" s="12" customFormat="1" x14ac:dyDescent="0.35">
      <c r="B56" s="7"/>
      <c r="D56" s="6"/>
      <c r="F56" s="6"/>
      <c r="G56" s="5"/>
      <c r="H56" s="6"/>
      <c r="I56" s="5"/>
      <c r="J56" s="6"/>
      <c r="K56" s="5"/>
      <c r="L56" s="6"/>
      <c r="M56" s="5"/>
      <c r="N56" s="6"/>
      <c r="O56" s="5"/>
      <c r="P56" s="6"/>
      <c r="Q56" s="5"/>
      <c r="R56" s="6"/>
    </row>
    <row r="57" spans="1:18" s="12" customFormat="1" collapsed="1" x14ac:dyDescent="0.35">
      <c r="B57" s="7" t="s">
        <v>278</v>
      </c>
      <c r="D57" s="8">
        <f>SUM(OSRRefD14x_0)</f>
        <v>225965.96000000002</v>
      </c>
      <c r="E57" s="8"/>
      <c r="F57" s="8">
        <f>SUM(OSRRefF14x_0)</f>
        <v>238737.24999999997</v>
      </c>
      <c r="G57" s="8"/>
      <c r="H57" s="8">
        <f>SUM(OSRRefH14x_0)</f>
        <v>259738.57000000004</v>
      </c>
      <c r="I57" s="8"/>
      <c r="J57" s="8">
        <f>SUM(OSRRefJ14x_0)</f>
        <v>243971.29</v>
      </c>
      <c r="K57" s="8"/>
      <c r="L57" s="8">
        <f>SUM(OSRRefL14x_0)</f>
        <v>209508.80000000002</v>
      </c>
      <c r="M57" s="8"/>
      <c r="N57" s="8">
        <f>SUM(OSRRefN14x_0)</f>
        <v>211204.24999999997</v>
      </c>
      <c r="O57" s="8"/>
      <c r="P57" s="8">
        <f>SUM(OSRRefP14x_0)</f>
        <v>253877</v>
      </c>
      <c r="Q57" s="8"/>
      <c r="R57" s="8">
        <f>SUM(OSRRefR14x_0)</f>
        <v>190434</v>
      </c>
    </row>
    <row r="58" spans="1:18" s="44" customFormat="1" hidden="1" outlineLevel="1" x14ac:dyDescent="0.35">
      <c r="A58" s="16"/>
      <c r="B58" s="35" t="str">
        <f>CONCATENATE("          ", "5000", " - ", "PURCHASES @ COST")</f>
        <v xml:space="preserve">          5000 - PURCHASES @ COST</v>
      </c>
      <c r="C58" s="16"/>
      <c r="D58" s="11"/>
      <c r="E58" s="16"/>
      <c r="F58" s="11"/>
      <c r="G58" s="3"/>
      <c r="H58" s="11"/>
      <c r="I58" s="3"/>
      <c r="J58" s="11"/>
      <c r="K58" s="3"/>
      <c r="L58" s="11"/>
      <c r="M58" s="3"/>
      <c r="N58" s="11"/>
      <c r="O58" s="3"/>
      <c r="P58" s="11">
        <v>253877</v>
      </c>
      <c r="Q58" s="3"/>
      <c r="R58" s="11">
        <v>190434</v>
      </c>
    </row>
    <row r="59" spans="1:18" s="44" customFormat="1" hidden="1" outlineLevel="1" x14ac:dyDescent="0.35">
      <c r="A59" s="16"/>
      <c r="B59" s="35" t="str">
        <f>CONCATENATE("          ", "5013", " - ", "PURCHASES @ COST-TRADE BOOKS")</f>
        <v xml:space="preserve">          5013 - PURCHASES @ COST-TRADE BOOKS</v>
      </c>
      <c r="C59" s="16"/>
      <c r="D59" s="11">
        <v>104.34</v>
      </c>
      <c r="E59" s="16"/>
      <c r="F59" s="11">
        <v>163.78</v>
      </c>
      <c r="G59" s="3"/>
      <c r="H59" s="11">
        <v>353.95</v>
      </c>
      <c r="I59" s="3"/>
      <c r="J59" s="11"/>
      <c r="K59" s="3"/>
      <c r="L59" s="11"/>
      <c r="M59" s="3"/>
      <c r="N59" s="11"/>
      <c r="O59" s="3"/>
      <c r="P59" s="11"/>
      <c r="Q59" s="3"/>
      <c r="R59" s="11"/>
    </row>
    <row r="60" spans="1:18" s="44" customFormat="1" hidden="1" outlineLevel="1" x14ac:dyDescent="0.35">
      <c r="A60" s="16"/>
      <c r="B60" s="35" t="str">
        <f>CONCATENATE("          ", "5014", " - ", "PURCHASES @ COST-REMAINDERS")</f>
        <v xml:space="preserve">          5014 - PURCHASES @ COST-REMAINDERS</v>
      </c>
      <c r="C60" s="16"/>
      <c r="D60" s="11"/>
      <c r="E60" s="16"/>
      <c r="F60" s="11"/>
      <c r="G60" s="3"/>
      <c r="H60" s="11">
        <v>15.28</v>
      </c>
      <c r="I60" s="3"/>
      <c r="J60" s="11"/>
      <c r="K60" s="3"/>
      <c r="L60" s="11"/>
      <c r="M60" s="3"/>
      <c r="N60" s="11"/>
      <c r="O60" s="3"/>
      <c r="P60" s="11"/>
      <c r="Q60" s="3"/>
      <c r="R60" s="11"/>
    </row>
    <row r="61" spans="1:18" s="44" customFormat="1" hidden="1" outlineLevel="1" x14ac:dyDescent="0.35">
      <c r="A61" s="16"/>
      <c r="B61" s="35" t="str">
        <f>CONCATENATE("          ", "5015", " - ", "PURCHASES @ COST-CALENDARS")</f>
        <v xml:space="preserve">          5015 - PURCHASES @ COST-CALENDARS</v>
      </c>
      <c r="C61" s="16"/>
      <c r="D61" s="11"/>
      <c r="E61" s="16"/>
      <c r="F61" s="11">
        <v>6.75</v>
      </c>
      <c r="G61" s="3"/>
      <c r="H61" s="11"/>
      <c r="I61" s="3"/>
      <c r="J61" s="11"/>
      <c r="K61" s="3"/>
      <c r="L61" s="11"/>
      <c r="M61" s="3"/>
      <c r="N61" s="11"/>
      <c r="O61" s="3"/>
      <c r="P61" s="11"/>
      <c r="Q61" s="3"/>
      <c r="R61" s="11"/>
    </row>
    <row r="62" spans="1:18" s="44" customFormat="1" hidden="1" outlineLevel="1" x14ac:dyDescent="0.35">
      <c r="A62" s="16"/>
      <c r="B62" s="35" t="str">
        <f>CONCATENATE("          ", "5019", " - ", "PURCHASES @ COST-BOOK RELATED")</f>
        <v xml:space="preserve">          5019 - PURCHASES @ COST-BOOK RELATED</v>
      </c>
      <c r="C62" s="16"/>
      <c r="D62" s="11"/>
      <c r="E62" s="16"/>
      <c r="F62" s="11">
        <v>-3</v>
      </c>
      <c r="G62" s="3"/>
      <c r="H62" s="11">
        <v>329.8</v>
      </c>
      <c r="I62" s="3"/>
      <c r="J62" s="11"/>
      <c r="K62" s="3"/>
      <c r="L62" s="11"/>
      <c r="M62" s="3"/>
      <c r="N62" s="11"/>
      <c r="O62" s="3"/>
      <c r="P62" s="11"/>
      <c r="Q62" s="3"/>
      <c r="R62" s="11"/>
    </row>
    <row r="63" spans="1:18" s="44" customFormat="1" hidden="1" outlineLevel="1" x14ac:dyDescent="0.35">
      <c r="A63" s="16"/>
      <c r="B63" s="35" t="str">
        <f>CONCATENATE("          ", "5025", " - ", "PURCHASES @ COST-TEST FORMS")</f>
        <v xml:space="preserve">          5025 - PURCHASES @ COST-TEST FORMS</v>
      </c>
      <c r="C63" s="16"/>
      <c r="D63" s="11">
        <v>43.85</v>
      </c>
      <c r="E63" s="16"/>
      <c r="F63" s="11">
        <v>113.64</v>
      </c>
      <c r="G63" s="3"/>
      <c r="H63" s="11">
        <v>25.29</v>
      </c>
      <c r="I63" s="3"/>
      <c r="J63" s="11">
        <v>7.4</v>
      </c>
      <c r="K63" s="3"/>
      <c r="L63" s="11">
        <v>19.149999999999999</v>
      </c>
      <c r="M63" s="3"/>
      <c r="N63" s="11">
        <v>6.06</v>
      </c>
      <c r="O63" s="3"/>
      <c r="P63" s="11"/>
      <c r="Q63" s="3"/>
      <c r="R63" s="11"/>
    </row>
    <row r="64" spans="1:18" s="44" customFormat="1" hidden="1" outlineLevel="1" x14ac:dyDescent="0.35">
      <c r="A64" s="16"/>
      <c r="B64" s="35" t="str">
        <f>CONCATENATE("          ", "5026", " - ", "PURCHASES @ COST-WRITING INSTR")</f>
        <v xml:space="preserve">          5026 - PURCHASES @ COST-WRITING INSTR</v>
      </c>
      <c r="C64" s="16"/>
      <c r="D64" s="11">
        <v>240.83</v>
      </c>
      <c r="E64" s="16"/>
      <c r="F64" s="11">
        <v>169.92</v>
      </c>
      <c r="G64" s="3"/>
      <c r="H64" s="11">
        <v>87.2</v>
      </c>
      <c r="I64" s="3"/>
      <c r="J64" s="11">
        <v>312.33</v>
      </c>
      <c r="K64" s="3"/>
      <c r="L64" s="11">
        <v>544.27</v>
      </c>
      <c r="M64" s="3"/>
      <c r="N64" s="11">
        <v>1193.81</v>
      </c>
      <c r="O64" s="3"/>
      <c r="P64" s="11"/>
      <c r="Q64" s="3"/>
      <c r="R64" s="11"/>
    </row>
    <row r="65" spans="1:18" s="44" customFormat="1" hidden="1" outlineLevel="1" x14ac:dyDescent="0.35">
      <c r="A65" s="16"/>
      <c r="B65" s="35" t="str">
        <f>CONCATENATE("          ", "5027", " - ", "PURCHASES @ COST-SCHOOL SUPPLI")</f>
        <v xml:space="preserve">          5027 - PURCHASES @ COST-SCHOOL SUPPLI</v>
      </c>
      <c r="C65" s="16"/>
      <c r="D65" s="11">
        <v>120.66</v>
      </c>
      <c r="E65" s="16"/>
      <c r="F65" s="11">
        <v>212.05</v>
      </c>
      <c r="G65" s="3"/>
      <c r="H65" s="11">
        <v>419.41</v>
      </c>
      <c r="I65" s="3"/>
      <c r="J65" s="11">
        <v>127.18</v>
      </c>
      <c r="K65" s="3"/>
      <c r="L65" s="11">
        <v>569.59</v>
      </c>
      <c r="M65" s="3"/>
      <c r="N65" s="11">
        <v>305.64999999999998</v>
      </c>
      <c r="O65" s="3"/>
      <c r="P65" s="11"/>
      <c r="Q65" s="3"/>
      <c r="R65" s="11"/>
    </row>
    <row r="66" spans="1:18" s="44" customFormat="1" hidden="1" outlineLevel="1" x14ac:dyDescent="0.35">
      <c r="A66" s="16"/>
      <c r="B66" s="35" t="str">
        <f>CONCATENATE("          ", "5028", " - ", "PURCHASES @ COST-ART/TECH")</f>
        <v xml:space="preserve">          5028 - PURCHASES @ COST-ART/TECH</v>
      </c>
      <c r="C66" s="16"/>
      <c r="D66" s="11"/>
      <c r="E66" s="16"/>
      <c r="F66" s="11">
        <v>248.49</v>
      </c>
      <c r="G66" s="3"/>
      <c r="H66" s="11">
        <v>0</v>
      </c>
      <c r="I66" s="3"/>
      <c r="J66" s="11">
        <v>24.96</v>
      </c>
      <c r="K66" s="3"/>
      <c r="L66" s="11"/>
      <c r="M66" s="3"/>
      <c r="N66" s="11"/>
      <c r="O66" s="3"/>
      <c r="P66" s="11"/>
      <c r="Q66" s="3"/>
      <c r="R66" s="11"/>
    </row>
    <row r="67" spans="1:18" s="44" customFormat="1" hidden="1" outlineLevel="1" x14ac:dyDescent="0.35">
      <c r="A67" s="16"/>
      <c r="B67" s="35" t="str">
        <f>CONCATENATE("          ", "5031", " - ", "PURCHASES @ COST-FOOD")</f>
        <v xml:space="preserve">          5031 - PURCHASES @ COST-FOOD</v>
      </c>
      <c r="C67" s="16"/>
      <c r="D67" s="11"/>
      <c r="E67" s="16"/>
      <c r="F67" s="11"/>
      <c r="G67" s="3"/>
      <c r="H67" s="11">
        <v>125.15</v>
      </c>
      <c r="I67" s="3"/>
      <c r="J67" s="11"/>
      <c r="K67" s="3"/>
      <c r="L67" s="11"/>
      <c r="M67" s="3"/>
      <c r="N67" s="11"/>
      <c r="O67" s="3"/>
      <c r="P67" s="11"/>
      <c r="Q67" s="3"/>
      <c r="R67" s="11"/>
    </row>
    <row r="68" spans="1:18" s="44" customFormat="1" hidden="1" outlineLevel="1" x14ac:dyDescent="0.35">
      <c r="A68" s="16"/>
      <c r="B68" s="35" t="str">
        <f>CONCATENATE("          ", "5032", " - ", "PURCHASES @ COST-JUICE")</f>
        <v xml:space="preserve">          5032 - PURCHASES @ COST-JUICE</v>
      </c>
      <c r="C68" s="16"/>
      <c r="D68" s="11"/>
      <c r="E68" s="16"/>
      <c r="F68" s="11">
        <v>68.87</v>
      </c>
      <c r="G68" s="3"/>
      <c r="H68" s="11">
        <v>11.37</v>
      </c>
      <c r="I68" s="3"/>
      <c r="J68" s="11">
        <v>16.760000000000002</v>
      </c>
      <c r="K68" s="3"/>
      <c r="L68" s="11"/>
      <c r="M68" s="3"/>
      <c r="N68" s="11"/>
      <c r="O68" s="3"/>
      <c r="P68" s="11"/>
      <c r="Q68" s="3"/>
      <c r="R68" s="11"/>
    </row>
    <row r="69" spans="1:18" s="44" customFormat="1" hidden="1" outlineLevel="1" x14ac:dyDescent="0.35">
      <c r="A69" s="16"/>
      <c r="B69" s="35" t="str">
        <f>CONCATENATE("          ", "5033", " - ", "PURCHASES @ COST-CANDY")</f>
        <v xml:space="preserve">          5033 - PURCHASES @ COST-CANDY</v>
      </c>
      <c r="C69" s="16"/>
      <c r="D69" s="11"/>
      <c r="E69" s="16"/>
      <c r="F69" s="11"/>
      <c r="G69" s="3"/>
      <c r="H69" s="11">
        <v>19.96</v>
      </c>
      <c r="I69" s="3"/>
      <c r="J69" s="11"/>
      <c r="K69" s="3"/>
      <c r="L69" s="11"/>
      <c r="M69" s="3"/>
      <c r="N69" s="11"/>
      <c r="O69" s="3"/>
      <c r="P69" s="11"/>
      <c r="Q69" s="3"/>
      <c r="R69" s="11"/>
    </row>
    <row r="70" spans="1:18" s="44" customFormat="1" hidden="1" outlineLevel="1" x14ac:dyDescent="0.35">
      <c r="A70" s="16"/>
      <c r="B70" s="35" t="str">
        <f>CONCATENATE("          ", "5034", " - ", "PURCHASES @ COST-SODA")</f>
        <v xml:space="preserve">          5034 - PURCHASES @ COST-SODA</v>
      </c>
      <c r="C70" s="16"/>
      <c r="D70" s="11"/>
      <c r="E70" s="16"/>
      <c r="F70" s="11">
        <v>76.8</v>
      </c>
      <c r="G70" s="3"/>
      <c r="H70" s="11">
        <v>-72.31</v>
      </c>
      <c r="I70" s="3"/>
      <c r="J70" s="11">
        <v>161.47999999999999</v>
      </c>
      <c r="K70" s="3"/>
      <c r="L70" s="11">
        <v>18.54</v>
      </c>
      <c r="M70" s="3"/>
      <c r="N70" s="11"/>
      <c r="O70" s="3"/>
      <c r="P70" s="11"/>
      <c r="Q70" s="3"/>
      <c r="R70" s="11"/>
    </row>
    <row r="71" spans="1:18" s="44" customFormat="1" hidden="1" outlineLevel="1" x14ac:dyDescent="0.35">
      <c r="A71" s="16"/>
      <c r="B71" s="35" t="str">
        <f>CONCATENATE("          ", "5037", " - ", "PURCHASES @ COST-WATER")</f>
        <v xml:space="preserve">          5037 - PURCHASES @ COST-WATER</v>
      </c>
      <c r="C71" s="16"/>
      <c r="D71" s="11"/>
      <c r="E71" s="16"/>
      <c r="F71" s="11">
        <v>3.56</v>
      </c>
      <c r="G71" s="3"/>
      <c r="H71" s="11">
        <v>48.57</v>
      </c>
      <c r="I71" s="3"/>
      <c r="J71" s="11">
        <v>88.96</v>
      </c>
      <c r="K71" s="3"/>
      <c r="L71" s="11">
        <v>67.790000000000006</v>
      </c>
      <c r="M71" s="3"/>
      <c r="N71" s="11">
        <v>29.76</v>
      </c>
      <c r="O71" s="3"/>
      <c r="P71" s="11"/>
      <c r="Q71" s="3"/>
      <c r="R71" s="11"/>
    </row>
    <row r="72" spans="1:18" s="44" customFormat="1" hidden="1" outlineLevel="1" x14ac:dyDescent="0.35">
      <c r="A72" s="16"/>
      <c r="B72" s="35" t="str">
        <f>CONCATENATE("          ", "5040", " - ", "PURCHASES @ COST-LOGO CLOTHING")</f>
        <v xml:space="preserve">          5040 - PURCHASES @ COST-LOGO CLOTHING</v>
      </c>
      <c r="C72" s="16"/>
      <c r="D72" s="11">
        <v>178523.72</v>
      </c>
      <c r="E72" s="16"/>
      <c r="F72" s="11">
        <v>196213.49</v>
      </c>
      <c r="G72" s="3"/>
      <c r="H72" s="11">
        <v>195726.24</v>
      </c>
      <c r="I72" s="3"/>
      <c r="J72" s="11">
        <v>225376.9</v>
      </c>
      <c r="K72" s="3"/>
      <c r="L72" s="11">
        <v>195063.17</v>
      </c>
      <c r="M72" s="3"/>
      <c r="N72" s="11">
        <v>144045.49</v>
      </c>
      <c r="O72" s="3"/>
      <c r="P72" s="11"/>
      <c r="Q72" s="3"/>
      <c r="R72" s="11"/>
    </row>
    <row r="73" spans="1:18" s="44" customFormat="1" hidden="1" outlineLevel="1" x14ac:dyDescent="0.35">
      <c r="A73" s="16"/>
      <c r="B73" s="35" t="str">
        <f>CONCATENATE("          ", "5041", " - ", "PURCHASES @ COST-LOGO GIFTS")</f>
        <v xml:space="preserve">          5041 - PURCHASES @ COST-LOGO GIFTS</v>
      </c>
      <c r="C73" s="16"/>
      <c r="D73" s="11">
        <v>33025.160000000003</v>
      </c>
      <c r="E73" s="16"/>
      <c r="F73" s="11">
        <v>33695.57</v>
      </c>
      <c r="G73" s="3"/>
      <c r="H73" s="11">
        <v>34709.910000000003</v>
      </c>
      <c r="I73" s="3"/>
      <c r="J73" s="11">
        <v>35939.839999999997</v>
      </c>
      <c r="K73" s="3"/>
      <c r="L73" s="11">
        <v>30673.58</v>
      </c>
      <c r="M73" s="3"/>
      <c r="N73" s="11">
        <v>18398.5</v>
      </c>
      <c r="O73" s="3"/>
      <c r="P73" s="11"/>
      <c r="Q73" s="3"/>
      <c r="R73" s="11"/>
    </row>
    <row r="74" spans="1:18" s="44" customFormat="1" hidden="1" outlineLevel="1" x14ac:dyDescent="0.35">
      <c r="A74" s="16"/>
      <c r="B74" s="35" t="str">
        <f>CONCATENATE("          ", "5042", " - ", "PURCHASES @ COST-EVERYDAY GIFT")</f>
        <v xml:space="preserve">          5042 - PURCHASES @ COST-EVERYDAY GIFT</v>
      </c>
      <c r="C74" s="16"/>
      <c r="D74" s="11">
        <v>2529.9499999999998</v>
      </c>
      <c r="E74" s="16"/>
      <c r="F74" s="11">
        <v>4739.87</v>
      </c>
      <c r="G74" s="3"/>
      <c r="H74" s="11">
        <v>6683.93</v>
      </c>
      <c r="I74" s="3"/>
      <c r="J74" s="11">
        <v>18260.04</v>
      </c>
      <c r="K74" s="3"/>
      <c r="L74" s="11">
        <v>14090.97</v>
      </c>
      <c r="M74" s="3"/>
      <c r="N74" s="11">
        <v>19640.47</v>
      </c>
      <c r="O74" s="3"/>
      <c r="P74" s="11"/>
      <c r="Q74" s="3"/>
      <c r="R74" s="11"/>
    </row>
    <row r="75" spans="1:18" s="44" customFormat="1" hidden="1" outlineLevel="1" x14ac:dyDescent="0.35">
      <c r="A75" s="16"/>
      <c r="B75" s="35" t="str">
        <f>CONCATENATE("          ", "5043", " - ", "PURCHASES @ COST-CARDS")</f>
        <v xml:space="preserve">          5043 - PURCHASES @ COST-CARDS</v>
      </c>
      <c r="C75" s="16"/>
      <c r="D75" s="11">
        <v>314.2</v>
      </c>
      <c r="E75" s="16"/>
      <c r="F75" s="11">
        <v>760.33</v>
      </c>
      <c r="G75" s="3"/>
      <c r="H75" s="11">
        <v>1354.68</v>
      </c>
      <c r="I75" s="3"/>
      <c r="J75" s="11">
        <v>871.28</v>
      </c>
      <c r="K75" s="3"/>
      <c r="L75" s="11">
        <v>252.69</v>
      </c>
      <c r="M75" s="3"/>
      <c r="N75" s="11">
        <v>147.96</v>
      </c>
      <c r="O75" s="3"/>
      <c r="P75" s="11"/>
      <c r="Q75" s="3"/>
      <c r="R75" s="11"/>
    </row>
    <row r="76" spans="1:18" s="44" customFormat="1" hidden="1" outlineLevel="1" x14ac:dyDescent="0.35">
      <c r="A76" s="16"/>
      <c r="B76" s="35" t="str">
        <f>CONCATENATE("          ", "5044", " - ", "PURCHASES @ COST-ACCESSORIES")</f>
        <v xml:space="preserve">          5044 - PURCHASES @ COST-ACCESSORIES</v>
      </c>
      <c r="C76" s="16"/>
      <c r="D76" s="11">
        <v>2274.4699999999998</v>
      </c>
      <c r="E76" s="16"/>
      <c r="F76" s="11">
        <v>2585.1</v>
      </c>
      <c r="G76" s="3"/>
      <c r="H76" s="11">
        <v>3270.42</v>
      </c>
      <c r="I76" s="3"/>
      <c r="J76" s="11">
        <v>3415.45</v>
      </c>
      <c r="K76" s="3"/>
      <c r="L76" s="11">
        <v>1879.76</v>
      </c>
      <c r="M76" s="3"/>
      <c r="N76" s="11">
        <v>-5736.6</v>
      </c>
      <c r="O76" s="3"/>
      <c r="P76" s="11"/>
      <c r="Q76" s="3"/>
      <c r="R76" s="11"/>
    </row>
    <row r="77" spans="1:18" s="44" customFormat="1" hidden="1" outlineLevel="1" x14ac:dyDescent="0.35">
      <c r="A77" s="16"/>
      <c r="B77" s="35" t="str">
        <f>CONCATENATE("          ", "5045", " - ", "PURCHASES @ COST-SPECIAL ORDER")</f>
        <v xml:space="preserve">          5045 - PURCHASES @ COST-SPECIAL ORDER</v>
      </c>
      <c r="C77" s="16"/>
      <c r="D77" s="11">
        <v>0</v>
      </c>
      <c r="E77" s="16"/>
      <c r="F77" s="11">
        <v>198.75</v>
      </c>
      <c r="G77" s="3"/>
      <c r="H77" s="11">
        <v>298.64999999999998</v>
      </c>
      <c r="I77" s="3"/>
      <c r="J77" s="11">
        <v>856.68</v>
      </c>
      <c r="K77" s="3"/>
      <c r="L77" s="11">
        <v>1515.12</v>
      </c>
      <c r="M77" s="3"/>
      <c r="N77" s="11">
        <v>-998.2</v>
      </c>
      <c r="O77" s="3"/>
      <c r="P77" s="11"/>
      <c r="Q77" s="3"/>
      <c r="R77" s="11"/>
    </row>
    <row r="78" spans="1:18" s="44" customFormat="1" hidden="1" outlineLevel="1" x14ac:dyDescent="0.35">
      <c r="A78" s="16"/>
      <c r="B78" s="35" t="str">
        <f>CONCATENATE("          ", "5081", " - ", "PURCHASES @ COST-ELECTRONICS")</f>
        <v xml:space="preserve">          5081 - PURCHASES @ COST-ELECTRONICS</v>
      </c>
      <c r="C78" s="16"/>
      <c r="D78" s="11">
        <v>-14.52</v>
      </c>
      <c r="E78" s="16"/>
      <c r="F78" s="11">
        <v>399.9</v>
      </c>
      <c r="G78" s="3"/>
      <c r="H78" s="11">
        <v>10.66</v>
      </c>
      <c r="I78" s="3"/>
      <c r="J78" s="11"/>
      <c r="K78" s="3"/>
      <c r="L78" s="11"/>
      <c r="M78" s="3"/>
      <c r="N78" s="11"/>
      <c r="O78" s="3"/>
      <c r="P78" s="11"/>
      <c r="Q78" s="3"/>
      <c r="R78" s="11"/>
    </row>
    <row r="79" spans="1:18" s="44" customFormat="1" hidden="1" outlineLevel="1" x14ac:dyDescent="0.35">
      <c r="A79" s="16"/>
      <c r="B79" s="35" t="str">
        <f>CONCATENATE("          ", "5083", " - ", "PURCHASES @ COST-COMPUTER EQUI")</f>
        <v xml:space="preserve">          5083 - PURCHASES @ COST-COMPUTER EQUI</v>
      </c>
      <c r="C79" s="16"/>
      <c r="D79" s="11">
        <v>-6.7</v>
      </c>
      <c r="E79" s="16"/>
      <c r="F79" s="11"/>
      <c r="G79" s="3"/>
      <c r="H79" s="11">
        <v>23.82</v>
      </c>
      <c r="I79" s="3"/>
      <c r="J79" s="11">
        <v>13.5</v>
      </c>
      <c r="K79" s="3"/>
      <c r="L79" s="11">
        <v>15.8</v>
      </c>
      <c r="M79" s="3"/>
      <c r="N79" s="11">
        <v>90.35</v>
      </c>
      <c r="O79" s="3"/>
      <c r="P79" s="11"/>
      <c r="Q79" s="3"/>
      <c r="R79" s="11"/>
    </row>
    <row r="80" spans="1:18" s="44" customFormat="1" hidden="1" outlineLevel="1" x14ac:dyDescent="0.35">
      <c r="A80" s="16"/>
      <c r="B80" s="35" t="str">
        <f>CONCATENATE("          ", "5086", " - ", "PURCHASES @ COST-COMPUTER SUPP")</f>
        <v xml:space="preserve">          5086 - PURCHASES @ COST-COMPUTER SUPP</v>
      </c>
      <c r="C80" s="16"/>
      <c r="D80" s="11"/>
      <c r="E80" s="16"/>
      <c r="F80" s="11"/>
      <c r="G80" s="3"/>
      <c r="H80" s="11">
        <v>5</v>
      </c>
      <c r="I80" s="3"/>
      <c r="J80" s="11">
        <v>0</v>
      </c>
      <c r="K80" s="3"/>
      <c r="L80" s="11"/>
      <c r="M80" s="3"/>
      <c r="N80" s="11">
        <v>0</v>
      </c>
      <c r="O80" s="3"/>
      <c r="P80" s="11"/>
      <c r="Q80" s="3"/>
      <c r="R80" s="11"/>
    </row>
    <row r="81" spans="1:18" s="44" customFormat="1" hidden="1" outlineLevel="1" x14ac:dyDescent="0.35">
      <c r="A81" s="16"/>
      <c r="B81" s="35" t="str">
        <f>CONCATENATE("          ", "5088", " - ", "PURCHASES @ COST-MUSIC")</f>
        <v xml:space="preserve">          5088 - PURCHASES @ COST-MUSIC</v>
      </c>
      <c r="C81" s="16"/>
      <c r="D81" s="11"/>
      <c r="E81" s="16"/>
      <c r="F81" s="11"/>
      <c r="G81" s="3"/>
      <c r="H81" s="11"/>
      <c r="I81" s="3"/>
      <c r="J81" s="11">
        <v>40</v>
      </c>
      <c r="K81" s="3"/>
      <c r="L81" s="11"/>
      <c r="M81" s="3"/>
      <c r="N81" s="11"/>
      <c r="O81" s="3"/>
      <c r="P81" s="11"/>
      <c r="Q81" s="3"/>
      <c r="R81" s="11"/>
    </row>
    <row r="82" spans="1:18" s="44" customFormat="1" hidden="1" outlineLevel="1" x14ac:dyDescent="0.35">
      <c r="A82" s="16"/>
      <c r="B82" s="35" t="str">
        <f>CONCATENATE("          ", "5092", " - ", "PURCHASES @ COST-GRAD MERCH")</f>
        <v xml:space="preserve">          5092 - PURCHASES @ COST-GRAD MERCH</v>
      </c>
      <c r="C82" s="16"/>
      <c r="D82" s="11">
        <v>194.7</v>
      </c>
      <c r="E82" s="16"/>
      <c r="F82" s="11">
        <v>11.45</v>
      </c>
      <c r="G82" s="3"/>
      <c r="H82" s="11">
        <v>596.95000000000005</v>
      </c>
      <c r="I82" s="3"/>
      <c r="J82" s="11">
        <v>333</v>
      </c>
      <c r="K82" s="3"/>
      <c r="L82" s="11">
        <v>175.8</v>
      </c>
      <c r="M82" s="3"/>
      <c r="N82" s="11">
        <v>-60.35</v>
      </c>
      <c r="O82" s="3"/>
      <c r="P82" s="11"/>
      <c r="Q82" s="3"/>
      <c r="R82" s="11"/>
    </row>
    <row r="83" spans="1:18" s="44" customFormat="1" hidden="1" outlineLevel="1" x14ac:dyDescent="0.35">
      <c r="A83" s="16"/>
      <c r="B83" s="35" t="str">
        <f>CONCATENATE("          ", "5095", " - ", "PURCHASES @ COST-CUSTOMER SERV")</f>
        <v xml:space="preserve">          5095 - PURCHASES @ COST-CUSTOMER SERV</v>
      </c>
      <c r="C83" s="16"/>
      <c r="D83" s="11">
        <v>-68.7</v>
      </c>
      <c r="E83" s="16"/>
      <c r="F83" s="11">
        <v>66.930000000000007</v>
      </c>
      <c r="G83" s="3"/>
      <c r="H83" s="11">
        <v>134.63999999999999</v>
      </c>
      <c r="I83" s="3"/>
      <c r="J83" s="11">
        <v>28.8</v>
      </c>
      <c r="K83" s="3"/>
      <c r="L83" s="11">
        <v>78.48</v>
      </c>
      <c r="M83" s="3"/>
      <c r="N83" s="11">
        <v>-30.84</v>
      </c>
      <c r="O83" s="3"/>
      <c r="P83" s="11"/>
      <c r="Q83" s="3"/>
      <c r="R83" s="11"/>
    </row>
    <row r="84" spans="1:18" s="44" customFormat="1" hidden="1" outlineLevel="1" x14ac:dyDescent="0.35">
      <c r="A84" s="16"/>
      <c r="B84" s="35" t="str">
        <f>CONCATENATE("          ", "5200", " - ", "PURCHASES OFFSET")</f>
        <v xml:space="preserve">          5200 - PURCHASES OFFSET</v>
      </c>
      <c r="C84" s="16"/>
      <c r="D84" s="11">
        <v>-217288</v>
      </c>
      <c r="E84" s="16"/>
      <c r="F84" s="11">
        <v>-239733</v>
      </c>
      <c r="G84" s="3"/>
      <c r="H84" s="11">
        <v>-244179</v>
      </c>
      <c r="I84" s="3"/>
      <c r="J84" s="11">
        <v>-285934</v>
      </c>
      <c r="K84" s="3"/>
      <c r="L84" s="11">
        <v>-245009</v>
      </c>
      <c r="M84" s="3"/>
      <c r="N84" s="11">
        <v>-177080</v>
      </c>
      <c r="O84" s="3"/>
      <c r="P84" s="11"/>
      <c r="Q84" s="3"/>
      <c r="R84" s="11"/>
    </row>
    <row r="85" spans="1:18" s="44" customFormat="1" hidden="1" outlineLevel="1" x14ac:dyDescent="0.35">
      <c r="A85" s="16"/>
      <c r="B85" s="35" t="str">
        <f>CONCATENATE("          ", "5300", " - ", "COG$ OFFSET")</f>
        <v xml:space="preserve">          5300 - COG$ OFFSET</v>
      </c>
      <c r="C85" s="16"/>
      <c r="D85" s="11">
        <v>225972</v>
      </c>
      <c r="E85" s="16"/>
      <c r="F85" s="11">
        <v>238738</v>
      </c>
      <c r="G85" s="3"/>
      <c r="H85" s="11">
        <v>259739</v>
      </c>
      <c r="I85" s="3"/>
      <c r="J85" s="11">
        <v>243972</v>
      </c>
      <c r="K85" s="3"/>
      <c r="L85" s="11">
        <v>209512</v>
      </c>
      <c r="M85" s="3"/>
      <c r="N85" s="11">
        <v>211196</v>
      </c>
      <c r="O85" s="3"/>
      <c r="P85" s="11"/>
      <c r="Q85" s="3"/>
      <c r="R85" s="11"/>
    </row>
    <row r="86" spans="1:18" s="44" customFormat="1" hidden="1" outlineLevel="1" x14ac:dyDescent="0.35">
      <c r="A86" s="16"/>
      <c r="B86" s="35" t="str">
        <f>CONCATENATE("          ", "5540", " - ", "FREIGHT-IN-LOGO CLOTHING")</f>
        <v xml:space="preserve">          5540 - FREIGHT-IN-LOGO CLOTHING</v>
      </c>
      <c r="C86" s="16"/>
      <c r="D86" s="11"/>
      <c r="E86" s="16"/>
      <c r="F86" s="11"/>
      <c r="G86" s="3"/>
      <c r="H86" s="11"/>
      <c r="I86" s="3"/>
      <c r="J86" s="11">
        <v>40.700000000000003</v>
      </c>
      <c r="K86" s="3"/>
      <c r="L86" s="11">
        <v>11.96</v>
      </c>
      <c r="M86" s="3"/>
      <c r="N86" s="11">
        <v>56.19</v>
      </c>
      <c r="O86" s="3"/>
      <c r="P86" s="11"/>
      <c r="Q86" s="3"/>
      <c r="R86" s="11"/>
    </row>
    <row r="87" spans="1:18" s="44" customFormat="1" hidden="1" outlineLevel="1" x14ac:dyDescent="0.35">
      <c r="A87" s="16"/>
      <c r="B87" s="35" t="str">
        <f>CONCATENATE("          ", "5542", " - ", "FREIGHT-IN-EVERYDAY GIFTS")</f>
        <v xml:space="preserve">          5542 - FREIGHT-IN-EVERYDAY GIFTS</v>
      </c>
      <c r="C87" s="16"/>
      <c r="D87" s="11"/>
      <c r="E87" s="16"/>
      <c r="F87" s="11"/>
      <c r="G87" s="3"/>
      <c r="H87" s="11"/>
      <c r="I87" s="3"/>
      <c r="J87" s="11">
        <v>18.03</v>
      </c>
      <c r="K87" s="3"/>
      <c r="L87" s="11">
        <v>29.13</v>
      </c>
      <c r="M87" s="3"/>
      <c r="N87" s="11"/>
      <c r="O87" s="3"/>
      <c r="P87" s="11"/>
      <c r="Q87" s="3"/>
      <c r="R87" s="11"/>
    </row>
    <row r="88" spans="1:18" x14ac:dyDescent="0.35">
      <c r="A88" s="12"/>
      <c r="B88" s="7"/>
      <c r="C88" s="7"/>
      <c r="D88" s="6"/>
      <c r="F88" s="6"/>
      <c r="H88" s="6"/>
      <c r="J88" s="6"/>
      <c r="L88" s="6"/>
      <c r="N88" s="6"/>
      <c r="P88" s="6"/>
      <c r="R88" s="6"/>
    </row>
    <row r="89" spans="1:18" s="15" customFormat="1" x14ac:dyDescent="0.35">
      <c r="A89" s="7"/>
      <c r="B89" s="22" t="s">
        <v>107</v>
      </c>
      <c r="C89" s="22"/>
      <c r="D89" s="10">
        <f>+D10-D57</f>
        <v>318660.20999999979</v>
      </c>
      <c r="E89" s="12"/>
      <c r="F89" s="10">
        <f>+F10-F57</f>
        <v>329077.2699999999</v>
      </c>
      <c r="G89" s="5"/>
      <c r="H89" s="10">
        <f>+H10-H57</f>
        <v>354865.79999999993</v>
      </c>
      <c r="I89" s="5"/>
      <c r="J89" s="10">
        <f>+J10-J57</f>
        <v>328092.59999999998</v>
      </c>
      <c r="K89" s="5"/>
      <c r="L89" s="10">
        <f>+L10-L57</f>
        <v>290766.54999999993</v>
      </c>
      <c r="M89" s="5"/>
      <c r="N89" s="10">
        <f>+N10-N57</f>
        <v>218636.62000000002</v>
      </c>
      <c r="O89" s="5"/>
      <c r="P89" s="10">
        <f>+P10-P57</f>
        <v>336538</v>
      </c>
      <c r="Q89" s="5"/>
      <c r="R89" s="10">
        <f>+R10-R57</f>
        <v>236272</v>
      </c>
    </row>
    <row r="90" spans="1:18" s="27" customFormat="1" x14ac:dyDescent="0.35">
      <c r="A90" s="18"/>
      <c r="B90" s="31"/>
      <c r="C90" s="18"/>
      <c r="D90" s="9">
        <f>IFERROR(D89/D10, 0)</f>
        <v>0.58509896797651106</v>
      </c>
      <c r="E90" s="13"/>
      <c r="F90" s="9">
        <f>IFERROR(F89/F10, 0)</f>
        <v>0.57955064269930956</v>
      </c>
      <c r="G90" s="26"/>
      <c r="H90" s="9">
        <f>IFERROR(H89/H10, 0)</f>
        <v>0.57738899578602076</v>
      </c>
      <c r="I90" s="26"/>
      <c r="J90" s="9">
        <f>IFERROR(J89/J10, 0)</f>
        <v>0.57352440126923576</v>
      </c>
      <c r="K90" s="26"/>
      <c r="L90" s="9">
        <f>IFERROR(L89/L10, 0)</f>
        <v>0.58121302598658919</v>
      </c>
      <c r="M90" s="26"/>
      <c r="N90" s="9">
        <f>IFERROR(N89/N10, 0)</f>
        <v>0.50864549013219718</v>
      </c>
      <c r="O90" s="26"/>
      <c r="P90" s="9">
        <f>IFERROR(P89/P10, 0)</f>
        <v>0.57000245589966381</v>
      </c>
      <c r="Q90" s="26"/>
      <c r="R90" s="9">
        <f>IFERROR(R89/R10, 0)</f>
        <v>0.5537114547252675</v>
      </c>
    </row>
    <row r="91" spans="1:18" s="27" customFormat="1" x14ac:dyDescent="0.35">
      <c r="A91" s="18"/>
      <c r="B91" s="31"/>
      <c r="C91" s="18"/>
      <c r="D91" s="13"/>
      <c r="E91" s="13"/>
      <c r="F91" s="13"/>
      <c r="G91" s="26"/>
      <c r="H91" s="13"/>
      <c r="I91" s="26"/>
      <c r="J91" s="13"/>
      <c r="K91" s="26"/>
      <c r="L91" s="13"/>
      <c r="M91" s="26"/>
      <c r="N91" s="13"/>
      <c r="O91" s="26"/>
      <c r="P91" s="13"/>
      <c r="Q91" s="26"/>
      <c r="R91" s="13"/>
    </row>
    <row r="92" spans="1:18" s="15" customFormat="1" x14ac:dyDescent="0.35">
      <c r="A92" s="7"/>
      <c r="B92" s="34" t="s">
        <v>314</v>
      </c>
      <c r="C92" s="7"/>
      <c r="D92" s="8">
        <f>SUM(OSRRefD21x_0)</f>
        <v>266728.67</v>
      </c>
      <c r="E92" s="19"/>
      <c r="F92" s="8">
        <f>SUM(OSRRefF21x_0)</f>
        <v>303676.12</v>
      </c>
      <c r="G92" s="4"/>
      <c r="H92" s="8">
        <f>SUM(OSRRefH21x_0)</f>
        <v>364529.7099999999</v>
      </c>
      <c r="I92" s="4"/>
      <c r="J92" s="8">
        <f>SUM(OSRRefJ21x_0)</f>
        <v>328930.11</v>
      </c>
      <c r="K92" s="4"/>
      <c r="L92" s="8">
        <f>SUM(OSRRefL21x_0)</f>
        <v>291830.9200000001</v>
      </c>
      <c r="M92" s="4"/>
      <c r="N92" s="8">
        <f>SUM(OSRRefN21x_0)</f>
        <v>388820.56000000011</v>
      </c>
      <c r="O92" s="4"/>
      <c r="P92" s="8">
        <f>SUM(OSRRefP21x_0)</f>
        <v>314492.28078000003</v>
      </c>
      <c r="Q92" s="4"/>
      <c r="R92" s="8">
        <f>SUM(OSRRefR21x_0)</f>
        <v>266950.05512909999</v>
      </c>
    </row>
    <row r="93" spans="1:18" s="15" customFormat="1" outlineLevel="1" collapsed="1" x14ac:dyDescent="0.35">
      <c r="A93" s="7"/>
      <c r="B93" s="20" t="str">
        <f>CONCATENATE("     ","*Benefits                                         ")</f>
        <v xml:space="preserve">     *Benefits                                         </v>
      </c>
      <c r="C93" s="7"/>
      <c r="D93" s="1">
        <f>SUM(OSRRefD21_0x_0)</f>
        <v>14280.600000000002</v>
      </c>
      <c r="E93" s="19"/>
      <c r="F93" s="1">
        <f>SUM(OSRRefF21_0x_0)</f>
        <v>23688.93</v>
      </c>
      <c r="G93" s="4"/>
      <c r="H93" s="1">
        <f>SUM(OSRRefH21_0x_0)</f>
        <v>30207.260000000002</v>
      </c>
      <c r="I93" s="4"/>
      <c r="J93" s="1">
        <f>SUM(OSRRefJ21_0x_0)</f>
        <v>26224.87</v>
      </c>
      <c r="K93" s="4"/>
      <c r="L93" s="1">
        <f>SUM(OSRRefL21_0x_0)</f>
        <v>23650.91</v>
      </c>
      <c r="M93" s="4"/>
      <c r="N93" s="1">
        <f>SUM(OSRRefN21_0x_0)</f>
        <v>29767.670000000002</v>
      </c>
      <c r="O93" s="4"/>
      <c r="P93" s="1">
        <f>SUM(OSRRefP21_0x_0)</f>
        <v>27973.480780000002</v>
      </c>
      <c r="Q93" s="4"/>
      <c r="R93" s="1">
        <f>SUM(OSRRefR21_0x_0)</f>
        <v>32611.2481291</v>
      </c>
    </row>
    <row r="94" spans="1:18" s="16" customFormat="1" hidden="1" outlineLevel="2" x14ac:dyDescent="0.35">
      <c r="B94" s="11" t="str">
        <f>CONCATENATE("          ", "6111", " - ", "F.I.C.A.")</f>
        <v xml:space="preserve">          6111 - F.I.C.A.</v>
      </c>
      <c r="D94" s="2">
        <v>4241.74</v>
      </c>
      <c r="F94" s="2">
        <v>5330.64</v>
      </c>
      <c r="G94" s="3"/>
      <c r="H94" s="2">
        <v>6897.11</v>
      </c>
      <c r="I94" s="3"/>
      <c r="J94" s="2">
        <v>7715.04</v>
      </c>
      <c r="K94" s="3"/>
      <c r="L94" s="2">
        <v>5763.78</v>
      </c>
      <c r="M94" s="3"/>
      <c r="N94" s="2">
        <v>5374.54</v>
      </c>
      <c r="O94" s="3"/>
      <c r="P94" s="2">
        <v>4979.0418</v>
      </c>
      <c r="Q94" s="3"/>
      <c r="R94" s="2">
        <v>8246.3539266000007</v>
      </c>
    </row>
    <row r="95" spans="1:18" s="16" customFormat="1" hidden="1" outlineLevel="2" x14ac:dyDescent="0.35">
      <c r="B95" s="11" t="str">
        <f>CONCATENATE("          ", "6112", " - ", "COMPENSATION INSURANCE")</f>
        <v xml:space="preserve">          6112 - COMPENSATION INSURANCE</v>
      </c>
      <c r="D95" s="2">
        <v>1592.59</v>
      </c>
      <c r="F95" s="2">
        <v>3173.87</v>
      </c>
      <c r="G95" s="3"/>
      <c r="H95" s="2">
        <v>2404.37</v>
      </c>
      <c r="I95" s="3"/>
      <c r="J95" s="2">
        <v>1237.0899999999999</v>
      </c>
      <c r="K95" s="3"/>
      <c r="L95" s="2">
        <v>1490.27</v>
      </c>
      <c r="M95" s="3"/>
      <c r="N95" s="2">
        <v>2105.52</v>
      </c>
      <c r="O95" s="3"/>
      <c r="P95" s="2">
        <v>2174.3382999999999</v>
      </c>
      <c r="Q95" s="3"/>
      <c r="R95" s="2">
        <v>2046.64707</v>
      </c>
    </row>
    <row r="96" spans="1:18" s="16" customFormat="1" hidden="1" outlineLevel="2" x14ac:dyDescent="0.35">
      <c r="B96" s="11" t="str">
        <f>CONCATENATE("          ", "6113", " - ", "GROUP INSURANCE")</f>
        <v xml:space="preserve">          6113 - GROUP INSURANCE</v>
      </c>
      <c r="D96" s="2">
        <v>3177.43</v>
      </c>
      <c r="F96" s="2">
        <v>6928.5</v>
      </c>
      <c r="G96" s="3"/>
      <c r="H96" s="2">
        <v>11965.5</v>
      </c>
      <c r="I96" s="3"/>
      <c r="J96" s="2">
        <v>9020.4500000000007</v>
      </c>
      <c r="K96" s="3"/>
      <c r="L96" s="2">
        <v>8102.22</v>
      </c>
      <c r="M96" s="3"/>
      <c r="N96" s="2">
        <v>14346.52</v>
      </c>
      <c r="O96" s="3"/>
      <c r="P96" s="2">
        <v>11880</v>
      </c>
      <c r="Q96" s="3"/>
      <c r="R96" s="2">
        <v>11862</v>
      </c>
    </row>
    <row r="97" spans="1:18" s="16" customFormat="1" hidden="1" outlineLevel="2" x14ac:dyDescent="0.35">
      <c r="B97" s="11" t="str">
        <f>CONCATENATE("          ", "6114", " - ", "STATE UNEMPLOYMENT INSURANCE")</f>
        <v xml:space="preserve">          6114 - STATE UNEMPLOYMENT INSURANCE</v>
      </c>
      <c r="D97" s="2">
        <v>646.1</v>
      </c>
      <c r="F97" s="2">
        <v>767.3</v>
      </c>
      <c r="G97" s="3"/>
      <c r="H97" s="2">
        <v>447.45</v>
      </c>
      <c r="I97" s="3"/>
      <c r="J97" s="2">
        <v>439.12</v>
      </c>
      <c r="K97" s="3"/>
      <c r="L97" s="2">
        <v>363.48</v>
      </c>
      <c r="M97" s="3"/>
      <c r="N97" s="2">
        <v>0</v>
      </c>
      <c r="O97" s="3"/>
      <c r="P97" s="2">
        <v>305.58267999999998</v>
      </c>
      <c r="Q97" s="3"/>
      <c r="R97" s="2">
        <v>275.51018249999998</v>
      </c>
    </row>
    <row r="98" spans="1:18" s="16" customFormat="1" hidden="1" outlineLevel="2" x14ac:dyDescent="0.35">
      <c r="B98" s="11" t="str">
        <f>CONCATENATE("          ", "6115", " - ", "P.E.R.S.")</f>
        <v xml:space="preserve">          6115 - P.E.R.S.</v>
      </c>
      <c r="D98" s="2">
        <v>2234.7800000000002</v>
      </c>
      <c r="F98" s="2">
        <v>2324.71</v>
      </c>
      <c r="G98" s="3"/>
      <c r="H98" s="2">
        <v>3607.86</v>
      </c>
      <c r="I98" s="3"/>
      <c r="J98" s="2">
        <v>2815.38</v>
      </c>
      <c r="K98" s="3"/>
      <c r="L98" s="2">
        <v>2471.2600000000002</v>
      </c>
      <c r="M98" s="3"/>
      <c r="N98" s="2">
        <v>2688.57</v>
      </c>
      <c r="O98" s="3"/>
      <c r="P98" s="2">
        <v>2618.6999999999998</v>
      </c>
      <c r="Q98" s="3"/>
      <c r="R98" s="2">
        <v>2679.5450000000001</v>
      </c>
    </row>
    <row r="99" spans="1:18" s="16" customFormat="1" hidden="1" outlineLevel="2" x14ac:dyDescent="0.35">
      <c r="B99" s="11" t="str">
        <f>CONCATENATE("          ", "6116", " - ", "EDUCATIONAL BENEFITS")</f>
        <v xml:space="preserve">          6116 - EDUCATIONAL BENEFITS</v>
      </c>
      <c r="D99" s="2"/>
      <c r="F99" s="2"/>
      <c r="G99" s="3"/>
      <c r="H99" s="2"/>
      <c r="I99" s="3"/>
      <c r="J99" s="2"/>
      <c r="K99" s="3"/>
      <c r="L99" s="2"/>
      <c r="M99" s="3"/>
      <c r="N99" s="2"/>
      <c r="O99" s="3"/>
      <c r="P99" s="2">
        <v>0</v>
      </c>
      <c r="Q99" s="3"/>
      <c r="R99" s="2">
        <v>0</v>
      </c>
    </row>
    <row r="100" spans="1:18" s="16" customFormat="1" hidden="1" outlineLevel="2" x14ac:dyDescent="0.35">
      <c r="B100" s="11" t="str">
        <f>CONCATENATE("          ", "6118", " - ", "VACATION")</f>
        <v xml:space="preserve">          6118 - VACATION</v>
      </c>
      <c r="D100" s="2">
        <v>1365.25</v>
      </c>
      <c r="F100" s="2">
        <v>2452.4299999999998</v>
      </c>
      <c r="G100" s="3"/>
      <c r="H100" s="2">
        <v>2931.04</v>
      </c>
      <c r="I100" s="3"/>
      <c r="J100" s="2">
        <v>1991.61</v>
      </c>
      <c r="K100" s="3"/>
      <c r="L100" s="2">
        <v>2460.09</v>
      </c>
      <c r="M100" s="3"/>
      <c r="N100" s="2">
        <v>3174.96</v>
      </c>
      <c r="O100" s="3"/>
      <c r="P100" s="2">
        <v>1522.5</v>
      </c>
      <c r="Q100" s="3"/>
      <c r="R100" s="2">
        <v>1557.875</v>
      </c>
    </row>
    <row r="101" spans="1:18" s="16" customFormat="1" hidden="1" outlineLevel="2" x14ac:dyDescent="0.35">
      <c r="B101" s="11" t="str">
        <f>CONCATENATE("          ", "6119", " - ", "SICK LEAVE")</f>
        <v xml:space="preserve">          6119 - SICK LEAVE</v>
      </c>
      <c r="D101" s="2">
        <v>1022.71</v>
      </c>
      <c r="F101" s="2">
        <v>2711.48</v>
      </c>
      <c r="G101" s="3"/>
      <c r="H101" s="2">
        <v>1953.93</v>
      </c>
      <c r="I101" s="3"/>
      <c r="J101" s="2">
        <v>1374.17</v>
      </c>
      <c r="K101" s="3"/>
      <c r="L101" s="2">
        <v>1516.76</v>
      </c>
      <c r="M101" s="3"/>
      <c r="N101" s="2">
        <v>1588.06</v>
      </c>
      <c r="O101" s="3"/>
      <c r="P101" s="2">
        <v>2393.3180000000002</v>
      </c>
      <c r="Q101" s="3"/>
      <c r="R101" s="2">
        <v>5943.3169500000004</v>
      </c>
    </row>
    <row r="102" spans="1:18" s="16" customFormat="1" hidden="1" outlineLevel="2" x14ac:dyDescent="0.35">
      <c r="B102" s="11" t="str">
        <f>CONCATENATE("          ", "6156", " - ", "EMPLOYEE MEALS")</f>
        <v xml:space="preserve">          6156 - EMPLOYEE MEALS</v>
      </c>
      <c r="D102" s="2"/>
      <c r="F102" s="2"/>
      <c r="G102" s="3"/>
      <c r="H102" s="2"/>
      <c r="I102" s="3"/>
      <c r="J102" s="2">
        <v>1632.01</v>
      </c>
      <c r="K102" s="3"/>
      <c r="L102" s="2">
        <v>1483.05</v>
      </c>
      <c r="M102" s="3"/>
      <c r="N102" s="2">
        <v>489.5</v>
      </c>
      <c r="O102" s="3"/>
      <c r="P102" s="2">
        <v>2100</v>
      </c>
      <c r="Q102" s="3"/>
      <c r="R102" s="2"/>
    </row>
    <row r="103" spans="1:18" s="15" customFormat="1" outlineLevel="1" collapsed="1" x14ac:dyDescent="0.35">
      <c r="A103" s="7"/>
      <c r="B103" s="20" t="str">
        <f>CONCATENATE("     ","*Payroll                                          ")</f>
        <v xml:space="preserve">     *Payroll                                          </v>
      </c>
      <c r="C103" s="7"/>
      <c r="D103" s="1">
        <f>SUM(OSRRefD21_1x_0)</f>
        <v>104836.29000000001</v>
      </c>
      <c r="E103" s="19"/>
      <c r="F103" s="1">
        <f>SUM(OSRRefF21_1x_0)</f>
        <v>120714.73999999999</v>
      </c>
      <c r="G103" s="4"/>
      <c r="H103" s="1">
        <f>SUM(OSRRefH21_1x_0)</f>
        <v>142591.12</v>
      </c>
      <c r="I103" s="4"/>
      <c r="J103" s="1">
        <f>SUM(OSRRefJ21_1x_0)</f>
        <v>129223.79999999999</v>
      </c>
      <c r="K103" s="4"/>
      <c r="L103" s="1">
        <f>SUM(OSRRefL21_1x_0)</f>
        <v>104059.26999999999</v>
      </c>
      <c r="M103" s="4"/>
      <c r="N103" s="1">
        <f>SUM(OSRRefN21_1x_0)</f>
        <v>116110.76000000001</v>
      </c>
      <c r="O103" s="4"/>
      <c r="P103" s="1">
        <f>SUM(OSRRefP21_1x_0)</f>
        <v>114486.8</v>
      </c>
      <c r="Q103" s="4"/>
      <c r="R103" s="1">
        <f>SUM(OSRRefR21_1x_0)</f>
        <v>124618.807</v>
      </c>
    </row>
    <row r="104" spans="1:18" s="16" customFormat="1" hidden="1" outlineLevel="2" x14ac:dyDescent="0.35">
      <c r="B104" s="11" t="str">
        <f>CONCATENATE("          ", "6001", " - ", "ADMINISTRATIVE SALARIES")</f>
        <v xml:space="preserve">          6001 - ADMINISTRATIVE SALARIES</v>
      </c>
      <c r="D104" s="2"/>
      <c r="F104" s="2"/>
      <c r="G104" s="3"/>
      <c r="H104" s="2"/>
      <c r="I104" s="3"/>
      <c r="J104" s="2"/>
      <c r="K104" s="3"/>
      <c r="L104" s="2"/>
      <c r="M104" s="3"/>
      <c r="N104" s="2"/>
      <c r="O104" s="3"/>
      <c r="P104" s="2">
        <v>0</v>
      </c>
      <c r="Q104" s="3"/>
      <c r="R104" s="2">
        <v>0</v>
      </c>
    </row>
    <row r="105" spans="1:18" s="16" customFormat="1" hidden="1" outlineLevel="2" x14ac:dyDescent="0.35">
      <c r="B105" s="11" t="str">
        <f>CONCATENATE("          ", "6002", " - ", "STAFF SALARIES")</f>
        <v xml:space="preserve">          6002 - STAFF SALARIES</v>
      </c>
      <c r="D105" s="2">
        <v>16388.79</v>
      </c>
      <c r="F105" s="2">
        <v>25435.96</v>
      </c>
      <c r="G105" s="3"/>
      <c r="H105" s="2">
        <v>40745</v>
      </c>
      <c r="I105" s="3"/>
      <c r="J105" s="2">
        <v>27842.69</v>
      </c>
      <c r="K105" s="3"/>
      <c r="L105" s="2">
        <v>-325.14999999999998</v>
      </c>
      <c r="M105" s="3"/>
      <c r="N105" s="2">
        <v>30947.07</v>
      </c>
      <c r="O105" s="3"/>
      <c r="P105" s="2">
        <v>27405</v>
      </c>
      <c r="Q105" s="3"/>
      <c r="R105" s="2">
        <v>28041.75</v>
      </c>
    </row>
    <row r="106" spans="1:18" s="16" customFormat="1" hidden="1" outlineLevel="2" x14ac:dyDescent="0.35">
      <c r="B106" s="11" t="str">
        <f>CONCATENATE("          ", "6003", " - ", "STAFF HOURLY-9 MONTH")</f>
        <v xml:space="preserve">          6003 - STAFF HOURLY-9 MONTH</v>
      </c>
      <c r="D106" s="2"/>
      <c r="F106" s="2"/>
      <c r="G106" s="3"/>
      <c r="H106" s="2"/>
      <c r="I106" s="3"/>
      <c r="J106" s="2"/>
      <c r="K106" s="3"/>
      <c r="L106" s="2"/>
      <c r="M106" s="3"/>
      <c r="N106" s="2"/>
      <c r="O106" s="3"/>
      <c r="P106" s="2">
        <v>0</v>
      </c>
      <c r="Q106" s="3"/>
      <c r="R106" s="2">
        <v>0</v>
      </c>
    </row>
    <row r="107" spans="1:18" s="16" customFormat="1" hidden="1" outlineLevel="2" x14ac:dyDescent="0.35">
      <c r="B107" s="11" t="str">
        <f>CONCATENATE("          ", "6004", " - ", "STAFF HOURLY")</f>
        <v xml:space="preserve">          6004 - STAFF HOURLY</v>
      </c>
      <c r="D107" s="2"/>
      <c r="F107" s="2"/>
      <c r="G107" s="3"/>
      <c r="H107" s="2"/>
      <c r="I107" s="3"/>
      <c r="J107" s="2"/>
      <c r="K107" s="3"/>
      <c r="L107" s="2"/>
      <c r="M107" s="3"/>
      <c r="N107" s="2"/>
      <c r="O107" s="3"/>
      <c r="P107" s="2">
        <v>17417.400000000001</v>
      </c>
      <c r="Q107" s="3"/>
      <c r="R107" s="2">
        <v>65754.592000000004</v>
      </c>
    </row>
    <row r="108" spans="1:18" s="16" customFormat="1" hidden="1" outlineLevel="2" x14ac:dyDescent="0.35">
      <c r="B108" s="11" t="str">
        <f>CONCATENATE("          ", "6005", " - ", "TEMPORARY WAGES-HOURLY")</f>
        <v xml:space="preserve">          6005 - TEMPORARY WAGES-HOURLY</v>
      </c>
      <c r="D108" s="2">
        <v>17916.38</v>
      </c>
      <c r="F108" s="2">
        <v>19012.939999999999</v>
      </c>
      <c r="G108" s="3"/>
      <c r="H108" s="2">
        <v>23061.39</v>
      </c>
      <c r="I108" s="3"/>
      <c r="J108" s="2">
        <v>23792.03</v>
      </c>
      <c r="K108" s="3"/>
      <c r="L108" s="2">
        <v>15112.67</v>
      </c>
      <c r="M108" s="3"/>
      <c r="N108" s="2">
        <v>12951.61</v>
      </c>
      <c r="O108" s="3"/>
      <c r="P108" s="2">
        <v>0</v>
      </c>
      <c r="Q108" s="3"/>
      <c r="R108" s="2">
        <v>0</v>
      </c>
    </row>
    <row r="109" spans="1:18" s="16" customFormat="1" hidden="1" outlineLevel="2" x14ac:dyDescent="0.35">
      <c r="B109" s="11" t="str">
        <f>CONCATENATE("          ", "6006", " - ", "TEMPORARY PART TIME")</f>
        <v xml:space="preserve">          6006 - TEMPORARY PART TIME</v>
      </c>
      <c r="D109" s="2">
        <v>2838.63</v>
      </c>
      <c r="F109" s="2">
        <v>7626.58</v>
      </c>
      <c r="G109" s="3"/>
      <c r="H109" s="2">
        <v>5079.9399999999996</v>
      </c>
      <c r="I109" s="3"/>
      <c r="J109" s="2">
        <v>21158.48</v>
      </c>
      <c r="K109" s="3"/>
      <c r="L109" s="2">
        <v>2972.13</v>
      </c>
      <c r="M109" s="3"/>
      <c r="N109" s="2">
        <v>316.16000000000003</v>
      </c>
      <c r="O109" s="3"/>
      <c r="P109" s="2">
        <v>0</v>
      </c>
      <c r="Q109" s="3"/>
      <c r="R109" s="2">
        <v>0</v>
      </c>
    </row>
    <row r="110" spans="1:18" s="16" customFormat="1" hidden="1" outlineLevel="2" x14ac:dyDescent="0.35">
      <c r="B110" s="11" t="str">
        <f>CONCATENATE("          ", "6007", " - ", "STUDENT HOURLY")</f>
        <v xml:space="preserve">          6007 - STUDENT HOURLY</v>
      </c>
      <c r="D110" s="2">
        <v>66018.490000000005</v>
      </c>
      <c r="F110" s="2">
        <v>67732.509999999995</v>
      </c>
      <c r="G110" s="3"/>
      <c r="H110" s="2">
        <v>73602.41</v>
      </c>
      <c r="I110" s="3"/>
      <c r="J110" s="2">
        <v>53051.6</v>
      </c>
      <c r="K110" s="3"/>
      <c r="L110" s="2">
        <v>86230.62</v>
      </c>
      <c r="M110" s="3"/>
      <c r="N110" s="2">
        <v>71895.92</v>
      </c>
      <c r="O110" s="3"/>
      <c r="P110" s="2">
        <v>17192.599999999999</v>
      </c>
      <c r="Q110" s="3"/>
      <c r="R110" s="2">
        <v>7380.36</v>
      </c>
    </row>
    <row r="111" spans="1:18" s="16" customFormat="1" hidden="1" outlineLevel="2" x14ac:dyDescent="0.35">
      <c r="B111" s="11" t="str">
        <f>CONCATENATE("          ", "6008", " - ", "STUDENT HOURLY-FICA EXEMPT")</f>
        <v xml:space="preserve">          6008 - STUDENT HOURLY-FICA EXEMPT</v>
      </c>
      <c r="D111" s="2">
        <v>1674</v>
      </c>
      <c r="F111" s="2">
        <v>906.75</v>
      </c>
      <c r="G111" s="3"/>
      <c r="H111" s="2">
        <v>102.38</v>
      </c>
      <c r="I111" s="3"/>
      <c r="J111" s="2">
        <v>3379</v>
      </c>
      <c r="K111" s="3"/>
      <c r="L111" s="2">
        <v>69</v>
      </c>
      <c r="M111" s="3"/>
      <c r="N111" s="2"/>
      <c r="O111" s="3"/>
      <c r="P111" s="2">
        <v>52471.8</v>
      </c>
      <c r="Q111" s="3"/>
      <c r="R111" s="2">
        <v>23442.105</v>
      </c>
    </row>
    <row r="112" spans="1:18" s="16" customFormat="1" hidden="1" outlineLevel="2" x14ac:dyDescent="0.35">
      <c r="B112" s="11" t="str">
        <f>CONCATENATE("          ", "6009", " - ", "TEMPORARY-SEASONAL")</f>
        <v xml:space="preserve">          6009 - TEMPORARY-SEASONAL</v>
      </c>
      <c r="D112" s="2"/>
      <c r="F112" s="2"/>
      <c r="G112" s="3"/>
      <c r="H112" s="2"/>
      <c r="I112" s="3"/>
      <c r="J112" s="2"/>
      <c r="K112" s="3"/>
      <c r="L112" s="2"/>
      <c r="M112" s="3"/>
      <c r="N112" s="2"/>
      <c r="O112" s="3"/>
      <c r="P112" s="2">
        <v>0</v>
      </c>
      <c r="Q112" s="3"/>
      <c r="R112" s="2">
        <v>0</v>
      </c>
    </row>
    <row r="113" spans="1:18" s="16" customFormat="1" hidden="1" outlineLevel="2" x14ac:dyDescent="0.35">
      <c r="B113" s="11" t="str">
        <f>CONCATENATE("          ", "6010", " - ", "GRATUITY")</f>
        <v xml:space="preserve">          6010 - GRATUITY</v>
      </c>
      <c r="D113" s="2"/>
      <c r="F113" s="2"/>
      <c r="G113" s="3"/>
      <c r="H113" s="2"/>
      <c r="I113" s="3"/>
      <c r="J113" s="2"/>
      <c r="K113" s="3"/>
      <c r="L113" s="2"/>
      <c r="M113" s="3"/>
      <c r="N113" s="2"/>
      <c r="O113" s="3"/>
      <c r="P113" s="2">
        <v>0</v>
      </c>
      <c r="Q113" s="3"/>
      <c r="R113" s="2">
        <v>0</v>
      </c>
    </row>
    <row r="114" spans="1:18" s="15" customFormat="1" outlineLevel="1" collapsed="1" x14ac:dyDescent="0.35">
      <c r="A114" s="7"/>
      <c r="B114" s="20" t="str">
        <f>CONCATENATE("     ","Advertising/Promo                                 ")</f>
        <v xml:space="preserve">     Advertising/Promo                                 </v>
      </c>
      <c r="C114" s="7"/>
      <c r="D114" s="1">
        <f>SUM(OSRRefD21_2x_0)</f>
        <v>6777.97</v>
      </c>
      <c r="E114" s="19"/>
      <c r="F114" s="1">
        <f>SUM(OSRRefF21_2x_0)</f>
        <v>5335.99</v>
      </c>
      <c r="G114" s="4"/>
      <c r="H114" s="1">
        <f>SUM(OSRRefH21_2x_0)</f>
        <v>6392.43</v>
      </c>
      <c r="I114" s="4"/>
      <c r="J114" s="1">
        <f>SUM(OSRRefJ21_2x_0)</f>
        <v>12639.69</v>
      </c>
      <c r="K114" s="4"/>
      <c r="L114" s="1">
        <f>SUM(OSRRefL21_2x_0)</f>
        <v>7509.25</v>
      </c>
      <c r="M114" s="4"/>
      <c r="N114" s="1">
        <f>SUM(OSRRefN21_2x_0)</f>
        <v>3638.48</v>
      </c>
      <c r="O114" s="4"/>
      <c r="P114" s="1">
        <f>SUM(OSRRefP21_2x_0)</f>
        <v>600</v>
      </c>
      <c r="Q114" s="4"/>
      <c r="R114" s="1">
        <f>SUM(OSRRefR21_2x_0)</f>
        <v>600</v>
      </c>
    </row>
    <row r="115" spans="1:18" s="16" customFormat="1" hidden="1" outlineLevel="2" x14ac:dyDescent="0.35">
      <c r="B115" s="11" t="str">
        <f>CONCATENATE("          ", "6362", " - ", "ADVERTISING EXPENSE")</f>
        <v xml:space="preserve">          6362 - ADVERTISING EXPENSE</v>
      </c>
      <c r="D115" s="2">
        <v>6777.97</v>
      </c>
      <c r="F115" s="2">
        <v>5335.99</v>
      </c>
      <c r="G115" s="3"/>
      <c r="H115" s="2">
        <v>6392.43</v>
      </c>
      <c r="I115" s="3"/>
      <c r="J115" s="2">
        <v>12639.69</v>
      </c>
      <c r="K115" s="3"/>
      <c r="L115" s="2">
        <v>7509.25</v>
      </c>
      <c r="M115" s="3"/>
      <c r="N115" s="2">
        <v>3638.48</v>
      </c>
      <c r="O115" s="3"/>
      <c r="P115" s="2">
        <v>600</v>
      </c>
      <c r="Q115" s="3"/>
      <c r="R115" s="2">
        <v>600</v>
      </c>
    </row>
    <row r="116" spans="1:18" s="15" customFormat="1" outlineLevel="1" collapsed="1" x14ac:dyDescent="0.35">
      <c r="A116" s="7"/>
      <c r="B116" s="20" t="str">
        <f>CONCATENATE("     ","Bad Debts/Over/Short                              ")</f>
        <v xml:space="preserve">     Bad Debts/Over/Short                              </v>
      </c>
      <c r="C116" s="7"/>
      <c r="D116" s="1">
        <f>SUM(OSRRefD21_3x_0)</f>
        <v>7.94</v>
      </c>
      <c r="E116" s="19"/>
      <c r="F116" s="1">
        <f>SUM(OSRRefF21_3x_0)</f>
        <v>129.57</v>
      </c>
      <c r="G116" s="4"/>
      <c r="H116" s="1">
        <f>SUM(OSRRefH21_3x_0)</f>
        <v>130.12</v>
      </c>
      <c r="I116" s="4"/>
      <c r="J116" s="1">
        <f>SUM(OSRRefJ21_3x_0)</f>
        <v>92.88</v>
      </c>
      <c r="K116" s="4"/>
      <c r="L116" s="1">
        <f>SUM(OSRRefL21_3x_0)</f>
        <v>165.54</v>
      </c>
      <c r="M116" s="4"/>
      <c r="N116" s="1">
        <f>SUM(OSRRefN21_3x_0)</f>
        <v>44.45</v>
      </c>
      <c r="O116" s="4"/>
      <c r="P116" s="1">
        <f>SUM(OSRRefP21_3x_0)</f>
        <v>120</v>
      </c>
      <c r="Q116" s="4"/>
      <c r="R116" s="1">
        <f>SUM(OSRRefR21_3x_0)</f>
        <v>120</v>
      </c>
    </row>
    <row r="117" spans="1:18" s="16" customFormat="1" hidden="1" outlineLevel="2" x14ac:dyDescent="0.35">
      <c r="B117" s="11" t="str">
        <f>CONCATENATE("          ", "6272", " - ", "CASH (OVER/SHORT)")</f>
        <v xml:space="preserve">          6272 - CASH (OVER/SHORT)</v>
      </c>
      <c r="D117" s="2">
        <v>7.94</v>
      </c>
      <c r="F117" s="2">
        <v>129.57</v>
      </c>
      <c r="G117" s="3"/>
      <c r="H117" s="2">
        <v>130.12</v>
      </c>
      <c r="I117" s="3"/>
      <c r="J117" s="2">
        <v>92.88</v>
      </c>
      <c r="K117" s="3"/>
      <c r="L117" s="2">
        <v>165.54</v>
      </c>
      <c r="M117" s="3"/>
      <c r="N117" s="2">
        <v>44.45</v>
      </c>
      <c r="O117" s="3"/>
      <c r="P117" s="2">
        <v>120</v>
      </c>
      <c r="Q117" s="3"/>
      <c r="R117" s="2">
        <v>120</v>
      </c>
    </row>
    <row r="118" spans="1:18" s="15" customFormat="1" outlineLevel="1" collapsed="1" x14ac:dyDescent="0.35">
      <c r="A118" s="7"/>
      <c r="B118" s="20" t="str">
        <f>CONCATENATE("     ","Bank/card Fees                                    ")</f>
        <v xml:space="preserve">     Bank/card Fees                                    </v>
      </c>
      <c r="C118" s="7"/>
      <c r="D118" s="1">
        <f>SUM(OSRRefD21_4x_0)</f>
        <v>7358.42</v>
      </c>
      <c r="E118" s="19"/>
      <c r="F118" s="1">
        <f>SUM(OSRRefF21_4x_0)</f>
        <v>6877.16</v>
      </c>
      <c r="G118" s="4"/>
      <c r="H118" s="1">
        <f>SUM(OSRRefH21_4x_0)</f>
        <v>8503.15</v>
      </c>
      <c r="I118" s="4"/>
      <c r="J118" s="1">
        <f>SUM(OSRRefJ21_4x_0)</f>
        <v>8020.72</v>
      </c>
      <c r="K118" s="4"/>
      <c r="L118" s="1">
        <f>SUM(OSRRefL21_4x_0)</f>
        <v>7594.48</v>
      </c>
      <c r="M118" s="4"/>
      <c r="N118" s="1">
        <f>SUM(OSRRefN21_4x_0)</f>
        <v>6184.92</v>
      </c>
      <c r="O118" s="4"/>
      <c r="P118" s="1">
        <f>SUM(OSRRefP21_4x_0)</f>
        <v>8886</v>
      </c>
      <c r="Q118" s="4"/>
      <c r="R118" s="1">
        <f>SUM(OSRRefR21_4x_0)</f>
        <v>8163</v>
      </c>
    </row>
    <row r="119" spans="1:18" s="16" customFormat="1" hidden="1" outlineLevel="2" x14ac:dyDescent="0.35">
      <c r="B119" s="11" t="str">
        <f>CONCATENATE("          ", "6381", " - ", "BANK/CREDIT CARD FEES")</f>
        <v xml:space="preserve">          6381 - BANK/CREDIT CARD FEES</v>
      </c>
      <c r="D119" s="2">
        <v>7358.42</v>
      </c>
      <c r="F119" s="2">
        <v>6877.16</v>
      </c>
      <c r="G119" s="3"/>
      <c r="H119" s="2">
        <v>8503.15</v>
      </c>
      <c r="I119" s="3"/>
      <c r="J119" s="2">
        <v>8020.72</v>
      </c>
      <c r="K119" s="3"/>
      <c r="L119" s="2">
        <v>7594.48</v>
      </c>
      <c r="M119" s="3"/>
      <c r="N119" s="2">
        <v>6184.92</v>
      </c>
      <c r="O119" s="3"/>
      <c r="P119" s="2">
        <v>8886</v>
      </c>
      <c r="Q119" s="3"/>
      <c r="R119" s="2">
        <v>8163</v>
      </c>
    </row>
    <row r="120" spans="1:18" s="15" customFormat="1" outlineLevel="1" collapsed="1" x14ac:dyDescent="0.35">
      <c r="A120" s="7"/>
      <c r="B120" s="20" t="str">
        <f>CONCATENATE("     ","Discounts and Markdowns                           ")</f>
        <v xml:space="preserve">     Discounts and Markdowns                           </v>
      </c>
      <c r="C120" s="7"/>
      <c r="D120" s="1">
        <f>SUM(OSRRefD21_5x_0)</f>
        <v>41054.559999999998</v>
      </c>
      <c r="E120" s="19"/>
      <c r="F120" s="1">
        <f>SUM(OSRRefF21_5x_0)</f>
        <v>52992.66</v>
      </c>
      <c r="G120" s="4"/>
      <c r="H120" s="1">
        <f>SUM(OSRRefH21_5x_0)</f>
        <v>67316.08</v>
      </c>
      <c r="I120" s="4"/>
      <c r="J120" s="1">
        <f>SUM(OSRRefJ21_5x_0)</f>
        <v>47633.2</v>
      </c>
      <c r="K120" s="4"/>
      <c r="L120" s="1">
        <f>SUM(OSRRefL21_5x_0)</f>
        <v>42055.39</v>
      </c>
      <c r="M120" s="4"/>
      <c r="N120" s="1">
        <f>SUM(OSRRefN21_5x_0)</f>
        <v>68571.64</v>
      </c>
      <c r="O120" s="4"/>
      <c r="P120" s="1">
        <f>SUM(OSRRefP21_5x_0)</f>
        <v>59043</v>
      </c>
      <c r="Q120" s="4"/>
      <c r="R120" s="1">
        <f>SUM(OSRRefR21_5x_0)</f>
        <v>0</v>
      </c>
    </row>
    <row r="121" spans="1:18" s="16" customFormat="1" hidden="1" outlineLevel="2" x14ac:dyDescent="0.35">
      <c r="B121" s="11" t="str">
        <f>CONCATENATE("          ", "6382", " - ", "DISCOUNTS/MARK DOWNS")</f>
        <v xml:space="preserve">          6382 - DISCOUNTS/MARK DOWNS</v>
      </c>
      <c r="D121" s="2">
        <v>41054.559999999998</v>
      </c>
      <c r="F121" s="2">
        <v>52992.66</v>
      </c>
      <c r="G121" s="3"/>
      <c r="H121" s="2">
        <v>67316.08</v>
      </c>
      <c r="I121" s="3"/>
      <c r="J121" s="2">
        <v>47633.2</v>
      </c>
      <c r="K121" s="3"/>
      <c r="L121" s="2">
        <v>42055.39</v>
      </c>
      <c r="M121" s="3"/>
      <c r="N121" s="2">
        <v>68571.64</v>
      </c>
      <c r="O121" s="3"/>
      <c r="P121" s="2">
        <v>59043</v>
      </c>
      <c r="Q121" s="3"/>
      <c r="R121" s="2"/>
    </row>
    <row r="122" spans="1:18" s="16" customFormat="1" hidden="1" outlineLevel="2" x14ac:dyDescent="0.35">
      <c r="B122" s="11" t="str">
        <f>CONCATENATE("          ", "9175", " - ", "EARNED DISCOUNTS")</f>
        <v xml:space="preserve">          9175 - EARNED DISCOUNTS</v>
      </c>
      <c r="D122" s="2"/>
      <c r="F122" s="2"/>
      <c r="G122" s="3"/>
      <c r="H122" s="2"/>
      <c r="I122" s="3"/>
      <c r="J122" s="2"/>
      <c r="K122" s="3"/>
      <c r="L122" s="2"/>
      <c r="M122" s="3"/>
      <c r="N122" s="2">
        <v>0</v>
      </c>
      <c r="O122" s="3"/>
      <c r="P122" s="2"/>
      <c r="Q122" s="3"/>
      <c r="R122" s="2"/>
    </row>
    <row r="123" spans="1:18" s="15" customFormat="1" outlineLevel="1" collapsed="1" x14ac:dyDescent="0.35">
      <c r="A123" s="7"/>
      <c r="B123" s="20" t="str">
        <f>CONCATENATE("     ","Donations                                         ")</f>
        <v xml:space="preserve">     Donations                                         </v>
      </c>
      <c r="C123" s="7"/>
      <c r="D123" s="1">
        <f>SUM(OSRRefD21_6x_0)</f>
        <v>0</v>
      </c>
      <c r="E123" s="19"/>
      <c r="F123" s="1">
        <f>SUM(OSRRefF21_6x_0)</f>
        <v>0</v>
      </c>
      <c r="G123" s="4"/>
      <c r="H123" s="1">
        <f>SUM(OSRRefH21_6x_0)</f>
        <v>220.76</v>
      </c>
      <c r="I123" s="4"/>
      <c r="J123" s="1">
        <f>SUM(OSRRefJ21_6x_0)</f>
        <v>136.6</v>
      </c>
      <c r="K123" s="4"/>
      <c r="L123" s="1">
        <f>SUM(OSRRefL21_6x_0)</f>
        <v>141.53</v>
      </c>
      <c r="M123" s="4"/>
      <c r="N123" s="1">
        <f>SUM(OSRRefN21_6x_0)</f>
        <v>0</v>
      </c>
      <c r="O123" s="4"/>
      <c r="P123" s="1">
        <f>SUM(OSRRefP21_6x_0)</f>
        <v>0</v>
      </c>
      <c r="Q123" s="4"/>
      <c r="R123" s="1">
        <f>SUM(OSRRefR21_6x_0)</f>
        <v>0</v>
      </c>
    </row>
    <row r="124" spans="1:18" s="16" customFormat="1" hidden="1" outlineLevel="2" x14ac:dyDescent="0.35">
      <c r="B124" s="11" t="str">
        <f>CONCATENATE("          ", "6395", " - ", "DONATION-OFF CAMPUS")</f>
        <v xml:space="preserve">          6395 - DONATION-OFF CAMPUS</v>
      </c>
      <c r="D124" s="2"/>
      <c r="F124" s="2"/>
      <c r="G124" s="3"/>
      <c r="H124" s="2">
        <v>207.19</v>
      </c>
      <c r="I124" s="3"/>
      <c r="J124" s="2"/>
      <c r="K124" s="3"/>
      <c r="L124" s="2"/>
      <c r="M124" s="3"/>
      <c r="N124" s="2"/>
      <c r="O124" s="3"/>
      <c r="P124" s="2">
        <v>0</v>
      </c>
      <c r="Q124" s="3"/>
      <c r="R124" s="2"/>
    </row>
    <row r="125" spans="1:18" s="16" customFormat="1" hidden="1" outlineLevel="2" x14ac:dyDescent="0.35">
      <c r="B125" s="11" t="str">
        <f>CONCATENATE("          ", "6399", " - ", "DONATION-ON CAMPUS")</f>
        <v xml:space="preserve">          6399 - DONATION-ON CAMPUS</v>
      </c>
      <c r="D125" s="2"/>
      <c r="F125" s="2"/>
      <c r="G125" s="3"/>
      <c r="H125" s="2">
        <v>13.57</v>
      </c>
      <c r="I125" s="3"/>
      <c r="J125" s="2">
        <v>136.6</v>
      </c>
      <c r="K125" s="3"/>
      <c r="L125" s="2">
        <v>141.53</v>
      </c>
      <c r="M125" s="3"/>
      <c r="N125" s="2"/>
      <c r="O125" s="3"/>
      <c r="P125" s="2"/>
      <c r="Q125" s="3"/>
      <c r="R125" s="2"/>
    </row>
    <row r="126" spans="1:18" s="15" customFormat="1" outlineLevel="1" collapsed="1" x14ac:dyDescent="0.35">
      <c r="A126" s="7"/>
      <c r="B126" s="20" t="str">
        <f>CONCATENATE("     ","Employees' Appreciation                           ")</f>
        <v xml:space="preserve">     Employees' Appreciation                           </v>
      </c>
      <c r="C126" s="7"/>
      <c r="D126" s="1">
        <f>SUM(OSRRefD21_7x_0)</f>
        <v>283.08999999999997</v>
      </c>
      <c r="E126" s="19"/>
      <c r="F126" s="1">
        <f>SUM(OSRRefF21_7x_0)</f>
        <v>124.72</v>
      </c>
      <c r="G126" s="4"/>
      <c r="H126" s="1">
        <f>SUM(OSRRefH21_7x_0)</f>
        <v>100.86</v>
      </c>
      <c r="I126" s="4"/>
      <c r="J126" s="1">
        <f>SUM(OSRRefJ21_7x_0)</f>
        <v>251.45</v>
      </c>
      <c r="K126" s="4"/>
      <c r="L126" s="1">
        <f>SUM(OSRRefL21_7x_0)</f>
        <v>75.53</v>
      </c>
      <c r="M126" s="4"/>
      <c r="N126" s="1">
        <f>SUM(OSRRefN21_7x_0)</f>
        <v>120.93</v>
      </c>
      <c r="O126" s="4"/>
      <c r="P126" s="1">
        <f>SUM(OSRRefP21_7x_0)</f>
        <v>600</v>
      </c>
      <c r="Q126" s="4"/>
      <c r="R126" s="1">
        <f>SUM(OSRRefR21_7x_0)</f>
        <v>300</v>
      </c>
    </row>
    <row r="127" spans="1:18" s="16" customFormat="1" hidden="1" outlineLevel="2" x14ac:dyDescent="0.35">
      <c r="B127" s="11" t="str">
        <f>CONCATENATE("          ", "6277", " - ", "EMPLOYEE APPRECIATION")</f>
        <v xml:space="preserve">          6277 - EMPLOYEE APPRECIATION</v>
      </c>
      <c r="D127" s="2">
        <v>283.08999999999997</v>
      </c>
      <c r="F127" s="2">
        <v>124.72</v>
      </c>
      <c r="G127" s="3"/>
      <c r="H127" s="2">
        <v>100.86</v>
      </c>
      <c r="I127" s="3"/>
      <c r="J127" s="2">
        <v>251.45</v>
      </c>
      <c r="K127" s="3"/>
      <c r="L127" s="2">
        <v>75.53</v>
      </c>
      <c r="M127" s="3"/>
      <c r="N127" s="2">
        <v>120.93</v>
      </c>
      <c r="O127" s="3"/>
      <c r="P127" s="2">
        <v>600</v>
      </c>
      <c r="Q127" s="3"/>
      <c r="R127" s="2">
        <v>300</v>
      </c>
    </row>
    <row r="128" spans="1:18" s="15" customFormat="1" outlineLevel="1" collapsed="1" x14ac:dyDescent="0.35">
      <c r="A128" s="7"/>
      <c r="B128" s="20" t="str">
        <f>CONCATENATE("     ","Freight out/Postage                               ")</f>
        <v xml:space="preserve">     Freight out/Postage                               </v>
      </c>
      <c r="C128" s="7"/>
      <c r="D128" s="1">
        <f>SUM(OSRRefD21_8x_0)</f>
        <v>0</v>
      </c>
      <c r="E128" s="19"/>
      <c r="F128" s="1">
        <f>SUM(OSRRefF21_8x_0)</f>
        <v>0</v>
      </c>
      <c r="G128" s="4"/>
      <c r="H128" s="1">
        <f>SUM(OSRRefH21_8x_0)</f>
        <v>14.14</v>
      </c>
      <c r="I128" s="4"/>
      <c r="J128" s="1">
        <f>SUM(OSRRefJ21_8x_0)</f>
        <v>0.46</v>
      </c>
      <c r="K128" s="4"/>
      <c r="L128" s="1">
        <f>SUM(OSRRefL21_8x_0)</f>
        <v>0</v>
      </c>
      <c r="M128" s="4"/>
      <c r="N128" s="1">
        <f>SUM(OSRRefN21_8x_0)</f>
        <v>0</v>
      </c>
      <c r="O128" s="4"/>
      <c r="P128" s="1">
        <f>SUM(OSRRefP21_8x_0)</f>
        <v>0</v>
      </c>
      <c r="Q128" s="4"/>
      <c r="R128" s="1">
        <f>SUM(OSRRefR21_8x_0)</f>
        <v>0</v>
      </c>
    </row>
    <row r="129" spans="1:18" s="16" customFormat="1" hidden="1" outlineLevel="2" x14ac:dyDescent="0.35">
      <c r="B129" s="11" t="str">
        <f>CONCATENATE("          ", "6305", " - ", "FREIGHT OUT")</f>
        <v xml:space="preserve">          6305 - FREIGHT OUT</v>
      </c>
      <c r="D129" s="2"/>
      <c r="F129" s="2"/>
      <c r="G129" s="3"/>
      <c r="H129" s="2">
        <v>14.14</v>
      </c>
      <c r="I129" s="3"/>
      <c r="J129" s="2"/>
      <c r="K129" s="3"/>
      <c r="L129" s="2"/>
      <c r="M129" s="3"/>
      <c r="N129" s="2"/>
      <c r="O129" s="3"/>
      <c r="P129" s="2"/>
      <c r="Q129" s="3"/>
      <c r="R129" s="2"/>
    </row>
    <row r="130" spans="1:18" s="16" customFormat="1" hidden="1" outlineLevel="2" x14ac:dyDescent="0.35">
      <c r="B130" s="11" t="str">
        <f>CONCATENATE("          ", "6307", " - ", "POSTAGE")</f>
        <v xml:space="preserve">          6307 - POSTAGE</v>
      </c>
      <c r="D130" s="2"/>
      <c r="F130" s="2"/>
      <c r="G130" s="3"/>
      <c r="H130" s="2"/>
      <c r="I130" s="3"/>
      <c r="J130" s="2">
        <v>0.46</v>
      </c>
      <c r="K130" s="3"/>
      <c r="L130" s="2"/>
      <c r="M130" s="3"/>
      <c r="N130" s="2"/>
      <c r="O130" s="3"/>
      <c r="P130" s="2"/>
      <c r="Q130" s="3"/>
      <c r="R130" s="2"/>
    </row>
    <row r="131" spans="1:18" s="15" customFormat="1" outlineLevel="1" collapsed="1" x14ac:dyDescent="0.35">
      <c r="A131" s="7"/>
      <c r="B131" s="20" t="str">
        <f>CONCATENATE("     ","General                                           ")</f>
        <v xml:space="preserve">     General                                           </v>
      </c>
      <c r="C131" s="7"/>
      <c r="D131" s="1">
        <f>SUM(OSRRefD21_9x_0)</f>
        <v>1331.78</v>
      </c>
      <c r="E131" s="19"/>
      <c r="F131" s="1">
        <f>SUM(OSRRefF21_9x_0)</f>
        <v>1336.53</v>
      </c>
      <c r="G131" s="4"/>
      <c r="H131" s="1">
        <f>SUM(OSRRefH21_9x_0)</f>
        <v>1606.23</v>
      </c>
      <c r="I131" s="4"/>
      <c r="J131" s="1">
        <f>SUM(OSRRefJ21_9x_0)</f>
        <v>1385.5</v>
      </c>
      <c r="K131" s="4"/>
      <c r="L131" s="1">
        <f>SUM(OSRRefL21_9x_0)</f>
        <v>1494.38</v>
      </c>
      <c r="M131" s="4"/>
      <c r="N131" s="1">
        <f>SUM(OSRRefN21_9x_0)</f>
        <v>1392.43</v>
      </c>
      <c r="O131" s="4"/>
      <c r="P131" s="1">
        <f>SUM(OSRRefP21_9x_0)</f>
        <v>2000</v>
      </c>
      <c r="Q131" s="4"/>
      <c r="R131" s="1">
        <f>SUM(OSRRefR21_9x_0)</f>
        <v>1250</v>
      </c>
    </row>
    <row r="132" spans="1:18" s="16" customFormat="1" hidden="1" outlineLevel="2" x14ac:dyDescent="0.35">
      <c r="B132" s="11" t="str">
        <f>CONCATENATE("          ", "6276", " - ", "PROPERTY TAX")</f>
        <v xml:space="preserve">          6276 - PROPERTY TAX</v>
      </c>
      <c r="D132" s="2"/>
      <c r="F132" s="2"/>
      <c r="G132" s="3"/>
      <c r="H132" s="2"/>
      <c r="I132" s="3"/>
      <c r="J132" s="2"/>
      <c r="K132" s="3"/>
      <c r="L132" s="2"/>
      <c r="M132" s="3"/>
      <c r="N132" s="2"/>
      <c r="O132" s="3"/>
      <c r="P132" s="2">
        <v>150</v>
      </c>
      <c r="Q132" s="3"/>
      <c r="R132" s="2">
        <v>1250</v>
      </c>
    </row>
    <row r="133" spans="1:18" s="16" customFormat="1" hidden="1" outlineLevel="2" x14ac:dyDescent="0.35">
      <c r="B133" s="11" t="str">
        <f>CONCATENATE("          ", "6279", " - ", "GENERAL EXPENSE")</f>
        <v xml:space="preserve">          6279 - GENERAL EXPENSE</v>
      </c>
      <c r="D133" s="2">
        <v>1331.78</v>
      </c>
      <c r="F133" s="2">
        <v>1336.53</v>
      </c>
      <c r="G133" s="3"/>
      <c r="H133" s="2">
        <v>1606.23</v>
      </c>
      <c r="I133" s="3"/>
      <c r="J133" s="2">
        <v>1385.5</v>
      </c>
      <c r="K133" s="3"/>
      <c r="L133" s="2">
        <v>1494.38</v>
      </c>
      <c r="M133" s="3"/>
      <c r="N133" s="2">
        <v>1392.43</v>
      </c>
      <c r="O133" s="3"/>
      <c r="P133" s="2">
        <v>1850</v>
      </c>
      <c r="Q133" s="3"/>
      <c r="R133" s="2"/>
    </row>
    <row r="134" spans="1:18" s="15" customFormat="1" outlineLevel="1" collapsed="1" x14ac:dyDescent="0.35">
      <c r="A134" s="7"/>
      <c r="B134" s="20" t="str">
        <f>CONCATENATE("     ","Insurance                                         ")</f>
        <v xml:space="preserve">     Insurance                                         </v>
      </c>
      <c r="C134" s="7"/>
      <c r="D134" s="1">
        <f>SUM(OSRRefD21_10x_0)</f>
        <v>1338.41</v>
      </c>
      <c r="E134" s="19"/>
      <c r="F134" s="1">
        <f>SUM(OSRRefF21_10x_0)</f>
        <v>1620.12</v>
      </c>
      <c r="G134" s="4"/>
      <c r="H134" s="1">
        <f>SUM(OSRRefH21_10x_0)</f>
        <v>1429.07</v>
      </c>
      <c r="I134" s="4"/>
      <c r="J134" s="1">
        <f>SUM(OSRRefJ21_10x_0)</f>
        <v>1597.11</v>
      </c>
      <c r="K134" s="4"/>
      <c r="L134" s="1">
        <f>SUM(OSRRefL21_10x_0)</f>
        <v>1551.25</v>
      </c>
      <c r="M134" s="4"/>
      <c r="N134" s="1">
        <f>SUM(OSRRefN21_10x_0)</f>
        <v>1934.16</v>
      </c>
      <c r="O134" s="4"/>
      <c r="P134" s="1">
        <f>SUM(OSRRefP21_10x_0)</f>
        <v>2112</v>
      </c>
      <c r="Q134" s="4"/>
      <c r="R134" s="1">
        <f>SUM(OSRRefR21_10x_0)</f>
        <v>2100</v>
      </c>
    </row>
    <row r="135" spans="1:18" s="16" customFormat="1" hidden="1" outlineLevel="2" x14ac:dyDescent="0.35">
      <c r="B135" s="11" t="str">
        <f>CONCATENATE("          ", "6314", " - ", "LIABILITY INSURANCE")</f>
        <v xml:space="preserve">          6314 - LIABILITY INSURANCE</v>
      </c>
      <c r="D135" s="2">
        <v>1338.41</v>
      </c>
      <c r="F135" s="2">
        <v>1620.12</v>
      </c>
      <c r="G135" s="3"/>
      <c r="H135" s="2">
        <v>1429.07</v>
      </c>
      <c r="I135" s="3"/>
      <c r="J135" s="2">
        <v>1597.11</v>
      </c>
      <c r="K135" s="3"/>
      <c r="L135" s="2">
        <v>1551.25</v>
      </c>
      <c r="M135" s="3"/>
      <c r="N135" s="2">
        <v>1934.16</v>
      </c>
      <c r="O135" s="3"/>
      <c r="P135" s="2">
        <v>2112</v>
      </c>
      <c r="Q135" s="3"/>
      <c r="R135" s="2">
        <v>2100</v>
      </c>
    </row>
    <row r="136" spans="1:18" s="15" customFormat="1" outlineLevel="1" collapsed="1" x14ac:dyDescent="0.35">
      <c r="A136" s="7"/>
      <c r="B136" s="20" t="str">
        <f>CONCATENATE("     ","Inventory Adjustment                              ")</f>
        <v xml:space="preserve">     Inventory Adjustment                              </v>
      </c>
      <c r="C136" s="7"/>
      <c r="D136" s="1">
        <f>SUM(OSRRefD21_11x_0)</f>
        <v>-5913</v>
      </c>
      <c r="E136" s="19"/>
      <c r="F136" s="1">
        <f>SUM(OSRRefF21_11x_0)</f>
        <v>-3821</v>
      </c>
      <c r="G136" s="4"/>
      <c r="H136" s="1">
        <f>SUM(OSRRefH21_11x_0)</f>
        <v>242</v>
      </c>
      <c r="I136" s="4"/>
      <c r="J136" s="1">
        <f>SUM(OSRRefJ21_11x_0)</f>
        <v>3787</v>
      </c>
      <c r="K136" s="4"/>
      <c r="L136" s="1">
        <f>SUM(OSRRefL21_11x_0)</f>
        <v>1375</v>
      </c>
      <c r="M136" s="4"/>
      <c r="N136" s="1">
        <f>SUM(OSRRefN21_11x_0)</f>
        <v>61506</v>
      </c>
      <c r="O136" s="4"/>
      <c r="P136" s="1">
        <f>SUM(OSRRefP21_11x_0)</f>
        <v>1200</v>
      </c>
      <c r="Q136" s="4"/>
      <c r="R136" s="1">
        <f>SUM(OSRRefR21_11x_0)</f>
        <v>1200</v>
      </c>
    </row>
    <row r="137" spans="1:18" s="16" customFormat="1" hidden="1" outlineLevel="2" x14ac:dyDescent="0.35">
      <c r="B137" s="11" t="str">
        <f>CONCATENATE("          ", "6408", " - ", "INVENTORY ADJUSTMENT")</f>
        <v xml:space="preserve">          6408 - INVENTORY ADJUSTMENT</v>
      </c>
      <c r="D137" s="2">
        <v>0</v>
      </c>
      <c r="F137" s="2">
        <v>0</v>
      </c>
      <c r="G137" s="3"/>
      <c r="H137" s="2">
        <v>0</v>
      </c>
      <c r="I137" s="3"/>
      <c r="J137" s="2">
        <v>0</v>
      </c>
      <c r="K137" s="3"/>
      <c r="L137" s="2">
        <v>0</v>
      </c>
      <c r="M137" s="3"/>
      <c r="N137" s="2">
        <v>0</v>
      </c>
      <c r="O137" s="3"/>
      <c r="P137" s="2">
        <v>1200</v>
      </c>
      <c r="Q137" s="3"/>
      <c r="R137" s="2">
        <v>1200</v>
      </c>
    </row>
    <row r="138" spans="1:18" s="16" customFormat="1" hidden="1" outlineLevel="2" x14ac:dyDescent="0.35">
      <c r="B138" s="11" t="str">
        <f>CONCATENATE("          ", "7713", " - ", "INV. SHRINKAGE-TRADE BOOKS")</f>
        <v xml:space="preserve">          7713 - INV. SHRINKAGE-TRADE BOOKS</v>
      </c>
      <c r="D138" s="2">
        <v>180</v>
      </c>
      <c r="F138" s="2">
        <v>46</v>
      </c>
      <c r="G138" s="3"/>
      <c r="H138" s="2">
        <v>1</v>
      </c>
      <c r="I138" s="3"/>
      <c r="J138" s="2"/>
      <c r="K138" s="3"/>
      <c r="L138" s="2"/>
      <c r="M138" s="3"/>
      <c r="N138" s="2"/>
      <c r="O138" s="3"/>
      <c r="P138" s="2"/>
      <c r="Q138" s="3"/>
      <c r="R138" s="2"/>
    </row>
    <row r="139" spans="1:18" s="16" customFormat="1" hidden="1" outlineLevel="2" x14ac:dyDescent="0.35">
      <c r="B139" s="11" t="str">
        <f>CONCATENATE("          ", "7719", " - ", "INV. SHRINKAGE-BOOK RELATED")</f>
        <v xml:space="preserve">          7719 - INV. SHRINKAGE-BOOK RELATED</v>
      </c>
      <c r="D139" s="2"/>
      <c r="F139" s="2">
        <v>-6</v>
      </c>
      <c r="G139" s="3"/>
      <c r="H139" s="2"/>
      <c r="I139" s="3"/>
      <c r="J139" s="2"/>
      <c r="K139" s="3"/>
      <c r="L139" s="2"/>
      <c r="M139" s="3"/>
      <c r="N139" s="2"/>
      <c r="O139" s="3"/>
      <c r="P139" s="2"/>
      <c r="Q139" s="3"/>
      <c r="R139" s="2"/>
    </row>
    <row r="140" spans="1:18" s="16" customFormat="1" hidden="1" outlineLevel="2" x14ac:dyDescent="0.35">
      <c r="B140" s="11" t="str">
        <f>CONCATENATE("          ", "7725", " - ", "INV. SHRINKAGE-TEST FORMS")</f>
        <v xml:space="preserve">          7725 - INV. SHRINKAGE-TEST FORMS</v>
      </c>
      <c r="D140" s="2">
        <v>12</v>
      </c>
      <c r="F140" s="2">
        <v>115</v>
      </c>
      <c r="G140" s="3"/>
      <c r="H140" s="2">
        <v>-5</v>
      </c>
      <c r="I140" s="3"/>
      <c r="J140" s="2"/>
      <c r="K140" s="3"/>
      <c r="L140" s="2">
        <v>33</v>
      </c>
      <c r="M140" s="3"/>
      <c r="N140" s="2"/>
      <c r="O140" s="3"/>
      <c r="P140" s="2"/>
      <c r="Q140" s="3"/>
      <c r="R140" s="2"/>
    </row>
    <row r="141" spans="1:18" s="16" customFormat="1" hidden="1" outlineLevel="2" x14ac:dyDescent="0.35">
      <c r="B141" s="11" t="str">
        <f>CONCATENATE("          ", "7726", " - ", "INV. SHRINKAGE-WRITING INSTRUM")</f>
        <v xml:space="preserve">          7726 - INV. SHRINKAGE-WRITING INSTRUM</v>
      </c>
      <c r="D141" s="2">
        <v>1</v>
      </c>
      <c r="F141" s="2">
        <v>-127</v>
      </c>
      <c r="G141" s="3"/>
      <c r="H141" s="2"/>
      <c r="I141" s="3"/>
      <c r="J141" s="2">
        <v>56</v>
      </c>
      <c r="K141" s="3"/>
      <c r="L141" s="2">
        <v>480</v>
      </c>
      <c r="M141" s="3"/>
      <c r="N141" s="2">
        <v>2342</v>
      </c>
      <c r="O141" s="3"/>
      <c r="P141" s="2"/>
      <c r="Q141" s="3"/>
      <c r="R141" s="2"/>
    </row>
    <row r="142" spans="1:18" s="16" customFormat="1" hidden="1" outlineLevel="2" x14ac:dyDescent="0.35">
      <c r="B142" s="11" t="str">
        <f>CONCATENATE("          ", "7727", " - ", "INV. SHRINKAGE-SCHOOL SUPPLIES")</f>
        <v xml:space="preserve">          7727 - INV. SHRINKAGE-SCHOOL SUPPLIES</v>
      </c>
      <c r="D142" s="2">
        <v>-7</v>
      </c>
      <c r="F142" s="2">
        <v>-12</v>
      </c>
      <c r="G142" s="3"/>
      <c r="H142" s="2">
        <v>1285</v>
      </c>
      <c r="I142" s="3"/>
      <c r="J142" s="2"/>
      <c r="K142" s="3"/>
      <c r="L142" s="2">
        <v>799</v>
      </c>
      <c r="M142" s="3"/>
      <c r="N142" s="2">
        <v>384</v>
      </c>
      <c r="O142" s="3"/>
      <c r="P142" s="2"/>
      <c r="Q142" s="3"/>
      <c r="R142" s="2"/>
    </row>
    <row r="143" spans="1:18" s="16" customFormat="1" hidden="1" outlineLevel="2" x14ac:dyDescent="0.35">
      <c r="B143" s="11" t="str">
        <f>CONCATENATE("          ", "7728", " - ", "INV. SHRINKAGE-ART/TECH")</f>
        <v xml:space="preserve">          7728 - INV. SHRINKAGE-ART/TECH</v>
      </c>
      <c r="D143" s="2"/>
      <c r="F143" s="2">
        <v>562</v>
      </c>
      <c r="G143" s="3"/>
      <c r="H143" s="2"/>
      <c r="I143" s="3"/>
      <c r="J143" s="2"/>
      <c r="K143" s="3"/>
      <c r="L143" s="2"/>
      <c r="M143" s="3"/>
      <c r="N143" s="2"/>
      <c r="O143" s="3"/>
      <c r="P143" s="2"/>
      <c r="Q143" s="3"/>
      <c r="R143" s="2"/>
    </row>
    <row r="144" spans="1:18" s="16" customFormat="1" hidden="1" outlineLevel="2" x14ac:dyDescent="0.35">
      <c r="B144" s="11" t="str">
        <f>CONCATENATE("          ", "7731", " - ", "INV. SHRINKAGE-FOOD")</f>
        <v xml:space="preserve">          7731 - INV. SHRINKAGE-FOOD</v>
      </c>
      <c r="D144" s="2"/>
      <c r="F144" s="2"/>
      <c r="G144" s="3"/>
      <c r="H144" s="2"/>
      <c r="I144" s="3"/>
      <c r="J144" s="2">
        <v>-3</v>
      </c>
      <c r="K144" s="3"/>
      <c r="L144" s="2"/>
      <c r="M144" s="3"/>
      <c r="N144" s="2"/>
      <c r="O144" s="3"/>
      <c r="P144" s="2"/>
      <c r="Q144" s="3"/>
      <c r="R144" s="2"/>
    </row>
    <row r="145" spans="1:18" s="16" customFormat="1" hidden="1" outlineLevel="2" x14ac:dyDescent="0.35">
      <c r="B145" s="11" t="str">
        <f>CONCATENATE("          ", "7732", " - ", "INV. SHRINKAGE-JUICE")</f>
        <v xml:space="preserve">          7732 - INV. SHRINKAGE-JUICE</v>
      </c>
      <c r="D145" s="2"/>
      <c r="F145" s="2">
        <v>-44</v>
      </c>
      <c r="G145" s="3"/>
      <c r="H145" s="2">
        <v>139</v>
      </c>
      <c r="I145" s="3"/>
      <c r="J145" s="2">
        <v>66</v>
      </c>
      <c r="K145" s="3"/>
      <c r="L145" s="2"/>
      <c r="M145" s="3"/>
      <c r="N145" s="2"/>
      <c r="O145" s="3"/>
      <c r="P145" s="2"/>
      <c r="Q145" s="3"/>
      <c r="R145" s="2"/>
    </row>
    <row r="146" spans="1:18" s="16" customFormat="1" hidden="1" outlineLevel="2" x14ac:dyDescent="0.35">
      <c r="B146" s="11" t="str">
        <f>CONCATENATE("          ", "7734", " - ", "INV. SHRINKAGE-SODA")</f>
        <v xml:space="preserve">          7734 - INV. SHRINKAGE-SODA</v>
      </c>
      <c r="D146" s="2"/>
      <c r="F146" s="2">
        <v>-149</v>
      </c>
      <c r="G146" s="3"/>
      <c r="H146" s="2">
        <v>-25</v>
      </c>
      <c r="I146" s="3"/>
      <c r="J146" s="2">
        <v>28</v>
      </c>
      <c r="K146" s="3"/>
      <c r="L146" s="2">
        <v>4</v>
      </c>
      <c r="M146" s="3"/>
      <c r="N146" s="2"/>
      <c r="O146" s="3"/>
      <c r="P146" s="2"/>
      <c r="Q146" s="3"/>
      <c r="R146" s="2"/>
    </row>
    <row r="147" spans="1:18" s="16" customFormat="1" hidden="1" outlineLevel="2" x14ac:dyDescent="0.35">
      <c r="B147" s="11" t="str">
        <f>CONCATENATE("          ", "7737", " - ", "INV. SHRINKAGE-WATER")</f>
        <v xml:space="preserve">          7737 - INV. SHRINKAGE-WATER</v>
      </c>
      <c r="D147" s="2"/>
      <c r="F147" s="2">
        <v>-360</v>
      </c>
      <c r="G147" s="3"/>
      <c r="H147" s="2">
        <v>100</v>
      </c>
      <c r="I147" s="3"/>
      <c r="J147" s="2">
        <v>40</v>
      </c>
      <c r="K147" s="3"/>
      <c r="L147" s="2">
        <v>33</v>
      </c>
      <c r="M147" s="3"/>
      <c r="N147" s="2">
        <v>-69</v>
      </c>
      <c r="O147" s="3"/>
      <c r="P147" s="2"/>
      <c r="Q147" s="3"/>
      <c r="R147" s="2"/>
    </row>
    <row r="148" spans="1:18" s="16" customFormat="1" hidden="1" outlineLevel="2" x14ac:dyDescent="0.35">
      <c r="B148" s="11" t="str">
        <f>CONCATENATE("          ", "7740", " - ", "INV. SHRINKAGE-LOGO CLOTHING")</f>
        <v xml:space="preserve">          7740 - INV. SHRINKAGE-LOGO CLOTHING</v>
      </c>
      <c r="D148" s="2">
        <v>-3717</v>
      </c>
      <c r="F148" s="2">
        <v>577</v>
      </c>
      <c r="G148" s="3"/>
      <c r="H148" s="2">
        <v>-3624</v>
      </c>
      <c r="I148" s="3"/>
      <c r="J148" s="2">
        <v>3041</v>
      </c>
      <c r="K148" s="3"/>
      <c r="L148" s="2">
        <v>-6110</v>
      </c>
      <c r="M148" s="3"/>
      <c r="N148" s="2">
        <v>74974</v>
      </c>
      <c r="O148" s="3"/>
      <c r="P148" s="2"/>
      <c r="Q148" s="3"/>
      <c r="R148" s="2"/>
    </row>
    <row r="149" spans="1:18" s="16" customFormat="1" hidden="1" outlineLevel="2" x14ac:dyDescent="0.35">
      <c r="B149" s="11" t="str">
        <f>CONCATENATE("          ", "7741", " - ", "INV. SHRINKAGE-LOGO GIFTS")</f>
        <v xml:space="preserve">          7741 - INV. SHRINKAGE-LOGO GIFTS</v>
      </c>
      <c r="D149" s="2">
        <v>-1082</v>
      </c>
      <c r="F149" s="2">
        <v>1600</v>
      </c>
      <c r="G149" s="3"/>
      <c r="H149" s="2">
        <v>4159</v>
      </c>
      <c r="I149" s="3"/>
      <c r="J149" s="2">
        <v>1734</v>
      </c>
      <c r="K149" s="3"/>
      <c r="L149" s="2">
        <v>7406</v>
      </c>
      <c r="M149" s="3"/>
      <c r="N149" s="2">
        <v>-2162</v>
      </c>
      <c r="O149" s="3"/>
      <c r="P149" s="2"/>
      <c r="Q149" s="3"/>
      <c r="R149" s="2"/>
    </row>
    <row r="150" spans="1:18" s="16" customFormat="1" hidden="1" outlineLevel="2" x14ac:dyDescent="0.35">
      <c r="B150" s="11" t="str">
        <f>CONCATENATE("          ", "7742", " - ", "INV. SHRINKAGE-EVERYDAY GIFTS")</f>
        <v xml:space="preserve">          7742 - INV. SHRINKAGE-EVERYDAY GIFTS</v>
      </c>
      <c r="D150" s="2">
        <v>-944</v>
      </c>
      <c r="F150" s="2">
        <v>-6917</v>
      </c>
      <c r="G150" s="3"/>
      <c r="H150" s="2">
        <v>-4139</v>
      </c>
      <c r="I150" s="3"/>
      <c r="J150" s="2">
        <v>-262</v>
      </c>
      <c r="K150" s="3"/>
      <c r="L150" s="2">
        <v>-1578</v>
      </c>
      <c r="M150" s="3"/>
      <c r="N150" s="2">
        <v>2520</v>
      </c>
      <c r="O150" s="3"/>
      <c r="P150" s="2"/>
      <c r="Q150" s="3"/>
      <c r="R150" s="2"/>
    </row>
    <row r="151" spans="1:18" s="16" customFormat="1" hidden="1" outlineLevel="2" x14ac:dyDescent="0.35">
      <c r="B151" s="11" t="str">
        <f>CONCATENATE("          ", "7743", " - ", "INV. SHRINKAGE-CARDS")</f>
        <v xml:space="preserve">          7743 - INV. SHRINKAGE-CARDS</v>
      </c>
      <c r="D151" s="2">
        <v>1</v>
      </c>
      <c r="F151" s="2">
        <v>71</v>
      </c>
      <c r="G151" s="3"/>
      <c r="H151" s="2">
        <v>2178</v>
      </c>
      <c r="I151" s="3"/>
      <c r="J151" s="2">
        <v>130</v>
      </c>
      <c r="K151" s="3"/>
      <c r="L151" s="2">
        <v>-222</v>
      </c>
      <c r="M151" s="3"/>
      <c r="N151" s="2">
        <v>-1289</v>
      </c>
      <c r="O151" s="3"/>
      <c r="P151" s="2"/>
      <c r="Q151" s="3"/>
      <c r="R151" s="2"/>
    </row>
    <row r="152" spans="1:18" s="16" customFormat="1" hidden="1" outlineLevel="2" x14ac:dyDescent="0.35">
      <c r="B152" s="11" t="str">
        <f>CONCATENATE("          ", "7744", " - ", "INV. SHRINKAGE-ACCESSORIES")</f>
        <v xml:space="preserve">          7744 - INV. SHRINKAGE-ACCESSORIES</v>
      </c>
      <c r="D152" s="2">
        <v>-125</v>
      </c>
      <c r="F152" s="2">
        <v>54</v>
      </c>
      <c r="G152" s="3"/>
      <c r="H152" s="2">
        <v>-16</v>
      </c>
      <c r="I152" s="3"/>
      <c r="J152" s="2">
        <v>56</v>
      </c>
      <c r="K152" s="3"/>
      <c r="L152" s="2">
        <v>1465</v>
      </c>
      <c r="M152" s="3"/>
      <c r="N152" s="2">
        <v>-16849</v>
      </c>
      <c r="O152" s="3"/>
      <c r="P152" s="2"/>
      <c r="Q152" s="3"/>
      <c r="R152" s="2"/>
    </row>
    <row r="153" spans="1:18" s="16" customFormat="1" hidden="1" outlineLevel="2" x14ac:dyDescent="0.35">
      <c r="B153" s="11" t="str">
        <f>CONCATENATE("          ", "7745", " - ", "INV. SHRINKAGE-SPECIAL ORDERS")</f>
        <v xml:space="preserve">          7745 - INV. SHRINKAGE-SPECIAL ORDERS</v>
      </c>
      <c r="D153" s="2"/>
      <c r="F153" s="2">
        <v>355</v>
      </c>
      <c r="G153" s="3"/>
      <c r="H153" s="2">
        <v>133</v>
      </c>
      <c r="I153" s="3"/>
      <c r="J153" s="2">
        <v>-1140</v>
      </c>
      <c r="K153" s="3"/>
      <c r="L153" s="2">
        <v>-961</v>
      </c>
      <c r="M153" s="3"/>
      <c r="N153" s="2">
        <v>1445</v>
      </c>
      <c r="O153" s="3"/>
      <c r="P153" s="2"/>
      <c r="Q153" s="3"/>
      <c r="R153" s="2"/>
    </row>
    <row r="154" spans="1:18" s="16" customFormat="1" hidden="1" outlineLevel="2" x14ac:dyDescent="0.35">
      <c r="B154" s="11" t="str">
        <f>CONCATENATE("          ", "7781", " - ", "INV. SHRINKAGE-ELECTRONICS")</f>
        <v xml:space="preserve">          7781 - INV. SHRINKAGE-ELECTRONICS</v>
      </c>
      <c r="D154" s="2"/>
      <c r="F154" s="2">
        <v>400</v>
      </c>
      <c r="G154" s="3"/>
      <c r="H154" s="2"/>
      <c r="I154" s="3"/>
      <c r="J154" s="2"/>
      <c r="K154" s="3"/>
      <c r="L154" s="2"/>
      <c r="M154" s="3"/>
      <c r="N154" s="2"/>
      <c r="O154" s="3"/>
      <c r="P154" s="2"/>
      <c r="Q154" s="3"/>
      <c r="R154" s="2"/>
    </row>
    <row r="155" spans="1:18" s="16" customFormat="1" hidden="1" outlineLevel="2" x14ac:dyDescent="0.35">
      <c r="B155" s="11" t="str">
        <f>CONCATENATE("          ", "7783", " - ", "INV. SHRINKAGE-COMPUTER EQUIPM")</f>
        <v xml:space="preserve">          7783 - INV. SHRINKAGE-COMPUTER EQUIPM</v>
      </c>
      <c r="D155" s="2">
        <v>-239</v>
      </c>
      <c r="F155" s="2"/>
      <c r="G155" s="3"/>
      <c r="H155" s="2">
        <v>37</v>
      </c>
      <c r="I155" s="3"/>
      <c r="J155" s="2">
        <v>25</v>
      </c>
      <c r="K155" s="3"/>
      <c r="L155" s="2">
        <v>30</v>
      </c>
      <c r="M155" s="3"/>
      <c r="N155" s="2">
        <v>176</v>
      </c>
      <c r="O155" s="3"/>
      <c r="P155" s="2"/>
      <c r="Q155" s="3"/>
      <c r="R155" s="2"/>
    </row>
    <row r="156" spans="1:18" s="16" customFormat="1" hidden="1" outlineLevel="2" x14ac:dyDescent="0.35">
      <c r="B156" s="11" t="str">
        <f>CONCATENATE("          ", "7792", " - ", "INV. SHRINKAGE-GRAD MERCH")</f>
        <v xml:space="preserve">          7792 - INV. SHRINKAGE-GRAD MERCH</v>
      </c>
      <c r="D156" s="2"/>
      <c r="F156" s="2"/>
      <c r="G156" s="3"/>
      <c r="H156" s="2"/>
      <c r="I156" s="3"/>
      <c r="J156" s="2">
        <v>20</v>
      </c>
      <c r="K156" s="3"/>
      <c r="L156" s="2">
        <v>-5</v>
      </c>
      <c r="M156" s="3"/>
      <c r="N156" s="2">
        <v>40</v>
      </c>
      <c r="O156" s="3"/>
      <c r="P156" s="2"/>
      <c r="Q156" s="3"/>
      <c r="R156" s="2"/>
    </row>
    <row r="157" spans="1:18" s="16" customFormat="1" hidden="1" outlineLevel="2" x14ac:dyDescent="0.35">
      <c r="B157" s="11" t="str">
        <f>CONCATENATE("          ", "7795", " - ", "INV. SHRINKAGE-CUSTOMER SERVIC")</f>
        <v xml:space="preserve">          7795 - INV. SHRINKAGE-CUSTOMER SERVIC</v>
      </c>
      <c r="D157" s="2">
        <v>7</v>
      </c>
      <c r="F157" s="2">
        <v>14</v>
      </c>
      <c r="G157" s="3"/>
      <c r="H157" s="2">
        <v>19</v>
      </c>
      <c r="I157" s="3"/>
      <c r="J157" s="2">
        <v>-4</v>
      </c>
      <c r="K157" s="3"/>
      <c r="L157" s="2">
        <v>1</v>
      </c>
      <c r="M157" s="3"/>
      <c r="N157" s="2">
        <v>-6</v>
      </c>
      <c r="O157" s="3"/>
      <c r="P157" s="2"/>
      <c r="Q157" s="3"/>
      <c r="R157" s="2"/>
    </row>
    <row r="158" spans="1:18" s="15" customFormat="1" outlineLevel="1" collapsed="1" x14ac:dyDescent="0.35">
      <c r="A158" s="7"/>
      <c r="B158" s="20" t="str">
        <f>CONCATENATE("     ","Professional Services                             ")</f>
        <v xml:space="preserve">     Professional Services                             </v>
      </c>
      <c r="C158" s="7"/>
      <c r="D158" s="1">
        <f>SUM(OSRRefD21_12x_0)</f>
        <v>426.9</v>
      </c>
      <c r="E158" s="19"/>
      <c r="F158" s="1">
        <f>SUM(OSRRefF21_12x_0)</f>
        <v>0</v>
      </c>
      <c r="G158" s="4"/>
      <c r="H158" s="1">
        <f>SUM(OSRRefH21_12x_0)</f>
        <v>750</v>
      </c>
      <c r="I158" s="4"/>
      <c r="J158" s="1">
        <f>SUM(OSRRefJ21_12x_0)</f>
        <v>750</v>
      </c>
      <c r="K158" s="4"/>
      <c r="L158" s="1">
        <f>SUM(OSRRefL21_12x_0)</f>
        <v>750</v>
      </c>
      <c r="M158" s="4"/>
      <c r="N158" s="1">
        <f>SUM(OSRRefN21_12x_0)</f>
        <v>1133.95</v>
      </c>
      <c r="O158" s="4"/>
      <c r="P158" s="1">
        <f>SUM(OSRRefP21_12x_0)</f>
        <v>750</v>
      </c>
      <c r="Q158" s="4"/>
      <c r="R158" s="1">
        <f>SUM(OSRRefR21_12x_0)</f>
        <v>750</v>
      </c>
    </row>
    <row r="159" spans="1:18" s="16" customFormat="1" hidden="1" outlineLevel="2" x14ac:dyDescent="0.35">
      <c r="B159" s="11" t="str">
        <f>CONCATENATE("          ", "6336", " - ", "PROFESSIONAL SERVICES")</f>
        <v xml:space="preserve">          6336 - PROFESSIONAL SERVICES</v>
      </c>
      <c r="D159" s="2">
        <v>426.9</v>
      </c>
      <c r="F159" s="2"/>
      <c r="G159" s="3"/>
      <c r="H159" s="2">
        <v>750</v>
      </c>
      <c r="I159" s="3"/>
      <c r="J159" s="2">
        <v>750</v>
      </c>
      <c r="K159" s="3"/>
      <c r="L159" s="2">
        <v>750</v>
      </c>
      <c r="M159" s="3"/>
      <c r="N159" s="2">
        <v>1133.95</v>
      </c>
      <c r="O159" s="3"/>
      <c r="P159" s="2">
        <v>750</v>
      </c>
      <c r="Q159" s="3"/>
      <c r="R159" s="2">
        <v>750</v>
      </c>
    </row>
    <row r="160" spans="1:18" s="15" customFormat="1" outlineLevel="1" collapsed="1" x14ac:dyDescent="0.35">
      <c r="A160" s="7"/>
      <c r="B160" s="20" t="str">
        <f>CONCATENATE("     ","Rent                                              ")</f>
        <v xml:space="preserve">     Rent                                              </v>
      </c>
      <c r="C160" s="7"/>
      <c r="D160" s="1">
        <f>SUM(OSRRefD21_13x_0)</f>
        <v>77500</v>
      </c>
      <c r="E160" s="19"/>
      <c r="F160" s="1">
        <f>SUM(OSRRefF21_13x_0)</f>
        <v>78000</v>
      </c>
      <c r="G160" s="4"/>
      <c r="H160" s="1">
        <f>SUM(OSRRefH21_13x_0)</f>
        <v>80400</v>
      </c>
      <c r="I160" s="4"/>
      <c r="J160" s="1">
        <f>SUM(OSRRefJ21_13x_0)</f>
        <v>80400</v>
      </c>
      <c r="K160" s="4"/>
      <c r="L160" s="1">
        <f>SUM(OSRRefL21_13x_0)</f>
        <v>82800</v>
      </c>
      <c r="M160" s="4"/>
      <c r="N160" s="1">
        <f>SUM(OSRRefN21_13x_0)</f>
        <v>82800</v>
      </c>
      <c r="O160" s="4"/>
      <c r="P160" s="1">
        <f>SUM(OSRRefP21_13x_0)</f>
        <v>82801</v>
      </c>
      <c r="Q160" s="4"/>
      <c r="R160" s="1">
        <f>SUM(OSRRefR21_13x_0)</f>
        <v>82800</v>
      </c>
    </row>
    <row r="161" spans="1:18" s="16" customFormat="1" hidden="1" outlineLevel="2" x14ac:dyDescent="0.35">
      <c r="B161" s="11" t="str">
        <f>CONCATENATE("          ", "6273", " - ", "RENT")</f>
        <v xml:space="preserve">          6273 - RENT</v>
      </c>
      <c r="D161" s="2">
        <v>77500</v>
      </c>
      <c r="F161" s="2">
        <v>78000</v>
      </c>
      <c r="G161" s="3"/>
      <c r="H161" s="2">
        <v>80400</v>
      </c>
      <c r="I161" s="3"/>
      <c r="J161" s="2">
        <v>80400</v>
      </c>
      <c r="K161" s="3"/>
      <c r="L161" s="2">
        <v>82800</v>
      </c>
      <c r="M161" s="3"/>
      <c r="N161" s="2">
        <v>82800</v>
      </c>
      <c r="O161" s="3"/>
      <c r="P161" s="2">
        <v>82801</v>
      </c>
      <c r="Q161" s="3"/>
      <c r="R161" s="2">
        <v>82800</v>
      </c>
    </row>
    <row r="162" spans="1:18" s="15" customFormat="1" outlineLevel="1" collapsed="1" x14ac:dyDescent="0.35">
      <c r="A162" s="7"/>
      <c r="B162" s="20" t="str">
        <f>CONCATENATE("     ","Repair and Maintenance                            ")</f>
        <v xml:space="preserve">     Repair and Maintenance                            </v>
      </c>
      <c r="C162" s="7"/>
      <c r="D162" s="1">
        <f>SUM(OSRRefD21_14x_0)</f>
        <v>375.6</v>
      </c>
      <c r="E162" s="19"/>
      <c r="F162" s="1">
        <f>SUM(OSRRefF21_14x_0)</f>
        <v>892.78</v>
      </c>
      <c r="G162" s="4"/>
      <c r="H162" s="1">
        <f>SUM(OSRRefH21_14x_0)</f>
        <v>4066</v>
      </c>
      <c r="I162" s="4"/>
      <c r="J162" s="1">
        <f>SUM(OSRRefJ21_14x_0)</f>
        <v>494.15999999999997</v>
      </c>
      <c r="K162" s="4"/>
      <c r="L162" s="1">
        <f>SUM(OSRRefL21_14x_0)</f>
        <v>730.34999999999991</v>
      </c>
      <c r="M162" s="4"/>
      <c r="N162" s="1">
        <f>SUM(OSRRefN21_14x_0)</f>
        <v>372.21000000000004</v>
      </c>
      <c r="O162" s="4"/>
      <c r="P162" s="1">
        <f>SUM(OSRRefP21_14x_0)</f>
        <v>1200</v>
      </c>
      <c r="Q162" s="4"/>
      <c r="R162" s="1">
        <f>SUM(OSRRefR21_14x_0)</f>
        <v>1880</v>
      </c>
    </row>
    <row r="163" spans="1:18" s="16" customFormat="1" hidden="1" outlineLevel="2" x14ac:dyDescent="0.35">
      <c r="B163" s="11" t="str">
        <f>CONCATENATE("          ", "6372", " - ", "COMPUTER HARDWARE MAINTENANCE")</f>
        <v xml:space="preserve">          6372 - COMPUTER HARDWARE MAINTENANCE</v>
      </c>
      <c r="D163" s="2">
        <v>174.3</v>
      </c>
      <c r="F163" s="2">
        <v>12.74</v>
      </c>
      <c r="G163" s="3"/>
      <c r="H163" s="2"/>
      <c r="I163" s="3"/>
      <c r="J163" s="2"/>
      <c r="K163" s="3"/>
      <c r="L163" s="2"/>
      <c r="M163" s="3"/>
      <c r="N163" s="2"/>
      <c r="O163" s="3"/>
      <c r="P163" s="2"/>
      <c r="Q163" s="3"/>
      <c r="R163" s="2"/>
    </row>
    <row r="164" spans="1:18" s="16" customFormat="1" hidden="1" outlineLevel="2" x14ac:dyDescent="0.35">
      <c r="B164" s="11" t="str">
        <f>CONCATENATE("          ", "6373", " - ", "MAINTENANCE CONTRACTS")</f>
        <v xml:space="preserve">          6373 - MAINTENANCE CONTRACTS</v>
      </c>
      <c r="D164" s="2">
        <v>125</v>
      </c>
      <c r="F164" s="2"/>
      <c r="G164" s="3"/>
      <c r="H164" s="2"/>
      <c r="I164" s="3"/>
      <c r="J164" s="2">
        <v>351.58</v>
      </c>
      <c r="K164" s="3"/>
      <c r="L164" s="2">
        <v>179.92</v>
      </c>
      <c r="M164" s="3"/>
      <c r="N164" s="2">
        <v>189.68</v>
      </c>
      <c r="O164" s="3"/>
      <c r="P164" s="2"/>
      <c r="Q164" s="3"/>
      <c r="R164" s="2">
        <v>1380</v>
      </c>
    </row>
    <row r="165" spans="1:18" s="16" customFormat="1" hidden="1" outlineLevel="2" x14ac:dyDescent="0.35">
      <c r="B165" s="11" t="str">
        <f>CONCATENATE("          ", "6375", " - ", "OUTSIDE REPAIRS &amp; MAINTENANCE")</f>
        <v xml:space="preserve">          6375 - OUTSIDE REPAIRS &amp; MAINTENANCE</v>
      </c>
      <c r="D165" s="2">
        <v>76.3</v>
      </c>
      <c r="F165" s="2">
        <v>880.04</v>
      </c>
      <c r="G165" s="3"/>
      <c r="H165" s="2">
        <v>4066</v>
      </c>
      <c r="I165" s="3"/>
      <c r="J165" s="2">
        <v>142.58000000000001</v>
      </c>
      <c r="K165" s="3"/>
      <c r="L165" s="2">
        <v>550.42999999999995</v>
      </c>
      <c r="M165" s="3"/>
      <c r="N165" s="2">
        <v>182.53</v>
      </c>
      <c r="O165" s="3"/>
      <c r="P165" s="2">
        <v>1200</v>
      </c>
      <c r="Q165" s="3"/>
      <c r="R165" s="2">
        <v>500</v>
      </c>
    </row>
    <row r="166" spans="1:18" s="15" customFormat="1" outlineLevel="1" collapsed="1" x14ac:dyDescent="0.35">
      <c r="A166" s="7"/>
      <c r="B166" s="20" t="str">
        <f>CONCATENATE("     ","Services                                          ")</f>
        <v xml:space="preserve">     Services                                          </v>
      </c>
      <c r="C166" s="7"/>
      <c r="D166" s="1">
        <f>SUM(OSRRefD21_15x_0)</f>
        <v>2213.58</v>
      </c>
      <c r="E166" s="19"/>
      <c r="F166" s="1">
        <f>SUM(OSRRefF21_15x_0)</f>
        <v>2168</v>
      </c>
      <c r="G166" s="4"/>
      <c r="H166" s="1">
        <f>SUM(OSRRefH21_15x_0)</f>
        <v>2357.09</v>
      </c>
      <c r="I166" s="4"/>
      <c r="J166" s="1">
        <f>SUM(OSRRefJ21_15x_0)</f>
        <v>2408.64</v>
      </c>
      <c r="K166" s="4"/>
      <c r="L166" s="1">
        <f>SUM(OSRRefL21_15x_0)</f>
        <v>2603.5199999999995</v>
      </c>
      <c r="M166" s="4"/>
      <c r="N166" s="1">
        <f>SUM(OSRRefN21_15x_0)</f>
        <v>3138.98</v>
      </c>
      <c r="O166" s="4"/>
      <c r="P166" s="1">
        <f>SUM(OSRRefP21_15x_0)</f>
        <v>2505</v>
      </c>
      <c r="Q166" s="4"/>
      <c r="R166" s="1">
        <f>SUM(OSRRefR21_15x_0)</f>
        <v>960</v>
      </c>
    </row>
    <row r="167" spans="1:18" s="16" customFormat="1" hidden="1" outlineLevel="2" x14ac:dyDescent="0.35">
      <c r="B167" s="11" t="str">
        <f>CONCATENATE("          ", "6283", " - ", "PLANT SERVICE")</f>
        <v xml:space="preserve">          6283 - PLANT SERVICE</v>
      </c>
      <c r="D167" s="2">
        <v>1267.69</v>
      </c>
      <c r="F167" s="2">
        <v>672</v>
      </c>
      <c r="G167" s="3"/>
      <c r="H167" s="2">
        <v>819.3</v>
      </c>
      <c r="I167" s="3"/>
      <c r="J167" s="2">
        <v>616</v>
      </c>
      <c r="K167" s="3"/>
      <c r="L167" s="2">
        <v>675.55</v>
      </c>
      <c r="M167" s="3"/>
      <c r="N167" s="2">
        <v>178.65</v>
      </c>
      <c r="O167" s="3"/>
      <c r="P167" s="2">
        <v>0</v>
      </c>
      <c r="Q167" s="3"/>
      <c r="R167" s="2"/>
    </row>
    <row r="168" spans="1:18" s="16" customFormat="1" hidden="1" outlineLevel="2" x14ac:dyDescent="0.35">
      <c r="B168" s="11" t="str">
        <f>CONCATENATE("          ", "6284", " - ", "TRASH REMOVAL EXPENSE")</f>
        <v xml:space="preserve">          6284 - TRASH REMOVAL EXPENSE</v>
      </c>
      <c r="D168" s="2">
        <v>595.89</v>
      </c>
      <c r="F168" s="2">
        <v>621</v>
      </c>
      <c r="G168" s="3"/>
      <c r="H168" s="2">
        <v>662.79</v>
      </c>
      <c r="I168" s="3"/>
      <c r="J168" s="2">
        <v>1075.8399999999999</v>
      </c>
      <c r="K168" s="3"/>
      <c r="L168" s="2">
        <v>1457.52</v>
      </c>
      <c r="M168" s="3"/>
      <c r="N168" s="2">
        <v>1617.84</v>
      </c>
      <c r="O168" s="3"/>
      <c r="P168" s="2">
        <v>880</v>
      </c>
      <c r="Q168" s="3"/>
      <c r="R168" s="2">
        <v>960</v>
      </c>
    </row>
    <row r="169" spans="1:18" s="16" customFormat="1" hidden="1" outlineLevel="2" x14ac:dyDescent="0.35">
      <c r="B169" s="11" t="str">
        <f>CONCATENATE("          ", "6285", " - ", "JANITORIAL SERVICES")</f>
        <v xml:space="preserve">          6285 - JANITORIAL SERVICES</v>
      </c>
      <c r="D169" s="2">
        <v>350</v>
      </c>
      <c r="F169" s="2">
        <v>875</v>
      </c>
      <c r="G169" s="3"/>
      <c r="H169" s="2">
        <v>875</v>
      </c>
      <c r="I169" s="3"/>
      <c r="J169" s="2">
        <v>716.8</v>
      </c>
      <c r="K169" s="3"/>
      <c r="L169" s="2">
        <v>470.45</v>
      </c>
      <c r="M169" s="3"/>
      <c r="N169" s="2">
        <v>1342.49</v>
      </c>
      <c r="O169" s="3"/>
      <c r="P169" s="2">
        <v>1625</v>
      </c>
      <c r="Q169" s="3"/>
      <c r="R169" s="2"/>
    </row>
    <row r="170" spans="1:18" s="15" customFormat="1" outlineLevel="1" collapsed="1" x14ac:dyDescent="0.35">
      <c r="A170" s="7"/>
      <c r="B170" s="20" t="str">
        <f>CONCATENATE("     ","Subscriptions &amp; Dues                              ")</f>
        <v xml:space="preserve">     Subscriptions &amp; Dues                              </v>
      </c>
      <c r="C170" s="7"/>
      <c r="D170" s="1">
        <f>SUM(OSRRefD21_16x_0)</f>
        <v>1593.43</v>
      </c>
      <c r="E170" s="19"/>
      <c r="F170" s="1">
        <f>SUM(OSRRefF21_16x_0)</f>
        <v>1656.76</v>
      </c>
      <c r="G170" s="4"/>
      <c r="H170" s="1">
        <f>SUM(OSRRefH21_16x_0)</f>
        <v>1723.69</v>
      </c>
      <c r="I170" s="4"/>
      <c r="J170" s="1">
        <f>SUM(OSRRefJ21_16x_0)</f>
        <v>1724.51</v>
      </c>
      <c r="K170" s="4"/>
      <c r="L170" s="1">
        <f>SUM(OSRRefL21_16x_0)</f>
        <v>1875.14</v>
      </c>
      <c r="M170" s="4"/>
      <c r="N170" s="1">
        <f>SUM(OSRRefN21_16x_0)</f>
        <v>268.40999999999997</v>
      </c>
      <c r="O170" s="4"/>
      <c r="P170" s="1">
        <f>SUM(OSRRefP21_16x_0)</f>
        <v>595</v>
      </c>
      <c r="Q170" s="4"/>
      <c r="R170" s="1">
        <f>SUM(OSRRefR21_16x_0)</f>
        <v>1447</v>
      </c>
    </row>
    <row r="171" spans="1:18" s="16" customFormat="1" hidden="1" outlineLevel="2" x14ac:dyDescent="0.35">
      <c r="B171" s="11" t="str">
        <f>CONCATENATE("          ", "6258", " - ", "MEMBERSHIP DUES")</f>
        <v xml:space="preserve">          6258 - MEMBERSHIP DUES</v>
      </c>
      <c r="D171" s="2"/>
      <c r="F171" s="2"/>
      <c r="G171" s="3"/>
      <c r="H171" s="2"/>
      <c r="I171" s="3"/>
      <c r="J171" s="2"/>
      <c r="K171" s="3"/>
      <c r="L171" s="2"/>
      <c r="M171" s="3"/>
      <c r="N171" s="2">
        <v>29.99</v>
      </c>
      <c r="O171" s="3"/>
      <c r="P171" s="2">
        <v>595</v>
      </c>
      <c r="Q171" s="3"/>
      <c r="R171" s="2">
        <v>595</v>
      </c>
    </row>
    <row r="172" spans="1:18" s="16" customFormat="1" hidden="1" outlineLevel="2" x14ac:dyDescent="0.35">
      <c r="B172" s="11" t="str">
        <f>CONCATENATE("          ", "6275", " - ", "SUBSCRIPTIONS")</f>
        <v xml:space="preserve">          6275 - SUBSCRIPTIONS</v>
      </c>
      <c r="D172" s="2">
        <v>1593.43</v>
      </c>
      <c r="F172" s="2">
        <v>1656.76</v>
      </c>
      <c r="G172" s="3"/>
      <c r="H172" s="2">
        <v>1723.69</v>
      </c>
      <c r="I172" s="3"/>
      <c r="J172" s="2">
        <v>1724.51</v>
      </c>
      <c r="K172" s="3"/>
      <c r="L172" s="2">
        <v>1875.14</v>
      </c>
      <c r="M172" s="3"/>
      <c r="N172" s="2">
        <v>238.42</v>
      </c>
      <c r="O172" s="3"/>
      <c r="P172" s="2">
        <v>0</v>
      </c>
      <c r="Q172" s="3"/>
      <c r="R172" s="2">
        <v>852</v>
      </c>
    </row>
    <row r="173" spans="1:18" s="15" customFormat="1" outlineLevel="1" collapsed="1" x14ac:dyDescent="0.35">
      <c r="A173" s="7"/>
      <c r="B173" s="20" t="str">
        <f>CONCATENATE("     ","Supplies                                          ")</f>
        <v xml:space="preserve">     Supplies                                          </v>
      </c>
      <c r="C173" s="7"/>
      <c r="D173" s="1">
        <f>SUM(OSRRefD21_17x_0)</f>
        <v>3893.21</v>
      </c>
      <c r="E173" s="19"/>
      <c r="F173" s="1">
        <f>SUM(OSRRefF21_17x_0)</f>
        <v>4751.8900000000003</v>
      </c>
      <c r="G173" s="4"/>
      <c r="H173" s="1">
        <f>SUM(OSRRefH21_17x_0)</f>
        <v>7454.2399999999989</v>
      </c>
      <c r="I173" s="4"/>
      <c r="J173" s="1">
        <f>SUM(OSRRefJ21_17x_0)</f>
        <v>3446.35</v>
      </c>
      <c r="K173" s="4"/>
      <c r="L173" s="1">
        <f>SUM(OSRRefL21_17x_0)</f>
        <v>4364.4400000000005</v>
      </c>
      <c r="M173" s="4"/>
      <c r="N173" s="1">
        <f>SUM(OSRRefN21_17x_0)</f>
        <v>3815.02</v>
      </c>
      <c r="O173" s="4"/>
      <c r="P173" s="1">
        <f>SUM(OSRRefP21_17x_0)</f>
        <v>2120</v>
      </c>
      <c r="Q173" s="4"/>
      <c r="R173" s="1">
        <f>SUM(OSRRefR21_17x_0)</f>
        <v>480</v>
      </c>
    </row>
    <row r="174" spans="1:18" s="16" customFormat="1" hidden="1" outlineLevel="2" x14ac:dyDescent="0.35">
      <c r="B174" s="11" t="str">
        <f>CONCATENATE("          ", "6234", " - ", "EXPENDABLE SUPPLIES &amp; EQUIPMEN")</f>
        <v xml:space="preserve">          6234 - EXPENDABLE SUPPLIES &amp; EQUIPMEN</v>
      </c>
      <c r="D174" s="2">
        <v>1117.25</v>
      </c>
      <c r="F174" s="2">
        <v>383.81</v>
      </c>
      <c r="G174" s="3"/>
      <c r="H174" s="2">
        <v>3364.24</v>
      </c>
      <c r="I174" s="3"/>
      <c r="J174" s="2">
        <v>46.85</v>
      </c>
      <c r="K174" s="3"/>
      <c r="L174" s="2">
        <v>396.77</v>
      </c>
      <c r="M174" s="3"/>
      <c r="N174" s="2">
        <v>303.86</v>
      </c>
      <c r="O174" s="3"/>
      <c r="P174" s="2">
        <v>0</v>
      </c>
      <c r="Q174" s="3"/>
      <c r="R174" s="2"/>
    </row>
    <row r="175" spans="1:18" s="16" customFormat="1" hidden="1" outlineLevel="2" x14ac:dyDescent="0.35">
      <c r="B175" s="11" t="str">
        <f>CONCATENATE("          ", "6235", " - ", "COVID-19 EXPENSES")</f>
        <v xml:space="preserve">          6235 - COVID-19 EXPENSES</v>
      </c>
      <c r="D175" s="2"/>
      <c r="F175" s="2"/>
      <c r="G175" s="3"/>
      <c r="H175" s="2"/>
      <c r="I175" s="3"/>
      <c r="J175" s="2"/>
      <c r="K175" s="3"/>
      <c r="L175" s="2"/>
      <c r="M175" s="3"/>
      <c r="N175" s="2"/>
      <c r="O175" s="3"/>
      <c r="P175" s="2">
        <v>1200</v>
      </c>
      <c r="Q175" s="3"/>
      <c r="R175" s="2"/>
    </row>
    <row r="176" spans="1:18" s="16" customFormat="1" hidden="1" outlineLevel="2" x14ac:dyDescent="0.35">
      <c r="B176" s="11" t="str">
        <f>CONCATENATE("          ", "6237", " - ", "JANITORIAL SUPPLIES")</f>
        <v xml:space="preserve">          6237 - JANITORIAL SUPPLIES</v>
      </c>
      <c r="D176" s="2"/>
      <c r="F176" s="2">
        <v>193.88</v>
      </c>
      <c r="G176" s="3"/>
      <c r="H176" s="2">
        <v>382.99</v>
      </c>
      <c r="I176" s="3"/>
      <c r="J176" s="2">
        <v>332.39</v>
      </c>
      <c r="K176" s="3"/>
      <c r="L176" s="2">
        <v>641.32000000000005</v>
      </c>
      <c r="M176" s="3"/>
      <c r="N176" s="2">
        <v>670.42</v>
      </c>
      <c r="O176" s="3"/>
      <c r="P176" s="2">
        <v>220</v>
      </c>
      <c r="Q176" s="3"/>
      <c r="R176" s="2">
        <v>240</v>
      </c>
    </row>
    <row r="177" spans="1:18" s="16" customFormat="1" hidden="1" outlineLevel="2" x14ac:dyDescent="0.35">
      <c r="B177" s="11" t="str">
        <f>CONCATENATE("          ", "6241", " - ", "OFFICE EXPENSE")</f>
        <v xml:space="preserve">          6241 - OFFICE EXPENSE</v>
      </c>
      <c r="D177" s="2">
        <v>1974.3</v>
      </c>
      <c r="F177" s="2">
        <v>2378.0100000000002</v>
      </c>
      <c r="G177" s="3"/>
      <c r="H177" s="2">
        <v>2004.81</v>
      </c>
      <c r="I177" s="3"/>
      <c r="J177" s="2">
        <v>1402.48</v>
      </c>
      <c r="K177" s="3"/>
      <c r="L177" s="2">
        <v>1811.84</v>
      </c>
      <c r="M177" s="3"/>
      <c r="N177" s="2">
        <v>2342.37</v>
      </c>
      <c r="O177" s="3"/>
      <c r="P177" s="2">
        <v>300</v>
      </c>
      <c r="Q177" s="3"/>
      <c r="R177" s="2">
        <v>240</v>
      </c>
    </row>
    <row r="178" spans="1:18" s="16" customFormat="1" hidden="1" outlineLevel="2" x14ac:dyDescent="0.35">
      <c r="B178" s="11" t="str">
        <f>CONCATENATE("          ", "6244", " - ", "SAFETY SUPPLY EXPENSE")</f>
        <v xml:space="preserve">          6244 - SAFETY SUPPLY EXPENSE</v>
      </c>
      <c r="D178" s="2"/>
      <c r="F178" s="2"/>
      <c r="G178" s="3"/>
      <c r="H178" s="2"/>
      <c r="I178" s="3"/>
      <c r="J178" s="2"/>
      <c r="K178" s="3"/>
      <c r="L178" s="2"/>
      <c r="M178" s="3"/>
      <c r="N178" s="2"/>
      <c r="O178" s="3"/>
      <c r="P178" s="2">
        <v>100</v>
      </c>
      <c r="Q178" s="3"/>
      <c r="R178" s="2"/>
    </row>
    <row r="179" spans="1:18" s="16" customFormat="1" hidden="1" outlineLevel="2" x14ac:dyDescent="0.35">
      <c r="B179" s="11" t="str">
        <f>CONCATENATE("          ", "6245", " - ", "PRINTING")</f>
        <v xml:space="preserve">          6245 - PRINTING</v>
      </c>
      <c r="D179" s="2">
        <v>28.96</v>
      </c>
      <c r="F179" s="2"/>
      <c r="G179" s="3"/>
      <c r="H179" s="2"/>
      <c r="I179" s="3"/>
      <c r="J179" s="2"/>
      <c r="K179" s="3"/>
      <c r="L179" s="2">
        <v>750.25</v>
      </c>
      <c r="M179" s="3"/>
      <c r="N179" s="2">
        <v>22.05</v>
      </c>
      <c r="O179" s="3"/>
      <c r="P179" s="2"/>
      <c r="Q179" s="3"/>
      <c r="R179" s="2"/>
    </row>
    <row r="180" spans="1:18" s="16" customFormat="1" hidden="1" outlineLevel="2" x14ac:dyDescent="0.35">
      <c r="B180" s="11" t="str">
        <f>CONCATENATE("          ", "6247", " - ", "STORE SUPPLIES")</f>
        <v xml:space="preserve">          6247 - STORE SUPPLIES</v>
      </c>
      <c r="D180" s="2">
        <v>86.43</v>
      </c>
      <c r="F180" s="2">
        <v>1756.99</v>
      </c>
      <c r="G180" s="3"/>
      <c r="H180" s="2">
        <v>1373.4</v>
      </c>
      <c r="I180" s="3"/>
      <c r="J180" s="2">
        <v>489.11</v>
      </c>
      <c r="K180" s="3"/>
      <c r="L180" s="2">
        <v>764.26</v>
      </c>
      <c r="M180" s="3"/>
      <c r="N180" s="2">
        <v>476.32</v>
      </c>
      <c r="O180" s="3"/>
      <c r="P180" s="2">
        <v>300</v>
      </c>
      <c r="Q180" s="3"/>
      <c r="R180" s="2"/>
    </row>
    <row r="181" spans="1:18" s="16" customFormat="1" hidden="1" outlineLevel="2" x14ac:dyDescent="0.35">
      <c r="B181" s="11" t="str">
        <f>CONCATENATE("          ", "6248", " - ", "UNIFORMS")</f>
        <v xml:space="preserve">          6248 - UNIFORMS</v>
      </c>
      <c r="D181" s="2">
        <v>686.27</v>
      </c>
      <c r="F181" s="2">
        <v>39.200000000000003</v>
      </c>
      <c r="G181" s="3"/>
      <c r="H181" s="2">
        <v>328.8</v>
      </c>
      <c r="I181" s="3"/>
      <c r="J181" s="2">
        <v>1175.52</v>
      </c>
      <c r="K181" s="3"/>
      <c r="L181" s="2"/>
      <c r="M181" s="3"/>
      <c r="N181" s="2"/>
      <c r="O181" s="3"/>
      <c r="P181" s="2"/>
      <c r="Q181" s="3"/>
      <c r="R181" s="2"/>
    </row>
    <row r="182" spans="1:18" s="15" customFormat="1" outlineLevel="1" collapsed="1" x14ac:dyDescent="0.35">
      <c r="A182" s="7"/>
      <c r="B182" s="20" t="str">
        <f>CONCATENATE("     ","Telephone/Data Lines                              ")</f>
        <v xml:space="preserve">     Telephone/Data Lines                              </v>
      </c>
      <c r="C182" s="7"/>
      <c r="D182" s="1">
        <f>SUM(OSRRefD21_18x_0)</f>
        <v>5284.39</v>
      </c>
      <c r="E182" s="19"/>
      <c r="F182" s="1">
        <f>SUM(OSRRefF21_18x_0)</f>
        <v>3845.84</v>
      </c>
      <c r="G182" s="4"/>
      <c r="H182" s="1">
        <f>SUM(OSRRefH21_18x_0)</f>
        <v>5122.3500000000004</v>
      </c>
      <c r="I182" s="4"/>
      <c r="J182" s="1">
        <f>SUM(OSRRefJ21_18x_0)</f>
        <v>4551.22</v>
      </c>
      <c r="K182" s="4"/>
      <c r="L182" s="1">
        <f>SUM(OSRRefL21_18x_0)</f>
        <v>4913.79</v>
      </c>
      <c r="M182" s="4"/>
      <c r="N182" s="1">
        <f>SUM(OSRRefN21_18x_0)</f>
        <v>2707.43</v>
      </c>
      <c r="O182" s="4"/>
      <c r="P182" s="1">
        <f>SUM(OSRRefP21_18x_0)</f>
        <v>2760</v>
      </c>
      <c r="Q182" s="4"/>
      <c r="R182" s="1">
        <f>SUM(OSRRefR21_18x_0)</f>
        <v>3000</v>
      </c>
    </row>
    <row r="183" spans="1:18" s="16" customFormat="1" hidden="1" outlineLevel="2" x14ac:dyDescent="0.35">
      <c r="B183" s="11" t="str">
        <f>CONCATENATE("          ", "6303", " - ", "DATA PHONE LINES")</f>
        <v xml:space="preserve">          6303 - DATA PHONE LINES</v>
      </c>
      <c r="D183" s="2"/>
      <c r="F183" s="2"/>
      <c r="G183" s="3"/>
      <c r="H183" s="2"/>
      <c r="I183" s="3"/>
      <c r="J183" s="2"/>
      <c r="K183" s="3"/>
      <c r="L183" s="2"/>
      <c r="M183" s="3"/>
      <c r="N183" s="2"/>
      <c r="O183" s="3"/>
      <c r="P183" s="2">
        <v>2760</v>
      </c>
      <c r="Q183" s="3"/>
      <c r="R183" s="2"/>
    </row>
    <row r="184" spans="1:18" s="16" customFormat="1" hidden="1" outlineLevel="2" x14ac:dyDescent="0.35">
      <c r="B184" s="11" t="str">
        <f>CONCATENATE("          ", "6309", " - ", "TELEPHONE")</f>
        <v xml:space="preserve">          6309 - TELEPHONE</v>
      </c>
      <c r="D184" s="2">
        <v>5284.39</v>
      </c>
      <c r="F184" s="2">
        <v>3845.84</v>
      </c>
      <c r="G184" s="3"/>
      <c r="H184" s="2">
        <v>5122.3500000000004</v>
      </c>
      <c r="I184" s="3"/>
      <c r="J184" s="2">
        <v>4551.22</v>
      </c>
      <c r="K184" s="3"/>
      <c r="L184" s="2">
        <v>4913.79</v>
      </c>
      <c r="M184" s="3"/>
      <c r="N184" s="2">
        <v>2707.43</v>
      </c>
      <c r="O184" s="3"/>
      <c r="P184" s="2"/>
      <c r="Q184" s="3"/>
      <c r="R184" s="2">
        <v>3000</v>
      </c>
    </row>
    <row r="185" spans="1:18" s="15" customFormat="1" outlineLevel="1" collapsed="1" x14ac:dyDescent="0.35">
      <c r="A185" s="7"/>
      <c r="B185" s="20" t="str">
        <f>CONCATENATE("     ","Training                                          ")</f>
        <v xml:space="preserve">     Training                                          </v>
      </c>
      <c r="C185" s="7"/>
      <c r="D185" s="1">
        <f>SUM(OSRRefD21_19x_0)</f>
        <v>0</v>
      </c>
      <c r="E185" s="19"/>
      <c r="F185" s="1">
        <f>SUM(OSRRefF21_19x_0)</f>
        <v>0</v>
      </c>
      <c r="G185" s="4"/>
      <c r="H185" s="1">
        <f>SUM(OSRRefH21_19x_0)</f>
        <v>0</v>
      </c>
      <c r="I185" s="4"/>
      <c r="J185" s="1">
        <f>SUM(OSRRefJ21_19x_0)</f>
        <v>0</v>
      </c>
      <c r="K185" s="4"/>
      <c r="L185" s="1">
        <f>SUM(OSRRefL21_19x_0)</f>
        <v>0</v>
      </c>
      <c r="M185" s="4"/>
      <c r="N185" s="1">
        <f>SUM(OSRRefN21_19x_0)</f>
        <v>1613.4</v>
      </c>
      <c r="O185" s="4"/>
      <c r="P185" s="1">
        <f>SUM(OSRRefP21_19x_0)</f>
        <v>0</v>
      </c>
      <c r="Q185" s="4"/>
      <c r="R185" s="1">
        <f>SUM(OSRRefR21_19x_0)</f>
        <v>0</v>
      </c>
    </row>
    <row r="186" spans="1:18" s="16" customFormat="1" hidden="1" outlineLevel="2" x14ac:dyDescent="0.35">
      <c r="B186" s="11" t="str">
        <f>CONCATENATE("          ", "6376", " - ", "TRAINING")</f>
        <v xml:space="preserve">          6376 - TRAINING</v>
      </c>
      <c r="D186" s="2"/>
      <c r="F186" s="2"/>
      <c r="G186" s="3"/>
      <c r="H186" s="2"/>
      <c r="I186" s="3"/>
      <c r="J186" s="2"/>
      <c r="K186" s="3"/>
      <c r="L186" s="2"/>
      <c r="M186" s="3"/>
      <c r="N186" s="2">
        <v>1613.4</v>
      </c>
      <c r="O186" s="3"/>
      <c r="P186" s="2">
        <v>0</v>
      </c>
      <c r="Q186" s="3"/>
      <c r="R186" s="2"/>
    </row>
    <row r="187" spans="1:18" s="15" customFormat="1" outlineLevel="1" collapsed="1" x14ac:dyDescent="0.35">
      <c r="A187" s="7"/>
      <c r="B187" s="20" t="str">
        <f>CONCATENATE("     ","Travel                                            ")</f>
        <v xml:space="preserve">     Travel                                            </v>
      </c>
      <c r="C187" s="7"/>
      <c r="D187" s="1">
        <f>SUM(OSRRefD21_20x_0)</f>
        <v>634.5</v>
      </c>
      <c r="E187" s="19"/>
      <c r="F187" s="1">
        <f>SUM(OSRRefF21_20x_0)</f>
        <v>532.39</v>
      </c>
      <c r="G187" s="4"/>
      <c r="H187" s="1">
        <f>SUM(OSRRefH21_20x_0)</f>
        <v>666.43000000000006</v>
      </c>
      <c r="I187" s="4"/>
      <c r="J187" s="1">
        <f>SUM(OSRRefJ21_20x_0)</f>
        <v>647.57000000000005</v>
      </c>
      <c r="K187" s="4"/>
      <c r="L187" s="1">
        <f>SUM(OSRRefL21_20x_0)</f>
        <v>568.59</v>
      </c>
      <c r="M187" s="4"/>
      <c r="N187" s="1">
        <f>SUM(OSRRefN21_20x_0)</f>
        <v>712.14</v>
      </c>
      <c r="O187" s="4"/>
      <c r="P187" s="1">
        <f>SUM(OSRRefP21_20x_0)</f>
        <v>500</v>
      </c>
      <c r="Q187" s="4"/>
      <c r="R187" s="1">
        <f>SUM(OSRRefR21_20x_0)</f>
        <v>550</v>
      </c>
    </row>
    <row r="188" spans="1:18" s="16" customFormat="1" hidden="1" outlineLevel="2" x14ac:dyDescent="0.35">
      <c r="B188" s="11" t="str">
        <f>CONCATENATE("          ", "6292", " - ", "TRAVEL/CONFERENCE")</f>
        <v xml:space="preserve">          6292 - TRAVEL/CONFERENCE</v>
      </c>
      <c r="D188" s="2"/>
      <c r="F188" s="2"/>
      <c r="G188" s="3"/>
      <c r="H188" s="2">
        <v>60.08</v>
      </c>
      <c r="I188" s="3"/>
      <c r="J188" s="2"/>
      <c r="K188" s="3"/>
      <c r="L188" s="2"/>
      <c r="M188" s="3"/>
      <c r="N188" s="2"/>
      <c r="O188" s="3"/>
      <c r="P188" s="2"/>
      <c r="Q188" s="3"/>
      <c r="R188" s="2"/>
    </row>
    <row r="189" spans="1:18" s="16" customFormat="1" hidden="1" outlineLevel="2" x14ac:dyDescent="0.35">
      <c r="B189" s="11" t="str">
        <f>CONCATENATE("          ", "6294", " - ", "TRAVEL OPERATIONAL")</f>
        <v xml:space="preserve">          6294 - TRAVEL OPERATIONAL</v>
      </c>
      <c r="D189" s="2">
        <v>634.5</v>
      </c>
      <c r="F189" s="2">
        <v>532.39</v>
      </c>
      <c r="G189" s="3"/>
      <c r="H189" s="2">
        <v>606.35</v>
      </c>
      <c r="I189" s="3"/>
      <c r="J189" s="2">
        <v>647.57000000000005</v>
      </c>
      <c r="K189" s="3"/>
      <c r="L189" s="2">
        <v>568.59</v>
      </c>
      <c r="M189" s="3"/>
      <c r="N189" s="2">
        <v>712.14</v>
      </c>
      <c r="O189" s="3"/>
      <c r="P189" s="2"/>
      <c r="Q189" s="3"/>
      <c r="R189" s="2"/>
    </row>
    <row r="190" spans="1:18" s="16" customFormat="1" hidden="1" outlineLevel="2" x14ac:dyDescent="0.35">
      <c r="B190" s="11" t="str">
        <f>CONCATENATE("          ", "6298", " - ", "VEHICLE MILEAGE")</f>
        <v xml:space="preserve">          6298 - VEHICLE MILEAGE</v>
      </c>
      <c r="D190" s="2"/>
      <c r="F190" s="2"/>
      <c r="G190" s="3"/>
      <c r="H190" s="2"/>
      <c r="I190" s="3"/>
      <c r="J190" s="2"/>
      <c r="K190" s="3"/>
      <c r="L190" s="2"/>
      <c r="M190" s="3"/>
      <c r="N190" s="2"/>
      <c r="O190" s="3"/>
      <c r="P190" s="2">
        <v>500</v>
      </c>
      <c r="Q190" s="3"/>
      <c r="R190" s="2">
        <v>550</v>
      </c>
    </row>
    <row r="191" spans="1:18" s="15" customFormat="1" outlineLevel="1" collapsed="1" x14ac:dyDescent="0.35">
      <c r="A191" s="7"/>
      <c r="B191" s="20" t="str">
        <f>CONCATENATE("     ","Utilities                                         ")</f>
        <v xml:space="preserve">     Utilities                                         </v>
      </c>
      <c r="C191" s="7"/>
      <c r="D191" s="1">
        <f>SUM(OSRRefD21_21x_0)</f>
        <v>3451</v>
      </c>
      <c r="E191" s="19"/>
      <c r="F191" s="1">
        <f>SUM(OSRRefF21_21x_0)</f>
        <v>2829.04</v>
      </c>
      <c r="G191" s="4"/>
      <c r="H191" s="1">
        <f>SUM(OSRRefH21_21x_0)</f>
        <v>3236.69</v>
      </c>
      <c r="I191" s="4"/>
      <c r="J191" s="1">
        <f>SUM(OSRRefJ21_21x_0)</f>
        <v>3514.38</v>
      </c>
      <c r="K191" s="4"/>
      <c r="L191" s="1">
        <f>SUM(OSRRefL21_21x_0)</f>
        <v>3552.56</v>
      </c>
      <c r="M191" s="4"/>
      <c r="N191" s="1">
        <f>SUM(OSRRefN21_21x_0)</f>
        <v>2987.58</v>
      </c>
      <c r="O191" s="4"/>
      <c r="P191" s="1">
        <f>SUM(OSRRefP21_21x_0)</f>
        <v>4240</v>
      </c>
      <c r="Q191" s="4"/>
      <c r="R191" s="1">
        <f>SUM(OSRRefR21_21x_0)</f>
        <v>4120</v>
      </c>
    </row>
    <row r="192" spans="1:18" s="16" customFormat="1" hidden="1" outlineLevel="2" x14ac:dyDescent="0.35">
      <c r="B192" s="11" t="str">
        <f>CONCATENATE("          ", "6274", " - ", "UTILITIES")</f>
        <v xml:space="preserve">          6274 - UTILITIES</v>
      </c>
      <c r="D192" s="2">
        <v>3451</v>
      </c>
      <c r="F192" s="2">
        <v>2829.04</v>
      </c>
      <c r="G192" s="3"/>
      <c r="H192" s="2">
        <v>3236.69</v>
      </c>
      <c r="I192" s="3"/>
      <c r="J192" s="2">
        <v>3514.38</v>
      </c>
      <c r="K192" s="3"/>
      <c r="L192" s="2">
        <v>3552.56</v>
      </c>
      <c r="M192" s="3"/>
      <c r="N192" s="2">
        <v>2987.58</v>
      </c>
      <c r="O192" s="3"/>
      <c r="P192" s="2">
        <v>4240</v>
      </c>
      <c r="Q192" s="3"/>
      <c r="R192" s="2">
        <v>4120</v>
      </c>
    </row>
    <row r="193" spans="1:18" x14ac:dyDescent="0.35">
      <c r="A193" s="12"/>
      <c r="B193" s="12"/>
      <c r="C193" s="12"/>
      <c r="D193" s="1"/>
      <c r="F193" s="1"/>
      <c r="H193" s="1"/>
      <c r="J193" s="1"/>
      <c r="L193" s="1"/>
      <c r="N193" s="1"/>
      <c r="P193" s="1"/>
      <c r="R193" s="1"/>
    </row>
    <row r="194" spans="1:18" s="7" customFormat="1" x14ac:dyDescent="0.35">
      <c r="A194" s="36"/>
      <c r="B194" s="34" t="s">
        <v>295</v>
      </c>
      <c r="D194" s="6">
        <f>SUM(0)</f>
        <v>0</v>
      </c>
      <c r="E194" s="12"/>
      <c r="F194" s="6">
        <f>SUM(0)</f>
        <v>0</v>
      </c>
      <c r="G194" s="5"/>
      <c r="H194" s="6">
        <f>SUM(0)</f>
        <v>0</v>
      </c>
      <c r="I194" s="5"/>
      <c r="J194" s="6">
        <f>SUM(0)</f>
        <v>0</v>
      </c>
      <c r="K194" s="5"/>
      <c r="L194" s="6">
        <f>SUM(0)</f>
        <v>0</v>
      </c>
      <c r="M194" s="5"/>
      <c r="N194" s="6">
        <f>SUM(0)</f>
        <v>0</v>
      </c>
      <c r="O194" s="5"/>
      <c r="P194" s="6">
        <f>SUM(0)</f>
        <v>0</v>
      </c>
      <c r="Q194" s="5"/>
      <c r="R194" s="6">
        <f>SUM(0)</f>
        <v>0</v>
      </c>
    </row>
    <row r="195" spans="1:18" x14ac:dyDescent="0.35">
      <c r="A195" s="12"/>
      <c r="B195" s="7"/>
      <c r="C195" s="7"/>
      <c r="D195" s="6"/>
      <c r="F195" s="6"/>
      <c r="H195" s="6"/>
      <c r="J195" s="6"/>
      <c r="L195" s="6"/>
      <c r="N195" s="6"/>
      <c r="P195" s="6"/>
      <c r="R195" s="6"/>
    </row>
    <row r="196" spans="1:18" s="15" customFormat="1" x14ac:dyDescent="0.35">
      <c r="A196" s="7"/>
      <c r="B196" s="22" t="s">
        <v>279</v>
      </c>
      <c r="C196" s="22"/>
      <c r="D196" s="10">
        <f>+D89-D92+D194</f>
        <v>51931.539999999804</v>
      </c>
      <c r="E196" s="12"/>
      <c r="F196" s="10">
        <f>+F89-F92+F194</f>
        <v>25401.149999999907</v>
      </c>
      <c r="G196" s="5"/>
      <c r="H196" s="10">
        <f>+H89-H92+H194</f>
        <v>-9663.9099999999744</v>
      </c>
      <c r="I196" s="5"/>
      <c r="J196" s="10">
        <f>+J89-J92+J194</f>
        <v>-837.51000000000931</v>
      </c>
      <c r="K196" s="5"/>
      <c r="L196" s="10">
        <f>+L89-L92+L194</f>
        <v>-1064.37000000017</v>
      </c>
      <c r="M196" s="5"/>
      <c r="N196" s="10">
        <f>+N89-N92+N194</f>
        <v>-170183.94000000009</v>
      </c>
      <c r="O196" s="5"/>
      <c r="P196" s="10">
        <f>+P89-P92+P194</f>
        <v>22045.71921999997</v>
      </c>
      <c r="Q196" s="5"/>
      <c r="R196" s="10">
        <f>+R89-R92+R194</f>
        <v>-30678.055129099987</v>
      </c>
    </row>
    <row r="197" spans="1:18" s="27" customFormat="1" x14ac:dyDescent="0.35">
      <c r="A197" s="18"/>
      <c r="B197" s="31"/>
      <c r="C197" s="18"/>
      <c r="D197" s="9">
        <f>IFERROR(D196/D10, 0)</f>
        <v>9.5352634266546207E-2</v>
      </c>
      <c r="E197" s="18"/>
      <c r="F197" s="9">
        <f>IFERROR(F196/F10, 0)</f>
        <v>4.4734942671067854E-2</v>
      </c>
      <c r="G197" s="14"/>
      <c r="H197" s="9">
        <f>IFERROR(H196/H10, 0)</f>
        <v>-1.5723789923589339E-2</v>
      </c>
      <c r="I197" s="14"/>
      <c r="J197" s="9">
        <f>IFERROR(J196/J10, 0)</f>
        <v>-1.4640147973681912E-3</v>
      </c>
      <c r="K197" s="14"/>
      <c r="L197" s="9">
        <f>IFERROR(L196/L10, 0)</f>
        <v>-2.1275683481110355E-3</v>
      </c>
      <c r="M197" s="14"/>
      <c r="N197" s="9">
        <f>IFERROR(N196/N10, 0)</f>
        <v>-0.39592312382952344</v>
      </c>
      <c r="O197" s="14"/>
      <c r="P197" s="9">
        <f>IFERROR(P196/P10, 0)</f>
        <v>3.7339361669334228E-2</v>
      </c>
      <c r="Q197" s="14"/>
      <c r="R197" s="9">
        <f>IFERROR(R196/R10, 0)</f>
        <v>-7.1895063882626412E-2</v>
      </c>
    </row>
    <row r="198" spans="1:18" s="27" customFormat="1" x14ac:dyDescent="0.35">
      <c r="A198" s="18"/>
      <c r="B198" s="31"/>
      <c r="C198" s="18"/>
      <c r="D198" s="13"/>
      <c r="E198" s="18"/>
      <c r="F198" s="13"/>
      <c r="G198" s="14"/>
      <c r="H198" s="13"/>
      <c r="I198" s="14"/>
      <c r="J198" s="13"/>
      <c r="K198" s="14"/>
      <c r="L198" s="13"/>
      <c r="M198" s="14"/>
      <c r="N198" s="13"/>
      <c r="O198" s="14"/>
      <c r="P198" s="13"/>
      <c r="Q198" s="14"/>
      <c r="R198" s="13"/>
    </row>
    <row r="199" spans="1:18" s="15" customFormat="1" x14ac:dyDescent="0.35">
      <c r="A199" s="37"/>
      <c r="B199" s="7" t="s">
        <v>127</v>
      </c>
      <c r="C199" s="7"/>
      <c r="D199" s="6">
        <v>118351.4</v>
      </c>
      <c r="E199" s="12"/>
      <c r="F199" s="6">
        <v>80832.320000000007</v>
      </c>
      <c r="G199" s="5"/>
      <c r="H199" s="6">
        <v>82176.14</v>
      </c>
      <c r="I199" s="5"/>
      <c r="J199" s="6">
        <v>76778.679999999993</v>
      </c>
      <c r="K199" s="5"/>
      <c r="L199" s="6">
        <v>35658.17</v>
      </c>
      <c r="M199" s="5"/>
      <c r="N199" s="6">
        <v>65087.63</v>
      </c>
      <c r="O199" s="5"/>
      <c r="P199" s="6">
        <v>99768</v>
      </c>
      <c r="Q199" s="5"/>
      <c r="R199" s="6">
        <v>48386</v>
      </c>
    </row>
    <row r="200" spans="1:18" x14ac:dyDescent="0.35">
      <c r="A200" s="12"/>
      <c r="B200" s="7"/>
      <c r="C200" s="7"/>
      <c r="D200" s="6"/>
      <c r="F200" s="6"/>
      <c r="H200" s="6"/>
      <c r="J200" s="6"/>
      <c r="L200" s="6"/>
      <c r="N200" s="6"/>
      <c r="P200" s="6"/>
      <c r="R200" s="6"/>
    </row>
    <row r="201" spans="1:18" s="15" customFormat="1" x14ac:dyDescent="0.35">
      <c r="A201" s="7"/>
      <c r="B201" s="22" t="s">
        <v>126</v>
      </c>
      <c r="C201" s="22"/>
      <c r="D201" s="10">
        <f>+D196-D199</f>
        <v>-66419.86000000019</v>
      </c>
      <c r="E201" s="12"/>
      <c r="F201" s="10">
        <f>+F196-F199</f>
        <v>-55431.1700000001</v>
      </c>
      <c r="G201" s="5"/>
      <c r="H201" s="10">
        <f>+H196-H199</f>
        <v>-91840.049999999974</v>
      </c>
      <c r="I201" s="5"/>
      <c r="J201" s="10">
        <f>+J196-J199</f>
        <v>-77616.19</v>
      </c>
      <c r="K201" s="5"/>
      <c r="L201" s="10">
        <f>+L196-L199</f>
        <v>-36722.540000000168</v>
      </c>
      <c r="M201" s="5"/>
      <c r="N201" s="10">
        <f>+N196-N199</f>
        <v>-235271.57000000009</v>
      </c>
      <c r="O201" s="5"/>
      <c r="P201" s="10">
        <f>+P196-P199</f>
        <v>-77722.28078000003</v>
      </c>
      <c r="Q201" s="5"/>
      <c r="R201" s="10">
        <f>+R196-R199</f>
        <v>-79064.055129099987</v>
      </c>
    </row>
    <row r="202" spans="1:18" s="27" customFormat="1" x14ac:dyDescent="0.35">
      <c r="A202" s="18"/>
      <c r="B202" s="18"/>
      <c r="C202" s="18"/>
      <c r="D202" s="9">
        <f>IFERROR(D201/D10, 0)</f>
        <v>-0.12195495490053336</v>
      </c>
      <c r="E202" s="18"/>
      <c r="F202" s="9">
        <f>IFERROR(F201/F10, 0)</f>
        <v>-9.7621966412553357E-2</v>
      </c>
      <c r="G202" s="14"/>
      <c r="H202" s="9">
        <f>IFERROR(H201/H10, 0)</f>
        <v>-0.14942954278050444</v>
      </c>
      <c r="I202" s="14"/>
      <c r="J202" s="9">
        <f>IFERROR(J201/J10, 0)</f>
        <v>-0.13567748525431311</v>
      </c>
      <c r="K202" s="14"/>
      <c r="L202" s="9">
        <f>IFERROR(L201/L10, 0)</f>
        <v>-7.3404656055910358E-2</v>
      </c>
      <c r="M202" s="14"/>
      <c r="N202" s="9">
        <f>IFERROR(N201/N10, 0)</f>
        <v>-0.54734574215802256</v>
      </c>
      <c r="O202" s="14"/>
      <c r="P202" s="9">
        <f>IFERROR(P201/P10, 0)</f>
        <v>-0.13164008499106566</v>
      </c>
      <c r="Q202" s="14"/>
      <c r="R202" s="9">
        <f>IFERROR(R201/R10, 0)</f>
        <v>-0.18528929785168238</v>
      </c>
    </row>
    <row r="203" spans="1:18" s="27" customFormat="1" x14ac:dyDescent="0.35">
      <c r="A203" s="18"/>
      <c r="B203" s="18"/>
      <c r="C203" s="18"/>
      <c r="D203" s="13"/>
      <c r="E203" s="18"/>
      <c r="F203" s="13"/>
      <c r="G203" s="14"/>
      <c r="H203" s="13"/>
      <c r="I203" s="14"/>
      <c r="J203" s="13"/>
      <c r="K203" s="14"/>
      <c r="L203" s="13"/>
      <c r="M203" s="14"/>
      <c r="N203" s="13"/>
      <c r="O203" s="14"/>
      <c r="P203" s="13"/>
      <c r="Q203" s="14"/>
      <c r="R203" s="13"/>
    </row>
    <row r="204" spans="1:18" x14ac:dyDescent="0.35">
      <c r="A204" s="12"/>
      <c r="B204" s="12"/>
      <c r="C204" s="12"/>
      <c r="D204" s="6"/>
      <c r="F204" s="6"/>
      <c r="H204" s="6"/>
      <c r="J204" s="6"/>
      <c r="L204" s="6"/>
      <c r="N204" s="6"/>
      <c r="P204" s="6"/>
      <c r="R204" s="6"/>
    </row>
    <row r="205" spans="1:18" s="15" customFormat="1" x14ac:dyDescent="0.35">
      <c r="A205" s="7"/>
      <c r="B205" s="22" t="s">
        <v>296</v>
      </c>
      <c r="C205" s="22"/>
      <c r="D205" s="10">
        <f>SUM(D201:D204)</f>
        <v>-66419.981954955088</v>
      </c>
      <c r="E205" s="12"/>
      <c r="F205" s="10">
        <f>SUM(F201:F204)</f>
        <v>-55431.267621966515</v>
      </c>
      <c r="G205" s="5"/>
      <c r="H205" s="10">
        <f>SUM(H201:H204)</f>
        <v>-91840.199429542758</v>
      </c>
      <c r="I205" s="5"/>
      <c r="J205" s="10">
        <f>SUM(J201:J204)</f>
        <v>-77616.325677485263</v>
      </c>
      <c r="K205" s="5"/>
      <c r="L205" s="10">
        <f>SUM(L201:L204)</f>
        <v>-36722.613404656222</v>
      </c>
      <c r="M205" s="5"/>
      <c r="N205" s="10">
        <f>SUM(N201:N204)</f>
        <v>-235272.11734574224</v>
      </c>
      <c r="O205" s="5"/>
      <c r="P205" s="10">
        <f>SUM(P201:P204)</f>
        <v>-77722.41242008502</v>
      </c>
      <c r="Q205" s="5"/>
      <c r="R205" s="10">
        <f>SUM(R201:R204)</f>
        <v>-79064.240418397836</v>
      </c>
    </row>
    <row r="206" spans="1:18" s="27" customFormat="1" x14ac:dyDescent="0.35">
      <c r="A206" s="18"/>
      <c r="B206" s="41"/>
      <c r="C206" s="18"/>
      <c r="D206" s="9">
        <f>IFERROR(D205/D10, 0)</f>
        <v>-0.12195517882468834</v>
      </c>
      <c r="E206" s="18"/>
      <c r="F206" s="9">
        <f>IFERROR(F205/F10, 0)</f>
        <v>-9.76221383383548E-2</v>
      </c>
      <c r="G206" s="14"/>
      <c r="H206" s="9">
        <f>IFERROR(H205/H10, 0)</f>
        <v>-0.1494297859117773</v>
      </c>
      <c r="I206" s="14"/>
      <c r="J206" s="9">
        <f>IFERROR(J205/J10, 0)</f>
        <v>-0.13567772242622281</v>
      </c>
      <c r="K206" s="14"/>
      <c r="L206" s="9">
        <f>IFERROR(L205/L10, 0)</f>
        <v>-7.3404802784419076E-2</v>
      </c>
      <c r="M206" s="14"/>
      <c r="N206" s="9">
        <f>IFERROR(N205/N10, 0)</f>
        <v>-0.54734701552633247</v>
      </c>
      <c r="O206" s="14"/>
      <c r="P206" s="9">
        <f>IFERROR(P205/P10, 0)</f>
        <v>-0.13164030795302459</v>
      </c>
      <c r="Q206" s="14"/>
      <c r="R206" s="9">
        <f>IFERROR(R205/R10, 0)</f>
        <v>-0.18528973208344349</v>
      </c>
    </row>
    <row r="207" spans="1:18" x14ac:dyDescent="0.35">
      <c r="A207" s="12"/>
      <c r="B207" s="40">
        <v>44319.883572604165</v>
      </c>
      <c r="D207" s="24"/>
      <c r="F207" s="24"/>
      <c r="H207" s="24"/>
      <c r="J207" s="24"/>
      <c r="L207" s="24"/>
      <c r="N207" s="24"/>
      <c r="P207" s="24"/>
      <c r="R207" s="24"/>
    </row>
    <row r="208" spans="1:18" x14ac:dyDescent="0.35">
      <c r="A208" s="12"/>
      <c r="B208" s="39" t="s">
        <v>23</v>
      </c>
      <c r="D208" s="24"/>
      <c r="F208" s="24"/>
      <c r="H208" s="24"/>
      <c r="J208" s="24"/>
      <c r="L208" s="24"/>
      <c r="N208" s="24"/>
      <c r="P208" s="24"/>
      <c r="R208" s="24"/>
    </row>
    <row r="209" spans="1:18" x14ac:dyDescent="0.35">
      <c r="A209" s="12"/>
      <c r="D209" s="24"/>
      <c r="F209" s="24"/>
      <c r="H209" s="24"/>
      <c r="J209" s="24"/>
      <c r="L209" s="24"/>
      <c r="N209" s="24"/>
      <c r="P209" s="24"/>
      <c r="R209" s="24"/>
    </row>
    <row r="210" spans="1:18" x14ac:dyDescent="0.35">
      <c r="D210" s="24"/>
      <c r="F210" s="24"/>
      <c r="H210" s="24"/>
      <c r="J210" s="24"/>
      <c r="L210" s="24"/>
      <c r="N210" s="24"/>
      <c r="P210" s="24"/>
      <c r="R210" s="24"/>
    </row>
  </sheetData>
  <pageMargins left="0.5" right="0.5" top="0.5" bottom="0.5" header="0.3" footer="0.3"/>
  <pageSetup scale="59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4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","327", " - ", "C-Store Vending Machine(s)")</f>
        <v>Department 327 - C-Store Vending Machine(s)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7563.42</v>
      </c>
      <c r="F10" s="8">
        <f>SUM(OSRRefF11x_0)</f>
        <v>9645</v>
      </c>
      <c r="G10" s="8"/>
      <c r="H10" s="8">
        <f>SUM(OSRRefH11x_0)</f>
        <v>14634.25</v>
      </c>
      <c r="I10" s="8"/>
      <c r="J10" s="8">
        <f>SUM(OSRRefJ11x_0)</f>
        <v>12715.51</v>
      </c>
      <c r="K10" s="8"/>
      <c r="L10" s="8">
        <f>SUM(OSRRefL11x_0)</f>
        <v>14530.67</v>
      </c>
      <c r="M10" s="8"/>
      <c r="N10" s="8">
        <f>SUM(OSRRefN11x_0)</f>
        <v>12812.5</v>
      </c>
      <c r="O10" s="8"/>
      <c r="P10" s="8">
        <f>SUM(OSRRefP11x_0)</f>
        <v>5139</v>
      </c>
      <c r="Q10" s="8"/>
      <c r="R10" s="8">
        <f>SUM(OSRRefR11x_0)</f>
        <v>925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 t="shared" ref="D11:D12" si="0">0*-1</f>
        <v>0</v>
      </c>
      <c r="F11" s="11">
        <f t="shared" ref="F11:F12" si="1">0*-1</f>
        <v>0</v>
      </c>
      <c r="G11" s="3"/>
      <c r="H11" s="11">
        <f t="shared" ref="H11:H12" si="2">0*-1</f>
        <v>0</v>
      </c>
      <c r="I11" s="3"/>
      <c r="J11" s="11">
        <f t="shared" ref="J11:J12" si="3">0</f>
        <v>0</v>
      </c>
      <c r="K11" s="3"/>
      <c r="L11" s="11">
        <f t="shared" ref="L11:L12" si="4">0</f>
        <v>0</v>
      </c>
      <c r="M11" s="3"/>
      <c r="N11" s="11">
        <f t="shared" ref="N11:N12" si="5">0</f>
        <v>0</v>
      </c>
      <c r="O11" s="3"/>
      <c r="P11" s="11"/>
      <c r="Q11" s="3"/>
      <c r="R11" s="11">
        <v>925</v>
      </c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 t="shared" si="0"/>
        <v>0</v>
      </c>
      <c r="F12" s="11">
        <f t="shared" si="1"/>
        <v>0</v>
      </c>
      <c r="G12" s="3"/>
      <c r="H12" s="11">
        <f t="shared" si="2"/>
        <v>0</v>
      </c>
      <c r="I12" s="3"/>
      <c r="J12" s="11">
        <f t="shared" si="3"/>
        <v>0</v>
      </c>
      <c r="K12" s="3"/>
      <c r="L12" s="11">
        <f t="shared" si="4"/>
        <v>0</v>
      </c>
      <c r="M12" s="3"/>
      <c r="N12" s="11">
        <f t="shared" si="5"/>
        <v>0</v>
      </c>
      <c r="O12" s="3"/>
      <c r="P12" s="11">
        <v>5139</v>
      </c>
      <c r="Q12" s="3"/>
      <c r="R12" s="11"/>
    </row>
    <row r="13" spans="1:18" s="16" customFormat="1" hidden="1" outlineLevel="1" x14ac:dyDescent="0.35">
      <c r="B13" s="35" t="str">
        <f>CONCATENATE("          ", "4153", " - ", "NON-TAXABLE SALES-FOOD")</f>
        <v xml:space="preserve">          4153 - NON-TAXABLE SALES-FOOD</v>
      </c>
      <c r="D13" s="11">
        <f>-7563.42*-1</f>
        <v>7563.42</v>
      </c>
      <c r="F13" s="11">
        <f>-9645*-1</f>
        <v>9645</v>
      </c>
      <c r="G13" s="3"/>
      <c r="H13" s="11">
        <f>-14634.25*-1</f>
        <v>14634.25</v>
      </c>
      <c r="I13" s="3"/>
      <c r="J13" s="11">
        <f>--12715.51</f>
        <v>12715.51</v>
      </c>
      <c r="K13" s="3"/>
      <c r="L13" s="11">
        <f>--14530.67</f>
        <v>14530.67</v>
      </c>
      <c r="M13" s="3"/>
      <c r="N13" s="11">
        <f>--12812.5</f>
        <v>12812.5</v>
      </c>
      <c r="O13" s="3"/>
      <c r="P13" s="11"/>
      <c r="Q13" s="3"/>
      <c r="R13" s="11"/>
    </row>
    <row r="14" spans="1:18" s="12" customFormat="1" x14ac:dyDescent="0.35">
      <c r="B14" s="7"/>
      <c r="D14" s="6"/>
      <c r="F14" s="6"/>
      <c r="G14" s="5"/>
      <c r="H14" s="6"/>
      <c r="I14" s="5"/>
      <c r="J14" s="6"/>
      <c r="K14" s="5"/>
      <c r="L14" s="6"/>
      <c r="M14" s="5"/>
      <c r="N14" s="6"/>
      <c r="O14" s="5"/>
      <c r="P14" s="6"/>
      <c r="Q14" s="5"/>
      <c r="R14" s="6"/>
    </row>
    <row r="15" spans="1:18" s="12" customFormat="1" collapsed="1" x14ac:dyDescent="0.35">
      <c r="B15" s="7" t="s">
        <v>278</v>
      </c>
      <c r="D15" s="8">
        <f>SUM(OSRRefD14x_0)</f>
        <v>1286.78</v>
      </c>
      <c r="E15" s="8"/>
      <c r="F15" s="8">
        <f>SUM(OSRRefF14x_0)</f>
        <v>1322.36</v>
      </c>
      <c r="G15" s="8"/>
      <c r="H15" s="8">
        <f>SUM(OSRRefH14x_0)</f>
        <v>5653.97</v>
      </c>
      <c r="I15" s="8"/>
      <c r="J15" s="8">
        <f>SUM(OSRRefJ14x_0)</f>
        <v>915.75</v>
      </c>
      <c r="K15" s="8"/>
      <c r="L15" s="8">
        <f>SUM(OSRRefL14x_0)</f>
        <v>1706.99</v>
      </c>
      <c r="M15" s="8"/>
      <c r="N15" s="8">
        <f>SUM(OSRRefN14x_0)</f>
        <v>3256.12</v>
      </c>
      <c r="O15" s="8"/>
      <c r="P15" s="8">
        <f>SUM(OSRRefP14x_0)</f>
        <v>2571</v>
      </c>
      <c r="Q15" s="8"/>
      <c r="R15" s="8">
        <f>SUM(OSRRefR14x_0)</f>
        <v>464</v>
      </c>
    </row>
    <row r="16" spans="1:18" s="44" customFormat="1" hidden="1" outlineLevel="1" x14ac:dyDescent="0.35">
      <c r="A16" s="16"/>
      <c r="B16" s="35" t="str">
        <f>CONCATENATE("          ", "5000", " - ", "PURCHASES @ COST")</f>
        <v xml:space="preserve">          5000 - PURCHASES @ COST</v>
      </c>
      <c r="C16" s="16"/>
      <c r="D16" s="11"/>
      <c r="E16" s="16"/>
      <c r="F16" s="11"/>
      <c r="G16" s="3"/>
      <c r="H16" s="11"/>
      <c r="I16" s="3"/>
      <c r="J16" s="11"/>
      <c r="K16" s="3"/>
      <c r="L16" s="11"/>
      <c r="M16" s="3"/>
      <c r="N16" s="11"/>
      <c r="O16" s="3"/>
      <c r="P16" s="11">
        <v>2571</v>
      </c>
      <c r="Q16" s="3"/>
      <c r="R16" s="11">
        <v>464</v>
      </c>
    </row>
    <row r="17" spans="1:18" s="44" customFormat="1" hidden="1" outlineLevel="1" x14ac:dyDescent="0.35">
      <c r="A17" s="16"/>
      <c r="B17" s="35" t="str">
        <f>CONCATENATE("          ", "5053", " - ", "PURCHASES @ COST-FOOD")</f>
        <v xml:space="preserve">          5053 - PURCHASES @ COST-FOOD</v>
      </c>
      <c r="C17" s="16"/>
      <c r="D17" s="11">
        <v>1192</v>
      </c>
      <c r="E17" s="16"/>
      <c r="F17" s="11">
        <v>220.1</v>
      </c>
      <c r="G17" s="3"/>
      <c r="H17" s="11">
        <v>2959.86</v>
      </c>
      <c r="I17" s="3"/>
      <c r="J17" s="11"/>
      <c r="K17" s="3"/>
      <c r="L17" s="11"/>
      <c r="M17" s="3"/>
      <c r="N17" s="11"/>
      <c r="O17" s="3"/>
      <c r="P17" s="11"/>
      <c r="Q17" s="3"/>
      <c r="R17" s="11"/>
    </row>
    <row r="18" spans="1:18" s="44" customFormat="1" hidden="1" outlineLevel="1" x14ac:dyDescent="0.35">
      <c r="A18" s="16"/>
      <c r="B18" s="35" t="str">
        <f>CONCATENATE("          ", "5059", " - ", "PURCHASES @ COST-FOOD")</f>
        <v xml:space="preserve">          5059 - PURCHASES @ COST-FOOD</v>
      </c>
      <c r="C18" s="16"/>
      <c r="D18" s="11">
        <v>94.78</v>
      </c>
      <c r="E18" s="16"/>
      <c r="F18" s="11">
        <v>1102.26</v>
      </c>
      <c r="G18" s="3"/>
      <c r="H18" s="11">
        <v>2694.11</v>
      </c>
      <c r="I18" s="3"/>
      <c r="J18" s="11">
        <v>915.75</v>
      </c>
      <c r="K18" s="3"/>
      <c r="L18" s="11">
        <v>1706.99</v>
      </c>
      <c r="M18" s="3"/>
      <c r="N18" s="11">
        <v>3256.12</v>
      </c>
      <c r="O18" s="3"/>
      <c r="P18" s="11"/>
      <c r="Q18" s="3"/>
      <c r="R18" s="11"/>
    </row>
    <row r="19" spans="1:18" x14ac:dyDescent="0.35">
      <c r="A19" s="12"/>
      <c r="B19" s="7"/>
      <c r="C19" s="7"/>
      <c r="D19" s="6"/>
      <c r="F19" s="6"/>
      <c r="H19" s="6"/>
      <c r="J19" s="6"/>
      <c r="L19" s="6"/>
      <c r="N19" s="6"/>
      <c r="P19" s="6"/>
      <c r="R19" s="6"/>
    </row>
    <row r="20" spans="1:18" s="15" customFormat="1" x14ac:dyDescent="0.35">
      <c r="A20" s="7"/>
      <c r="B20" s="22" t="s">
        <v>107</v>
      </c>
      <c r="C20" s="22"/>
      <c r="D20" s="10">
        <f>+D10-D15</f>
        <v>6276.64</v>
      </c>
      <c r="E20" s="12"/>
      <c r="F20" s="10">
        <f>+F10-F15</f>
        <v>8322.64</v>
      </c>
      <c r="G20" s="5"/>
      <c r="H20" s="10">
        <f>+H10-H15</f>
        <v>8980.2799999999988</v>
      </c>
      <c r="I20" s="5"/>
      <c r="J20" s="10">
        <f>+J10-J15</f>
        <v>11799.76</v>
      </c>
      <c r="K20" s="5"/>
      <c r="L20" s="10">
        <f>+L10-L15</f>
        <v>12823.68</v>
      </c>
      <c r="M20" s="5"/>
      <c r="N20" s="10">
        <f>+N10-N15</f>
        <v>9556.380000000001</v>
      </c>
      <c r="O20" s="5"/>
      <c r="P20" s="10">
        <f>+P10-P15</f>
        <v>2568</v>
      </c>
      <c r="Q20" s="5"/>
      <c r="R20" s="10">
        <f>+R10-R15</f>
        <v>461</v>
      </c>
    </row>
    <row r="21" spans="1:18" s="27" customFormat="1" x14ac:dyDescent="0.35">
      <c r="A21" s="18"/>
      <c r="B21" s="31"/>
      <c r="C21" s="18"/>
      <c r="D21" s="9">
        <f>IFERROR(D20/D10, 0)</f>
        <v>0.82986796978086641</v>
      </c>
      <c r="E21" s="13"/>
      <c r="F21" s="9">
        <f>IFERROR(F20/F10, 0)</f>
        <v>0.86289683773976145</v>
      </c>
      <c r="G21" s="26"/>
      <c r="H21" s="9">
        <f>IFERROR(H20/H10, 0)</f>
        <v>0.61364811999248325</v>
      </c>
      <c r="I21" s="26"/>
      <c r="J21" s="9">
        <f>IFERROR(J20/J10, 0)</f>
        <v>0.92798165390141651</v>
      </c>
      <c r="K21" s="26"/>
      <c r="L21" s="9">
        <f>IFERROR(L20/L10, 0)</f>
        <v>0.88252503153674267</v>
      </c>
      <c r="M21" s="26"/>
      <c r="N21" s="9">
        <f>IFERROR(N20/N10, 0)</f>
        <v>0.74586380487804882</v>
      </c>
      <c r="O21" s="26"/>
      <c r="P21" s="9">
        <f>IFERROR(P20/P10, 0)</f>
        <v>0.4997081144191477</v>
      </c>
      <c r="Q21" s="26"/>
      <c r="R21" s="9">
        <f>IFERROR(R20/R10, 0)</f>
        <v>0.49837837837837839</v>
      </c>
    </row>
    <row r="22" spans="1:18" s="27" customFormat="1" x14ac:dyDescent="0.35">
      <c r="A22" s="18"/>
      <c r="B22" s="31"/>
      <c r="C22" s="18"/>
      <c r="D22" s="13"/>
      <c r="E22" s="13"/>
      <c r="F22" s="13"/>
      <c r="G22" s="26"/>
      <c r="H22" s="13"/>
      <c r="I22" s="26"/>
      <c r="J22" s="13"/>
      <c r="K22" s="26"/>
      <c r="L22" s="13"/>
      <c r="M22" s="26"/>
      <c r="N22" s="13"/>
      <c r="O22" s="26"/>
      <c r="P22" s="13"/>
      <c r="Q22" s="26"/>
      <c r="R22" s="13"/>
    </row>
    <row r="23" spans="1:18" s="15" customFormat="1" x14ac:dyDescent="0.35">
      <c r="A23" s="7"/>
      <c r="B23" s="34" t="s">
        <v>314</v>
      </c>
      <c r="C23" s="7"/>
      <c r="D23" s="8">
        <f>SUM(OSRRefD21x_0)</f>
        <v>32.020000000000003</v>
      </c>
      <c r="E23" s="19"/>
      <c r="F23" s="8">
        <f>SUM(OSRRefF21x_0)</f>
        <v>337.89</v>
      </c>
      <c r="G23" s="4"/>
      <c r="H23" s="8">
        <f>SUM(OSRRefH21x_0)</f>
        <v>151.74</v>
      </c>
      <c r="I23" s="4"/>
      <c r="J23" s="8">
        <f>SUM(OSRRefJ21x_0)</f>
        <v>1155.33</v>
      </c>
      <c r="K23" s="4"/>
      <c r="L23" s="8">
        <f>SUM(OSRRefL21x_0)</f>
        <v>7518.96</v>
      </c>
      <c r="M23" s="4"/>
      <c r="N23" s="8">
        <f>SUM(OSRRefN21x_0)</f>
        <v>1569.51</v>
      </c>
      <c r="O23" s="4"/>
      <c r="P23" s="8">
        <f>SUM(OSRRefP21x_0)</f>
        <v>447</v>
      </c>
      <c r="Q23" s="4"/>
      <c r="R23" s="8">
        <f>SUM(OSRRefR21x_0)</f>
        <v>83.25</v>
      </c>
    </row>
    <row r="24" spans="1:18" s="15" customFormat="1" outlineLevel="1" collapsed="1" x14ac:dyDescent="0.35">
      <c r="A24" s="7"/>
      <c r="B24" s="20" t="str">
        <f>CONCATENATE("     ","Bank/card Fees                                    ")</f>
        <v xml:space="preserve">     Bank/card Fees                                    </v>
      </c>
      <c r="C24" s="7"/>
      <c r="D24" s="1">
        <f>SUM(OSRRefD21_0x_0)</f>
        <v>0</v>
      </c>
      <c r="E24" s="19"/>
      <c r="F24" s="1">
        <f>SUM(OSRRefF21_0x_0)</f>
        <v>0</v>
      </c>
      <c r="G24" s="4"/>
      <c r="H24" s="1">
        <f>SUM(OSRRefH21_0x_0)</f>
        <v>0</v>
      </c>
      <c r="I24" s="4"/>
      <c r="J24" s="1">
        <f>SUM(OSRRefJ21_0x_0)</f>
        <v>1155.33</v>
      </c>
      <c r="K24" s="4"/>
      <c r="L24" s="1">
        <f>SUM(OSRRefL21_0x_0)</f>
        <v>1293.5899999999999</v>
      </c>
      <c r="M24" s="4"/>
      <c r="N24" s="1">
        <f>SUM(OSRRefN21_0x_0)</f>
        <v>1249.06</v>
      </c>
      <c r="O24" s="4"/>
      <c r="P24" s="1">
        <f>SUM(OSRRefP21_0x_0)</f>
        <v>447</v>
      </c>
      <c r="Q24" s="4"/>
      <c r="R24" s="1">
        <f>SUM(OSRRefR21_0x_0)</f>
        <v>83.25</v>
      </c>
    </row>
    <row r="25" spans="1:18" s="16" customFormat="1" hidden="1" outlineLevel="2" x14ac:dyDescent="0.35">
      <c r="B25" s="11" t="str">
        <f>CONCATENATE("          ", "6381", " - ", "BANK/CREDIT CARD FEES")</f>
        <v xml:space="preserve">          6381 - BANK/CREDIT CARD FEES</v>
      </c>
      <c r="D25" s="2"/>
      <c r="F25" s="2"/>
      <c r="G25" s="3"/>
      <c r="H25" s="2"/>
      <c r="I25" s="3"/>
      <c r="J25" s="2">
        <v>1155.33</v>
      </c>
      <c r="K25" s="3"/>
      <c r="L25" s="2">
        <v>1293.5899999999999</v>
      </c>
      <c r="M25" s="3"/>
      <c r="N25" s="2">
        <v>1249.06</v>
      </c>
      <c r="O25" s="3"/>
      <c r="P25" s="2">
        <v>447</v>
      </c>
      <c r="Q25" s="3"/>
      <c r="R25" s="2">
        <v>83.25</v>
      </c>
    </row>
    <row r="26" spans="1:18" s="15" customFormat="1" outlineLevel="1" collapsed="1" x14ac:dyDescent="0.35">
      <c r="A26" s="7"/>
      <c r="B26" s="20" t="str">
        <f>CONCATENATE("     ","General                                           ")</f>
        <v xml:space="preserve">     General                                           </v>
      </c>
      <c r="C26" s="7"/>
      <c r="D26" s="1">
        <f>SUM(OSRRefD21_1x_0)</f>
        <v>0</v>
      </c>
      <c r="E26" s="19"/>
      <c r="F26" s="1">
        <f>SUM(OSRRefF21_1x_0)</f>
        <v>0</v>
      </c>
      <c r="G26" s="4"/>
      <c r="H26" s="1">
        <f>SUM(OSRRefH21_1x_0)</f>
        <v>0</v>
      </c>
      <c r="I26" s="4"/>
      <c r="J26" s="1">
        <f>SUM(OSRRefJ21_1x_0)</f>
        <v>0</v>
      </c>
      <c r="K26" s="4"/>
      <c r="L26" s="1">
        <f>SUM(OSRRefL21_1x_0)</f>
        <v>10.45</v>
      </c>
      <c r="M26" s="4"/>
      <c r="N26" s="1">
        <f>SUM(OSRRefN21_1x_0)</f>
        <v>23.45</v>
      </c>
      <c r="O26" s="4"/>
      <c r="P26" s="1">
        <f>SUM(OSRRefP21_1x_0)</f>
        <v>0</v>
      </c>
      <c r="Q26" s="4"/>
      <c r="R26" s="1">
        <f>SUM(OSRRefR21_1x_0)</f>
        <v>0</v>
      </c>
    </row>
    <row r="27" spans="1:18" s="16" customFormat="1" hidden="1" outlineLevel="2" x14ac:dyDescent="0.35">
      <c r="B27" s="11" t="str">
        <f>CONCATENATE("          ", "6279", " - ", "GENERAL EXPENSE")</f>
        <v xml:space="preserve">          6279 - GENERAL EXPENSE</v>
      </c>
      <c r="D27" s="2"/>
      <c r="F27" s="2"/>
      <c r="G27" s="3"/>
      <c r="H27" s="2"/>
      <c r="I27" s="3"/>
      <c r="J27" s="2"/>
      <c r="K27" s="3"/>
      <c r="L27" s="2">
        <v>10.45</v>
      </c>
      <c r="M27" s="3"/>
      <c r="N27" s="2">
        <v>23.45</v>
      </c>
      <c r="O27" s="3"/>
      <c r="P27" s="2"/>
      <c r="Q27" s="3"/>
      <c r="R27" s="2"/>
    </row>
    <row r="28" spans="1:18" s="15" customFormat="1" outlineLevel="1" collapsed="1" x14ac:dyDescent="0.35">
      <c r="A28" s="7"/>
      <c r="B28" s="20" t="str">
        <f>CONCATENATE("     ","Supplies                                          ")</f>
        <v xml:space="preserve">     Supplies                                          </v>
      </c>
      <c r="C28" s="7"/>
      <c r="D28" s="1">
        <f>SUM(OSRRefD21_2x_0)</f>
        <v>32.020000000000003</v>
      </c>
      <c r="E28" s="19"/>
      <c r="F28" s="1">
        <f>SUM(OSRRefF21_2x_0)</f>
        <v>337.89</v>
      </c>
      <c r="G28" s="4"/>
      <c r="H28" s="1">
        <f>SUM(OSRRefH21_2x_0)</f>
        <v>151.74</v>
      </c>
      <c r="I28" s="4"/>
      <c r="J28" s="1">
        <f>SUM(OSRRefJ21_2x_0)</f>
        <v>0</v>
      </c>
      <c r="K28" s="4"/>
      <c r="L28" s="1">
        <f>SUM(OSRRefL21_2x_0)</f>
        <v>6214.92</v>
      </c>
      <c r="M28" s="4"/>
      <c r="N28" s="1">
        <f>SUM(OSRRefN21_2x_0)</f>
        <v>297</v>
      </c>
      <c r="O28" s="4"/>
      <c r="P28" s="1">
        <f>SUM(OSRRefP21_2x_0)</f>
        <v>0</v>
      </c>
      <c r="Q28" s="4"/>
      <c r="R28" s="1">
        <f>SUM(OSRRefR21_2x_0)</f>
        <v>0</v>
      </c>
    </row>
    <row r="29" spans="1:18" s="16" customFormat="1" hidden="1" outlineLevel="2" x14ac:dyDescent="0.35">
      <c r="B29" s="11" t="str">
        <f>CONCATENATE("          ", "6247", " - ", "STORE SUPPLIES")</f>
        <v xml:space="preserve">          6247 - STORE SUPPLIES</v>
      </c>
      <c r="D29" s="2">
        <v>32.020000000000003</v>
      </c>
      <c r="F29" s="2">
        <v>337.89</v>
      </c>
      <c r="G29" s="3"/>
      <c r="H29" s="2">
        <v>151.74</v>
      </c>
      <c r="I29" s="3"/>
      <c r="J29" s="2"/>
      <c r="K29" s="3"/>
      <c r="L29" s="2">
        <v>6214.92</v>
      </c>
      <c r="M29" s="3"/>
      <c r="N29" s="2">
        <v>297</v>
      </c>
      <c r="O29" s="3"/>
      <c r="P29" s="2"/>
      <c r="Q29" s="3"/>
      <c r="R29" s="2"/>
    </row>
    <row r="30" spans="1:18" x14ac:dyDescent="0.35">
      <c r="A30" s="12"/>
      <c r="B30" s="12"/>
      <c r="C30" s="12"/>
      <c r="D30" s="1"/>
      <c r="F30" s="1"/>
      <c r="H30" s="1"/>
      <c r="J30" s="1"/>
      <c r="L30" s="1"/>
      <c r="N30" s="1"/>
      <c r="P30" s="1"/>
      <c r="R30" s="1"/>
    </row>
    <row r="31" spans="1:18" s="7" customFormat="1" x14ac:dyDescent="0.35">
      <c r="A31" s="36"/>
      <c r="B31" s="34" t="s">
        <v>295</v>
      </c>
      <c r="D31" s="6">
        <f>SUM(0)</f>
        <v>0</v>
      </c>
      <c r="E31" s="12"/>
      <c r="F31" s="6">
        <f>SUM(0)</f>
        <v>0</v>
      </c>
      <c r="G31" s="5"/>
      <c r="H31" s="6">
        <f>SUM(0)</f>
        <v>0</v>
      </c>
      <c r="I31" s="5"/>
      <c r="J31" s="6">
        <f>SUM(0)</f>
        <v>0</v>
      </c>
      <c r="K31" s="5"/>
      <c r="L31" s="6">
        <f>SUM(0)</f>
        <v>0</v>
      </c>
      <c r="M31" s="5"/>
      <c r="N31" s="6">
        <f>SUM(0)</f>
        <v>0</v>
      </c>
      <c r="O31" s="5"/>
      <c r="P31" s="6">
        <f>SUM(0)</f>
        <v>0</v>
      </c>
      <c r="Q31" s="5"/>
      <c r="R31" s="6">
        <f>SUM(0)</f>
        <v>0</v>
      </c>
    </row>
    <row r="32" spans="1:18" x14ac:dyDescent="0.35">
      <c r="A32" s="12"/>
      <c r="B32" s="7"/>
      <c r="C32" s="7"/>
      <c r="D32" s="6"/>
      <c r="F32" s="6"/>
      <c r="H32" s="6"/>
      <c r="J32" s="6"/>
      <c r="L32" s="6"/>
      <c r="N32" s="6"/>
      <c r="P32" s="6"/>
      <c r="R32" s="6"/>
    </row>
    <row r="33" spans="1:18" s="15" customFormat="1" x14ac:dyDescent="0.35">
      <c r="A33" s="7"/>
      <c r="B33" s="22" t="s">
        <v>279</v>
      </c>
      <c r="C33" s="22"/>
      <c r="D33" s="10">
        <f>+D20-D23+D31</f>
        <v>6244.62</v>
      </c>
      <c r="E33" s="12"/>
      <c r="F33" s="10">
        <f>+F20-F23+F31</f>
        <v>7984.7499999999991</v>
      </c>
      <c r="G33" s="5"/>
      <c r="H33" s="10">
        <f>+H20-H23+H31</f>
        <v>8828.5399999999991</v>
      </c>
      <c r="I33" s="5"/>
      <c r="J33" s="10">
        <f>+J20-J23+J31</f>
        <v>10644.43</v>
      </c>
      <c r="K33" s="5"/>
      <c r="L33" s="10">
        <f>+L20-L23+L31</f>
        <v>5304.72</v>
      </c>
      <c r="M33" s="5"/>
      <c r="N33" s="10">
        <f>+N20-N23+N31</f>
        <v>7986.8700000000008</v>
      </c>
      <c r="O33" s="5"/>
      <c r="P33" s="10">
        <f>+P20-P23+P31</f>
        <v>2121</v>
      </c>
      <c r="Q33" s="5"/>
      <c r="R33" s="10">
        <f>+R20-R23+R31</f>
        <v>377.75</v>
      </c>
    </row>
    <row r="34" spans="1:18" s="27" customFormat="1" x14ac:dyDescent="0.35">
      <c r="A34" s="18"/>
      <c r="B34" s="31"/>
      <c r="C34" s="18"/>
      <c r="D34" s="9">
        <f>IFERROR(D33/D10, 0)</f>
        <v>0.82563443521581503</v>
      </c>
      <c r="E34" s="18"/>
      <c r="F34" s="9">
        <f>IFERROR(F33/F10, 0)</f>
        <v>0.82786417833074122</v>
      </c>
      <c r="G34" s="14"/>
      <c r="H34" s="9">
        <f>IFERROR(H33/H10, 0)</f>
        <v>0.60327929343833808</v>
      </c>
      <c r="I34" s="14"/>
      <c r="J34" s="9">
        <f>IFERROR(J33/J10, 0)</f>
        <v>0.83712175131001432</v>
      </c>
      <c r="K34" s="14"/>
      <c r="L34" s="9">
        <f>IFERROR(L33/L10, 0)</f>
        <v>0.36507057141893667</v>
      </c>
      <c r="M34" s="14"/>
      <c r="N34" s="9">
        <f>IFERROR(N33/N10, 0)</f>
        <v>0.62336546341463417</v>
      </c>
      <c r="O34" s="14"/>
      <c r="P34" s="9">
        <f>IFERROR(P33/P10, 0)</f>
        <v>0.41272621132516052</v>
      </c>
      <c r="Q34" s="14"/>
      <c r="R34" s="9">
        <f>IFERROR(R33/R10, 0)</f>
        <v>0.40837837837837837</v>
      </c>
    </row>
    <row r="35" spans="1:18" s="27" customFormat="1" x14ac:dyDescent="0.35">
      <c r="A35" s="18"/>
      <c r="B35" s="31"/>
      <c r="C35" s="18"/>
      <c r="D35" s="13"/>
      <c r="E35" s="18"/>
      <c r="F35" s="13"/>
      <c r="G35" s="14"/>
      <c r="H35" s="13"/>
      <c r="I35" s="14"/>
      <c r="J35" s="13"/>
      <c r="K35" s="14"/>
      <c r="L35" s="13"/>
      <c r="M35" s="14"/>
      <c r="N35" s="13"/>
      <c r="O35" s="14"/>
      <c r="P35" s="13"/>
      <c r="Q35" s="14"/>
      <c r="R35" s="13"/>
    </row>
    <row r="36" spans="1:18" s="15" customFormat="1" x14ac:dyDescent="0.35">
      <c r="A36" s="37"/>
      <c r="B36" s="7" t="s">
        <v>127</v>
      </c>
      <c r="C36" s="7"/>
      <c r="D36" s="6">
        <v>1643.58</v>
      </c>
      <c r="E36" s="12"/>
      <c r="F36" s="6">
        <v>1373.03</v>
      </c>
      <c r="G36" s="5"/>
      <c r="H36" s="6">
        <v>1956.68</v>
      </c>
      <c r="I36" s="5"/>
      <c r="J36" s="6">
        <v>1706.59</v>
      </c>
      <c r="K36" s="5"/>
      <c r="L36" s="6">
        <v>1035.7</v>
      </c>
      <c r="M36" s="5"/>
      <c r="N36" s="6">
        <v>1940.1</v>
      </c>
      <c r="O36" s="5"/>
      <c r="P36" s="6">
        <v>868</v>
      </c>
      <c r="Q36" s="5"/>
      <c r="R36" s="6">
        <v>104</v>
      </c>
    </row>
    <row r="37" spans="1:18" x14ac:dyDescent="0.35">
      <c r="A37" s="12"/>
      <c r="B37" s="7"/>
      <c r="C37" s="7"/>
      <c r="D37" s="6"/>
      <c r="F37" s="6"/>
      <c r="H37" s="6"/>
      <c r="J37" s="6"/>
      <c r="L37" s="6"/>
      <c r="N37" s="6"/>
      <c r="P37" s="6"/>
      <c r="R37" s="6"/>
    </row>
    <row r="38" spans="1:18" s="15" customFormat="1" x14ac:dyDescent="0.35">
      <c r="A38" s="7"/>
      <c r="B38" s="22" t="s">
        <v>126</v>
      </c>
      <c r="C38" s="22"/>
      <c r="D38" s="10">
        <f>+D33-D36</f>
        <v>4601.04</v>
      </c>
      <c r="E38" s="12"/>
      <c r="F38" s="10">
        <f>+F33-F36</f>
        <v>6611.7199999999993</v>
      </c>
      <c r="G38" s="5"/>
      <c r="H38" s="10">
        <f>+H33-H36</f>
        <v>6871.8599999999988</v>
      </c>
      <c r="I38" s="5"/>
      <c r="J38" s="10">
        <f>+J33-J36</f>
        <v>8937.84</v>
      </c>
      <c r="K38" s="5"/>
      <c r="L38" s="10">
        <f>+L33-L36</f>
        <v>4269.0200000000004</v>
      </c>
      <c r="M38" s="5"/>
      <c r="N38" s="10">
        <f>+N33-N36</f>
        <v>6046.77</v>
      </c>
      <c r="O38" s="5"/>
      <c r="P38" s="10">
        <f>+P33-P36</f>
        <v>1253</v>
      </c>
      <c r="Q38" s="5"/>
      <c r="R38" s="10">
        <f>+R33-R36</f>
        <v>273.75</v>
      </c>
    </row>
    <row r="39" spans="1:18" s="27" customFormat="1" x14ac:dyDescent="0.35">
      <c r="A39" s="18"/>
      <c r="B39" s="18"/>
      <c r="C39" s="18"/>
      <c r="D39" s="9">
        <f>IFERROR(D38/D10, 0)</f>
        <v>0.60832797861284971</v>
      </c>
      <c r="E39" s="18"/>
      <c r="F39" s="9">
        <f>IFERROR(F38/F10, 0)</f>
        <v>0.68550751684810773</v>
      </c>
      <c r="G39" s="14"/>
      <c r="H39" s="9">
        <f>IFERROR(H38/H10, 0)</f>
        <v>0.46957377385243515</v>
      </c>
      <c r="I39" s="14"/>
      <c r="J39" s="9">
        <f>IFERROR(J38/J10, 0)</f>
        <v>0.70290849521568544</v>
      </c>
      <c r="K39" s="14"/>
      <c r="L39" s="9">
        <f>IFERROR(L38/L10, 0)</f>
        <v>0.29379374798271524</v>
      </c>
      <c r="M39" s="14"/>
      <c r="N39" s="9">
        <f>IFERROR(N38/N10, 0)</f>
        <v>0.47194302439024394</v>
      </c>
      <c r="O39" s="14"/>
      <c r="P39" s="9">
        <f>IFERROR(P38/P10, 0)</f>
        <v>0.24382175520529287</v>
      </c>
      <c r="Q39" s="14"/>
      <c r="R39" s="9">
        <f>IFERROR(R38/R10, 0)</f>
        <v>0.29594594594594592</v>
      </c>
    </row>
    <row r="40" spans="1:18" s="27" customFormat="1" x14ac:dyDescent="0.35">
      <c r="A40" s="18"/>
      <c r="B40" s="18"/>
      <c r="C40" s="18"/>
      <c r="D40" s="13"/>
      <c r="E40" s="18"/>
      <c r="F40" s="13"/>
      <c r="G40" s="14"/>
      <c r="H40" s="13"/>
      <c r="I40" s="14"/>
      <c r="J40" s="13"/>
      <c r="K40" s="14"/>
      <c r="L40" s="13"/>
      <c r="M40" s="14"/>
      <c r="N40" s="13"/>
      <c r="O40" s="14"/>
      <c r="P40" s="13"/>
      <c r="Q40" s="14"/>
      <c r="R40" s="13"/>
    </row>
    <row r="41" spans="1:18" x14ac:dyDescent="0.35">
      <c r="A41" s="12"/>
      <c r="B41" s="12"/>
      <c r="C41" s="12"/>
      <c r="D41" s="6"/>
      <c r="F41" s="6"/>
      <c r="H41" s="6"/>
      <c r="J41" s="6"/>
      <c r="L41" s="6"/>
      <c r="N41" s="6"/>
      <c r="P41" s="6"/>
      <c r="R41" s="6"/>
    </row>
    <row r="42" spans="1:18" s="15" customFormat="1" x14ac:dyDescent="0.35">
      <c r="A42" s="7"/>
      <c r="B42" s="22" t="s">
        <v>296</v>
      </c>
      <c r="C42" s="22"/>
      <c r="D42" s="10">
        <f>SUM(D38:D41)</f>
        <v>4601.6483279786125</v>
      </c>
      <c r="E42" s="12"/>
      <c r="F42" s="10">
        <f>SUM(F38:F41)</f>
        <v>6612.4055075168471</v>
      </c>
      <c r="G42" s="5"/>
      <c r="H42" s="10">
        <f>SUM(H38:H41)</f>
        <v>6872.3295737738508</v>
      </c>
      <c r="I42" s="5"/>
      <c r="J42" s="10">
        <f>SUM(J38:J41)</f>
        <v>8938.5429084952157</v>
      </c>
      <c r="K42" s="5"/>
      <c r="L42" s="10">
        <f>SUM(L38:L41)</f>
        <v>4269.3137937479833</v>
      </c>
      <c r="M42" s="5"/>
      <c r="N42" s="10">
        <f>SUM(N38:N41)</f>
        <v>6047.2419430243908</v>
      </c>
      <c r="O42" s="5"/>
      <c r="P42" s="10">
        <f>SUM(P38:P41)</f>
        <v>1253.2438217552053</v>
      </c>
      <c r="Q42" s="5"/>
      <c r="R42" s="10">
        <f>SUM(R38:R41)</f>
        <v>274.04594594594596</v>
      </c>
    </row>
    <row r="43" spans="1:18" s="27" customFormat="1" x14ac:dyDescent="0.35">
      <c r="A43" s="18"/>
      <c r="B43" s="41"/>
      <c r="C43" s="18"/>
      <c r="D43" s="9">
        <f>IFERROR(D42/D10, 0)</f>
        <v>0.60840840889156134</v>
      </c>
      <c r="E43" s="18"/>
      <c r="F43" s="9">
        <f>IFERROR(F42/F10, 0)</f>
        <v>0.6855785907223273</v>
      </c>
      <c r="G43" s="14"/>
      <c r="H43" s="9">
        <f>IFERROR(H42/H10, 0)</f>
        <v>0.46960586116636321</v>
      </c>
      <c r="I43" s="14"/>
      <c r="J43" s="9">
        <f>IFERROR(J42/J10, 0)</f>
        <v>0.70296377483051919</v>
      </c>
      <c r="K43" s="14"/>
      <c r="L43" s="9">
        <f>IFERROR(L42/L10, 0)</f>
        <v>0.2938139668541081</v>
      </c>
      <c r="M43" s="14"/>
      <c r="N43" s="9">
        <f>IFERROR(N42/N10, 0)</f>
        <v>0.47197985896775735</v>
      </c>
      <c r="O43" s="14"/>
      <c r="P43" s="9">
        <f>IFERROR(P42/P10, 0)</f>
        <v>0.24386920057505454</v>
      </c>
      <c r="Q43" s="14"/>
      <c r="R43" s="9">
        <f>IFERROR(R42/R10, 0)</f>
        <v>0.29626588750913074</v>
      </c>
    </row>
    <row r="44" spans="1:18" x14ac:dyDescent="0.35">
      <c r="A44" s="12"/>
      <c r="B44" s="40">
        <v>44319.883572604165</v>
      </c>
      <c r="D44" s="24"/>
      <c r="F44" s="24"/>
      <c r="H44" s="24"/>
      <c r="J44" s="24"/>
      <c r="L44" s="24"/>
      <c r="N44" s="24"/>
      <c r="P44" s="24"/>
      <c r="R44" s="24"/>
    </row>
    <row r="45" spans="1:18" x14ac:dyDescent="0.35">
      <c r="A45" s="12"/>
      <c r="B45" s="39" t="s">
        <v>23</v>
      </c>
      <c r="D45" s="24"/>
      <c r="F45" s="24"/>
      <c r="H45" s="24"/>
      <c r="J45" s="24"/>
      <c r="L45" s="24"/>
      <c r="N45" s="24"/>
      <c r="P45" s="24"/>
      <c r="R45" s="24"/>
    </row>
    <row r="46" spans="1:18" x14ac:dyDescent="0.35">
      <c r="A46" s="12"/>
      <c r="D46" s="24"/>
      <c r="F46" s="24"/>
      <c r="H46" s="24"/>
      <c r="J46" s="24"/>
      <c r="L46" s="24"/>
      <c r="N46" s="24"/>
      <c r="P46" s="24"/>
      <c r="R46" s="24"/>
    </row>
    <row r="47" spans="1:18" x14ac:dyDescent="0.35">
      <c r="D47" s="24"/>
      <c r="F47" s="24"/>
      <c r="H47" s="24"/>
      <c r="J47" s="24"/>
      <c r="L47" s="24"/>
      <c r="N47" s="24"/>
      <c r="P47" s="24"/>
      <c r="R47" s="24"/>
    </row>
  </sheetData>
  <pageMargins left="0.5" right="0.5" top="0.5" bottom="0.5" header="0.3" footer="0.3"/>
  <pageSetup scale="59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7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","335", " - ", "Customer Service")</f>
        <v>Department 335 - Customer Service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0</v>
      </c>
      <c r="E17" s="19"/>
      <c r="F17" s="8">
        <f>SUM(OSRRefF21x_0)</f>
        <v>241432.34999999995</v>
      </c>
      <c r="G17" s="4"/>
      <c r="H17" s="8">
        <f>SUM(OSRRefH21x_0)</f>
        <v>343726.88</v>
      </c>
      <c r="I17" s="4"/>
      <c r="J17" s="8">
        <f>SUM(OSRRefJ21x_0)</f>
        <v>353888.35999999993</v>
      </c>
      <c r="K17" s="4"/>
      <c r="L17" s="8">
        <f>SUM(OSRRefL21x_0)</f>
        <v>0</v>
      </c>
      <c r="M17" s="4"/>
      <c r="N17" s="8">
        <f>SUM(OSRRefN21x_0)</f>
        <v>0</v>
      </c>
      <c r="O17" s="4"/>
      <c r="P17" s="8">
        <f>SUM(OSRRefP21x_0)</f>
        <v>0</v>
      </c>
      <c r="Q17" s="4"/>
      <c r="R17" s="8">
        <f>SUM(OSRRefR21x_0)</f>
        <v>0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0</v>
      </c>
      <c r="E18" s="19"/>
      <c r="F18" s="1">
        <f>SUM(OSRRefF21_0x_0)</f>
        <v>40518.68</v>
      </c>
      <c r="G18" s="4"/>
      <c r="H18" s="1">
        <f>SUM(OSRRefH21_0x_0)</f>
        <v>45506.99</v>
      </c>
      <c r="I18" s="4"/>
      <c r="J18" s="1">
        <f>SUM(OSRRefJ21_0x_0)</f>
        <v>47352.05999999999</v>
      </c>
      <c r="K18" s="4"/>
      <c r="L18" s="1">
        <f>SUM(OSRRefL21_0x_0)</f>
        <v>0</v>
      </c>
      <c r="M18" s="4"/>
      <c r="N18" s="1">
        <f>SUM(OSRRefN21_0x_0)</f>
        <v>0</v>
      </c>
      <c r="O18" s="4"/>
      <c r="P18" s="1">
        <f>SUM(OSRRefP21_0x_0)</f>
        <v>0</v>
      </c>
      <c r="Q18" s="4"/>
      <c r="R18" s="1">
        <f>SUM(OSRRefR21_0x_0)</f>
        <v>0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/>
      <c r="F19" s="2">
        <v>5674.81</v>
      </c>
      <c r="G19" s="3"/>
      <c r="H19" s="2">
        <v>7895.21</v>
      </c>
      <c r="I19" s="3"/>
      <c r="J19" s="2">
        <v>9932.94</v>
      </c>
      <c r="K19" s="3"/>
      <c r="L19" s="2"/>
      <c r="M19" s="3"/>
      <c r="N19" s="2"/>
      <c r="O19" s="3"/>
      <c r="P19" s="2"/>
      <c r="Q19" s="3"/>
      <c r="R19" s="2"/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/>
      <c r="F20" s="2">
        <v>5054.78</v>
      </c>
      <c r="G20" s="3"/>
      <c r="H20" s="2">
        <v>5389.08</v>
      </c>
      <c r="I20" s="3"/>
      <c r="J20" s="2">
        <v>3125.01</v>
      </c>
      <c r="K20" s="3"/>
      <c r="L20" s="2"/>
      <c r="M20" s="3"/>
      <c r="N20" s="2"/>
      <c r="O20" s="3"/>
      <c r="P20" s="2"/>
      <c r="Q20" s="3"/>
      <c r="R20" s="2"/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/>
      <c r="F21" s="2">
        <v>19541.82</v>
      </c>
      <c r="G21" s="3"/>
      <c r="H21" s="2">
        <v>21511.8</v>
      </c>
      <c r="I21" s="3"/>
      <c r="J21" s="2">
        <v>23110.03</v>
      </c>
      <c r="K21" s="3"/>
      <c r="L21" s="2"/>
      <c r="M21" s="3"/>
      <c r="N21" s="2"/>
      <c r="O21" s="3"/>
      <c r="P21" s="2"/>
      <c r="Q21" s="3"/>
      <c r="R21" s="2"/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/>
      <c r="F22" s="2">
        <v>1221.3900000000001</v>
      </c>
      <c r="G22" s="3"/>
      <c r="H22" s="2">
        <v>1020.66</v>
      </c>
      <c r="I22" s="3"/>
      <c r="J22" s="2">
        <v>1039.31</v>
      </c>
      <c r="K22" s="3"/>
      <c r="L22" s="2"/>
      <c r="M22" s="3"/>
      <c r="N22" s="2"/>
      <c r="O22" s="3"/>
      <c r="P22" s="2"/>
      <c r="Q22" s="3"/>
      <c r="R22" s="2"/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/>
      <c r="F23" s="2">
        <v>2953.72</v>
      </c>
      <c r="G23" s="3"/>
      <c r="H23" s="2">
        <v>3274.56</v>
      </c>
      <c r="I23" s="3"/>
      <c r="J23" s="2">
        <v>3177.43</v>
      </c>
      <c r="K23" s="3"/>
      <c r="L23" s="2"/>
      <c r="M23" s="3"/>
      <c r="N23" s="2"/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"6118", " - ", "VACATION")</f>
        <v xml:space="preserve">          6118 - VACATION</v>
      </c>
      <c r="D24" s="2"/>
      <c r="F24" s="2">
        <v>1975.47</v>
      </c>
      <c r="G24" s="3"/>
      <c r="H24" s="2">
        <v>2327.4699999999998</v>
      </c>
      <c r="I24" s="3"/>
      <c r="J24" s="2">
        <v>2976.39</v>
      </c>
      <c r="K24" s="3"/>
      <c r="L24" s="2"/>
      <c r="M24" s="3"/>
      <c r="N24" s="2"/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"6119", " - ", "SICK LEAVE")</f>
        <v xml:space="preserve">          6119 - SICK LEAVE</v>
      </c>
      <c r="D25" s="2"/>
      <c r="F25" s="2">
        <v>2340.79</v>
      </c>
      <c r="G25" s="3"/>
      <c r="H25" s="2">
        <v>2304.12</v>
      </c>
      <c r="I25" s="3"/>
      <c r="J25" s="2">
        <v>2345.41</v>
      </c>
      <c r="K25" s="3"/>
      <c r="L25" s="2"/>
      <c r="M25" s="3"/>
      <c r="N25" s="2"/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"6156", " - ", "EMPLOYEE MEALS")</f>
        <v xml:space="preserve">          6156 - EMPLOYEE MEALS</v>
      </c>
      <c r="D26" s="2"/>
      <c r="F26" s="2">
        <v>1755.9</v>
      </c>
      <c r="G26" s="3"/>
      <c r="H26" s="2">
        <v>1784.09</v>
      </c>
      <c r="I26" s="3"/>
      <c r="J26" s="2">
        <v>1645.54</v>
      </c>
      <c r="K26" s="3"/>
      <c r="L26" s="2"/>
      <c r="M26" s="3"/>
      <c r="N26" s="2"/>
      <c r="O26" s="3"/>
      <c r="P26" s="2"/>
      <c r="Q26" s="3"/>
      <c r="R26" s="2"/>
    </row>
    <row r="27" spans="1:18" s="15" customFormat="1" outlineLevel="1" collapsed="1" x14ac:dyDescent="0.35">
      <c r="A27" s="7"/>
      <c r="B27" s="20" t="str">
        <f>CONCATENATE("     ","*Payroll                                          ")</f>
        <v xml:space="preserve">     *Payroll                                          </v>
      </c>
      <c r="C27" s="7"/>
      <c r="D27" s="1">
        <f>SUM(OSRRefD21_1x_0)</f>
        <v>0</v>
      </c>
      <c r="E27" s="19"/>
      <c r="F27" s="1">
        <f>SUM(OSRRefF21_1x_0)</f>
        <v>193829.12</v>
      </c>
      <c r="G27" s="4"/>
      <c r="H27" s="1">
        <f>SUM(OSRRefH21_1x_0)</f>
        <v>291374.94</v>
      </c>
      <c r="I27" s="4"/>
      <c r="J27" s="1">
        <f>SUM(OSRRefJ21_1x_0)</f>
        <v>298421.71999999997</v>
      </c>
      <c r="K27" s="4"/>
      <c r="L27" s="1">
        <f>SUM(OSRRefL21_1x_0)</f>
        <v>0</v>
      </c>
      <c r="M27" s="4"/>
      <c r="N27" s="1">
        <f>SUM(OSRRefN21_1x_0)</f>
        <v>0</v>
      </c>
      <c r="O27" s="4"/>
      <c r="P27" s="1">
        <f>SUM(OSRRefP21_1x_0)</f>
        <v>0</v>
      </c>
      <c r="Q27" s="4"/>
      <c r="R27" s="1">
        <f>SUM(OSRRefR21_1x_0)</f>
        <v>0</v>
      </c>
    </row>
    <row r="28" spans="1:18" s="16" customFormat="1" hidden="1" outlineLevel="2" x14ac:dyDescent="0.35">
      <c r="B28" s="11" t="str">
        <f>CONCATENATE("          ", "6002", " - ", "STAFF SALARIES")</f>
        <v xml:space="preserve">          6002 - STAFF SALARIES</v>
      </c>
      <c r="D28" s="2"/>
      <c r="F28" s="2">
        <v>46007.519999999997</v>
      </c>
      <c r="G28" s="3"/>
      <c r="H28" s="2">
        <v>45151.68</v>
      </c>
      <c r="I28" s="3"/>
      <c r="J28" s="2">
        <v>43238.33</v>
      </c>
      <c r="K28" s="3"/>
      <c r="L28" s="2"/>
      <c r="M28" s="3"/>
      <c r="N28" s="2"/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"6005", " - ", "TEMPORARY WAGES-HOURLY")</f>
        <v xml:space="preserve">          6005 - TEMPORARY WAGES-HOURLY</v>
      </c>
      <c r="D29" s="2"/>
      <c r="F29" s="2"/>
      <c r="G29" s="3"/>
      <c r="H29" s="2">
        <v>7264.56</v>
      </c>
      <c r="I29" s="3"/>
      <c r="J29" s="2">
        <v>15733.57</v>
      </c>
      <c r="K29" s="3"/>
      <c r="L29" s="2"/>
      <c r="M29" s="3"/>
      <c r="N29" s="2"/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"6006", " - ", "TEMPORARY PART TIME")</f>
        <v xml:space="preserve">          6006 - TEMPORARY PART TIME</v>
      </c>
      <c r="D30" s="2"/>
      <c r="F30" s="2">
        <v>6289.01</v>
      </c>
      <c r="G30" s="3"/>
      <c r="H30" s="2">
        <v>16734.79</v>
      </c>
      <c r="I30" s="3"/>
      <c r="J30" s="2">
        <v>13001.16</v>
      </c>
      <c r="K30" s="3"/>
      <c r="L30" s="2"/>
      <c r="M30" s="3"/>
      <c r="N30" s="2"/>
      <c r="O30" s="3"/>
      <c r="P30" s="2"/>
      <c r="Q30" s="3"/>
      <c r="R30" s="2"/>
    </row>
    <row r="31" spans="1:18" s="16" customFormat="1" hidden="1" outlineLevel="2" x14ac:dyDescent="0.35">
      <c r="B31" s="11" t="str">
        <f>CONCATENATE("          ", "6007", " - ", "STUDENT HOURLY")</f>
        <v xml:space="preserve">          6007 - STUDENT HOURLY</v>
      </c>
      <c r="D31" s="2"/>
      <c r="F31" s="2">
        <v>141314.34</v>
      </c>
      <c r="G31" s="3"/>
      <c r="H31" s="2">
        <v>217553.67</v>
      </c>
      <c r="I31" s="3"/>
      <c r="J31" s="2">
        <v>219365.4</v>
      </c>
      <c r="K31" s="3"/>
      <c r="L31" s="2"/>
      <c r="M31" s="3"/>
      <c r="N31" s="2"/>
      <c r="O31" s="3"/>
      <c r="P31" s="2"/>
      <c r="Q31" s="3"/>
      <c r="R31" s="2"/>
    </row>
    <row r="32" spans="1:18" s="16" customFormat="1" hidden="1" outlineLevel="2" x14ac:dyDescent="0.35">
      <c r="B32" s="11" t="str">
        <f>CONCATENATE("          ", "6008", " - ", "STUDENT HOURLY-FICA EXEMPT")</f>
        <v xml:space="preserve">          6008 - STUDENT HOURLY-FICA EXEMPT</v>
      </c>
      <c r="D32" s="2"/>
      <c r="F32" s="2">
        <v>218.25</v>
      </c>
      <c r="G32" s="3"/>
      <c r="H32" s="2">
        <v>4670.24</v>
      </c>
      <c r="I32" s="3"/>
      <c r="J32" s="2">
        <v>7083.26</v>
      </c>
      <c r="K32" s="3"/>
      <c r="L32" s="2"/>
      <c r="M32" s="3"/>
      <c r="N32" s="2"/>
      <c r="O32" s="3"/>
      <c r="P32" s="2"/>
      <c r="Q32" s="3"/>
      <c r="R32" s="2"/>
    </row>
    <row r="33" spans="1:18" s="15" customFormat="1" outlineLevel="1" collapsed="1" x14ac:dyDescent="0.35">
      <c r="A33" s="7"/>
      <c r="B33" s="20" t="str">
        <f>CONCATENATE("     ","Advertising/Promo                                 ")</f>
        <v xml:space="preserve">     Advertising/Promo                                 </v>
      </c>
      <c r="C33" s="7"/>
      <c r="D33" s="1">
        <f>SUM(OSRRefD21_2x_0)</f>
        <v>0</v>
      </c>
      <c r="E33" s="19"/>
      <c r="F33" s="1">
        <f>SUM(OSRRefF21_2x_0)</f>
        <v>594</v>
      </c>
      <c r="G33" s="4"/>
      <c r="H33" s="1">
        <f>SUM(OSRRefH21_2x_0)</f>
        <v>328.71</v>
      </c>
      <c r="I33" s="4"/>
      <c r="J33" s="1">
        <f>SUM(OSRRefJ21_2x_0)</f>
        <v>699</v>
      </c>
      <c r="K33" s="4"/>
      <c r="L33" s="1">
        <f>SUM(OSRRefL21_2x_0)</f>
        <v>0</v>
      </c>
      <c r="M33" s="4"/>
      <c r="N33" s="1">
        <f>SUM(OSRRefN21_2x_0)</f>
        <v>0</v>
      </c>
      <c r="O33" s="4"/>
      <c r="P33" s="1">
        <f>SUM(OSRRefP21_2x_0)</f>
        <v>0</v>
      </c>
      <c r="Q33" s="4"/>
      <c r="R33" s="1">
        <f>SUM(OSRRefR21_2x_0)</f>
        <v>0</v>
      </c>
    </row>
    <row r="34" spans="1:18" s="16" customFormat="1" hidden="1" outlineLevel="2" x14ac:dyDescent="0.35">
      <c r="B34" s="11" t="str">
        <f>CONCATENATE("          ", "6362", " - ", "ADVERTISING EXPENSE")</f>
        <v xml:space="preserve">          6362 - ADVERTISING EXPENSE</v>
      </c>
      <c r="D34" s="2"/>
      <c r="F34" s="2">
        <v>594</v>
      </c>
      <c r="G34" s="3"/>
      <c r="H34" s="2">
        <v>328.71</v>
      </c>
      <c r="I34" s="3"/>
      <c r="J34" s="2">
        <v>699</v>
      </c>
      <c r="K34" s="3"/>
      <c r="L34" s="2"/>
      <c r="M34" s="3"/>
      <c r="N34" s="2"/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","Employees' Appreciation                           ")</f>
        <v xml:space="preserve">     Employees' Appreciation                           </v>
      </c>
      <c r="C35" s="7"/>
      <c r="D35" s="1">
        <f>SUM(OSRRefD21_3x_0)</f>
        <v>0</v>
      </c>
      <c r="E35" s="19"/>
      <c r="F35" s="1">
        <f>SUM(OSRRefF21_3x_0)</f>
        <v>306.11</v>
      </c>
      <c r="G35" s="4"/>
      <c r="H35" s="1">
        <f>SUM(OSRRefH21_3x_0)</f>
        <v>537.61</v>
      </c>
      <c r="I35" s="4"/>
      <c r="J35" s="1">
        <f>SUM(OSRRefJ21_3x_0)</f>
        <v>617.42999999999995</v>
      </c>
      <c r="K35" s="4"/>
      <c r="L35" s="1">
        <f>SUM(OSRRefL21_3x_0)</f>
        <v>0</v>
      </c>
      <c r="M35" s="4"/>
      <c r="N35" s="1">
        <f>SUM(OSRRefN21_3x_0)</f>
        <v>0</v>
      </c>
      <c r="O35" s="4"/>
      <c r="P35" s="1">
        <f>SUM(OSRRefP21_3x_0)</f>
        <v>0</v>
      </c>
      <c r="Q35" s="4"/>
      <c r="R35" s="1">
        <f>SUM(OSRRefR21_3x_0)</f>
        <v>0</v>
      </c>
    </row>
    <row r="36" spans="1:18" s="16" customFormat="1" hidden="1" outlineLevel="2" x14ac:dyDescent="0.35">
      <c r="B36" s="11" t="str">
        <f>CONCATENATE("          ", "6277", " - ", "EMPLOYEE APPRECIATION")</f>
        <v xml:space="preserve">          6277 - EMPLOYEE APPRECIATION</v>
      </c>
      <c r="D36" s="2"/>
      <c r="F36" s="2">
        <v>306.11</v>
      </c>
      <c r="G36" s="3"/>
      <c r="H36" s="2">
        <v>537.61</v>
      </c>
      <c r="I36" s="3"/>
      <c r="J36" s="2">
        <v>617.42999999999995</v>
      </c>
      <c r="K36" s="3"/>
      <c r="L36" s="2"/>
      <c r="M36" s="3"/>
      <c r="N36" s="2"/>
      <c r="O36" s="3"/>
      <c r="P36" s="2"/>
      <c r="Q36" s="3"/>
      <c r="R36" s="2"/>
    </row>
    <row r="37" spans="1:18" s="15" customFormat="1" outlineLevel="1" collapsed="1" x14ac:dyDescent="0.35">
      <c r="A37" s="7"/>
      <c r="B37" s="20" t="str">
        <f>CONCATENATE("     ","General                                           ")</f>
        <v xml:space="preserve">     General                                           </v>
      </c>
      <c r="C37" s="7"/>
      <c r="D37" s="1">
        <f>SUM(OSRRefD21_4x_0)</f>
        <v>0</v>
      </c>
      <c r="E37" s="19"/>
      <c r="F37" s="1">
        <f>SUM(OSRRefF21_4x_0)</f>
        <v>0</v>
      </c>
      <c r="G37" s="4"/>
      <c r="H37" s="1">
        <f>SUM(OSRRefH21_4x_0)</f>
        <v>270.45999999999998</v>
      </c>
      <c r="I37" s="4"/>
      <c r="J37" s="1">
        <f>SUM(OSRRefJ21_4x_0)</f>
        <v>98.24</v>
      </c>
      <c r="K37" s="4"/>
      <c r="L37" s="1">
        <f>SUM(OSRRefL21_4x_0)</f>
        <v>0</v>
      </c>
      <c r="M37" s="4"/>
      <c r="N37" s="1">
        <f>SUM(OSRRefN21_4x_0)</f>
        <v>0</v>
      </c>
      <c r="O37" s="4"/>
      <c r="P37" s="1">
        <f>SUM(OSRRefP21_4x_0)</f>
        <v>0</v>
      </c>
      <c r="Q37" s="4"/>
      <c r="R37" s="1">
        <f>SUM(OSRRefR21_4x_0)</f>
        <v>0</v>
      </c>
    </row>
    <row r="38" spans="1:18" s="16" customFormat="1" hidden="1" outlineLevel="2" x14ac:dyDescent="0.35">
      <c r="B38" s="11" t="str">
        <f>CONCATENATE("          ", "6279", " - ", "GENERAL EXPENSE")</f>
        <v xml:space="preserve">          6279 - GENERAL EXPENSE</v>
      </c>
      <c r="D38" s="2"/>
      <c r="F38" s="2"/>
      <c r="G38" s="3"/>
      <c r="H38" s="2">
        <v>270.45999999999998</v>
      </c>
      <c r="I38" s="3"/>
      <c r="J38" s="2">
        <v>98.24</v>
      </c>
      <c r="K38" s="3"/>
      <c r="L38" s="2"/>
      <c r="M38" s="3"/>
      <c r="N38" s="2"/>
      <c r="O38" s="3"/>
      <c r="P38" s="2"/>
      <c r="Q38" s="3"/>
      <c r="R38" s="2"/>
    </row>
    <row r="39" spans="1:18" s="15" customFormat="1" outlineLevel="1" collapsed="1" x14ac:dyDescent="0.35">
      <c r="A39" s="7"/>
      <c r="B39" s="20" t="str">
        <f>CONCATENATE("     ","Repair and Maintenance                            ")</f>
        <v xml:space="preserve">     Repair and Maintenance                            </v>
      </c>
      <c r="C39" s="7"/>
      <c r="D39" s="1">
        <f>SUM(OSRRefD21_5x_0)</f>
        <v>0</v>
      </c>
      <c r="E39" s="19"/>
      <c r="F39" s="1">
        <f>SUM(OSRRefF21_5x_0)</f>
        <v>155</v>
      </c>
      <c r="G39" s="4"/>
      <c r="H39" s="1">
        <f>SUM(OSRRefH21_5x_0)</f>
        <v>334.35</v>
      </c>
      <c r="I39" s="4"/>
      <c r="J39" s="1">
        <f>SUM(OSRRefJ21_5x_0)</f>
        <v>842.99</v>
      </c>
      <c r="K39" s="4"/>
      <c r="L39" s="1">
        <f>SUM(OSRRefL21_5x_0)</f>
        <v>0</v>
      </c>
      <c r="M39" s="4"/>
      <c r="N39" s="1">
        <f>SUM(OSRRefN21_5x_0)</f>
        <v>0</v>
      </c>
      <c r="O39" s="4"/>
      <c r="P39" s="1">
        <f>SUM(OSRRefP21_5x_0)</f>
        <v>0</v>
      </c>
      <c r="Q39" s="4"/>
      <c r="R39" s="1">
        <f>SUM(OSRRefR21_5x_0)</f>
        <v>0</v>
      </c>
    </row>
    <row r="40" spans="1:18" s="16" customFormat="1" hidden="1" outlineLevel="2" x14ac:dyDescent="0.35">
      <c r="B40" s="11" t="str">
        <f>CONCATENATE("          ", "6371", " - ", "COMPUTER SOFTWARE MAINTENANCE")</f>
        <v xml:space="preserve">          6371 - COMPUTER SOFTWARE MAINTENANCE</v>
      </c>
      <c r="D40" s="2"/>
      <c r="F40" s="2"/>
      <c r="G40" s="3"/>
      <c r="H40" s="2"/>
      <c r="I40" s="3"/>
      <c r="J40" s="2">
        <v>420.75</v>
      </c>
      <c r="K40" s="3"/>
      <c r="L40" s="2"/>
      <c r="M40" s="3"/>
      <c r="N40" s="2"/>
      <c r="O40" s="3"/>
      <c r="P40" s="2"/>
      <c r="Q40" s="3"/>
      <c r="R40" s="2"/>
    </row>
    <row r="41" spans="1:18" s="16" customFormat="1" hidden="1" outlineLevel="2" x14ac:dyDescent="0.35">
      <c r="B41" s="11" t="str">
        <f>CONCATENATE("          ", "6373", " - ", "MAINTENANCE CONTRACTS")</f>
        <v xml:space="preserve">          6373 - MAINTENANCE CONTRACTS</v>
      </c>
      <c r="D41" s="2"/>
      <c r="F41" s="2">
        <v>155</v>
      </c>
      <c r="G41" s="3"/>
      <c r="H41" s="2">
        <v>334.35</v>
      </c>
      <c r="I41" s="3"/>
      <c r="J41" s="2">
        <v>422.24</v>
      </c>
      <c r="K41" s="3"/>
      <c r="L41" s="2"/>
      <c r="M41" s="3"/>
      <c r="N41" s="2"/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","Supplies                                          ")</f>
        <v xml:space="preserve">     Supplies                                          </v>
      </c>
      <c r="C42" s="7"/>
      <c r="D42" s="1">
        <f>SUM(OSRRefD21_6x_0)</f>
        <v>0</v>
      </c>
      <c r="E42" s="19"/>
      <c r="F42" s="1">
        <f>SUM(OSRRefF21_6x_0)</f>
        <v>5722.0400000000009</v>
      </c>
      <c r="G42" s="4"/>
      <c r="H42" s="1">
        <f>SUM(OSRRefH21_6x_0)</f>
        <v>3771.75</v>
      </c>
      <c r="I42" s="4"/>
      <c r="J42" s="1">
        <f>SUM(OSRRefJ21_6x_0)</f>
        <v>2866.45</v>
      </c>
      <c r="K42" s="4"/>
      <c r="L42" s="1">
        <f>SUM(OSRRefL21_6x_0)</f>
        <v>0</v>
      </c>
      <c r="M42" s="4"/>
      <c r="N42" s="1">
        <f>SUM(OSRRefN21_6x_0)</f>
        <v>0</v>
      </c>
      <c r="O42" s="4"/>
      <c r="P42" s="1">
        <f>SUM(OSRRefP21_6x_0)</f>
        <v>0</v>
      </c>
      <c r="Q42" s="4"/>
      <c r="R42" s="1">
        <f>SUM(OSRRefR21_6x_0)</f>
        <v>0</v>
      </c>
    </row>
    <row r="43" spans="1:18" s="16" customFormat="1" hidden="1" outlineLevel="2" x14ac:dyDescent="0.35">
      <c r="B43" s="11" t="str">
        <f>CONCATENATE("          ", "6241", " - ", "OFFICE EXPENSE")</f>
        <v xml:space="preserve">          6241 - OFFICE EXPENSE</v>
      </c>
      <c r="D43" s="2"/>
      <c r="F43" s="2">
        <v>5716.77</v>
      </c>
      <c r="G43" s="3"/>
      <c r="H43" s="2">
        <v>3771.75</v>
      </c>
      <c r="I43" s="3"/>
      <c r="J43" s="2">
        <v>1834.85</v>
      </c>
      <c r="K43" s="3"/>
      <c r="L43" s="2"/>
      <c r="M43" s="3"/>
      <c r="N43" s="2"/>
      <c r="O43" s="3"/>
      <c r="P43" s="2"/>
      <c r="Q43" s="3"/>
      <c r="R43" s="2"/>
    </row>
    <row r="44" spans="1:18" s="16" customFormat="1" hidden="1" outlineLevel="2" x14ac:dyDescent="0.35">
      <c r="B44" s="11" t="str">
        <f>CONCATENATE("          ", "6245", " - ", "PRINTING")</f>
        <v xml:space="preserve">          6245 - PRINTING</v>
      </c>
      <c r="D44" s="2"/>
      <c r="F44" s="2">
        <v>5.27</v>
      </c>
      <c r="G44" s="3"/>
      <c r="H44" s="2"/>
      <c r="I44" s="3"/>
      <c r="J44" s="2">
        <v>110.87</v>
      </c>
      <c r="K44" s="3"/>
      <c r="L44" s="2"/>
      <c r="M44" s="3"/>
      <c r="N44" s="2"/>
      <c r="O44" s="3"/>
      <c r="P44" s="2"/>
      <c r="Q44" s="3"/>
      <c r="R44" s="2"/>
    </row>
    <row r="45" spans="1:18" s="16" customFormat="1" hidden="1" outlineLevel="2" x14ac:dyDescent="0.35">
      <c r="B45" s="11" t="str">
        <f>CONCATENATE("          ", "6247", " - ", "STORE SUPPLIES")</f>
        <v xml:space="preserve">          6247 - STORE SUPPLIES</v>
      </c>
      <c r="D45" s="2"/>
      <c r="F45" s="2"/>
      <c r="G45" s="3"/>
      <c r="H45" s="2"/>
      <c r="I45" s="3"/>
      <c r="J45" s="2">
        <v>920.73</v>
      </c>
      <c r="K45" s="3"/>
      <c r="L45" s="2"/>
      <c r="M45" s="3"/>
      <c r="N45" s="2"/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","Telephone/Data Lines                              ")</f>
        <v xml:space="preserve">     Telephone/Data Lines                              </v>
      </c>
      <c r="C46" s="7"/>
      <c r="D46" s="1">
        <f>SUM(OSRRefD21_7x_0)</f>
        <v>0</v>
      </c>
      <c r="E46" s="19"/>
      <c r="F46" s="1">
        <f>SUM(OSRRefF21_7x_0)</f>
        <v>307.39999999999998</v>
      </c>
      <c r="G46" s="4"/>
      <c r="H46" s="1">
        <f>SUM(OSRRefH21_7x_0)</f>
        <v>753.85</v>
      </c>
      <c r="I46" s="4"/>
      <c r="J46" s="1">
        <f>SUM(OSRRefJ21_7x_0)</f>
        <v>1194.55</v>
      </c>
      <c r="K46" s="4"/>
      <c r="L46" s="1">
        <f>SUM(OSRRefL21_7x_0)</f>
        <v>0</v>
      </c>
      <c r="M46" s="4"/>
      <c r="N46" s="1">
        <f>SUM(OSRRefN21_7x_0)</f>
        <v>0</v>
      </c>
      <c r="O46" s="4"/>
      <c r="P46" s="1">
        <f>SUM(OSRRefP21_7x_0)</f>
        <v>0</v>
      </c>
      <c r="Q46" s="4"/>
      <c r="R46" s="1">
        <f>SUM(OSRRefR21_7x_0)</f>
        <v>0</v>
      </c>
    </row>
    <row r="47" spans="1:18" s="16" customFormat="1" hidden="1" outlineLevel="2" x14ac:dyDescent="0.35">
      <c r="B47" s="11" t="str">
        <f>CONCATENATE("          ", "6309", " - ", "TELEPHONE")</f>
        <v xml:space="preserve">          6309 - TELEPHONE</v>
      </c>
      <c r="D47" s="2"/>
      <c r="F47" s="2">
        <v>307.39999999999998</v>
      </c>
      <c r="G47" s="3"/>
      <c r="H47" s="2">
        <v>753.85</v>
      </c>
      <c r="I47" s="3"/>
      <c r="J47" s="2">
        <v>1194.55</v>
      </c>
      <c r="K47" s="3"/>
      <c r="L47" s="2">
        <v>0</v>
      </c>
      <c r="M47" s="3"/>
      <c r="N47" s="2"/>
      <c r="O47" s="3"/>
      <c r="P47" s="2"/>
      <c r="Q47" s="3"/>
      <c r="R47" s="2"/>
    </row>
    <row r="48" spans="1:18" s="15" customFormat="1" outlineLevel="1" collapsed="1" x14ac:dyDescent="0.35">
      <c r="A48" s="7"/>
      <c r="B48" s="20" t="str">
        <f>CONCATENATE("     ","Training                                          ")</f>
        <v xml:space="preserve">     Training                                          </v>
      </c>
      <c r="C48" s="7"/>
      <c r="D48" s="1">
        <f>SUM(OSRRefD21_8x_0)</f>
        <v>0</v>
      </c>
      <c r="E48" s="19"/>
      <c r="F48" s="1">
        <f>SUM(OSRRefF21_8x_0)</f>
        <v>0</v>
      </c>
      <c r="G48" s="4"/>
      <c r="H48" s="1">
        <f>SUM(OSRRefH21_8x_0)</f>
        <v>709.15</v>
      </c>
      <c r="I48" s="4"/>
      <c r="J48" s="1">
        <f>SUM(OSRRefJ21_8x_0)</f>
        <v>1795.92</v>
      </c>
      <c r="K48" s="4"/>
      <c r="L48" s="1">
        <f>SUM(OSRRefL21_8x_0)</f>
        <v>0</v>
      </c>
      <c r="M48" s="4"/>
      <c r="N48" s="1">
        <f>SUM(OSRRefN21_8x_0)</f>
        <v>0</v>
      </c>
      <c r="O48" s="4"/>
      <c r="P48" s="1">
        <f>SUM(OSRRefP21_8x_0)</f>
        <v>0</v>
      </c>
      <c r="Q48" s="4"/>
      <c r="R48" s="1">
        <f>SUM(OSRRefR21_8x_0)</f>
        <v>0</v>
      </c>
    </row>
    <row r="49" spans="1:18" s="16" customFormat="1" hidden="1" outlineLevel="2" x14ac:dyDescent="0.35">
      <c r="B49" s="11" t="str">
        <f>CONCATENATE("          ", "6376", " - ", "TRAINING")</f>
        <v xml:space="preserve">          6376 - TRAINING</v>
      </c>
      <c r="D49" s="2"/>
      <c r="F49" s="2"/>
      <c r="G49" s="3"/>
      <c r="H49" s="2">
        <v>709.15</v>
      </c>
      <c r="I49" s="3"/>
      <c r="J49" s="2">
        <v>1795.92</v>
      </c>
      <c r="K49" s="3"/>
      <c r="L49" s="2"/>
      <c r="M49" s="3"/>
      <c r="N49" s="2"/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","Travel                                            ")</f>
        <v xml:space="preserve">     Travel                                            </v>
      </c>
      <c r="C50" s="7"/>
      <c r="D50" s="1">
        <f>SUM(OSRRefD21_9x_0)</f>
        <v>0</v>
      </c>
      <c r="E50" s="19"/>
      <c r="F50" s="1">
        <f>SUM(OSRRefF21_9x_0)</f>
        <v>0</v>
      </c>
      <c r="G50" s="4"/>
      <c r="H50" s="1">
        <f>SUM(OSRRefH21_9x_0)</f>
        <v>139.07</v>
      </c>
      <c r="I50" s="4"/>
      <c r="J50" s="1">
        <f>SUM(OSRRefJ21_9x_0)</f>
        <v>0</v>
      </c>
      <c r="K50" s="4"/>
      <c r="L50" s="1">
        <f>SUM(OSRRefL21_9x_0)</f>
        <v>0</v>
      </c>
      <c r="M50" s="4"/>
      <c r="N50" s="1">
        <f>SUM(OSRRefN21_9x_0)</f>
        <v>0</v>
      </c>
      <c r="O50" s="4"/>
      <c r="P50" s="1">
        <f>SUM(OSRRefP21_9x_0)</f>
        <v>0</v>
      </c>
      <c r="Q50" s="4"/>
      <c r="R50" s="1">
        <f>SUM(OSRRefR21_9x_0)</f>
        <v>0</v>
      </c>
    </row>
    <row r="51" spans="1:18" s="16" customFormat="1" hidden="1" outlineLevel="2" x14ac:dyDescent="0.35">
      <c r="B51" s="11" t="str">
        <f>CONCATENATE("          ", "6292", " - ", "TRAVEL/CONFERENCE")</f>
        <v xml:space="preserve">          6292 - TRAVEL/CONFERENCE</v>
      </c>
      <c r="D51" s="2"/>
      <c r="F51" s="2"/>
      <c r="G51" s="3"/>
      <c r="H51" s="2">
        <v>116.84</v>
      </c>
      <c r="I51" s="3"/>
      <c r="J51" s="2"/>
      <c r="K51" s="3"/>
      <c r="L51" s="2"/>
      <c r="M51" s="3"/>
      <c r="N51" s="2"/>
      <c r="O51" s="3"/>
      <c r="P51" s="2"/>
      <c r="Q51" s="3"/>
      <c r="R51" s="2"/>
    </row>
    <row r="52" spans="1:18" s="16" customFormat="1" hidden="1" outlineLevel="2" x14ac:dyDescent="0.35">
      <c r="B52" s="11" t="str">
        <f>CONCATENATE("          ", "6294", " - ", "TRAVEL OPERATIONAL")</f>
        <v xml:space="preserve">          6294 - TRAVEL OPERATIONAL</v>
      </c>
      <c r="D52" s="2"/>
      <c r="F52" s="2"/>
      <c r="G52" s="3"/>
      <c r="H52" s="2">
        <v>22.23</v>
      </c>
      <c r="I52" s="3"/>
      <c r="J52" s="2"/>
      <c r="K52" s="3"/>
      <c r="L52" s="2"/>
      <c r="M52" s="3"/>
      <c r="N52" s="2"/>
      <c r="O52" s="3"/>
      <c r="P52" s="2"/>
      <c r="Q52" s="3"/>
      <c r="R52" s="2"/>
    </row>
    <row r="53" spans="1:18" x14ac:dyDescent="0.35">
      <c r="A53" s="12"/>
      <c r="B53" s="12"/>
      <c r="C53" s="12"/>
      <c r="D53" s="1"/>
      <c r="F53" s="1"/>
      <c r="H53" s="1"/>
      <c r="J53" s="1"/>
      <c r="L53" s="1"/>
      <c r="N53" s="1"/>
      <c r="P53" s="1"/>
      <c r="R53" s="1"/>
    </row>
    <row r="54" spans="1:18" s="7" customFormat="1" x14ac:dyDescent="0.35">
      <c r="A54" s="36"/>
      <c r="B54" s="34" t="s">
        <v>295</v>
      </c>
      <c r="D54" s="6">
        <f>SUM(0)</f>
        <v>0</v>
      </c>
      <c r="E54" s="12"/>
      <c r="F54" s="6">
        <f>SUM(0)</f>
        <v>0</v>
      </c>
      <c r="G54" s="5"/>
      <c r="H54" s="6">
        <f>SUM(0)</f>
        <v>0</v>
      </c>
      <c r="I54" s="5"/>
      <c r="J54" s="6">
        <f>SUM(0)</f>
        <v>0</v>
      </c>
      <c r="K54" s="5"/>
      <c r="L54" s="6">
        <f>SUM(0)</f>
        <v>0</v>
      </c>
      <c r="M54" s="5"/>
      <c r="N54" s="6">
        <f>SUM(0)</f>
        <v>0</v>
      </c>
      <c r="O54" s="5"/>
      <c r="P54" s="6">
        <f>SUM(0)</f>
        <v>0</v>
      </c>
      <c r="Q54" s="5"/>
      <c r="R54" s="6">
        <f>SUM(0)</f>
        <v>0</v>
      </c>
    </row>
    <row r="55" spans="1:18" x14ac:dyDescent="0.35">
      <c r="A55" s="12"/>
      <c r="B55" s="7"/>
      <c r="C55" s="7"/>
      <c r="D55" s="6"/>
      <c r="F55" s="6"/>
      <c r="H55" s="6"/>
      <c r="J55" s="6"/>
      <c r="L55" s="6"/>
      <c r="N55" s="6"/>
      <c r="P55" s="6"/>
      <c r="R55" s="6"/>
    </row>
    <row r="56" spans="1:18" s="15" customFormat="1" x14ac:dyDescent="0.35">
      <c r="A56" s="7"/>
      <c r="B56" s="22" t="s">
        <v>279</v>
      </c>
      <c r="C56" s="22"/>
      <c r="D56" s="10">
        <f>+D14-D17+D54</f>
        <v>0</v>
      </c>
      <c r="E56" s="12"/>
      <c r="F56" s="10">
        <f>+F14-F17+F54</f>
        <v>-241432.34999999995</v>
      </c>
      <c r="G56" s="5"/>
      <c r="H56" s="10">
        <f>+H14-H17+H54</f>
        <v>-343726.88</v>
      </c>
      <c r="I56" s="5"/>
      <c r="J56" s="10">
        <f>+J14-J17+J54</f>
        <v>-353888.35999999993</v>
      </c>
      <c r="K56" s="5"/>
      <c r="L56" s="10">
        <f>+L14-L17+L54</f>
        <v>0</v>
      </c>
      <c r="M56" s="5"/>
      <c r="N56" s="10">
        <f>+N14-N17+N54</f>
        <v>0</v>
      </c>
      <c r="O56" s="5"/>
      <c r="P56" s="10">
        <f>+P14-P17+P54</f>
        <v>0</v>
      </c>
      <c r="Q56" s="5"/>
      <c r="R56" s="10">
        <f>+R14-R17+R54</f>
        <v>0</v>
      </c>
    </row>
    <row r="57" spans="1:18" s="27" customFormat="1" x14ac:dyDescent="0.35">
      <c r="A57" s="18"/>
      <c r="B57" s="31"/>
      <c r="C57" s="18"/>
      <c r="D57" s="9">
        <f>IFERROR(D56/D10, 0)</f>
        <v>0</v>
      </c>
      <c r="E57" s="18"/>
      <c r="F57" s="9">
        <f>IFERROR(F56/F10, 0)</f>
        <v>0</v>
      </c>
      <c r="G57" s="14"/>
      <c r="H57" s="9">
        <f>IFERROR(H56/H10, 0)</f>
        <v>0</v>
      </c>
      <c r="I57" s="14"/>
      <c r="J57" s="9">
        <f>IFERROR(J56/J10, 0)</f>
        <v>0</v>
      </c>
      <c r="K57" s="14"/>
      <c r="L57" s="9">
        <f>IFERROR(L56/L10, 0)</f>
        <v>0</v>
      </c>
      <c r="M57" s="14"/>
      <c r="N57" s="9">
        <f>IFERROR(N56/N10, 0)</f>
        <v>0</v>
      </c>
      <c r="O57" s="14"/>
      <c r="P57" s="9">
        <f>IFERROR(P56/P10, 0)</f>
        <v>0</v>
      </c>
      <c r="Q57" s="14"/>
      <c r="R57" s="9">
        <f>IFERROR(R56/R10, 0)</f>
        <v>0</v>
      </c>
    </row>
    <row r="58" spans="1:18" s="27" customFormat="1" x14ac:dyDescent="0.35">
      <c r="A58" s="18"/>
      <c r="B58" s="31"/>
      <c r="C58" s="18"/>
      <c r="D58" s="13"/>
      <c r="E58" s="18"/>
      <c r="F58" s="13"/>
      <c r="G58" s="14"/>
      <c r="H58" s="13"/>
      <c r="I58" s="14"/>
      <c r="J58" s="13"/>
      <c r="K58" s="14"/>
      <c r="L58" s="13"/>
      <c r="M58" s="14"/>
      <c r="N58" s="13"/>
      <c r="O58" s="14"/>
      <c r="P58" s="13"/>
      <c r="Q58" s="14"/>
      <c r="R58" s="13"/>
    </row>
    <row r="59" spans="1:18" s="15" customFormat="1" x14ac:dyDescent="0.35">
      <c r="A59" s="37"/>
      <c r="B59" s="7" t="s">
        <v>127</v>
      </c>
      <c r="C59" s="7"/>
      <c r="D59" s="6"/>
      <c r="E59" s="12"/>
      <c r="F59" s="6"/>
      <c r="G59" s="5"/>
      <c r="H59" s="6"/>
      <c r="I59" s="5"/>
      <c r="J59" s="6"/>
      <c r="K59" s="5"/>
      <c r="L59" s="6"/>
      <c r="M59" s="5"/>
      <c r="N59" s="6"/>
      <c r="O59" s="5"/>
      <c r="P59" s="6"/>
      <c r="Q59" s="5"/>
      <c r="R59" s="6"/>
    </row>
    <row r="60" spans="1:18" x14ac:dyDescent="0.35">
      <c r="A60" s="12"/>
      <c r="B60" s="7"/>
      <c r="C60" s="7"/>
      <c r="D60" s="6"/>
      <c r="F60" s="6"/>
      <c r="H60" s="6"/>
      <c r="J60" s="6"/>
      <c r="L60" s="6"/>
      <c r="N60" s="6"/>
      <c r="P60" s="6"/>
      <c r="R60" s="6"/>
    </row>
    <row r="61" spans="1:18" s="15" customFormat="1" x14ac:dyDescent="0.35">
      <c r="A61" s="7"/>
      <c r="B61" s="22" t="s">
        <v>126</v>
      </c>
      <c r="C61" s="22"/>
      <c r="D61" s="10">
        <f>+D56-D59</f>
        <v>0</v>
      </c>
      <c r="E61" s="12"/>
      <c r="F61" s="10">
        <f>+F56-F59</f>
        <v>-241432.34999999995</v>
      </c>
      <c r="G61" s="5"/>
      <c r="H61" s="10">
        <f>+H56-H59</f>
        <v>-343726.88</v>
      </c>
      <c r="I61" s="5"/>
      <c r="J61" s="10">
        <f>+J56-J59</f>
        <v>-353888.35999999993</v>
      </c>
      <c r="K61" s="5"/>
      <c r="L61" s="10">
        <f>+L56-L59</f>
        <v>0</v>
      </c>
      <c r="M61" s="5"/>
      <c r="N61" s="10">
        <f>+N56-N59</f>
        <v>0</v>
      </c>
      <c r="O61" s="5"/>
      <c r="P61" s="10">
        <f>+P56-P59</f>
        <v>0</v>
      </c>
      <c r="Q61" s="5"/>
      <c r="R61" s="10">
        <f>+R56-R59</f>
        <v>0</v>
      </c>
    </row>
    <row r="62" spans="1:18" s="27" customFormat="1" x14ac:dyDescent="0.35">
      <c r="A62" s="18"/>
      <c r="B62" s="18"/>
      <c r="C62" s="18"/>
      <c r="D62" s="9">
        <f>IFERROR(D61/D10, 0)</f>
        <v>0</v>
      </c>
      <c r="E62" s="18"/>
      <c r="F62" s="9">
        <f>IFERROR(F61/F10, 0)</f>
        <v>0</v>
      </c>
      <c r="G62" s="14"/>
      <c r="H62" s="9">
        <f>IFERROR(H61/H10, 0)</f>
        <v>0</v>
      </c>
      <c r="I62" s="14"/>
      <c r="J62" s="9">
        <f>IFERROR(J61/J10, 0)</f>
        <v>0</v>
      </c>
      <c r="K62" s="14"/>
      <c r="L62" s="9">
        <f>IFERROR(L61/L10, 0)</f>
        <v>0</v>
      </c>
      <c r="M62" s="14"/>
      <c r="N62" s="9">
        <f>IFERROR(N61/N10, 0)</f>
        <v>0</v>
      </c>
      <c r="O62" s="14"/>
      <c r="P62" s="9">
        <f>IFERROR(P61/P10, 0)</f>
        <v>0</v>
      </c>
      <c r="Q62" s="14"/>
      <c r="R62" s="9">
        <f>IFERROR(R61/R10, 0)</f>
        <v>0</v>
      </c>
    </row>
    <row r="63" spans="1:18" s="27" customFormat="1" x14ac:dyDescent="0.35">
      <c r="A63" s="18"/>
      <c r="B63" s="18"/>
      <c r="C63" s="18"/>
      <c r="D63" s="13"/>
      <c r="E63" s="18"/>
      <c r="F63" s="13"/>
      <c r="G63" s="14"/>
      <c r="H63" s="13"/>
      <c r="I63" s="14"/>
      <c r="J63" s="13"/>
      <c r="K63" s="14"/>
      <c r="L63" s="13"/>
      <c r="M63" s="14"/>
      <c r="N63" s="13"/>
      <c r="O63" s="14"/>
      <c r="P63" s="13"/>
      <c r="Q63" s="14"/>
      <c r="R63" s="13"/>
    </row>
    <row r="64" spans="1:18" x14ac:dyDescent="0.35">
      <c r="A64" s="12"/>
      <c r="B64" s="12"/>
      <c r="C64" s="12"/>
      <c r="D64" s="6"/>
      <c r="F64" s="6"/>
      <c r="H64" s="6"/>
      <c r="J64" s="6"/>
      <c r="L64" s="6"/>
      <c r="N64" s="6"/>
      <c r="P64" s="6"/>
      <c r="R64" s="6"/>
    </row>
    <row r="65" spans="1:18" s="15" customFormat="1" x14ac:dyDescent="0.35">
      <c r="A65" s="7"/>
      <c r="B65" s="22" t="s">
        <v>296</v>
      </c>
      <c r="C65" s="22"/>
      <c r="D65" s="10">
        <f>SUM(D61:D64)</f>
        <v>0</v>
      </c>
      <c r="E65" s="12"/>
      <c r="F65" s="10">
        <f>SUM(F61:F64)</f>
        <v>-241432.34999999995</v>
      </c>
      <c r="G65" s="5"/>
      <c r="H65" s="10">
        <f>SUM(H61:H64)</f>
        <v>-343726.88</v>
      </c>
      <c r="I65" s="5"/>
      <c r="J65" s="10">
        <f>SUM(J61:J64)</f>
        <v>-353888.35999999993</v>
      </c>
      <c r="K65" s="5"/>
      <c r="L65" s="10">
        <f>SUM(L61:L64)</f>
        <v>0</v>
      </c>
      <c r="M65" s="5"/>
      <c r="N65" s="10">
        <f>SUM(N61:N64)</f>
        <v>0</v>
      </c>
      <c r="O65" s="5"/>
      <c r="P65" s="10">
        <f>SUM(P61:P64)</f>
        <v>0</v>
      </c>
      <c r="Q65" s="5"/>
      <c r="R65" s="10">
        <f>SUM(R61:R64)</f>
        <v>0</v>
      </c>
    </row>
    <row r="66" spans="1:18" s="27" customFormat="1" x14ac:dyDescent="0.35">
      <c r="A66" s="18"/>
      <c r="B66" s="41"/>
      <c r="C66" s="18"/>
      <c r="D66" s="9">
        <f>IFERROR(D65/D10, 0)</f>
        <v>0</v>
      </c>
      <c r="E66" s="18"/>
      <c r="F66" s="9">
        <f>IFERROR(F65/F10, 0)</f>
        <v>0</v>
      </c>
      <c r="G66" s="14"/>
      <c r="H66" s="9">
        <f>IFERROR(H65/H10, 0)</f>
        <v>0</v>
      </c>
      <c r="I66" s="14"/>
      <c r="J66" s="9">
        <f>IFERROR(J65/J10, 0)</f>
        <v>0</v>
      </c>
      <c r="K66" s="14"/>
      <c r="L66" s="9">
        <f>IFERROR(L65/L10, 0)</f>
        <v>0</v>
      </c>
      <c r="M66" s="14"/>
      <c r="N66" s="9">
        <f>IFERROR(N65/N10, 0)</f>
        <v>0</v>
      </c>
      <c r="O66" s="14"/>
      <c r="P66" s="9">
        <f>IFERROR(P65/P10, 0)</f>
        <v>0</v>
      </c>
      <c r="Q66" s="14"/>
      <c r="R66" s="9">
        <f>IFERROR(R65/R10, 0)</f>
        <v>0</v>
      </c>
    </row>
    <row r="67" spans="1:18" x14ac:dyDescent="0.35">
      <c r="A67" s="12"/>
      <c r="B67" s="40">
        <v>44319.883572604165</v>
      </c>
      <c r="D67" s="24"/>
      <c r="F67" s="24"/>
      <c r="H67" s="24"/>
      <c r="J67" s="24"/>
      <c r="L67" s="24"/>
      <c r="N67" s="24"/>
      <c r="P67" s="24"/>
      <c r="R67" s="24"/>
    </row>
    <row r="68" spans="1:18" x14ac:dyDescent="0.35">
      <c r="A68" s="12"/>
      <c r="B68" s="39" t="s">
        <v>23</v>
      </c>
      <c r="D68" s="24"/>
      <c r="F68" s="24"/>
      <c r="H68" s="24"/>
      <c r="J68" s="24"/>
      <c r="L68" s="24"/>
      <c r="N68" s="24"/>
      <c r="P68" s="24"/>
      <c r="R68" s="24"/>
    </row>
    <row r="69" spans="1:18" x14ac:dyDescent="0.35">
      <c r="A69" s="12"/>
      <c r="D69" s="24"/>
      <c r="F69" s="24"/>
      <c r="H69" s="24"/>
      <c r="J69" s="24"/>
      <c r="L69" s="24"/>
      <c r="N69" s="24"/>
      <c r="P69" s="24"/>
      <c r="R69" s="24"/>
    </row>
    <row r="70" spans="1:18" x14ac:dyDescent="0.35">
      <c r="D70" s="24"/>
      <c r="F70" s="24"/>
      <c r="H70" s="24"/>
      <c r="J70" s="24"/>
      <c r="L70" s="24"/>
      <c r="N70" s="24"/>
      <c r="P70" s="24"/>
      <c r="R70" s="24"/>
    </row>
  </sheetData>
  <pageMargins left="0.5" right="0.5" top="0.5" bottom="0.5" header="0.3" footer="0.3"/>
  <pageSetup scale="59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","405", " - ", "Library Starbucks")</f>
        <v>Department 405 - Library Starbucks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932647.92999999993</v>
      </c>
      <c r="F10" s="8">
        <f>SUM(OSRRefF11x_0)</f>
        <v>1034924.2999999999</v>
      </c>
      <c r="G10" s="8"/>
      <c r="H10" s="8">
        <f>SUM(OSRRefH11x_0)</f>
        <v>1160134.9200000002</v>
      </c>
      <c r="I10" s="8"/>
      <c r="J10" s="8">
        <f>SUM(OSRRefJ11x_0)</f>
        <v>1067812.76</v>
      </c>
      <c r="K10" s="8"/>
      <c r="L10" s="8">
        <f>SUM(OSRRefL11x_0)</f>
        <v>963251.57000000007</v>
      </c>
      <c r="M10" s="8"/>
      <c r="N10" s="8">
        <f>SUM(OSRRefN11x_0)</f>
        <v>721341.64</v>
      </c>
      <c r="O10" s="8"/>
      <c r="P10" s="8">
        <f>SUM(OSRRefP11x_0)</f>
        <v>0</v>
      </c>
      <c r="Q10" s="8"/>
      <c r="R10" s="8">
        <f>SUM(OSRRefR11x_0)</f>
        <v>497534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>
        <v>104188</v>
      </c>
    </row>
    <row r="12" spans="1:18" s="16" customFormat="1" hidden="1" outlineLevel="1" x14ac:dyDescent="0.35">
      <c r="B12" s="35" t="str">
        <f>CONCATENATE("          ", "4051", " - ", "TAXABLE SALES-FOOD")</f>
        <v xml:space="preserve">          4051 - TAXABLE SALES-FOOD</v>
      </c>
      <c r="D12" s="11">
        <f>-19834.58*-1</f>
        <v>19834.580000000002</v>
      </c>
      <c r="F12" s="11">
        <f>-48250.23*-1</f>
        <v>48250.23</v>
      </c>
      <c r="G12" s="3"/>
      <c r="H12" s="11">
        <f>-127930.99*-1</f>
        <v>127930.99</v>
      </c>
      <c r="I12" s="3"/>
      <c r="J12" s="11">
        <f>--267735.26</f>
        <v>267735.26</v>
      </c>
      <c r="K12" s="3"/>
      <c r="L12" s="11">
        <f>--194470.45</f>
        <v>194470.45</v>
      </c>
      <c r="M12" s="3"/>
      <c r="N12" s="11">
        <f>--149614.63</f>
        <v>149614.63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0</v>
      </c>
      <c r="Q13" s="3"/>
      <c r="R13" s="11">
        <v>393346</v>
      </c>
    </row>
    <row r="14" spans="1:18" s="16" customFormat="1" hidden="1" outlineLevel="1" x14ac:dyDescent="0.35">
      <c r="B14" s="35" t="str">
        <f>CONCATENATE("          ", "4151", " - ", "NON-TAXABLE SALES-FOOD")</f>
        <v xml:space="preserve">          4151 - NON-TAXABLE SALES-FOOD</v>
      </c>
      <c r="D14" s="11">
        <f>-912813.35*-1</f>
        <v>912813.35</v>
      </c>
      <c r="F14" s="11">
        <f>-986674.07*-1</f>
        <v>986674.07</v>
      </c>
      <c r="G14" s="3"/>
      <c r="H14" s="11">
        <f>-1031418.9*-1</f>
        <v>1031418.9</v>
      </c>
      <c r="I14" s="3"/>
      <c r="J14" s="11">
        <f>--800077.5</f>
        <v>800077.5</v>
      </c>
      <c r="K14" s="3"/>
      <c r="L14" s="11">
        <f>--768781.12</f>
        <v>768781.12</v>
      </c>
      <c r="M14" s="3"/>
      <c r="N14" s="11">
        <f>--571727.01</f>
        <v>571727.01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"4155", " - ", "NON-TAXABLE SALES-FOOD")</f>
        <v xml:space="preserve">          4155 - NON-TAXABLE SALES-FOOD</v>
      </c>
      <c r="D15" s="11">
        <f>0*-1</f>
        <v>0</v>
      </c>
      <c r="F15" s="11">
        <f>0*-1</f>
        <v>0</v>
      </c>
      <c r="G15" s="3"/>
      <c r="H15" s="11">
        <f>-785.03*-1</f>
        <v>785.03</v>
      </c>
      <c r="I15" s="3"/>
      <c r="J15" s="11">
        <f>0</f>
        <v>0</v>
      </c>
      <c r="K15" s="3"/>
      <c r="L15" s="11">
        <f>0</f>
        <v>0</v>
      </c>
      <c r="M15" s="3"/>
      <c r="N15" s="11">
        <f>0</f>
        <v>0</v>
      </c>
      <c r="O15" s="3"/>
      <c r="P15" s="11"/>
      <c r="Q15" s="3"/>
      <c r="R15" s="11"/>
    </row>
    <row r="16" spans="1:18" s="12" customFormat="1" x14ac:dyDescent="0.35">
      <c r="B16" s="7"/>
      <c r="D16" s="6"/>
      <c r="F16" s="6"/>
      <c r="G16" s="5"/>
      <c r="H16" s="6"/>
      <c r="I16" s="5"/>
      <c r="J16" s="6"/>
      <c r="K16" s="5"/>
      <c r="L16" s="6"/>
      <c r="M16" s="5"/>
      <c r="N16" s="6"/>
      <c r="O16" s="5"/>
      <c r="P16" s="6"/>
      <c r="Q16" s="5"/>
      <c r="R16" s="6"/>
    </row>
    <row r="17" spans="1:18" s="12" customFormat="1" collapsed="1" x14ac:dyDescent="0.35">
      <c r="B17" s="7" t="s">
        <v>278</v>
      </c>
      <c r="D17" s="8">
        <f>SUM(OSRRefD14x_0)</f>
        <v>309812.60000000003</v>
      </c>
      <c r="E17" s="8"/>
      <c r="F17" s="8">
        <f>SUM(OSRRefF14x_0)</f>
        <v>355695.07</v>
      </c>
      <c r="G17" s="8"/>
      <c r="H17" s="8">
        <f>SUM(OSRRefH14x_0)</f>
        <v>378608.91</v>
      </c>
      <c r="I17" s="8"/>
      <c r="J17" s="8">
        <f>SUM(OSRRefJ14x_0)</f>
        <v>361971.41</v>
      </c>
      <c r="K17" s="8"/>
      <c r="L17" s="8">
        <f>SUM(OSRRefL14x_0)</f>
        <v>346868.01</v>
      </c>
      <c r="M17" s="8"/>
      <c r="N17" s="8">
        <f>SUM(OSRRefN14x_0)</f>
        <v>302808.14</v>
      </c>
      <c r="O17" s="8"/>
      <c r="P17" s="8">
        <f>SUM(OSRRefP14x_0)</f>
        <v>0</v>
      </c>
      <c r="Q17" s="8"/>
      <c r="R17" s="8">
        <f>SUM(OSRRefR14x_0)</f>
        <v>189062</v>
      </c>
    </row>
    <row r="18" spans="1:18" s="44" customFormat="1" hidden="1" outlineLevel="1" x14ac:dyDescent="0.35">
      <c r="A18" s="16"/>
      <c r="B18" s="35" t="str">
        <f>CONCATENATE("          ", "5000", " - ", "PURCHASES @ COST")</f>
        <v xml:space="preserve">          5000 - PURCHASES @ COST</v>
      </c>
      <c r="C18" s="16"/>
      <c r="D18" s="11"/>
      <c r="E18" s="16"/>
      <c r="F18" s="11"/>
      <c r="G18" s="3"/>
      <c r="H18" s="11"/>
      <c r="I18" s="3"/>
      <c r="J18" s="11"/>
      <c r="K18" s="3"/>
      <c r="L18" s="11"/>
      <c r="M18" s="3"/>
      <c r="N18" s="11"/>
      <c r="O18" s="3"/>
      <c r="P18" s="11">
        <v>0</v>
      </c>
      <c r="Q18" s="3"/>
      <c r="R18" s="11">
        <v>189062</v>
      </c>
    </row>
    <row r="19" spans="1:18" s="44" customFormat="1" hidden="1" outlineLevel="1" x14ac:dyDescent="0.35">
      <c r="A19" s="16"/>
      <c r="B19" s="35" t="str">
        <f>CONCATENATE("          ", "5053", " - ", "PURCHASES @ COST-FOOD")</f>
        <v xml:space="preserve">          5053 - PURCHASES @ COST-FOOD</v>
      </c>
      <c r="C19" s="16"/>
      <c r="D19" s="11">
        <v>309577.2</v>
      </c>
      <c r="E19" s="16"/>
      <c r="F19" s="11">
        <v>355695.07</v>
      </c>
      <c r="G19" s="3"/>
      <c r="H19" s="11">
        <v>378608.91</v>
      </c>
      <c r="I19" s="3"/>
      <c r="J19" s="11">
        <v>361971.41</v>
      </c>
      <c r="K19" s="3"/>
      <c r="L19" s="11">
        <v>355222.01</v>
      </c>
      <c r="M19" s="3"/>
      <c r="N19" s="11">
        <v>288904.14</v>
      </c>
      <c r="O19" s="3"/>
      <c r="P19" s="11"/>
      <c r="Q19" s="3"/>
      <c r="R19" s="11"/>
    </row>
    <row r="20" spans="1:18" s="44" customFormat="1" hidden="1" outlineLevel="1" x14ac:dyDescent="0.35">
      <c r="A20" s="16"/>
      <c r="B20" s="35" t="str">
        <f>CONCATENATE("          ", "5059", " - ", "PURCHASES @ COST-FOOD")</f>
        <v xml:space="preserve">          5059 - PURCHASES @ COST-FOOD</v>
      </c>
      <c r="C20" s="16"/>
      <c r="D20" s="11">
        <v>235.4</v>
      </c>
      <c r="E20" s="16"/>
      <c r="F20" s="11"/>
      <c r="G20" s="3"/>
      <c r="H20" s="11"/>
      <c r="I20" s="3"/>
      <c r="J20" s="11"/>
      <c r="K20" s="3"/>
      <c r="L20" s="11">
        <v>-8354</v>
      </c>
      <c r="M20" s="3"/>
      <c r="N20" s="11">
        <v>13904</v>
      </c>
      <c r="O20" s="3"/>
      <c r="P20" s="11"/>
      <c r="Q20" s="3"/>
      <c r="R20" s="11"/>
    </row>
    <row r="21" spans="1:18" x14ac:dyDescent="0.35">
      <c r="A21" s="12"/>
      <c r="B21" s="7"/>
      <c r="C21" s="7"/>
      <c r="D21" s="6"/>
      <c r="F21" s="6"/>
      <c r="H21" s="6"/>
      <c r="J21" s="6"/>
      <c r="L21" s="6"/>
      <c r="N21" s="6"/>
      <c r="P21" s="6"/>
      <c r="R21" s="6"/>
    </row>
    <row r="22" spans="1:18" s="15" customFormat="1" x14ac:dyDescent="0.35">
      <c r="A22" s="7"/>
      <c r="B22" s="22" t="s">
        <v>107</v>
      </c>
      <c r="C22" s="22"/>
      <c r="D22" s="10">
        <f>+D10-D17</f>
        <v>622835.32999999984</v>
      </c>
      <c r="E22" s="12"/>
      <c r="F22" s="10">
        <f>+F10-F17</f>
        <v>679229.23</v>
      </c>
      <c r="G22" s="5"/>
      <c r="H22" s="10">
        <f>+H10-H17</f>
        <v>781526.01000000024</v>
      </c>
      <c r="I22" s="5"/>
      <c r="J22" s="10">
        <f>+J10-J17</f>
        <v>705841.35000000009</v>
      </c>
      <c r="K22" s="5"/>
      <c r="L22" s="10">
        <f>+L10-L17</f>
        <v>616383.56000000006</v>
      </c>
      <c r="M22" s="5"/>
      <c r="N22" s="10">
        <f>+N10-N17</f>
        <v>418533.5</v>
      </c>
      <c r="O22" s="5"/>
      <c r="P22" s="10">
        <f>+P10-P17</f>
        <v>0</v>
      </c>
      <c r="Q22" s="5"/>
      <c r="R22" s="10">
        <f>+R10-R17</f>
        <v>308472</v>
      </c>
    </row>
    <row r="23" spans="1:18" s="27" customFormat="1" x14ac:dyDescent="0.35">
      <c r="A23" s="18"/>
      <c r="B23" s="31"/>
      <c r="C23" s="18"/>
      <c r="D23" s="9">
        <f>IFERROR(D22/D10, 0)</f>
        <v>0.66781398421159832</v>
      </c>
      <c r="E23" s="13"/>
      <c r="F23" s="9">
        <f>IFERROR(F22/F10, 0)</f>
        <v>0.65630812804376126</v>
      </c>
      <c r="G23" s="26"/>
      <c r="H23" s="9">
        <f>IFERROR(H22/H10, 0)</f>
        <v>0.6736509663893232</v>
      </c>
      <c r="I23" s="26"/>
      <c r="J23" s="9">
        <f>IFERROR(J22/J10, 0)</f>
        <v>0.66101602869027343</v>
      </c>
      <c r="K23" s="26"/>
      <c r="L23" s="9">
        <f>IFERROR(L22/L10, 0)</f>
        <v>0.63989883764217481</v>
      </c>
      <c r="M23" s="26"/>
      <c r="N23" s="9">
        <f>IFERROR(N22/N10, 0)</f>
        <v>0.58021536092107473</v>
      </c>
      <c r="O23" s="26"/>
      <c r="P23" s="9">
        <f>IFERROR(P22/P10, 0)</f>
        <v>0</v>
      </c>
      <c r="Q23" s="26"/>
      <c r="R23" s="9">
        <f>IFERROR(R22/R10, 0)</f>
        <v>0.62000184911985912</v>
      </c>
    </row>
    <row r="24" spans="1:18" s="27" customFormat="1" x14ac:dyDescent="0.35">
      <c r="A24" s="18"/>
      <c r="B24" s="31"/>
      <c r="C24" s="18"/>
      <c r="D24" s="13"/>
      <c r="E24" s="13"/>
      <c r="F24" s="13"/>
      <c r="G24" s="26"/>
      <c r="H24" s="13"/>
      <c r="I24" s="26"/>
      <c r="J24" s="13"/>
      <c r="K24" s="26"/>
      <c r="L24" s="13"/>
      <c r="M24" s="26"/>
      <c r="N24" s="13"/>
      <c r="O24" s="26"/>
      <c r="P24" s="13"/>
      <c r="Q24" s="26"/>
      <c r="R24" s="13"/>
    </row>
    <row r="25" spans="1:18" s="15" customFormat="1" x14ac:dyDescent="0.35">
      <c r="A25" s="7"/>
      <c r="B25" s="34" t="s">
        <v>314</v>
      </c>
      <c r="C25" s="7"/>
      <c r="D25" s="8">
        <f>SUM(OSRRefD21x_0)</f>
        <v>449029.6500000002</v>
      </c>
      <c r="E25" s="19"/>
      <c r="F25" s="8">
        <f>SUM(OSRRefF21x_0)</f>
        <v>533096.32000000007</v>
      </c>
      <c r="G25" s="4"/>
      <c r="H25" s="8">
        <f>SUM(OSRRefH21x_0)</f>
        <v>587642.99000000011</v>
      </c>
      <c r="I25" s="4"/>
      <c r="J25" s="8">
        <f>SUM(OSRRefJ21x_0)</f>
        <v>572234.97</v>
      </c>
      <c r="K25" s="4"/>
      <c r="L25" s="8">
        <f>SUM(OSRRefL21x_0)</f>
        <v>611028.28</v>
      </c>
      <c r="M25" s="4"/>
      <c r="N25" s="8">
        <f>SUM(OSRRefN21x_0)</f>
        <v>535433.79999999993</v>
      </c>
      <c r="O25" s="4"/>
      <c r="P25" s="8">
        <f>SUM(OSRRefP21x_0)</f>
        <v>88903</v>
      </c>
      <c r="Q25" s="4"/>
      <c r="R25" s="8">
        <f>SUM(OSRRefR21x_0)</f>
        <v>407412.21732599998</v>
      </c>
    </row>
    <row r="26" spans="1:18" s="15" customFormat="1" outlineLevel="1" collapsed="1" x14ac:dyDescent="0.35">
      <c r="A26" s="7"/>
      <c r="B26" s="20" t="str">
        <f>CONCATENATE("     ","*Benefits                                         ")</f>
        <v xml:space="preserve">     *Benefits                                         </v>
      </c>
      <c r="C26" s="7"/>
      <c r="D26" s="1">
        <f>SUM(OSRRefD21_0x_0)</f>
        <v>23079.81</v>
      </c>
      <c r="E26" s="19"/>
      <c r="F26" s="1">
        <f>SUM(OSRRefF21_0x_0)</f>
        <v>49280.149999999994</v>
      </c>
      <c r="G26" s="4"/>
      <c r="H26" s="1">
        <f>SUM(OSRRefH21_0x_0)</f>
        <v>55456.719999999994</v>
      </c>
      <c r="I26" s="4"/>
      <c r="J26" s="1">
        <f>SUM(OSRRefJ21_0x_0)</f>
        <v>55900.739999999991</v>
      </c>
      <c r="K26" s="4"/>
      <c r="L26" s="1">
        <f>SUM(OSRRefL21_0x_0)</f>
        <v>48394.729999999996</v>
      </c>
      <c r="M26" s="4"/>
      <c r="N26" s="1">
        <f>SUM(OSRRefN21_0x_0)</f>
        <v>43327.49</v>
      </c>
      <c r="O26" s="4"/>
      <c r="P26" s="1">
        <f>SUM(OSRRefP21_0x_0)</f>
        <v>0</v>
      </c>
      <c r="Q26" s="4"/>
      <c r="R26" s="1">
        <f>SUM(OSRRefR21_0x_0)</f>
        <v>50512.011525999995</v>
      </c>
    </row>
    <row r="27" spans="1:18" s="16" customFormat="1" hidden="1" outlineLevel="2" x14ac:dyDescent="0.35">
      <c r="B27" s="11" t="str">
        <f>CONCATENATE("          ", "6111", " - ", "F.I.C.A.")</f>
        <v xml:space="preserve">          6111 - F.I.C.A.</v>
      </c>
      <c r="D27" s="2">
        <v>6298.69</v>
      </c>
      <c r="F27" s="2">
        <v>7938.71</v>
      </c>
      <c r="G27" s="3"/>
      <c r="H27" s="2">
        <v>9084.7099999999991</v>
      </c>
      <c r="I27" s="3"/>
      <c r="J27" s="2">
        <v>10064.450000000001</v>
      </c>
      <c r="K27" s="3"/>
      <c r="L27" s="2">
        <v>10030.870000000001</v>
      </c>
      <c r="M27" s="3"/>
      <c r="N27" s="2">
        <v>9200.35</v>
      </c>
      <c r="O27" s="3"/>
      <c r="P27" s="2">
        <v>0</v>
      </c>
      <c r="Q27" s="3"/>
      <c r="R27" s="2">
        <v>4949.5165260000003</v>
      </c>
    </row>
    <row r="28" spans="1:18" s="16" customFormat="1" hidden="1" outlineLevel="2" x14ac:dyDescent="0.35">
      <c r="B28" s="11" t="str">
        <f>CONCATENATE("          ", "6112", " - ", "COMPENSATION INSURANCE")</f>
        <v xml:space="preserve">          6112 - COMPENSATION INSURANCE</v>
      </c>
      <c r="D28" s="2">
        <v>4375.03</v>
      </c>
      <c r="F28" s="2">
        <v>8925.49</v>
      </c>
      <c r="G28" s="3"/>
      <c r="H28" s="2">
        <v>12058.58</v>
      </c>
      <c r="I28" s="3"/>
      <c r="J28" s="2">
        <v>8524.9</v>
      </c>
      <c r="K28" s="3"/>
      <c r="L28" s="2">
        <v>9628.49</v>
      </c>
      <c r="M28" s="3"/>
      <c r="N28" s="2">
        <v>8884.57</v>
      </c>
      <c r="O28" s="3"/>
      <c r="P28" s="2">
        <v>0</v>
      </c>
      <c r="Q28" s="3"/>
      <c r="R28" s="2">
        <v>8363.5574859999997</v>
      </c>
    </row>
    <row r="29" spans="1:18" s="16" customFormat="1" hidden="1" outlineLevel="2" x14ac:dyDescent="0.35">
      <c r="B29" s="11" t="str">
        <f>CONCATENATE("          ", "6113", " - ", "GROUP INSURANCE")</f>
        <v xml:space="preserve">          6113 - GROUP INSURANCE</v>
      </c>
      <c r="D29" s="2">
        <v>8526.0499999999993</v>
      </c>
      <c r="F29" s="2">
        <v>13412.76</v>
      </c>
      <c r="G29" s="3"/>
      <c r="H29" s="2">
        <v>14276.68</v>
      </c>
      <c r="I29" s="3"/>
      <c r="J29" s="2">
        <v>15988.52</v>
      </c>
      <c r="K29" s="3"/>
      <c r="L29" s="2">
        <v>14323.06</v>
      </c>
      <c r="M29" s="3"/>
      <c r="N29" s="2">
        <v>12146.21</v>
      </c>
      <c r="O29" s="3"/>
      <c r="P29" s="2">
        <v>0</v>
      </c>
      <c r="Q29" s="3"/>
      <c r="R29" s="2">
        <v>23724</v>
      </c>
    </row>
    <row r="30" spans="1:18" s="16" customFormat="1" hidden="1" outlineLevel="2" x14ac:dyDescent="0.35">
      <c r="B30" s="11" t="str">
        <f>CONCATENATE("          ", "6114", " - ", "STATE UNEMPLOYMENT INSURANCE")</f>
        <v xml:space="preserve">          6114 - STATE UNEMPLOYMENT INSURANCE</v>
      </c>
      <c r="D30" s="2">
        <v>1244.8599999999999</v>
      </c>
      <c r="F30" s="2">
        <v>1556.44</v>
      </c>
      <c r="G30" s="3"/>
      <c r="H30" s="2">
        <v>957.62</v>
      </c>
      <c r="I30" s="3"/>
      <c r="J30" s="2">
        <v>902.14</v>
      </c>
      <c r="K30" s="3"/>
      <c r="L30" s="2">
        <v>799.73</v>
      </c>
      <c r="M30" s="3"/>
      <c r="N30" s="2">
        <v>0</v>
      </c>
      <c r="O30" s="3"/>
      <c r="P30" s="2">
        <v>0</v>
      </c>
      <c r="Q30" s="3"/>
      <c r="R30" s="2">
        <v>463.41611399999999</v>
      </c>
    </row>
    <row r="31" spans="1:18" s="16" customFormat="1" hidden="1" outlineLevel="2" x14ac:dyDescent="0.35">
      <c r="B31" s="11" t="str">
        <f>CONCATENATE("          ", "6115", " - ", "P.E.R.S.")</f>
        <v xml:space="preserve">          6115 - P.E.R.S.</v>
      </c>
      <c r="D31" s="2">
        <v>4289.3599999999997</v>
      </c>
      <c r="F31" s="2">
        <v>5880.26</v>
      </c>
      <c r="G31" s="3"/>
      <c r="H31" s="2">
        <v>6453.53</v>
      </c>
      <c r="I31" s="3"/>
      <c r="J31" s="2">
        <v>6579.79</v>
      </c>
      <c r="K31" s="3"/>
      <c r="L31" s="2">
        <v>6751.13</v>
      </c>
      <c r="M31" s="3"/>
      <c r="N31" s="2">
        <v>6335.08</v>
      </c>
      <c r="O31" s="3"/>
      <c r="P31" s="2">
        <v>0</v>
      </c>
      <c r="Q31" s="3"/>
      <c r="R31" s="2">
        <v>5185.3872000000001</v>
      </c>
    </row>
    <row r="32" spans="1:18" s="16" customFormat="1" hidden="1" outlineLevel="2" x14ac:dyDescent="0.35">
      <c r="B32" s="11" t="str">
        <f>CONCATENATE("          ", "6116", " - ", "EDUCATIONAL BENEFITS")</f>
        <v xml:space="preserve">          6116 - EDUCATIONAL BENEFITS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"6117", " - ", "RETIREMENT STAFF HOURLY")</f>
        <v xml:space="preserve">          6117 - RETIREMENT STAFF HOURLY</v>
      </c>
      <c r="D33" s="2">
        <v>180.74</v>
      </c>
      <c r="F33" s="2"/>
      <c r="G33" s="3"/>
      <c r="H33" s="2"/>
      <c r="I33" s="3"/>
      <c r="J33" s="2"/>
      <c r="K33" s="3"/>
      <c r="L33" s="2"/>
      <c r="M33" s="3"/>
      <c r="N33" s="2"/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"6118", " - ", "VACATION")</f>
        <v xml:space="preserve">          6118 - VACATION</v>
      </c>
      <c r="D34" s="2">
        <v>1261.73</v>
      </c>
      <c r="F34" s="2">
        <v>4337.49</v>
      </c>
      <c r="G34" s="3"/>
      <c r="H34" s="2">
        <v>4892.91</v>
      </c>
      <c r="I34" s="3"/>
      <c r="J34" s="2">
        <v>5188.72</v>
      </c>
      <c r="K34" s="3"/>
      <c r="L34" s="2">
        <v>4686.1000000000004</v>
      </c>
      <c r="M34" s="3"/>
      <c r="N34" s="2">
        <v>3696.18</v>
      </c>
      <c r="O34" s="3"/>
      <c r="P34" s="2">
        <v>0</v>
      </c>
      <c r="Q34" s="3"/>
      <c r="R34" s="2">
        <v>1808.856</v>
      </c>
    </row>
    <row r="35" spans="1:18" s="16" customFormat="1" hidden="1" outlineLevel="2" x14ac:dyDescent="0.35">
      <c r="B35" s="11" t="str">
        <f>CONCATENATE("          ", "6119", " - ", "SICK LEAVE")</f>
        <v xml:space="preserve">          6119 - SICK LEAVE</v>
      </c>
      <c r="D35" s="2">
        <v>-5954.28</v>
      </c>
      <c r="F35" s="2">
        <v>4836.87</v>
      </c>
      <c r="G35" s="3"/>
      <c r="H35" s="2">
        <v>4610.2299999999996</v>
      </c>
      <c r="I35" s="3"/>
      <c r="J35" s="2">
        <v>5046.0200000000004</v>
      </c>
      <c r="K35" s="3"/>
      <c r="L35" s="2">
        <v>-1146.8599999999999</v>
      </c>
      <c r="M35" s="3"/>
      <c r="N35" s="2">
        <v>508.77</v>
      </c>
      <c r="O35" s="3"/>
      <c r="P35" s="2">
        <v>0</v>
      </c>
      <c r="Q35" s="3"/>
      <c r="R35" s="2">
        <v>6017.2781999999997</v>
      </c>
    </row>
    <row r="36" spans="1:18" s="16" customFormat="1" hidden="1" outlineLevel="2" x14ac:dyDescent="0.35">
      <c r="B36" s="11" t="str">
        <f>CONCATENATE("          ", "6156", " - ", "EMPLOYEE MEALS")</f>
        <v xml:space="preserve">          6156 - EMPLOYEE MEALS</v>
      </c>
      <c r="D36" s="2">
        <v>2857.63</v>
      </c>
      <c r="F36" s="2">
        <v>2392.13</v>
      </c>
      <c r="G36" s="3"/>
      <c r="H36" s="2">
        <v>3122.46</v>
      </c>
      <c r="I36" s="3"/>
      <c r="J36" s="2">
        <v>3606.2</v>
      </c>
      <c r="K36" s="3"/>
      <c r="L36" s="2">
        <v>3322.21</v>
      </c>
      <c r="M36" s="3"/>
      <c r="N36" s="2">
        <v>2556.33</v>
      </c>
      <c r="O36" s="3"/>
      <c r="P36" s="2"/>
      <c r="Q36" s="3"/>
      <c r="R36" s="2"/>
    </row>
    <row r="37" spans="1:18" s="15" customFormat="1" outlineLevel="1" collapsed="1" x14ac:dyDescent="0.35">
      <c r="A37" s="7"/>
      <c r="B37" s="20" t="str">
        <f>CONCATENATE("     ","*Payroll                                          ")</f>
        <v xml:space="preserve">     *Payroll                                          </v>
      </c>
      <c r="C37" s="7"/>
      <c r="D37" s="1">
        <f>SUM(OSRRefD21_1x_0)</f>
        <v>199411.1</v>
      </c>
      <c r="E37" s="19"/>
      <c r="F37" s="1">
        <f>SUM(OSRRefF21_1x_0)</f>
        <v>239145.53</v>
      </c>
      <c r="G37" s="4"/>
      <c r="H37" s="1">
        <f>SUM(OSRRefH21_1x_0)</f>
        <v>285477.26999999996</v>
      </c>
      <c r="I37" s="4"/>
      <c r="J37" s="1">
        <f>SUM(OSRRefJ21_1x_0)</f>
        <v>287766.39</v>
      </c>
      <c r="K37" s="4"/>
      <c r="L37" s="1">
        <f>SUM(OSRRefL21_1x_0)</f>
        <v>293485.75</v>
      </c>
      <c r="M37" s="4"/>
      <c r="N37" s="1">
        <f>SUM(OSRRefN21_1x_0)</f>
        <v>247791.51</v>
      </c>
      <c r="O37" s="4"/>
      <c r="P37" s="1">
        <f>SUM(OSRRefP21_1x_0)</f>
        <v>0</v>
      </c>
      <c r="Q37" s="4"/>
      <c r="R37" s="1">
        <f>SUM(OSRRefR21_1x_0)</f>
        <v>212848.2058</v>
      </c>
    </row>
    <row r="38" spans="1:18" s="16" customFormat="1" hidden="1" outlineLevel="2" x14ac:dyDescent="0.35">
      <c r="B38" s="11" t="str">
        <f>CONCATENATE("          ", "6001", " - ", "ADMINISTRATIVE SALARIES")</f>
        <v xml:space="preserve">          6001 - ADMINISTRATIVE SALARIES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"6002", " - ", "STAFF SALARIES")</f>
        <v xml:space="preserve">          6002 - STAFF SALARIES</v>
      </c>
      <c r="D39" s="2">
        <v>57478.73</v>
      </c>
      <c r="F39" s="2">
        <v>89026.16</v>
      </c>
      <c r="G39" s="3"/>
      <c r="H39" s="2">
        <v>92301.27</v>
      </c>
      <c r="I39" s="3"/>
      <c r="J39" s="2">
        <v>97039.17</v>
      </c>
      <c r="K39" s="3"/>
      <c r="L39" s="2">
        <v>104346.16</v>
      </c>
      <c r="M39" s="3"/>
      <c r="N39" s="2">
        <v>97485.84</v>
      </c>
      <c r="O39" s="3"/>
      <c r="P39" s="2">
        <v>0</v>
      </c>
      <c r="Q39" s="3"/>
      <c r="R39" s="2">
        <v>57280.44</v>
      </c>
    </row>
    <row r="40" spans="1:18" s="16" customFormat="1" hidden="1" outlineLevel="2" x14ac:dyDescent="0.35">
      <c r="B40" s="11" t="str">
        <f>CONCATENATE("          ", "6003", " - ", "STAFF HOURLY-9 MONTH")</f>
        <v xml:space="preserve">          6003 - STAFF HOURLY-9 MONTH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>
        <v>0</v>
      </c>
    </row>
    <row r="41" spans="1:18" s="16" customFormat="1" hidden="1" outlineLevel="2" x14ac:dyDescent="0.35">
      <c r="B41" s="11" t="str">
        <f>CONCATENATE("          ", "6004", " - ", "STAFF HOURLY")</f>
        <v xml:space="preserve">          6004 - STAFF HOURLY</v>
      </c>
      <c r="D41" s="2">
        <v>3406.75</v>
      </c>
      <c r="F41" s="2">
        <v>115.32</v>
      </c>
      <c r="G41" s="3"/>
      <c r="H41" s="2">
        <v>129.24</v>
      </c>
      <c r="I41" s="3"/>
      <c r="J41" s="2"/>
      <c r="K41" s="3"/>
      <c r="L41" s="2"/>
      <c r="M41" s="3"/>
      <c r="N41" s="2"/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"6005", " - ", "TEMPORARY WAGES-HOURLY")</f>
        <v xml:space="preserve">          6005 - TEMPORARY WAGES-HOURLY</v>
      </c>
      <c r="D42" s="2">
        <v>10738.77</v>
      </c>
      <c r="F42" s="2">
        <v>156</v>
      </c>
      <c r="G42" s="3"/>
      <c r="H42" s="2"/>
      <c r="I42" s="3"/>
      <c r="J42" s="2"/>
      <c r="K42" s="3"/>
      <c r="L42" s="2"/>
      <c r="M42" s="3"/>
      <c r="N42" s="2">
        <v>45.5</v>
      </c>
      <c r="O42" s="3"/>
      <c r="P42" s="2">
        <v>0</v>
      </c>
      <c r="Q42" s="3"/>
      <c r="R42" s="2">
        <v>76054.101299999995</v>
      </c>
    </row>
    <row r="43" spans="1:18" s="16" customFormat="1" hidden="1" outlineLevel="2" x14ac:dyDescent="0.35">
      <c r="B43" s="11" t="str">
        <f>CONCATENATE("          ", "6006", " - ", "TEMPORARY PART TIME")</f>
        <v xml:space="preserve">          6006 - TEMPORARY PART TIME</v>
      </c>
      <c r="D43" s="2">
        <v>652.38</v>
      </c>
      <c r="F43" s="2"/>
      <c r="G43" s="3"/>
      <c r="H43" s="2"/>
      <c r="I43" s="3"/>
      <c r="J43" s="2">
        <v>8556.82</v>
      </c>
      <c r="K43" s="3"/>
      <c r="L43" s="2">
        <v>4166.08</v>
      </c>
      <c r="M43" s="3"/>
      <c r="N43" s="2"/>
      <c r="O43" s="3"/>
      <c r="P43" s="2">
        <v>0</v>
      </c>
      <c r="Q43" s="3"/>
      <c r="R43" s="2">
        <v>0</v>
      </c>
    </row>
    <row r="44" spans="1:18" s="16" customFormat="1" hidden="1" outlineLevel="2" x14ac:dyDescent="0.35">
      <c r="B44" s="11" t="str">
        <f>CONCATENATE("          ", "6007", " - ", "STUDENT HOURLY")</f>
        <v xml:space="preserve">          6007 - STUDENT HOURLY</v>
      </c>
      <c r="D44" s="2">
        <v>126808.22</v>
      </c>
      <c r="F44" s="2">
        <v>143524.79999999999</v>
      </c>
      <c r="G44" s="3"/>
      <c r="H44" s="2">
        <v>174326.71</v>
      </c>
      <c r="I44" s="3"/>
      <c r="J44" s="2">
        <v>169940.95</v>
      </c>
      <c r="K44" s="3"/>
      <c r="L44" s="2">
        <v>177639.45</v>
      </c>
      <c r="M44" s="3"/>
      <c r="N44" s="2">
        <v>142995.32</v>
      </c>
      <c r="O44" s="3"/>
      <c r="P44" s="2">
        <v>0</v>
      </c>
      <c r="Q44" s="3"/>
      <c r="R44" s="2">
        <v>4247.63</v>
      </c>
    </row>
    <row r="45" spans="1:18" s="16" customFormat="1" hidden="1" outlineLevel="2" x14ac:dyDescent="0.35">
      <c r="B45" s="11" t="str">
        <f>CONCATENATE("          ", "6008", " - ", "STUDENT HOURLY-FICA EXEMPT")</f>
        <v xml:space="preserve">          6008 - STUDENT HOURLY-FICA EXEMPT</v>
      </c>
      <c r="D45" s="2">
        <v>326.25</v>
      </c>
      <c r="F45" s="2">
        <v>6323.25</v>
      </c>
      <c r="G45" s="3"/>
      <c r="H45" s="2">
        <v>18720.05</v>
      </c>
      <c r="I45" s="3"/>
      <c r="J45" s="2">
        <v>12229.45</v>
      </c>
      <c r="K45" s="3"/>
      <c r="L45" s="2">
        <v>7334.06</v>
      </c>
      <c r="M45" s="3"/>
      <c r="N45" s="2">
        <v>7264.85</v>
      </c>
      <c r="O45" s="3"/>
      <c r="P45" s="2">
        <v>0</v>
      </c>
      <c r="Q45" s="3"/>
      <c r="R45" s="2">
        <v>75266.034499999994</v>
      </c>
    </row>
    <row r="46" spans="1:18" s="16" customFormat="1" hidden="1" outlineLevel="2" x14ac:dyDescent="0.35">
      <c r="B46" s="11" t="str">
        <f>CONCATENATE("          ", "6009", " - ", "TEMPORARY-SEASONAL")</f>
        <v xml:space="preserve">          6009 - TEMPORARY-SEASONAL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>
        <v>0</v>
      </c>
    </row>
    <row r="47" spans="1:18" s="16" customFormat="1" hidden="1" outlineLevel="2" x14ac:dyDescent="0.35">
      <c r="B47" s="11" t="str">
        <f>CONCATENATE("          ", "6010", " - ", "GRATUITY")</f>
        <v xml:space="preserve">          6010 - GRATUITY</v>
      </c>
      <c r="D47" s="2"/>
      <c r="F47" s="2"/>
      <c r="G47" s="3"/>
      <c r="H47" s="2"/>
      <c r="I47" s="3"/>
      <c r="J47" s="2"/>
      <c r="K47" s="3"/>
      <c r="L47" s="2"/>
      <c r="M47" s="3"/>
      <c r="N47" s="2"/>
      <c r="O47" s="3"/>
      <c r="P47" s="2">
        <v>0</v>
      </c>
      <c r="Q47" s="3"/>
      <c r="R47" s="2">
        <v>0</v>
      </c>
    </row>
    <row r="48" spans="1:18" s="15" customFormat="1" outlineLevel="1" collapsed="1" x14ac:dyDescent="0.35">
      <c r="A48" s="7"/>
      <c r="B48" s="20" t="str">
        <f>CONCATENATE("     ","Advertising/Promo                                 ")</f>
        <v xml:space="preserve">     Advertising/Promo                                 </v>
      </c>
      <c r="C48" s="7"/>
      <c r="D48" s="1">
        <f>SUM(OSRRefD21_2x_0)</f>
        <v>593.95000000000005</v>
      </c>
      <c r="E48" s="19"/>
      <c r="F48" s="1">
        <f>SUM(OSRRefF21_2x_0)</f>
        <v>1809.55</v>
      </c>
      <c r="G48" s="4"/>
      <c r="H48" s="1">
        <f>SUM(OSRRefH21_2x_0)</f>
        <v>3340.26</v>
      </c>
      <c r="I48" s="4"/>
      <c r="J48" s="1">
        <f>SUM(OSRRefJ21_2x_0)</f>
        <v>2759.82</v>
      </c>
      <c r="K48" s="4"/>
      <c r="L48" s="1">
        <f>SUM(OSRRefL21_2x_0)</f>
        <v>3366.03</v>
      </c>
      <c r="M48" s="4"/>
      <c r="N48" s="1">
        <f>SUM(OSRRefN21_2x_0)</f>
        <v>1426.98</v>
      </c>
      <c r="O48" s="4"/>
      <c r="P48" s="1">
        <f>SUM(OSRRefP21_2x_0)</f>
        <v>0</v>
      </c>
      <c r="Q48" s="4"/>
      <c r="R48" s="1">
        <f>SUM(OSRRefR21_2x_0)</f>
        <v>0</v>
      </c>
    </row>
    <row r="49" spans="1:18" s="16" customFormat="1" hidden="1" outlineLevel="2" x14ac:dyDescent="0.35">
      <c r="B49" s="11" t="str">
        <f>CONCATENATE("          ", "6362", " - ", "ADVERTISING EXPENSE")</f>
        <v xml:space="preserve">          6362 - ADVERTISING EXPENSE</v>
      </c>
      <c r="D49" s="2">
        <v>593.95000000000005</v>
      </c>
      <c r="F49" s="2">
        <v>1809.55</v>
      </c>
      <c r="G49" s="3"/>
      <c r="H49" s="2">
        <v>3340.26</v>
      </c>
      <c r="I49" s="3"/>
      <c r="J49" s="2">
        <v>2759.82</v>
      </c>
      <c r="K49" s="3"/>
      <c r="L49" s="2">
        <v>3366.03</v>
      </c>
      <c r="M49" s="3"/>
      <c r="N49" s="2">
        <v>1426.98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","Bad Debts/Over/Short                              ")</f>
        <v xml:space="preserve">     Bad Debts/Over/Short                              </v>
      </c>
      <c r="C50" s="7"/>
      <c r="D50" s="1">
        <f>SUM(OSRRefD21_3x_0)</f>
        <v>193.46</v>
      </c>
      <c r="E50" s="19"/>
      <c r="F50" s="1">
        <f>SUM(OSRRefF21_3x_0)</f>
        <v>48.92</v>
      </c>
      <c r="G50" s="4"/>
      <c r="H50" s="1">
        <f>SUM(OSRRefH21_3x_0)</f>
        <v>603.4</v>
      </c>
      <c r="I50" s="4"/>
      <c r="J50" s="1">
        <f>SUM(OSRRefJ21_3x_0)</f>
        <v>93.88</v>
      </c>
      <c r="K50" s="4"/>
      <c r="L50" s="1">
        <f>SUM(OSRRefL21_3x_0)</f>
        <v>932.2</v>
      </c>
      <c r="M50" s="4"/>
      <c r="N50" s="1">
        <f>SUM(OSRRefN21_3x_0)</f>
        <v>195.92</v>
      </c>
      <c r="O50" s="4"/>
      <c r="P50" s="1">
        <f>SUM(OSRRefP21_3x_0)</f>
        <v>0</v>
      </c>
      <c r="Q50" s="4"/>
      <c r="R50" s="1">
        <f>SUM(OSRRefR21_3x_0)</f>
        <v>0</v>
      </c>
    </row>
    <row r="51" spans="1:18" s="16" customFormat="1" hidden="1" outlineLevel="2" x14ac:dyDescent="0.35">
      <c r="B51" s="11" t="str">
        <f>CONCATENATE("          ", "6272", " - ", "CASH (OVER/SHORT)")</f>
        <v xml:space="preserve">          6272 - CASH (OVER/SHORT)</v>
      </c>
      <c r="D51" s="2">
        <v>193.46</v>
      </c>
      <c r="F51" s="2">
        <v>48.92</v>
      </c>
      <c r="G51" s="3"/>
      <c r="H51" s="2">
        <v>603.4</v>
      </c>
      <c r="I51" s="3"/>
      <c r="J51" s="2">
        <v>93.88</v>
      </c>
      <c r="K51" s="3"/>
      <c r="L51" s="2">
        <v>932.2</v>
      </c>
      <c r="M51" s="3"/>
      <c r="N51" s="2">
        <v>195.92</v>
      </c>
      <c r="O51" s="3"/>
      <c r="P51" s="2">
        <v>0</v>
      </c>
      <c r="Q51" s="3"/>
      <c r="R51" s="2"/>
    </row>
    <row r="52" spans="1:18" s="15" customFormat="1" outlineLevel="1" collapsed="1" x14ac:dyDescent="0.35">
      <c r="A52" s="7"/>
      <c r="B52" s="20" t="str">
        <f>CONCATENATE("     ","Bank/card Fees                                    ")</f>
        <v xml:space="preserve">     Bank/card Fees                                    </v>
      </c>
      <c r="C52" s="7"/>
      <c r="D52" s="1">
        <f>SUM(OSRRefD21_4x_0)</f>
        <v>30925.360000000001</v>
      </c>
      <c r="E52" s="19"/>
      <c r="F52" s="1">
        <f>SUM(OSRRefF21_4x_0)</f>
        <v>30263.38</v>
      </c>
      <c r="G52" s="4"/>
      <c r="H52" s="1">
        <f>SUM(OSRRefH21_4x_0)</f>
        <v>38889.32</v>
      </c>
      <c r="I52" s="4"/>
      <c r="J52" s="1">
        <f>SUM(OSRRefJ21_4x_0)</f>
        <v>38970.980000000003</v>
      </c>
      <c r="K52" s="4"/>
      <c r="L52" s="1">
        <f>SUM(OSRRefL21_4x_0)</f>
        <v>34741.78</v>
      </c>
      <c r="M52" s="4"/>
      <c r="N52" s="1">
        <f>SUM(OSRRefN21_4x_0)</f>
        <v>25022.13</v>
      </c>
      <c r="O52" s="4"/>
      <c r="P52" s="1">
        <f>SUM(OSRRefP21_4x_0)</f>
        <v>0</v>
      </c>
      <c r="Q52" s="4"/>
      <c r="R52" s="1">
        <f>SUM(OSRRefR21_4x_0)</f>
        <v>19008</v>
      </c>
    </row>
    <row r="53" spans="1:18" s="16" customFormat="1" hidden="1" outlineLevel="2" x14ac:dyDescent="0.35">
      <c r="B53" s="11" t="str">
        <f>CONCATENATE("          ", "6381", " - ", "BANK/CREDIT CARD FEES")</f>
        <v xml:space="preserve">          6381 - BANK/CREDIT CARD FEES</v>
      </c>
      <c r="D53" s="2">
        <v>30925.360000000001</v>
      </c>
      <c r="F53" s="2">
        <v>30263.38</v>
      </c>
      <c r="G53" s="3"/>
      <c r="H53" s="2">
        <v>38889.32</v>
      </c>
      <c r="I53" s="3"/>
      <c r="J53" s="2">
        <v>38970.980000000003</v>
      </c>
      <c r="K53" s="3"/>
      <c r="L53" s="2">
        <v>34741.78</v>
      </c>
      <c r="M53" s="3"/>
      <c r="N53" s="2">
        <v>25022.13</v>
      </c>
      <c r="O53" s="3"/>
      <c r="P53" s="2">
        <v>0</v>
      </c>
      <c r="Q53" s="3"/>
      <c r="R53" s="2">
        <v>19008</v>
      </c>
    </row>
    <row r="54" spans="1:18" s="15" customFormat="1" outlineLevel="1" collapsed="1" x14ac:dyDescent="0.35">
      <c r="A54" s="7"/>
      <c r="B54" s="20" t="str">
        <f>CONCATENATE("     ","Depreciation                                      ")</f>
        <v xml:space="preserve">     Depreciation                                      </v>
      </c>
      <c r="C54" s="7"/>
      <c r="D54" s="1">
        <f>SUM(OSRRefD21_5x_0)</f>
        <v>45038.44</v>
      </c>
      <c r="E54" s="19"/>
      <c r="F54" s="1">
        <f>SUM(OSRRefF21_5x_0)</f>
        <v>49413.06</v>
      </c>
      <c r="G54" s="4"/>
      <c r="H54" s="1">
        <f>SUM(OSRRefH21_5x_0)</f>
        <v>33231.19</v>
      </c>
      <c r="I54" s="4"/>
      <c r="J54" s="1">
        <f>SUM(OSRRefJ21_5x_0)</f>
        <v>17281.5</v>
      </c>
      <c r="K54" s="4"/>
      <c r="L54" s="1">
        <f>SUM(OSRRefL21_5x_0)</f>
        <v>38652.720000000001</v>
      </c>
      <c r="M54" s="4"/>
      <c r="N54" s="1">
        <f>SUM(OSRRefN21_5x_0)</f>
        <v>66609.78</v>
      </c>
      <c r="O54" s="4"/>
      <c r="P54" s="1">
        <f>SUM(OSRRefP21_5x_0)</f>
        <v>63087</v>
      </c>
      <c r="Q54" s="4"/>
      <c r="R54" s="1">
        <f>SUM(OSRRefR21_5x_0)</f>
        <v>56796</v>
      </c>
    </row>
    <row r="55" spans="1:18" s="16" customFormat="1" hidden="1" outlineLevel="2" x14ac:dyDescent="0.35">
      <c r="B55" s="11" t="str">
        <f>CONCATENATE("          ", "6321", " - ", "BUILDING DEPRECIATION")</f>
        <v xml:space="preserve">          6321 - BUILDING DEPRECIATION</v>
      </c>
      <c r="D55" s="2">
        <v>37769.599999999999</v>
      </c>
      <c r="F55" s="2">
        <v>37769.599999999999</v>
      </c>
      <c r="G55" s="3"/>
      <c r="H55" s="2">
        <v>20796.59</v>
      </c>
      <c r="I55" s="3"/>
      <c r="J55" s="2">
        <v>3923.24</v>
      </c>
      <c r="K55" s="3"/>
      <c r="L55" s="2">
        <v>26819.89</v>
      </c>
      <c r="M55" s="3"/>
      <c r="N55" s="2">
        <v>55518</v>
      </c>
      <c r="O55" s="3"/>
      <c r="P55" s="2"/>
      <c r="Q55" s="3"/>
      <c r="R55" s="2"/>
    </row>
    <row r="56" spans="1:18" s="16" customFormat="1" hidden="1" outlineLevel="2" x14ac:dyDescent="0.35">
      <c r="B56" s="11" t="str">
        <f>CONCATENATE("          ", "6322", " - ", "EQUIPMENT DEPRECIATION EXPENSE")</f>
        <v xml:space="preserve">          6322 - EQUIPMENT DEPRECIATION EXPENSE</v>
      </c>
      <c r="D56" s="2">
        <v>7268.84</v>
      </c>
      <c r="F56" s="2">
        <v>11643.46</v>
      </c>
      <c r="G56" s="3"/>
      <c r="H56" s="2">
        <v>12434.6</v>
      </c>
      <c r="I56" s="3"/>
      <c r="J56" s="2">
        <v>13358.26</v>
      </c>
      <c r="K56" s="3"/>
      <c r="L56" s="2">
        <v>11832.83</v>
      </c>
      <c r="M56" s="3"/>
      <c r="N56" s="2">
        <v>11091.78</v>
      </c>
      <c r="O56" s="3"/>
      <c r="P56" s="2">
        <v>63087</v>
      </c>
      <c r="Q56" s="3"/>
      <c r="R56" s="2">
        <v>56796</v>
      </c>
    </row>
    <row r="57" spans="1:18" s="15" customFormat="1" outlineLevel="1" collapsed="1" x14ac:dyDescent="0.35">
      <c r="A57" s="7"/>
      <c r="B57" s="20" t="str">
        <f>CONCATENATE("     ","Employees' Appreciation                           ")</f>
        <v xml:space="preserve">     Employees' Appreciation                           </v>
      </c>
      <c r="C57" s="7"/>
      <c r="D57" s="1">
        <f>SUM(OSRRefD21_6x_0)</f>
        <v>42.9</v>
      </c>
      <c r="E57" s="19"/>
      <c r="F57" s="1">
        <f>SUM(OSRRefF21_6x_0)</f>
        <v>102.98</v>
      </c>
      <c r="G57" s="4"/>
      <c r="H57" s="1">
        <f>SUM(OSRRefH21_6x_0)</f>
        <v>48.77</v>
      </c>
      <c r="I57" s="4"/>
      <c r="J57" s="1">
        <f>SUM(OSRRefJ21_6x_0)</f>
        <v>222.52</v>
      </c>
      <c r="K57" s="4"/>
      <c r="L57" s="1">
        <f>SUM(OSRRefL21_6x_0)</f>
        <v>258.82</v>
      </c>
      <c r="M57" s="4"/>
      <c r="N57" s="1">
        <f>SUM(OSRRefN21_6x_0)</f>
        <v>186.48</v>
      </c>
      <c r="O57" s="4"/>
      <c r="P57" s="1">
        <f>SUM(OSRRefP21_6x_0)</f>
        <v>0</v>
      </c>
      <c r="Q57" s="4"/>
      <c r="R57" s="1">
        <f>SUM(OSRRefR21_6x_0)</f>
        <v>140</v>
      </c>
    </row>
    <row r="58" spans="1:18" s="16" customFormat="1" hidden="1" outlineLevel="2" x14ac:dyDescent="0.35">
      <c r="B58" s="11" t="str">
        <f>CONCATENATE("          ", "6277", " - ", "EMPLOYEE APPRECIATION")</f>
        <v xml:space="preserve">          6277 - EMPLOYEE APPRECIATION</v>
      </c>
      <c r="D58" s="2">
        <v>42.9</v>
      </c>
      <c r="F58" s="2">
        <v>102.98</v>
      </c>
      <c r="G58" s="3"/>
      <c r="H58" s="2">
        <v>48.77</v>
      </c>
      <c r="I58" s="3"/>
      <c r="J58" s="2">
        <v>222.52</v>
      </c>
      <c r="K58" s="3"/>
      <c r="L58" s="2">
        <v>258.82</v>
      </c>
      <c r="M58" s="3"/>
      <c r="N58" s="2">
        <v>186.48</v>
      </c>
      <c r="O58" s="3"/>
      <c r="P58" s="2">
        <v>0</v>
      </c>
      <c r="Q58" s="3"/>
      <c r="R58" s="2">
        <v>140</v>
      </c>
    </row>
    <row r="59" spans="1:18" s="15" customFormat="1" outlineLevel="1" collapsed="1" x14ac:dyDescent="0.35">
      <c r="A59" s="7"/>
      <c r="B59" s="20" t="str">
        <f>CONCATENATE("     ","Equipment Rental                                  ")</f>
        <v xml:space="preserve">     Equipment Rental                                  </v>
      </c>
      <c r="C59" s="7"/>
      <c r="D59" s="1">
        <f>SUM(OSRRefD21_7x_0)</f>
        <v>395.45</v>
      </c>
      <c r="E59" s="19"/>
      <c r="F59" s="1">
        <f>SUM(OSRRefF21_7x_0)</f>
        <v>1500.85</v>
      </c>
      <c r="G59" s="4"/>
      <c r="H59" s="1">
        <f>SUM(OSRRefH21_7x_0)</f>
        <v>1269.95</v>
      </c>
      <c r="I59" s="4"/>
      <c r="J59" s="1">
        <f>SUM(OSRRefJ21_7x_0)</f>
        <v>1294.17</v>
      </c>
      <c r="K59" s="4"/>
      <c r="L59" s="1">
        <f>SUM(OSRRefL21_7x_0)</f>
        <v>3004.49</v>
      </c>
      <c r="M59" s="4"/>
      <c r="N59" s="1">
        <f>SUM(OSRRefN21_7x_0)</f>
        <v>3521.32</v>
      </c>
      <c r="O59" s="4"/>
      <c r="P59" s="1">
        <f>SUM(OSRRefP21_7x_0)</f>
        <v>2500</v>
      </c>
      <c r="Q59" s="4"/>
      <c r="R59" s="1">
        <f>SUM(OSRRefR21_7x_0)</f>
        <v>0</v>
      </c>
    </row>
    <row r="60" spans="1:18" s="16" customFormat="1" hidden="1" outlineLevel="2" x14ac:dyDescent="0.35">
      <c r="B60" s="11" t="str">
        <f>CONCATENATE("          ", "6351", " - ", "EQUIPMENT RENTAL")</f>
        <v xml:space="preserve">          6351 - EQUIPMENT RENTAL</v>
      </c>
      <c r="D60" s="2">
        <v>395.45</v>
      </c>
      <c r="F60" s="2">
        <v>1500.85</v>
      </c>
      <c r="G60" s="3"/>
      <c r="H60" s="2">
        <v>1269.95</v>
      </c>
      <c r="I60" s="3"/>
      <c r="J60" s="2">
        <v>1294.17</v>
      </c>
      <c r="K60" s="3"/>
      <c r="L60" s="2">
        <v>3004.49</v>
      </c>
      <c r="M60" s="3"/>
      <c r="N60" s="2">
        <v>3521.32</v>
      </c>
      <c r="O60" s="3"/>
      <c r="P60" s="2">
        <v>2500</v>
      </c>
      <c r="Q60" s="3"/>
      <c r="R60" s="2"/>
    </row>
    <row r="61" spans="1:18" s="15" customFormat="1" outlineLevel="1" collapsed="1" x14ac:dyDescent="0.35">
      <c r="A61" s="7"/>
      <c r="B61" s="20" t="str">
        <f>CONCATENATE("     ","General                                           ")</f>
        <v xml:space="preserve">     General                                           </v>
      </c>
      <c r="C61" s="7"/>
      <c r="D61" s="1">
        <f>SUM(OSRRefD21_8x_0)</f>
        <v>15675.94</v>
      </c>
      <c r="E61" s="19"/>
      <c r="F61" s="1">
        <f>SUM(OSRRefF21_8x_0)</f>
        <v>15220.61</v>
      </c>
      <c r="G61" s="4"/>
      <c r="H61" s="1">
        <f>SUM(OSRRefH21_8x_0)</f>
        <v>14385.24</v>
      </c>
      <c r="I61" s="4"/>
      <c r="J61" s="1">
        <f>SUM(OSRRefJ21_8x_0)</f>
        <v>13227.17</v>
      </c>
      <c r="K61" s="4"/>
      <c r="L61" s="1">
        <f>SUM(OSRRefL21_8x_0)</f>
        <v>13160.01</v>
      </c>
      <c r="M61" s="4"/>
      <c r="N61" s="1">
        <f>SUM(OSRRefN21_8x_0)</f>
        <v>9308.4599999999991</v>
      </c>
      <c r="O61" s="4"/>
      <c r="P61" s="1">
        <f>SUM(OSRRefP21_8x_0)</f>
        <v>0</v>
      </c>
      <c r="Q61" s="4"/>
      <c r="R61" s="1">
        <f>SUM(OSRRefR21_8x_0)</f>
        <v>500</v>
      </c>
    </row>
    <row r="62" spans="1:18" s="16" customFormat="1" hidden="1" outlineLevel="2" x14ac:dyDescent="0.35">
      <c r="B62" s="11" t="str">
        <f>CONCATENATE("          ", "6279", " - ", "GENERAL EXPENSE")</f>
        <v xml:space="preserve">          6279 - GENERAL EXPENSE</v>
      </c>
      <c r="D62" s="2">
        <v>15675.94</v>
      </c>
      <c r="F62" s="2">
        <v>15220.61</v>
      </c>
      <c r="G62" s="3"/>
      <c r="H62" s="2">
        <v>14385.24</v>
      </c>
      <c r="I62" s="3"/>
      <c r="J62" s="2">
        <v>13227.17</v>
      </c>
      <c r="K62" s="3"/>
      <c r="L62" s="2">
        <v>13160.01</v>
      </c>
      <c r="M62" s="3"/>
      <c r="N62" s="2">
        <v>9308.4599999999991</v>
      </c>
      <c r="O62" s="3"/>
      <c r="P62" s="2">
        <v>0</v>
      </c>
      <c r="Q62" s="3"/>
      <c r="R62" s="2">
        <v>500</v>
      </c>
    </row>
    <row r="63" spans="1:18" s="15" customFormat="1" outlineLevel="1" collapsed="1" x14ac:dyDescent="0.35">
      <c r="A63" s="7"/>
      <c r="B63" s="20" t="str">
        <f>CONCATENATE("     ","Rent                                              ")</f>
        <v xml:space="preserve">     Rent                                              </v>
      </c>
      <c r="C63" s="7"/>
      <c r="D63" s="1">
        <f>SUM(OSRRefD21_9x_0)</f>
        <v>12000</v>
      </c>
      <c r="E63" s="19"/>
      <c r="F63" s="1">
        <f>SUM(OSRRefF21_9x_0)</f>
        <v>12000</v>
      </c>
      <c r="G63" s="4"/>
      <c r="H63" s="1">
        <f>SUM(OSRRefH21_9x_0)</f>
        <v>12000</v>
      </c>
      <c r="I63" s="4"/>
      <c r="J63" s="1">
        <f>SUM(OSRRefJ21_9x_0)</f>
        <v>12000</v>
      </c>
      <c r="K63" s="4"/>
      <c r="L63" s="1">
        <f>SUM(OSRRefL21_9x_0)</f>
        <v>22200</v>
      </c>
      <c r="M63" s="4"/>
      <c r="N63" s="1">
        <f>SUM(OSRRefN21_9x_0)</f>
        <v>22200</v>
      </c>
      <c r="O63" s="4"/>
      <c r="P63" s="1">
        <f>SUM(OSRRefP21_9x_0)</f>
        <v>23316</v>
      </c>
      <c r="Q63" s="4"/>
      <c r="R63" s="1">
        <f>SUM(OSRRefR21_9x_0)</f>
        <v>22200</v>
      </c>
    </row>
    <row r="64" spans="1:18" s="16" customFormat="1" hidden="1" outlineLevel="2" x14ac:dyDescent="0.35">
      <c r="B64" s="11" t="str">
        <f>CONCATENATE("          ", "6273", " - ", "RENT")</f>
        <v xml:space="preserve">          6273 - RENT</v>
      </c>
      <c r="D64" s="2">
        <v>12000</v>
      </c>
      <c r="F64" s="2">
        <v>12000</v>
      </c>
      <c r="G64" s="3"/>
      <c r="H64" s="2">
        <v>12000</v>
      </c>
      <c r="I64" s="3"/>
      <c r="J64" s="2">
        <v>12000</v>
      </c>
      <c r="K64" s="3"/>
      <c r="L64" s="2">
        <v>22200</v>
      </c>
      <c r="M64" s="3"/>
      <c r="N64" s="2">
        <v>22200</v>
      </c>
      <c r="O64" s="3"/>
      <c r="P64" s="2">
        <v>23316</v>
      </c>
      <c r="Q64" s="3"/>
      <c r="R64" s="2">
        <v>22200</v>
      </c>
    </row>
    <row r="65" spans="1:18" s="15" customFormat="1" outlineLevel="1" collapsed="1" x14ac:dyDescent="0.35">
      <c r="A65" s="7"/>
      <c r="B65" s="20" t="str">
        <f>CONCATENATE("     ","Repair and Maintenance                            ")</f>
        <v xml:space="preserve">     Repair and Maintenance                            </v>
      </c>
      <c r="C65" s="7"/>
      <c r="D65" s="1">
        <f>SUM(OSRRefD21_10x_0)</f>
        <v>13175.29</v>
      </c>
      <c r="E65" s="19"/>
      <c r="F65" s="1">
        <f>SUM(OSRRefF21_10x_0)</f>
        <v>14519.560000000001</v>
      </c>
      <c r="G65" s="4"/>
      <c r="H65" s="1">
        <f>SUM(OSRRefH21_10x_0)</f>
        <v>16483.400000000001</v>
      </c>
      <c r="I65" s="4"/>
      <c r="J65" s="1">
        <f>SUM(OSRRefJ21_10x_0)</f>
        <v>29630.45</v>
      </c>
      <c r="K65" s="4"/>
      <c r="L65" s="1">
        <f>SUM(OSRRefL21_10x_0)</f>
        <v>42237.95</v>
      </c>
      <c r="M65" s="4"/>
      <c r="N65" s="1">
        <f>SUM(OSRRefN21_10x_0)</f>
        <v>31084.47</v>
      </c>
      <c r="O65" s="4"/>
      <c r="P65" s="1">
        <f>SUM(OSRRefP21_10x_0)</f>
        <v>0</v>
      </c>
      <c r="Q65" s="4"/>
      <c r="R65" s="1">
        <f>SUM(OSRRefR21_10x_0)</f>
        <v>6600</v>
      </c>
    </row>
    <row r="66" spans="1:18" s="16" customFormat="1" hidden="1" outlineLevel="2" x14ac:dyDescent="0.35">
      <c r="B66" s="11" t="str">
        <f>CONCATENATE("          ", "6371", " - ", "COMPUTER SOFTWARE MAINTENANCE")</f>
        <v xml:space="preserve">          6371 - COMPUTER SOFTWARE MAINTENANCE</v>
      </c>
      <c r="D66" s="2"/>
      <c r="F66" s="2">
        <v>572.76</v>
      </c>
      <c r="G66" s="3"/>
      <c r="H66" s="2"/>
      <c r="I66" s="3"/>
      <c r="J66" s="2"/>
      <c r="K66" s="3"/>
      <c r="L66" s="2"/>
      <c r="M66" s="3"/>
      <c r="N66" s="2"/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"6373", " - ", "MAINTENANCE CONTRACTS")</f>
        <v xml:space="preserve">          6373 - MAINTENANCE CONTRACTS</v>
      </c>
      <c r="D67" s="2">
        <v>5716.33</v>
      </c>
      <c r="F67" s="2">
        <v>4150.05</v>
      </c>
      <c r="G67" s="3"/>
      <c r="H67" s="2">
        <v>3900</v>
      </c>
      <c r="I67" s="3"/>
      <c r="J67" s="2">
        <v>20226.47</v>
      </c>
      <c r="K67" s="3"/>
      <c r="L67" s="2">
        <v>21812.880000000001</v>
      </c>
      <c r="M67" s="3"/>
      <c r="N67" s="2">
        <v>21857.11</v>
      </c>
      <c r="O67" s="3"/>
      <c r="P67" s="2">
        <v>0</v>
      </c>
      <c r="Q67" s="3"/>
      <c r="R67" s="2">
        <v>600</v>
      </c>
    </row>
    <row r="68" spans="1:18" s="16" customFormat="1" hidden="1" outlineLevel="2" x14ac:dyDescent="0.35">
      <c r="B68" s="11" t="str">
        <f>CONCATENATE("          ", "6375", " - ", "OUTSIDE REPAIRS &amp; MAINTENANCE")</f>
        <v xml:space="preserve">          6375 - OUTSIDE REPAIRS &amp; MAINTENANCE</v>
      </c>
      <c r="D68" s="2">
        <v>7458.96</v>
      </c>
      <c r="F68" s="2">
        <v>9796.75</v>
      </c>
      <c r="G68" s="3"/>
      <c r="H68" s="2">
        <v>12583.4</v>
      </c>
      <c r="I68" s="3"/>
      <c r="J68" s="2">
        <v>9403.98</v>
      </c>
      <c r="K68" s="3"/>
      <c r="L68" s="2">
        <v>20425.07</v>
      </c>
      <c r="M68" s="3"/>
      <c r="N68" s="2">
        <v>9227.36</v>
      </c>
      <c r="O68" s="3"/>
      <c r="P68" s="2">
        <v>0</v>
      </c>
      <c r="Q68" s="3"/>
      <c r="R68" s="2">
        <v>6000</v>
      </c>
    </row>
    <row r="69" spans="1:18" s="15" customFormat="1" outlineLevel="1" collapsed="1" x14ac:dyDescent="0.35">
      <c r="A69" s="7"/>
      <c r="B69" s="20" t="str">
        <f>CONCATENATE("     ","Royalty &amp; Commissions                             ")</f>
        <v xml:space="preserve">     Royalty &amp; Commissions                             </v>
      </c>
      <c r="C69" s="7"/>
      <c r="D69" s="1">
        <f>SUM(OSRRefD21_11x_0)</f>
        <v>74611.759999999995</v>
      </c>
      <c r="E69" s="19"/>
      <c r="F69" s="1">
        <f>SUM(OSRRefF21_11x_0)</f>
        <v>82794.080000000002</v>
      </c>
      <c r="G69" s="4"/>
      <c r="H69" s="1">
        <f>SUM(OSRRefH21_11x_0)</f>
        <v>92808.639999999999</v>
      </c>
      <c r="I69" s="4"/>
      <c r="J69" s="1">
        <f>SUM(OSRRefJ21_11x_0)</f>
        <v>85425.12</v>
      </c>
      <c r="K69" s="4"/>
      <c r="L69" s="1">
        <f>SUM(OSRRefL21_11x_0)</f>
        <v>77250.16</v>
      </c>
      <c r="M69" s="4"/>
      <c r="N69" s="1">
        <f>SUM(OSRRefN21_11x_0)</f>
        <v>60535.32</v>
      </c>
      <c r="O69" s="4"/>
      <c r="P69" s="1">
        <f>SUM(OSRRefP21_11x_0)</f>
        <v>0</v>
      </c>
      <c r="Q69" s="4"/>
      <c r="R69" s="1">
        <f>SUM(OSRRefR21_11x_0)</f>
        <v>0</v>
      </c>
    </row>
    <row r="70" spans="1:18" s="16" customFormat="1" hidden="1" outlineLevel="2" x14ac:dyDescent="0.35">
      <c r="B70" s="11" t="str">
        <f>CONCATENATE("          ", "6259", " - ", "ROYALTY &amp; COMMISSIONS")</f>
        <v xml:space="preserve">          6259 - ROYALTY &amp; COMMISSIONS</v>
      </c>
      <c r="D70" s="2">
        <v>74611.759999999995</v>
      </c>
      <c r="F70" s="2">
        <v>82794.080000000002</v>
      </c>
      <c r="G70" s="3"/>
      <c r="H70" s="2">
        <v>92808.639999999999</v>
      </c>
      <c r="I70" s="3"/>
      <c r="J70" s="2">
        <v>85425.12</v>
      </c>
      <c r="K70" s="3"/>
      <c r="L70" s="2">
        <v>77250.16</v>
      </c>
      <c r="M70" s="3"/>
      <c r="N70" s="2">
        <v>60535.32</v>
      </c>
      <c r="O70" s="3"/>
      <c r="P70" s="2">
        <v>0</v>
      </c>
      <c r="Q70" s="3"/>
      <c r="R70" s="2"/>
    </row>
    <row r="71" spans="1:18" s="15" customFormat="1" outlineLevel="1" collapsed="1" x14ac:dyDescent="0.35">
      <c r="A71" s="7"/>
      <c r="B71" s="20" t="str">
        <f>CONCATENATE("     ","Services                                          ")</f>
        <v xml:space="preserve">     Services                                          </v>
      </c>
      <c r="C71" s="7"/>
      <c r="D71" s="1">
        <f>SUM(OSRRefD21_12x_0)</f>
        <v>3692.6400000000003</v>
      </c>
      <c r="E71" s="19"/>
      <c r="F71" s="1">
        <f>SUM(OSRRefF21_12x_0)</f>
        <v>4989.99</v>
      </c>
      <c r="G71" s="4"/>
      <c r="H71" s="1">
        <f>SUM(OSRRefH21_12x_0)</f>
        <v>3692.91</v>
      </c>
      <c r="I71" s="4"/>
      <c r="J71" s="1">
        <f>SUM(OSRRefJ21_12x_0)</f>
        <v>4156.82</v>
      </c>
      <c r="K71" s="4"/>
      <c r="L71" s="1">
        <f>SUM(OSRRefL21_12x_0)</f>
        <v>3865.31</v>
      </c>
      <c r="M71" s="4"/>
      <c r="N71" s="1">
        <f>SUM(OSRRefN21_12x_0)</f>
        <v>4346.3899999999994</v>
      </c>
      <c r="O71" s="4"/>
      <c r="P71" s="1">
        <f>SUM(OSRRefP21_12x_0)</f>
        <v>0</v>
      </c>
      <c r="Q71" s="4"/>
      <c r="R71" s="1">
        <f>SUM(OSRRefR21_12x_0)</f>
        <v>25053</v>
      </c>
    </row>
    <row r="72" spans="1:18" s="16" customFormat="1" hidden="1" outlineLevel="2" x14ac:dyDescent="0.35">
      <c r="B72" s="11" t="str">
        <f>CONCATENATE("          ", "6282", " - ", "JANITORIAL/EXTERMINATOR EXPENS")</f>
        <v xml:space="preserve">          6282 - JANITORIAL/EXTERMINATOR EXPENS</v>
      </c>
      <c r="D72" s="2">
        <v>1005.12</v>
      </c>
      <c r="F72" s="2">
        <v>1051.21</v>
      </c>
      <c r="G72" s="3"/>
      <c r="H72" s="2">
        <v>1055.4000000000001</v>
      </c>
      <c r="I72" s="3"/>
      <c r="J72" s="2">
        <v>1249.6099999999999</v>
      </c>
      <c r="K72" s="3"/>
      <c r="L72" s="2">
        <v>872.64</v>
      </c>
      <c r="M72" s="3"/>
      <c r="N72" s="2">
        <v>872.64</v>
      </c>
      <c r="O72" s="3"/>
      <c r="P72" s="2">
        <v>0</v>
      </c>
      <c r="Q72" s="3"/>
      <c r="R72" s="2">
        <v>1700</v>
      </c>
    </row>
    <row r="73" spans="1:18" s="16" customFormat="1" hidden="1" outlineLevel="2" x14ac:dyDescent="0.35">
      <c r="B73" s="11" t="str">
        <f>CONCATENATE("          ", "6284", " - ", "TRASH REMOVAL EXPENSE")</f>
        <v xml:space="preserve">          6284 - TRASH REMOVAL EXPENSE</v>
      </c>
      <c r="D73" s="2">
        <v>657.83</v>
      </c>
      <c r="F73" s="2">
        <v>764.23</v>
      </c>
      <c r="G73" s="3"/>
      <c r="H73" s="2">
        <v>551.33000000000004</v>
      </c>
      <c r="I73" s="3"/>
      <c r="J73" s="2">
        <v>940.21</v>
      </c>
      <c r="K73" s="3"/>
      <c r="L73" s="2">
        <v>1260.46</v>
      </c>
      <c r="M73" s="3"/>
      <c r="N73" s="2">
        <v>1607</v>
      </c>
      <c r="O73" s="3"/>
      <c r="P73" s="2">
        <v>0</v>
      </c>
      <c r="Q73" s="3"/>
      <c r="R73" s="2">
        <v>0</v>
      </c>
    </row>
    <row r="74" spans="1:18" s="16" customFormat="1" hidden="1" outlineLevel="2" x14ac:dyDescent="0.35">
      <c r="B74" s="11" t="str">
        <f>CONCATENATE("          ", "6285", " - ", "JANITORIAL SERVICES")</f>
        <v xml:space="preserve">          6285 - JANITORIAL SERVICES</v>
      </c>
      <c r="D74" s="2"/>
      <c r="F74" s="2">
        <v>1150</v>
      </c>
      <c r="G74" s="3"/>
      <c r="H74" s="2">
        <v>46.3</v>
      </c>
      <c r="I74" s="3"/>
      <c r="J74" s="2"/>
      <c r="K74" s="3"/>
      <c r="L74" s="2"/>
      <c r="M74" s="3"/>
      <c r="N74" s="2"/>
      <c r="O74" s="3"/>
      <c r="P74" s="2">
        <v>0</v>
      </c>
      <c r="Q74" s="3"/>
      <c r="R74" s="2">
        <v>22913</v>
      </c>
    </row>
    <row r="75" spans="1:18" s="16" customFormat="1" hidden="1" outlineLevel="2" x14ac:dyDescent="0.35">
      <c r="B75" s="11" t="str">
        <f>CONCATENATE("          ", "6286", " - ", "LAUNDRY EXPENSE")</f>
        <v xml:space="preserve">          6286 - LAUNDRY EXPENSE</v>
      </c>
      <c r="D75" s="2">
        <v>2029.69</v>
      </c>
      <c r="F75" s="2">
        <v>2024.55</v>
      </c>
      <c r="G75" s="3"/>
      <c r="H75" s="2">
        <v>2039.88</v>
      </c>
      <c r="I75" s="3"/>
      <c r="J75" s="2">
        <v>1967</v>
      </c>
      <c r="K75" s="3"/>
      <c r="L75" s="2">
        <v>1732.21</v>
      </c>
      <c r="M75" s="3"/>
      <c r="N75" s="2">
        <v>1866.75</v>
      </c>
      <c r="O75" s="3"/>
      <c r="P75" s="2">
        <v>0</v>
      </c>
      <c r="Q75" s="3"/>
      <c r="R75" s="2">
        <v>440</v>
      </c>
    </row>
    <row r="76" spans="1:18" s="15" customFormat="1" outlineLevel="1" collapsed="1" x14ac:dyDescent="0.35">
      <c r="A76" s="7"/>
      <c r="B76" s="20" t="str">
        <f>CONCATENATE("     ","Subscriptions &amp; Dues                              ")</f>
        <v xml:space="preserve">     Subscriptions &amp; Dues                              </v>
      </c>
      <c r="C76" s="7"/>
      <c r="D76" s="1">
        <f>SUM(OSRRefD21_13x_0)</f>
        <v>514.71</v>
      </c>
      <c r="E76" s="19"/>
      <c r="F76" s="1">
        <f>SUM(OSRRefF21_13x_0)</f>
        <v>150.87</v>
      </c>
      <c r="G76" s="4"/>
      <c r="H76" s="1">
        <f>SUM(OSRRefH21_13x_0)</f>
        <v>248.82</v>
      </c>
      <c r="I76" s="4"/>
      <c r="J76" s="1">
        <f>SUM(OSRRefJ21_13x_0)</f>
        <v>183.36</v>
      </c>
      <c r="K76" s="4"/>
      <c r="L76" s="1">
        <f>SUM(OSRRefL21_13x_0)</f>
        <v>153.4</v>
      </c>
      <c r="M76" s="4"/>
      <c r="N76" s="1">
        <f>SUM(OSRRefN21_13x_0)</f>
        <v>1101.72</v>
      </c>
      <c r="O76" s="4"/>
      <c r="P76" s="1">
        <f>SUM(OSRRefP21_13x_0)</f>
        <v>0</v>
      </c>
      <c r="Q76" s="4"/>
      <c r="R76" s="1">
        <f>SUM(OSRRefR21_13x_0)</f>
        <v>330</v>
      </c>
    </row>
    <row r="77" spans="1:18" s="16" customFormat="1" hidden="1" outlineLevel="2" x14ac:dyDescent="0.35">
      <c r="B77" s="11" t="str">
        <f>CONCATENATE("          ", "6258", " - ", "MEMBERSHIP DUES")</f>
        <v xml:space="preserve">          6258 - MEMBERSHIP DUES</v>
      </c>
      <c r="D77" s="2"/>
      <c r="F77" s="2"/>
      <c r="G77" s="3"/>
      <c r="H77" s="2"/>
      <c r="I77" s="3"/>
      <c r="J77" s="2"/>
      <c r="K77" s="3"/>
      <c r="L77" s="2"/>
      <c r="M77" s="3"/>
      <c r="N77" s="2">
        <v>979</v>
      </c>
      <c r="O77" s="3"/>
      <c r="P77" s="2"/>
      <c r="Q77" s="3"/>
      <c r="R77" s="2"/>
    </row>
    <row r="78" spans="1:18" s="16" customFormat="1" hidden="1" outlineLevel="2" x14ac:dyDescent="0.35">
      <c r="B78" s="11" t="str">
        <f>CONCATENATE("          ", "6275", " - ", "SUBSCRIPTIONS")</f>
        <v xml:space="preserve">          6275 - SUBSCRIPTIONS</v>
      </c>
      <c r="D78" s="2">
        <v>514.71</v>
      </c>
      <c r="F78" s="2">
        <v>150.87</v>
      </c>
      <c r="G78" s="3"/>
      <c r="H78" s="2">
        <v>248.82</v>
      </c>
      <c r="I78" s="3"/>
      <c r="J78" s="2">
        <v>183.36</v>
      </c>
      <c r="K78" s="3"/>
      <c r="L78" s="2">
        <v>153.4</v>
      </c>
      <c r="M78" s="3"/>
      <c r="N78" s="2">
        <v>122.72</v>
      </c>
      <c r="O78" s="3"/>
      <c r="P78" s="2">
        <v>0</v>
      </c>
      <c r="Q78" s="3"/>
      <c r="R78" s="2">
        <v>330</v>
      </c>
    </row>
    <row r="79" spans="1:18" s="15" customFormat="1" outlineLevel="1" collapsed="1" x14ac:dyDescent="0.35">
      <c r="A79" s="7"/>
      <c r="B79" s="20" t="str">
        <f>CONCATENATE("     ","Supplies                                          ")</f>
        <v xml:space="preserve">     Supplies                                          </v>
      </c>
      <c r="C79" s="7"/>
      <c r="D79" s="1">
        <f>SUM(OSRRefD21_14x_0)</f>
        <v>23811.739999999998</v>
      </c>
      <c r="E79" s="19"/>
      <c r="F79" s="1">
        <f>SUM(OSRRefF21_14x_0)</f>
        <v>23943.4</v>
      </c>
      <c r="G79" s="4"/>
      <c r="H79" s="1">
        <f>SUM(OSRRefH21_14x_0)</f>
        <v>23561.59</v>
      </c>
      <c r="I79" s="4"/>
      <c r="J79" s="1">
        <f>SUM(OSRRefJ21_14x_0)</f>
        <v>18818.98</v>
      </c>
      <c r="K79" s="4"/>
      <c r="L79" s="1">
        <f>SUM(OSRRefL21_14x_0)</f>
        <v>24703.56</v>
      </c>
      <c r="M79" s="4"/>
      <c r="N79" s="1">
        <f>SUM(OSRRefN21_14x_0)</f>
        <v>11997.33</v>
      </c>
      <c r="O79" s="4"/>
      <c r="P79" s="1">
        <f>SUM(OSRRefP21_14x_0)</f>
        <v>0</v>
      </c>
      <c r="Q79" s="4"/>
      <c r="R79" s="1">
        <f>SUM(OSRRefR21_14x_0)</f>
        <v>8225</v>
      </c>
    </row>
    <row r="80" spans="1:18" s="16" customFormat="1" hidden="1" outlineLevel="2" x14ac:dyDescent="0.35">
      <c r="B80" s="11" t="str">
        <f>CONCATENATE("          ", "6234", " - ", "EXPENDABLE SUPPLIES &amp; EQUIPMEN")</f>
        <v xml:space="preserve">          6234 - EXPENDABLE SUPPLIES &amp; EQUIPMEN</v>
      </c>
      <c r="D80" s="2">
        <v>8.7899999999999991</v>
      </c>
      <c r="F80" s="2"/>
      <c r="G80" s="3"/>
      <c r="H80" s="2">
        <v>1787.4</v>
      </c>
      <c r="I80" s="3"/>
      <c r="J80" s="2"/>
      <c r="K80" s="3"/>
      <c r="L80" s="2"/>
      <c r="M80" s="3"/>
      <c r="N80" s="2"/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"6235", " - ", "COVID-19 EXPENSES")</f>
        <v xml:space="preserve">          6235 - COVID-19 EXPENSES</v>
      </c>
      <c r="D81" s="2"/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0</v>
      </c>
      <c r="Q81" s="3"/>
      <c r="R81" s="2">
        <v>1075</v>
      </c>
    </row>
    <row r="82" spans="1:18" s="16" customFormat="1" hidden="1" outlineLevel="2" x14ac:dyDescent="0.35">
      <c r="B82" s="11" t="str">
        <f>CONCATENATE("          ", "6237", " - ", "JANITORIAL SUPPLIES")</f>
        <v xml:space="preserve">          6237 - JANITORIAL SUPPLIES</v>
      </c>
      <c r="D82" s="2">
        <v>295.33999999999997</v>
      </c>
      <c r="F82" s="2">
        <v>1653.03</v>
      </c>
      <c r="G82" s="3"/>
      <c r="H82" s="2">
        <v>1246.43</v>
      </c>
      <c r="I82" s="3"/>
      <c r="J82" s="2">
        <v>419.54</v>
      </c>
      <c r="K82" s="3"/>
      <c r="L82" s="2">
        <v>2297.12</v>
      </c>
      <c r="M82" s="3"/>
      <c r="N82" s="2">
        <v>2140.12</v>
      </c>
      <c r="O82" s="3"/>
      <c r="P82" s="2">
        <v>0</v>
      </c>
      <c r="Q82" s="3"/>
      <c r="R82" s="2">
        <v>1550</v>
      </c>
    </row>
    <row r="83" spans="1:18" s="16" customFormat="1" hidden="1" outlineLevel="2" x14ac:dyDescent="0.35">
      <c r="B83" s="11" t="str">
        <f>CONCATENATE("          ", "6239", " - ", "KITCHEN SUPPLIES")</f>
        <v xml:space="preserve">          6239 - KITCHEN SUPPLIES</v>
      </c>
      <c r="D83" s="2">
        <v>1118.47</v>
      </c>
      <c r="F83" s="2">
        <v>7850.78</v>
      </c>
      <c r="G83" s="3"/>
      <c r="H83" s="2">
        <v>5107.0600000000004</v>
      </c>
      <c r="I83" s="3"/>
      <c r="J83" s="2">
        <v>2579.39</v>
      </c>
      <c r="K83" s="3"/>
      <c r="L83" s="2">
        <v>12674.34</v>
      </c>
      <c r="M83" s="3"/>
      <c r="N83" s="2">
        <v>4435.24</v>
      </c>
      <c r="O83" s="3"/>
      <c r="P83" s="2">
        <v>0</v>
      </c>
      <c r="Q83" s="3"/>
      <c r="R83" s="2">
        <v>200</v>
      </c>
    </row>
    <row r="84" spans="1:18" s="16" customFormat="1" hidden="1" outlineLevel="2" x14ac:dyDescent="0.35">
      <c r="B84" s="11" t="str">
        <f>CONCATENATE("          ", "6241", " - ", "OFFICE EXPENSE")</f>
        <v xml:space="preserve">          6241 - OFFICE EXPENSE</v>
      </c>
      <c r="D84" s="2">
        <v>1267.5899999999999</v>
      </c>
      <c r="F84" s="2">
        <v>878.41</v>
      </c>
      <c r="G84" s="3"/>
      <c r="H84" s="2">
        <v>1869.82</v>
      </c>
      <c r="I84" s="3"/>
      <c r="J84" s="2">
        <v>3939.98</v>
      </c>
      <c r="K84" s="3"/>
      <c r="L84" s="2">
        <v>1732.13</v>
      </c>
      <c r="M84" s="3"/>
      <c r="N84" s="2">
        <v>1415.33</v>
      </c>
      <c r="O84" s="3"/>
      <c r="P84" s="2">
        <v>0</v>
      </c>
      <c r="Q84" s="3"/>
      <c r="R84" s="2">
        <v>250</v>
      </c>
    </row>
    <row r="85" spans="1:18" s="16" customFormat="1" hidden="1" outlineLevel="2" x14ac:dyDescent="0.35">
      <c r="B85" s="11" t="str">
        <f>CONCATENATE("          ", "6243", " - ", "PAPER SUPPLIES")</f>
        <v xml:space="preserve">          6243 - PAPER SUPPLIES</v>
      </c>
      <c r="D85" s="2">
        <v>12112.96</v>
      </c>
      <c r="F85" s="2">
        <v>13247.29</v>
      </c>
      <c r="G85" s="3"/>
      <c r="H85" s="2">
        <v>16090.61</v>
      </c>
      <c r="I85" s="3"/>
      <c r="J85" s="2">
        <v>12203.89</v>
      </c>
      <c r="K85" s="3"/>
      <c r="L85" s="2">
        <v>6768.2</v>
      </c>
      <c r="M85" s="3"/>
      <c r="N85" s="2">
        <v>5057.43</v>
      </c>
      <c r="O85" s="3"/>
      <c r="P85" s="2">
        <v>0</v>
      </c>
      <c r="Q85" s="3"/>
      <c r="R85" s="2">
        <v>2850</v>
      </c>
    </row>
    <row r="86" spans="1:18" s="16" customFormat="1" hidden="1" outlineLevel="2" x14ac:dyDescent="0.35">
      <c r="B86" s="11" t="str">
        <f>CONCATENATE("          ", "6245", " - ", "PRINTING")</f>
        <v xml:space="preserve">          6245 - PRINTING</v>
      </c>
      <c r="D86" s="2"/>
      <c r="F86" s="2">
        <v>172.46</v>
      </c>
      <c r="G86" s="3"/>
      <c r="H86" s="2"/>
      <c r="I86" s="3"/>
      <c r="J86" s="2">
        <v>6.04</v>
      </c>
      <c r="K86" s="3"/>
      <c r="L86" s="2">
        <v>189.94</v>
      </c>
      <c r="M86" s="3"/>
      <c r="N86" s="2">
        <v>66.930000000000007</v>
      </c>
      <c r="O86" s="3"/>
      <c r="P86" s="2">
        <v>0</v>
      </c>
      <c r="Q86" s="3"/>
      <c r="R86" s="2">
        <v>1000</v>
      </c>
    </row>
    <row r="87" spans="1:18" s="16" customFormat="1" hidden="1" outlineLevel="2" x14ac:dyDescent="0.35">
      <c r="B87" s="11" t="str">
        <f>CONCATENATE("          ", "6246", " - ", "REPLACEMENTS")</f>
        <v xml:space="preserve">          6246 - REPLACEMENTS</v>
      </c>
      <c r="D87" s="2"/>
      <c r="F87" s="2"/>
      <c r="G87" s="3"/>
      <c r="H87" s="2"/>
      <c r="I87" s="3"/>
      <c r="J87" s="2"/>
      <c r="K87" s="3"/>
      <c r="L87" s="2"/>
      <c r="M87" s="3"/>
      <c r="N87" s="2"/>
      <c r="O87" s="3"/>
      <c r="P87" s="2">
        <v>0</v>
      </c>
      <c r="Q87" s="3"/>
      <c r="R87" s="2"/>
    </row>
    <row r="88" spans="1:18" s="16" customFormat="1" hidden="1" outlineLevel="2" x14ac:dyDescent="0.35">
      <c r="B88" s="11" t="str">
        <f>CONCATENATE("          ", "6247", " - ", "STORE SUPPLIES")</f>
        <v xml:space="preserve">          6247 - STORE SUPPLIES</v>
      </c>
      <c r="D88" s="2">
        <v>9008.59</v>
      </c>
      <c r="F88" s="2">
        <v>-62.45</v>
      </c>
      <c r="G88" s="3"/>
      <c r="H88" s="2">
        <v>-3039.71</v>
      </c>
      <c r="I88" s="3"/>
      <c r="J88" s="2">
        <v>-1581.67</v>
      </c>
      <c r="K88" s="3"/>
      <c r="L88" s="2">
        <v>645.72</v>
      </c>
      <c r="M88" s="3"/>
      <c r="N88" s="2">
        <v>-1251.8</v>
      </c>
      <c r="O88" s="3"/>
      <c r="P88" s="2">
        <v>0</v>
      </c>
      <c r="Q88" s="3"/>
      <c r="R88" s="2"/>
    </row>
    <row r="89" spans="1:18" s="16" customFormat="1" hidden="1" outlineLevel="2" x14ac:dyDescent="0.35">
      <c r="B89" s="11" t="str">
        <f>CONCATENATE("          ", "6248", " - ", "UNIFORMS")</f>
        <v xml:space="preserve">          6248 - UNIFORMS</v>
      </c>
      <c r="D89" s="2"/>
      <c r="F89" s="2">
        <v>203.88</v>
      </c>
      <c r="G89" s="3"/>
      <c r="H89" s="2">
        <v>499.98</v>
      </c>
      <c r="I89" s="3"/>
      <c r="J89" s="2">
        <v>1251.81</v>
      </c>
      <c r="K89" s="3"/>
      <c r="L89" s="2">
        <v>396.11</v>
      </c>
      <c r="M89" s="3"/>
      <c r="N89" s="2">
        <v>134.08000000000001</v>
      </c>
      <c r="O89" s="3"/>
      <c r="P89" s="2">
        <v>0</v>
      </c>
      <c r="Q89" s="3"/>
      <c r="R89" s="2">
        <v>1300</v>
      </c>
    </row>
    <row r="90" spans="1:18" s="15" customFormat="1" outlineLevel="1" collapsed="1" x14ac:dyDescent="0.35">
      <c r="A90" s="7"/>
      <c r="B90" s="20" t="str">
        <f>CONCATENATE("     ","Telephone/Data Lines                              ")</f>
        <v xml:space="preserve">     Telephone/Data Lines                              </v>
      </c>
      <c r="C90" s="7"/>
      <c r="D90" s="1">
        <f>SUM(OSRRefD21_15x_0)</f>
        <v>776.11</v>
      </c>
      <c r="E90" s="19"/>
      <c r="F90" s="1">
        <f>SUM(OSRRefF21_15x_0)</f>
        <v>994.3</v>
      </c>
      <c r="G90" s="4"/>
      <c r="H90" s="1">
        <f>SUM(OSRRefH21_15x_0)</f>
        <v>950.8</v>
      </c>
      <c r="I90" s="4"/>
      <c r="J90" s="1">
        <f>SUM(OSRRefJ21_15x_0)</f>
        <v>1135.3499999999999</v>
      </c>
      <c r="K90" s="4"/>
      <c r="L90" s="1">
        <f>SUM(OSRRefL21_15x_0)</f>
        <v>1033.55</v>
      </c>
      <c r="M90" s="4"/>
      <c r="N90" s="1">
        <f>SUM(OSRRefN21_15x_0)</f>
        <v>1504.85</v>
      </c>
      <c r="O90" s="4"/>
      <c r="P90" s="1">
        <f>SUM(OSRRefP21_15x_0)</f>
        <v>0</v>
      </c>
      <c r="Q90" s="4"/>
      <c r="R90" s="1">
        <f>SUM(OSRRefR21_15x_0)</f>
        <v>1800</v>
      </c>
    </row>
    <row r="91" spans="1:18" s="16" customFormat="1" hidden="1" outlineLevel="2" x14ac:dyDescent="0.35">
      <c r="B91" s="11" t="str">
        <f>CONCATENATE("          ", "6309", " - ", "TELEPHONE")</f>
        <v xml:space="preserve">          6309 - TELEPHONE</v>
      </c>
      <c r="D91" s="2">
        <v>776.11</v>
      </c>
      <c r="F91" s="2">
        <v>994.3</v>
      </c>
      <c r="G91" s="3"/>
      <c r="H91" s="2">
        <v>950.8</v>
      </c>
      <c r="I91" s="3"/>
      <c r="J91" s="2">
        <v>1135.3499999999999</v>
      </c>
      <c r="K91" s="3"/>
      <c r="L91" s="2">
        <v>1033.55</v>
      </c>
      <c r="M91" s="3"/>
      <c r="N91" s="2">
        <v>1504.85</v>
      </c>
      <c r="O91" s="3"/>
      <c r="P91" s="2">
        <v>0</v>
      </c>
      <c r="Q91" s="3"/>
      <c r="R91" s="2">
        <v>1800</v>
      </c>
    </row>
    <row r="92" spans="1:18" s="15" customFormat="1" outlineLevel="1" collapsed="1" x14ac:dyDescent="0.35">
      <c r="A92" s="7"/>
      <c r="B92" s="20" t="str">
        <f>CONCATENATE("     ","Training                                          ")</f>
        <v xml:space="preserve">     Training                                          </v>
      </c>
      <c r="C92" s="7"/>
      <c r="D92" s="1">
        <f>SUM(OSRRefD21_16x_0)</f>
        <v>478.1</v>
      </c>
      <c r="E92" s="19"/>
      <c r="F92" s="1">
        <f>SUM(OSRRefF21_16x_0)</f>
        <v>756.8</v>
      </c>
      <c r="G92" s="4"/>
      <c r="H92" s="1">
        <f>SUM(OSRRefH21_16x_0)</f>
        <v>325</v>
      </c>
      <c r="I92" s="4"/>
      <c r="J92" s="1">
        <f>SUM(OSRRefJ21_16x_0)</f>
        <v>270</v>
      </c>
      <c r="K92" s="4"/>
      <c r="L92" s="1">
        <f>SUM(OSRRefL21_16x_0)</f>
        <v>361.14</v>
      </c>
      <c r="M92" s="4"/>
      <c r="N92" s="1">
        <f>SUM(OSRRefN21_16x_0)</f>
        <v>585.65</v>
      </c>
      <c r="O92" s="4"/>
      <c r="P92" s="1">
        <f>SUM(OSRRefP21_16x_0)</f>
        <v>0</v>
      </c>
      <c r="Q92" s="4"/>
      <c r="R92" s="1">
        <f>SUM(OSRRefR21_16x_0)</f>
        <v>400</v>
      </c>
    </row>
    <row r="93" spans="1:18" s="16" customFormat="1" hidden="1" outlineLevel="2" x14ac:dyDescent="0.35">
      <c r="B93" s="11" t="str">
        <f>CONCATENATE("          ", "6376", " - ", "TRAINING")</f>
        <v xml:space="preserve">          6376 - TRAINING</v>
      </c>
      <c r="D93" s="2">
        <v>478.1</v>
      </c>
      <c r="F93" s="2">
        <v>756.8</v>
      </c>
      <c r="G93" s="3"/>
      <c r="H93" s="2">
        <v>325</v>
      </c>
      <c r="I93" s="3"/>
      <c r="J93" s="2">
        <v>270</v>
      </c>
      <c r="K93" s="3"/>
      <c r="L93" s="2">
        <v>361.14</v>
      </c>
      <c r="M93" s="3"/>
      <c r="N93" s="2">
        <v>585.65</v>
      </c>
      <c r="O93" s="3"/>
      <c r="P93" s="2">
        <v>0</v>
      </c>
      <c r="Q93" s="3"/>
      <c r="R93" s="2">
        <v>400</v>
      </c>
    </row>
    <row r="94" spans="1:18" s="15" customFormat="1" outlineLevel="1" collapsed="1" x14ac:dyDescent="0.35">
      <c r="A94" s="7"/>
      <c r="B94" s="20" t="str">
        <f>CONCATENATE("     ","Travel                                            ")</f>
        <v xml:space="preserve">     Travel                                            </v>
      </c>
      <c r="C94" s="7"/>
      <c r="D94" s="1">
        <f>SUM(OSRRefD21_17x_0)</f>
        <v>0</v>
      </c>
      <c r="E94" s="19"/>
      <c r="F94" s="1">
        <f>SUM(OSRRefF21_17x_0)</f>
        <v>0</v>
      </c>
      <c r="G94" s="4"/>
      <c r="H94" s="1">
        <f>SUM(OSRRefH21_17x_0)</f>
        <v>0</v>
      </c>
      <c r="I94" s="4"/>
      <c r="J94" s="1">
        <f>SUM(OSRRefJ21_17x_0)</f>
        <v>0</v>
      </c>
      <c r="K94" s="4"/>
      <c r="L94" s="1">
        <f>SUM(OSRRefL21_17x_0)</f>
        <v>6.78</v>
      </c>
      <c r="M94" s="4"/>
      <c r="N94" s="1">
        <f>SUM(OSRRefN21_17x_0)</f>
        <v>0</v>
      </c>
      <c r="O94" s="4"/>
      <c r="P94" s="1">
        <f>SUM(OSRRefP21_17x_0)</f>
        <v>0</v>
      </c>
      <c r="Q94" s="4"/>
      <c r="R94" s="1">
        <f>SUM(OSRRefR21_17x_0)</f>
        <v>600</v>
      </c>
    </row>
    <row r="95" spans="1:18" s="16" customFormat="1" hidden="1" outlineLevel="2" x14ac:dyDescent="0.35">
      <c r="B95" s="11" t="str">
        <f>CONCATENATE("          ", "6292", " - ", "TRAVEL/CONFERENCE")</f>
        <v xml:space="preserve">          6292 - TRAVEL/CONFERENCE</v>
      </c>
      <c r="D95" s="2"/>
      <c r="F95" s="2"/>
      <c r="G95" s="3"/>
      <c r="H95" s="2"/>
      <c r="I95" s="3"/>
      <c r="J95" s="2"/>
      <c r="K95" s="3"/>
      <c r="L95" s="2">
        <v>6.78</v>
      </c>
      <c r="M95" s="3"/>
      <c r="N95" s="2"/>
      <c r="O95" s="3"/>
      <c r="P95" s="2">
        <v>0</v>
      </c>
      <c r="Q95" s="3"/>
      <c r="R95" s="2">
        <v>600</v>
      </c>
    </row>
    <row r="96" spans="1:18" s="15" customFormat="1" outlineLevel="1" collapsed="1" x14ac:dyDescent="0.35">
      <c r="A96" s="7"/>
      <c r="B96" s="20" t="str">
        <f>CONCATENATE("     ","Utilities                                         ")</f>
        <v xml:space="preserve">     Utilities                                         </v>
      </c>
      <c r="C96" s="7"/>
      <c r="D96" s="1">
        <f>SUM(OSRRefD21_18x_0)</f>
        <v>4612.8900000000003</v>
      </c>
      <c r="E96" s="19"/>
      <c r="F96" s="1">
        <f>SUM(OSRRefF21_18x_0)</f>
        <v>6162.29</v>
      </c>
      <c r="G96" s="4"/>
      <c r="H96" s="1">
        <f>SUM(OSRRefH21_18x_0)</f>
        <v>4869.71</v>
      </c>
      <c r="I96" s="4"/>
      <c r="J96" s="1">
        <f>SUM(OSRRefJ21_18x_0)</f>
        <v>3097.72</v>
      </c>
      <c r="K96" s="4"/>
      <c r="L96" s="1">
        <f>SUM(OSRRefL21_18x_0)</f>
        <v>3219.9</v>
      </c>
      <c r="M96" s="4"/>
      <c r="N96" s="1">
        <f>SUM(OSRRefN21_18x_0)</f>
        <v>4688</v>
      </c>
      <c r="O96" s="4"/>
      <c r="P96" s="1">
        <f>SUM(OSRRefP21_18x_0)</f>
        <v>0</v>
      </c>
      <c r="Q96" s="4"/>
      <c r="R96" s="1">
        <f>SUM(OSRRefR21_18x_0)</f>
        <v>2400</v>
      </c>
    </row>
    <row r="97" spans="1:18" s="16" customFormat="1" hidden="1" outlineLevel="2" x14ac:dyDescent="0.35">
      <c r="B97" s="11" t="str">
        <f>CONCATENATE("          ", "6274", " - ", "UTILITIES")</f>
        <v xml:space="preserve">          6274 - UTILITIES</v>
      </c>
      <c r="D97" s="2">
        <v>4612.8900000000003</v>
      </c>
      <c r="F97" s="2">
        <v>6162.29</v>
      </c>
      <c r="G97" s="3"/>
      <c r="H97" s="2">
        <v>4869.71</v>
      </c>
      <c r="I97" s="3"/>
      <c r="J97" s="2">
        <v>3097.72</v>
      </c>
      <c r="K97" s="3"/>
      <c r="L97" s="2">
        <v>3219.9</v>
      </c>
      <c r="M97" s="3"/>
      <c r="N97" s="2">
        <v>4688</v>
      </c>
      <c r="O97" s="3"/>
      <c r="P97" s="2">
        <v>0</v>
      </c>
      <c r="Q97" s="3"/>
      <c r="R97" s="2">
        <v>2400</v>
      </c>
    </row>
    <row r="98" spans="1:18" x14ac:dyDescent="0.35">
      <c r="A98" s="12"/>
      <c r="B98" s="12"/>
      <c r="C98" s="12"/>
      <c r="D98" s="1"/>
      <c r="F98" s="1"/>
      <c r="H98" s="1"/>
      <c r="J98" s="1"/>
      <c r="L98" s="1"/>
      <c r="N98" s="1"/>
      <c r="P98" s="1"/>
      <c r="R98" s="1"/>
    </row>
    <row r="99" spans="1:18" s="7" customFormat="1" x14ac:dyDescent="0.35">
      <c r="A99" s="36"/>
      <c r="B99" s="34" t="s">
        <v>295</v>
      </c>
      <c r="D99" s="6">
        <f>SUM(0)</f>
        <v>0</v>
      </c>
      <c r="E99" s="12"/>
      <c r="F99" s="6">
        <f>SUM(0)</f>
        <v>0</v>
      </c>
      <c r="G99" s="5"/>
      <c r="H99" s="6">
        <f>SUM(0)</f>
        <v>0</v>
      </c>
      <c r="I99" s="5"/>
      <c r="J99" s="6">
        <f>SUM(0)</f>
        <v>0</v>
      </c>
      <c r="K99" s="5"/>
      <c r="L99" s="6">
        <f>SUM(0)</f>
        <v>0</v>
      </c>
      <c r="M99" s="5"/>
      <c r="N99" s="6">
        <f>SUM(0)</f>
        <v>0</v>
      </c>
      <c r="O99" s="5"/>
      <c r="P99" s="6">
        <f>SUM(0)</f>
        <v>0</v>
      </c>
      <c r="Q99" s="5"/>
      <c r="R99" s="6">
        <f>SUM(0)</f>
        <v>0</v>
      </c>
    </row>
    <row r="100" spans="1:18" x14ac:dyDescent="0.35">
      <c r="A100" s="12"/>
      <c r="B100" s="7"/>
      <c r="C100" s="7"/>
      <c r="D100" s="6"/>
      <c r="F100" s="6"/>
      <c r="H100" s="6"/>
      <c r="J100" s="6"/>
      <c r="L100" s="6"/>
      <c r="N100" s="6"/>
      <c r="P100" s="6"/>
      <c r="R100" s="6"/>
    </row>
    <row r="101" spans="1:18" s="15" customFormat="1" x14ac:dyDescent="0.35">
      <c r="A101" s="7"/>
      <c r="B101" s="22" t="s">
        <v>279</v>
      </c>
      <c r="C101" s="22"/>
      <c r="D101" s="10">
        <f>+D22-D25+D99</f>
        <v>173805.67999999964</v>
      </c>
      <c r="E101" s="12"/>
      <c r="F101" s="10">
        <f>+F22-F25+F99</f>
        <v>146132.90999999992</v>
      </c>
      <c r="G101" s="5"/>
      <c r="H101" s="10">
        <f>+H22-H25+H99</f>
        <v>193883.02000000014</v>
      </c>
      <c r="I101" s="5"/>
      <c r="J101" s="10">
        <f>+J22-J25+J99</f>
        <v>133606.38000000012</v>
      </c>
      <c r="K101" s="5"/>
      <c r="L101" s="10">
        <f>+L22-L25+L99</f>
        <v>5355.2800000000279</v>
      </c>
      <c r="M101" s="5"/>
      <c r="N101" s="10">
        <f>+N22-N25+N99</f>
        <v>-116900.29999999993</v>
      </c>
      <c r="O101" s="5"/>
      <c r="P101" s="10">
        <f>+P22-P25+P99</f>
        <v>-88903</v>
      </c>
      <c r="Q101" s="5"/>
      <c r="R101" s="10">
        <f>+R22-R25+R99</f>
        <v>-98940.217325999984</v>
      </c>
    </row>
    <row r="102" spans="1:18" s="27" customFormat="1" x14ac:dyDescent="0.35">
      <c r="A102" s="18"/>
      <c r="B102" s="31"/>
      <c r="C102" s="18"/>
      <c r="D102" s="9">
        <f>IFERROR(D101/D10, 0)</f>
        <v>0.18635722485332665</v>
      </c>
      <c r="E102" s="18"/>
      <c r="F102" s="9">
        <f>IFERROR(F101/F10, 0)</f>
        <v>0.14120154488593989</v>
      </c>
      <c r="G102" s="14"/>
      <c r="H102" s="9">
        <f>IFERROR(H101/H10, 0)</f>
        <v>0.16712109657038865</v>
      </c>
      <c r="I102" s="14"/>
      <c r="J102" s="9">
        <f>IFERROR(J101/J10, 0)</f>
        <v>0.12512154284427179</v>
      </c>
      <c r="K102" s="14"/>
      <c r="L102" s="9">
        <f>IFERROR(L101/L10, 0)</f>
        <v>5.5595860591226729E-3</v>
      </c>
      <c r="M102" s="14"/>
      <c r="N102" s="9">
        <f>IFERROR(N101/N10, 0)</f>
        <v>-0.16205954781703705</v>
      </c>
      <c r="O102" s="14"/>
      <c r="P102" s="9">
        <f>IFERROR(P101/P10, 0)</f>
        <v>0</v>
      </c>
      <c r="Q102" s="14"/>
      <c r="R102" s="9">
        <f>IFERROR(R101/R10, 0)</f>
        <v>-0.19886121818006405</v>
      </c>
    </row>
    <row r="103" spans="1:18" s="27" customFormat="1" x14ac:dyDescent="0.35">
      <c r="A103" s="18"/>
      <c r="B103" s="31"/>
      <c r="C103" s="18"/>
      <c r="D103" s="13"/>
      <c r="E103" s="18"/>
      <c r="F103" s="13"/>
      <c r="G103" s="14"/>
      <c r="H103" s="13"/>
      <c r="I103" s="14"/>
      <c r="J103" s="13"/>
      <c r="K103" s="14"/>
      <c r="L103" s="13"/>
      <c r="M103" s="14"/>
      <c r="N103" s="13"/>
      <c r="O103" s="14"/>
      <c r="P103" s="13"/>
      <c r="Q103" s="14"/>
      <c r="R103" s="13"/>
    </row>
    <row r="104" spans="1:18" s="15" customFormat="1" x14ac:dyDescent="0.35">
      <c r="A104" s="37"/>
      <c r="B104" s="7" t="s">
        <v>127</v>
      </c>
      <c r="C104" s="7"/>
      <c r="D104" s="6">
        <v>202671.46</v>
      </c>
      <c r="E104" s="12"/>
      <c r="F104" s="6">
        <v>147328.62</v>
      </c>
      <c r="G104" s="5"/>
      <c r="H104" s="6">
        <v>155116.71</v>
      </c>
      <c r="I104" s="5"/>
      <c r="J104" s="6">
        <v>143314.85999999999</v>
      </c>
      <c r="K104" s="5"/>
      <c r="L104" s="6">
        <v>68657.77</v>
      </c>
      <c r="M104" s="5"/>
      <c r="N104" s="6">
        <v>109227.44</v>
      </c>
      <c r="O104" s="5"/>
      <c r="P104" s="6"/>
      <c r="Q104" s="5"/>
      <c r="R104" s="6">
        <v>56419</v>
      </c>
    </row>
    <row r="105" spans="1:18" x14ac:dyDescent="0.35">
      <c r="A105" s="12"/>
      <c r="B105" s="7"/>
      <c r="C105" s="7"/>
      <c r="D105" s="6"/>
      <c r="F105" s="6"/>
      <c r="H105" s="6"/>
      <c r="J105" s="6"/>
      <c r="L105" s="6"/>
      <c r="N105" s="6"/>
      <c r="P105" s="6"/>
      <c r="R105" s="6"/>
    </row>
    <row r="106" spans="1:18" s="15" customFormat="1" x14ac:dyDescent="0.35">
      <c r="A106" s="7"/>
      <c r="B106" s="22" t="s">
        <v>126</v>
      </c>
      <c r="C106" s="22"/>
      <c r="D106" s="10">
        <f>+D101-D104</f>
        <v>-28865.780000000348</v>
      </c>
      <c r="E106" s="12"/>
      <c r="F106" s="10">
        <f>+F101-F104</f>
        <v>-1195.7100000000792</v>
      </c>
      <c r="G106" s="5"/>
      <c r="H106" s="10">
        <f>+H101-H104</f>
        <v>38766.310000000143</v>
      </c>
      <c r="I106" s="5"/>
      <c r="J106" s="10">
        <f>+J101-J104</f>
        <v>-9708.479999999865</v>
      </c>
      <c r="K106" s="5"/>
      <c r="L106" s="10">
        <f>+L101-L104</f>
        <v>-63302.489999999976</v>
      </c>
      <c r="M106" s="5"/>
      <c r="N106" s="10">
        <f>+N101-N104</f>
        <v>-226127.73999999993</v>
      </c>
      <c r="O106" s="5"/>
      <c r="P106" s="10">
        <f>+P101-P104</f>
        <v>-88903</v>
      </c>
      <c r="Q106" s="5"/>
      <c r="R106" s="10">
        <f>+R101-R104</f>
        <v>-155359.21732599998</v>
      </c>
    </row>
    <row r="107" spans="1:18" s="27" customFormat="1" x14ac:dyDescent="0.35">
      <c r="A107" s="18"/>
      <c r="B107" s="18"/>
      <c r="C107" s="18"/>
      <c r="D107" s="9">
        <f>IFERROR(D106/D10, 0)</f>
        <v>-3.0950350149815214E-2</v>
      </c>
      <c r="E107" s="18"/>
      <c r="F107" s="9">
        <f>IFERROR(F106/F10, 0)</f>
        <v>-1.1553598654511052E-3</v>
      </c>
      <c r="G107" s="14"/>
      <c r="H107" s="9">
        <f>IFERROR(H106/H10, 0)</f>
        <v>3.3415346208180804E-2</v>
      </c>
      <c r="I107" s="14"/>
      <c r="J107" s="9">
        <f>IFERROR(J106/J10, 0)</f>
        <v>-9.0919310610222195E-3</v>
      </c>
      <c r="K107" s="14"/>
      <c r="L107" s="9">
        <f>IFERROR(L106/L10, 0)</f>
        <v>-6.571750513731317E-2</v>
      </c>
      <c r="M107" s="14"/>
      <c r="N107" s="9">
        <f>IFERROR(N106/N10, 0)</f>
        <v>-0.31348216636987702</v>
      </c>
      <c r="O107" s="14"/>
      <c r="P107" s="9">
        <f>IFERROR(P106/P10, 0)</f>
        <v>0</v>
      </c>
      <c r="Q107" s="14"/>
      <c r="R107" s="9">
        <f>IFERROR(R106/R10, 0)</f>
        <v>-0.31225849354214985</v>
      </c>
    </row>
    <row r="108" spans="1:18" s="27" customFormat="1" x14ac:dyDescent="0.35">
      <c r="A108" s="18"/>
      <c r="B108" s="18"/>
      <c r="C108" s="18"/>
      <c r="D108" s="13"/>
      <c r="E108" s="18"/>
      <c r="F108" s="13"/>
      <c r="G108" s="14"/>
      <c r="H108" s="13"/>
      <c r="I108" s="14"/>
      <c r="J108" s="13"/>
      <c r="K108" s="14"/>
      <c r="L108" s="13"/>
      <c r="M108" s="14"/>
      <c r="N108" s="13"/>
      <c r="O108" s="14"/>
      <c r="P108" s="13"/>
      <c r="Q108" s="14"/>
      <c r="R108" s="13"/>
    </row>
    <row r="109" spans="1:18" x14ac:dyDescent="0.35">
      <c r="A109" s="12"/>
      <c r="B109" s="12"/>
      <c r="C109" s="12"/>
      <c r="D109" s="6"/>
      <c r="F109" s="6"/>
      <c r="H109" s="6"/>
      <c r="J109" s="6"/>
      <c r="L109" s="6"/>
      <c r="N109" s="6"/>
      <c r="P109" s="6"/>
      <c r="R109" s="6"/>
    </row>
    <row r="110" spans="1:18" s="15" customFormat="1" x14ac:dyDescent="0.35">
      <c r="A110" s="7"/>
      <c r="B110" s="22" t="s">
        <v>296</v>
      </c>
      <c r="C110" s="22"/>
      <c r="D110" s="10">
        <f>SUM(D106:D109)</f>
        <v>-28865.810950350497</v>
      </c>
      <c r="E110" s="12"/>
      <c r="F110" s="10">
        <f>SUM(F106:F109)</f>
        <v>-1195.7111553599445</v>
      </c>
      <c r="G110" s="5"/>
      <c r="H110" s="10">
        <f>SUM(H106:H109)</f>
        <v>38766.343415346353</v>
      </c>
      <c r="I110" s="5"/>
      <c r="J110" s="10">
        <f>SUM(J106:J109)</f>
        <v>-9708.4890919309255</v>
      </c>
      <c r="K110" s="5"/>
      <c r="L110" s="10">
        <f>SUM(L106:L109)</f>
        <v>-63302.555717505114</v>
      </c>
      <c r="M110" s="5"/>
      <c r="N110" s="10">
        <f>SUM(N106:N109)</f>
        <v>-226128.05348216632</v>
      </c>
      <c r="O110" s="5"/>
      <c r="P110" s="10">
        <f>SUM(P106:P109)</f>
        <v>-88903</v>
      </c>
      <c r="Q110" s="5"/>
      <c r="R110" s="10">
        <f>SUM(R106:R109)</f>
        <v>-155359.52958449352</v>
      </c>
    </row>
    <row r="111" spans="1:18" s="27" customFormat="1" x14ac:dyDescent="0.35">
      <c r="A111" s="18"/>
      <c r="B111" s="41"/>
      <c r="C111" s="18"/>
      <c r="D111" s="9">
        <f>IFERROR(D110/D10, 0)</f>
        <v>-3.0950383335274757E-2</v>
      </c>
      <c r="E111" s="18"/>
      <c r="F111" s="9">
        <f>IFERROR(F110/F10, 0)</f>
        <v>-1.1553609818224816E-3</v>
      </c>
      <c r="G111" s="14"/>
      <c r="H111" s="9">
        <f>IFERROR(H110/H10, 0)</f>
        <v>3.3415375011163657E-2</v>
      </c>
      <c r="I111" s="14"/>
      <c r="J111" s="9">
        <f>IFERROR(J110/J10, 0)</f>
        <v>-9.0919395755590382E-3</v>
      </c>
      <c r="K111" s="14"/>
      <c r="L111" s="9">
        <f>IFERROR(L110/L10, 0)</f>
        <v>-6.5717573361967221E-2</v>
      </c>
      <c r="M111" s="14"/>
      <c r="N111" s="9">
        <f>IFERROR(N110/N10, 0)</f>
        <v>-0.31348260095197933</v>
      </c>
      <c r="O111" s="14"/>
      <c r="P111" s="9">
        <f>IFERROR(P110/P10, 0)</f>
        <v>0</v>
      </c>
      <c r="Q111" s="14"/>
      <c r="R111" s="9">
        <f>IFERROR(R110/R10, 0)</f>
        <v>-0.31225912115452115</v>
      </c>
    </row>
    <row r="112" spans="1:18" x14ac:dyDescent="0.35">
      <c r="A112" s="12"/>
      <c r="B112" s="40">
        <v>44319.883572604165</v>
      </c>
      <c r="D112" s="24"/>
      <c r="F112" s="24"/>
      <c r="H112" s="24"/>
      <c r="J112" s="24"/>
      <c r="L112" s="24"/>
      <c r="N112" s="24"/>
      <c r="P112" s="24"/>
      <c r="R112" s="24"/>
    </row>
    <row r="113" spans="1:18" x14ac:dyDescent="0.35">
      <c r="A113" s="12"/>
      <c r="B113" s="39" t="s">
        <v>23</v>
      </c>
      <c r="D113" s="24"/>
      <c r="F113" s="24"/>
      <c r="H113" s="24"/>
      <c r="J113" s="24"/>
      <c r="L113" s="24"/>
      <c r="N113" s="24"/>
      <c r="P113" s="24"/>
      <c r="R113" s="24"/>
    </row>
    <row r="114" spans="1:18" x14ac:dyDescent="0.35">
      <c r="A114" s="12"/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D115" s="24"/>
      <c r="F115" s="24"/>
      <c r="H115" s="24"/>
      <c r="J115" s="24"/>
      <c r="L115" s="24"/>
      <c r="N115" s="24"/>
      <c r="P115" s="24"/>
      <c r="R115" s="24"/>
    </row>
  </sheetData>
  <pageMargins left="0.5" right="0.5" top="0.5" bottom="0.5" header="0.3" footer="0.3"/>
  <pageSetup scale="59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","406", " - ", "OPA! Greek")</f>
        <v>Department 406 - OPA! Greek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197709.84</v>
      </c>
      <c r="F10" s="8">
        <f>SUM(OSRRefF11x_0)</f>
        <v>286581.42</v>
      </c>
      <c r="G10" s="8"/>
      <c r="H10" s="8">
        <f>SUM(OSRRefH11x_0)</f>
        <v>268115.20999999996</v>
      </c>
      <c r="I10" s="8"/>
      <c r="J10" s="8">
        <f>SUM(OSRRefJ11x_0)</f>
        <v>259676.36</v>
      </c>
      <c r="K10" s="8"/>
      <c r="L10" s="8">
        <f>SUM(OSRRefL11x_0)</f>
        <v>238803.84</v>
      </c>
      <c r="M10" s="8"/>
      <c r="N10" s="8">
        <f>SUM(OSRRefN11x_0)</f>
        <v>189965.58000000002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"4051", " - ", "TAXABLE SALES-FOOD")</f>
        <v xml:space="preserve">          4051 - TAXABLE SALES-FOOD</v>
      </c>
      <c r="D11" s="11">
        <f>-16731.34*-1</f>
        <v>16731.34</v>
      </c>
      <c r="F11" s="11">
        <f>-29874.07*-1</f>
        <v>29874.07</v>
      </c>
      <c r="G11" s="3"/>
      <c r="H11" s="11">
        <f>-39279.44*-1</f>
        <v>39279.440000000002</v>
      </c>
      <c r="I11" s="3"/>
      <c r="J11" s="11">
        <f>--73726.55</f>
        <v>73726.55</v>
      </c>
      <c r="K11" s="3"/>
      <c r="L11" s="11">
        <f>--60093.47</f>
        <v>60093.47</v>
      </c>
      <c r="M11" s="3"/>
      <c r="N11" s="11">
        <f>--43841.85</f>
        <v>43841.85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"4151", " - ", "NON-TAXABLE SALES-FOOD")</f>
        <v xml:space="preserve">          4151 - NON-TAXABLE SALES-FOOD</v>
      </c>
      <c r="D12" s="11">
        <f>-180978.5*-1</f>
        <v>180978.5</v>
      </c>
      <c r="F12" s="11">
        <f>-256707.35*-1</f>
        <v>256707.35</v>
      </c>
      <c r="G12" s="3"/>
      <c r="H12" s="11">
        <f>-228835.77*-1</f>
        <v>228835.77</v>
      </c>
      <c r="I12" s="3"/>
      <c r="J12" s="11">
        <f>--185949.81</f>
        <v>185949.81</v>
      </c>
      <c r="K12" s="3"/>
      <c r="L12" s="11">
        <f>--178710.37</f>
        <v>178710.37</v>
      </c>
      <c r="M12" s="3"/>
      <c r="N12" s="11">
        <f>--146123.73</f>
        <v>146123.73000000001</v>
      </c>
      <c r="O12" s="3"/>
      <c r="P12" s="11"/>
      <c r="Q12" s="3"/>
      <c r="R12" s="11"/>
    </row>
    <row r="13" spans="1:18" s="12" customFormat="1" x14ac:dyDescent="0.35">
      <c r="B13" s="7"/>
      <c r="D13" s="6"/>
      <c r="F13" s="6"/>
      <c r="G13" s="5"/>
      <c r="H13" s="6"/>
      <c r="I13" s="5"/>
      <c r="J13" s="6"/>
      <c r="K13" s="5"/>
      <c r="L13" s="6"/>
      <c r="M13" s="5"/>
      <c r="N13" s="6"/>
      <c r="O13" s="5"/>
      <c r="P13" s="6"/>
      <c r="Q13" s="5"/>
      <c r="R13" s="6"/>
    </row>
    <row r="14" spans="1:18" s="12" customFormat="1" collapsed="1" x14ac:dyDescent="0.35">
      <c r="B14" s="7" t="s">
        <v>278</v>
      </c>
      <c r="D14" s="8">
        <f>SUM(OSRRefD14x_0)</f>
        <v>74108.91</v>
      </c>
      <c r="E14" s="8"/>
      <c r="F14" s="8">
        <f>SUM(OSRRefF14x_0)</f>
        <v>97296.91</v>
      </c>
      <c r="G14" s="8"/>
      <c r="H14" s="8">
        <f>SUM(OSRRefH14x_0)</f>
        <v>98854.6</v>
      </c>
      <c r="I14" s="8"/>
      <c r="J14" s="8">
        <f>SUM(OSRRefJ14x_0)</f>
        <v>91092.87</v>
      </c>
      <c r="K14" s="8"/>
      <c r="L14" s="8">
        <f>SUM(OSRRefL14x_0)</f>
        <v>80093.45</v>
      </c>
      <c r="M14" s="8"/>
      <c r="N14" s="8">
        <f>SUM(OSRRefN14x_0)</f>
        <v>74645.56</v>
      </c>
      <c r="O14" s="8"/>
      <c r="P14" s="8">
        <f>SUM(OSRRefP14x_0)</f>
        <v>0</v>
      </c>
      <c r="Q14" s="8"/>
      <c r="R14" s="8">
        <f>SUM(OSRRefR14x_0)</f>
        <v>0</v>
      </c>
    </row>
    <row r="15" spans="1:18" s="44" customFormat="1" hidden="1" outlineLevel="1" x14ac:dyDescent="0.35">
      <c r="A15" s="16"/>
      <c r="B15" s="35" t="str">
        <f>CONCATENATE("          ", "5053", " - ", "PURCHASES @ COST-FOOD")</f>
        <v xml:space="preserve">          5053 - PURCHASES @ COST-FOOD</v>
      </c>
      <c r="C15" s="16"/>
      <c r="D15" s="11">
        <v>73854.81</v>
      </c>
      <c r="E15" s="16"/>
      <c r="F15" s="11">
        <v>97223</v>
      </c>
      <c r="G15" s="3"/>
      <c r="H15" s="11">
        <v>98854.6</v>
      </c>
      <c r="I15" s="3"/>
      <c r="J15" s="11">
        <v>90992.87</v>
      </c>
      <c r="K15" s="3"/>
      <c r="L15" s="11">
        <v>81442.45</v>
      </c>
      <c r="M15" s="3"/>
      <c r="N15" s="11">
        <v>69616.179999999993</v>
      </c>
      <c r="O15" s="3"/>
      <c r="P15" s="11"/>
      <c r="Q15" s="3"/>
      <c r="R15" s="11"/>
    </row>
    <row r="16" spans="1:18" s="44" customFormat="1" hidden="1" outlineLevel="1" x14ac:dyDescent="0.35">
      <c r="A16" s="16"/>
      <c r="B16" s="35" t="str">
        <f>CONCATENATE("          ", "5059", " - ", "PURCHASES @ COST-FOOD")</f>
        <v xml:space="preserve">          5059 - PURCHASES @ COST-FOOD</v>
      </c>
      <c r="C16" s="16"/>
      <c r="D16" s="11">
        <v>254.1</v>
      </c>
      <c r="E16" s="16"/>
      <c r="F16" s="11">
        <v>73.91</v>
      </c>
      <c r="G16" s="3"/>
      <c r="H16" s="11"/>
      <c r="I16" s="3"/>
      <c r="J16" s="11">
        <v>100</v>
      </c>
      <c r="K16" s="3"/>
      <c r="L16" s="11">
        <v>-1349</v>
      </c>
      <c r="M16" s="3"/>
      <c r="N16" s="11">
        <v>5029.38</v>
      </c>
      <c r="O16" s="3"/>
      <c r="P16" s="11"/>
      <c r="Q16" s="3"/>
      <c r="R16" s="11"/>
    </row>
    <row r="17" spans="1:18" x14ac:dyDescent="0.35">
      <c r="A17" s="12"/>
      <c r="B17" s="7"/>
      <c r="C17" s="7"/>
      <c r="D17" s="6"/>
      <c r="F17" s="6"/>
      <c r="H17" s="6"/>
      <c r="J17" s="6"/>
      <c r="L17" s="6"/>
      <c r="N17" s="6"/>
      <c r="P17" s="6"/>
      <c r="R17" s="6"/>
    </row>
    <row r="18" spans="1:18" s="15" customFormat="1" x14ac:dyDescent="0.35">
      <c r="A18" s="7"/>
      <c r="B18" s="22" t="s">
        <v>107</v>
      </c>
      <c r="C18" s="22"/>
      <c r="D18" s="10">
        <f>+D10-D14</f>
        <v>123600.93</v>
      </c>
      <c r="E18" s="12"/>
      <c r="F18" s="10">
        <f>+F10-F14</f>
        <v>189284.50999999998</v>
      </c>
      <c r="G18" s="5"/>
      <c r="H18" s="10">
        <f>+H10-H14</f>
        <v>169260.60999999996</v>
      </c>
      <c r="I18" s="5"/>
      <c r="J18" s="10">
        <f>+J10-J14</f>
        <v>168583.49</v>
      </c>
      <c r="K18" s="5"/>
      <c r="L18" s="10">
        <f>+L10-L14</f>
        <v>158710.39000000001</v>
      </c>
      <c r="M18" s="5"/>
      <c r="N18" s="10">
        <f>+N10-N14</f>
        <v>115320.02000000002</v>
      </c>
      <c r="O18" s="5"/>
      <c r="P18" s="10">
        <f>+P10-P14</f>
        <v>0</v>
      </c>
      <c r="Q18" s="5"/>
      <c r="R18" s="10">
        <f>+R10-R14</f>
        <v>0</v>
      </c>
    </row>
    <row r="19" spans="1:18" s="27" customFormat="1" x14ac:dyDescent="0.35">
      <c r="A19" s="18"/>
      <c r="B19" s="31"/>
      <c r="C19" s="18"/>
      <c r="D19" s="9">
        <f>IFERROR(D18/D10, 0)</f>
        <v>0.62516326956715962</v>
      </c>
      <c r="E19" s="13"/>
      <c r="F19" s="9">
        <f>IFERROR(F18/F10, 0)</f>
        <v>0.66049121398030619</v>
      </c>
      <c r="G19" s="26"/>
      <c r="H19" s="9">
        <f>IFERROR(H18/H10, 0)</f>
        <v>0.63129805280349438</v>
      </c>
      <c r="I19" s="26"/>
      <c r="J19" s="9">
        <f>IFERROR(J18/J10, 0)</f>
        <v>0.64920615030186035</v>
      </c>
      <c r="K19" s="26"/>
      <c r="L19" s="9">
        <f>IFERROR(L18/L10, 0)</f>
        <v>0.66460568640772277</v>
      </c>
      <c r="M19" s="26"/>
      <c r="N19" s="9">
        <f>IFERROR(N18/N10, 0)</f>
        <v>0.60705744693328134</v>
      </c>
      <c r="O19" s="26"/>
      <c r="P19" s="9">
        <f>IFERROR(P18/P10, 0)</f>
        <v>0</v>
      </c>
      <c r="Q19" s="26"/>
      <c r="R19" s="9">
        <f>IFERROR(R18/R10, 0)</f>
        <v>0</v>
      </c>
    </row>
    <row r="20" spans="1:18" s="27" customFormat="1" x14ac:dyDescent="0.35">
      <c r="A20" s="18"/>
      <c r="B20" s="31"/>
      <c r="C20" s="18"/>
      <c r="D20" s="13"/>
      <c r="E20" s="13"/>
      <c r="F20" s="13"/>
      <c r="G20" s="26"/>
      <c r="H20" s="13"/>
      <c r="I20" s="26"/>
      <c r="J20" s="13"/>
      <c r="K20" s="26"/>
      <c r="L20" s="13"/>
      <c r="M20" s="26"/>
      <c r="N20" s="13"/>
      <c r="O20" s="26"/>
      <c r="P20" s="13"/>
      <c r="Q20" s="26"/>
      <c r="R20" s="13"/>
    </row>
    <row r="21" spans="1:18" s="15" customFormat="1" x14ac:dyDescent="0.35">
      <c r="A21" s="7"/>
      <c r="B21" s="34" t="s">
        <v>314</v>
      </c>
      <c r="C21" s="7"/>
      <c r="D21" s="8">
        <f>SUM(OSRRefD21x_0)</f>
        <v>162232.28999999992</v>
      </c>
      <c r="E21" s="19"/>
      <c r="F21" s="8">
        <f>SUM(OSRRefF21x_0)</f>
        <v>236004.50999999998</v>
      </c>
      <c r="G21" s="4"/>
      <c r="H21" s="8">
        <f>SUM(OSRRefH21x_0)</f>
        <v>233391.44000000006</v>
      </c>
      <c r="I21" s="4"/>
      <c r="J21" s="8">
        <f>SUM(OSRRefJ21x_0)</f>
        <v>198892.32</v>
      </c>
      <c r="K21" s="4"/>
      <c r="L21" s="8">
        <f>SUM(OSRRefL21x_0)</f>
        <v>208784.84000000003</v>
      </c>
      <c r="M21" s="4"/>
      <c r="N21" s="8">
        <f>SUM(OSRRefN21x_0)</f>
        <v>186226.26000000007</v>
      </c>
      <c r="O21" s="4"/>
      <c r="P21" s="8">
        <f>SUM(OSRRefP21x_0)</f>
        <v>5220</v>
      </c>
      <c r="Q21" s="4"/>
      <c r="R21" s="8">
        <f>SUM(OSRRefR21x_0)</f>
        <v>0</v>
      </c>
    </row>
    <row r="22" spans="1:18" s="15" customFormat="1" outlineLevel="1" collapsed="1" x14ac:dyDescent="0.35">
      <c r="A22" s="7"/>
      <c r="B22" s="20" t="str">
        <f>CONCATENATE("     ","*Benefits                                         ")</f>
        <v xml:space="preserve">     *Benefits                                         </v>
      </c>
      <c r="C22" s="7"/>
      <c r="D22" s="1">
        <f>SUM(OSRRefD21_0x_0)</f>
        <v>26293.829999999994</v>
      </c>
      <c r="E22" s="19"/>
      <c r="F22" s="1">
        <f>SUM(OSRRefF21_0x_0)</f>
        <v>42288.740000000005</v>
      </c>
      <c r="G22" s="4"/>
      <c r="H22" s="1">
        <f>SUM(OSRRefH21_0x_0)</f>
        <v>44951.62</v>
      </c>
      <c r="I22" s="4"/>
      <c r="J22" s="1">
        <f>SUM(OSRRefJ21_0x_0)</f>
        <v>22298.09</v>
      </c>
      <c r="K22" s="4"/>
      <c r="L22" s="1">
        <f>SUM(OSRRefL21_0x_0)</f>
        <v>22864.46</v>
      </c>
      <c r="M22" s="4"/>
      <c r="N22" s="1">
        <f>SUM(OSRRefN21_0x_0)</f>
        <v>21100.66</v>
      </c>
      <c r="O22" s="4"/>
      <c r="P22" s="1">
        <f>SUM(OSRRefP21_0x_0)</f>
        <v>0</v>
      </c>
      <c r="Q22" s="4"/>
      <c r="R22" s="1">
        <f>SUM(OSRRefR21_0x_0)</f>
        <v>0</v>
      </c>
    </row>
    <row r="23" spans="1:18" s="16" customFormat="1" hidden="1" outlineLevel="2" x14ac:dyDescent="0.35">
      <c r="B23" s="11" t="str">
        <f>CONCATENATE("          ", "6111", " - ", "F.I.C.A.")</f>
        <v xml:space="preserve">          6111 - F.I.C.A.</v>
      </c>
      <c r="D23" s="2">
        <v>4297.28</v>
      </c>
      <c r="F23" s="2">
        <v>6033.85</v>
      </c>
      <c r="G23" s="3"/>
      <c r="H23" s="2">
        <v>5785.44</v>
      </c>
      <c r="I23" s="3"/>
      <c r="J23" s="2">
        <v>6671.66</v>
      </c>
      <c r="K23" s="3"/>
      <c r="L23" s="2">
        <v>6673.29</v>
      </c>
      <c r="M23" s="3"/>
      <c r="N23" s="2">
        <v>6831.57</v>
      </c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"6112", " - ", "COMPENSATION INSURANCE")</f>
        <v xml:space="preserve">          6112 - COMPENSATION INSURANCE</v>
      </c>
      <c r="D24" s="2">
        <v>2070.98</v>
      </c>
      <c r="F24" s="2">
        <v>4639.78</v>
      </c>
      <c r="G24" s="3"/>
      <c r="H24" s="2">
        <v>5130.22</v>
      </c>
      <c r="I24" s="3"/>
      <c r="J24" s="2">
        <v>3386.81</v>
      </c>
      <c r="K24" s="3"/>
      <c r="L24" s="2">
        <v>4869.6899999999996</v>
      </c>
      <c r="M24" s="3"/>
      <c r="N24" s="2">
        <v>4016.54</v>
      </c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"6113", " - ", "GROUP INSURANCE")</f>
        <v xml:space="preserve">          6113 - GROUP INSURANCE</v>
      </c>
      <c r="D25" s="2">
        <v>11507.72</v>
      </c>
      <c r="F25" s="2">
        <v>19540.439999999999</v>
      </c>
      <c r="G25" s="3"/>
      <c r="H25" s="2">
        <v>21517.919999999998</v>
      </c>
      <c r="I25" s="3"/>
      <c r="J25" s="2">
        <v>2171.4899999999998</v>
      </c>
      <c r="K25" s="3"/>
      <c r="L25" s="2">
        <v>399.24</v>
      </c>
      <c r="M25" s="3"/>
      <c r="N25" s="2">
        <v>2264.3200000000002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"6114", " - ", "STATE UNEMPLOYMENT INSURANCE")</f>
        <v xml:space="preserve">          6114 - STATE UNEMPLOYMENT INSURANCE</v>
      </c>
      <c r="D26" s="2">
        <v>589.98</v>
      </c>
      <c r="F26" s="2">
        <v>809.1</v>
      </c>
      <c r="G26" s="3"/>
      <c r="H26" s="2">
        <v>405.17</v>
      </c>
      <c r="I26" s="3"/>
      <c r="J26" s="2">
        <v>357.73</v>
      </c>
      <c r="K26" s="3"/>
      <c r="L26" s="2">
        <v>394.87</v>
      </c>
      <c r="M26" s="3"/>
      <c r="N26" s="2">
        <v>0</v>
      </c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"6115", " - ", "P.E.R.S.")</f>
        <v xml:space="preserve">          6115 - P.E.R.S.</v>
      </c>
      <c r="D27" s="2">
        <v>4036.99</v>
      </c>
      <c r="F27" s="2">
        <v>4297.62</v>
      </c>
      <c r="G27" s="3"/>
      <c r="H27" s="2">
        <v>4599.76</v>
      </c>
      <c r="I27" s="3"/>
      <c r="J27" s="2">
        <v>3260.29</v>
      </c>
      <c r="K27" s="3"/>
      <c r="L27" s="2">
        <v>3480.24</v>
      </c>
      <c r="M27" s="3"/>
      <c r="N27" s="2">
        <v>2839.06</v>
      </c>
      <c r="O27" s="3"/>
      <c r="P27" s="2"/>
      <c r="Q27" s="3"/>
      <c r="R27" s="2"/>
    </row>
    <row r="28" spans="1:18" s="16" customFormat="1" hidden="1" outlineLevel="2" x14ac:dyDescent="0.35">
      <c r="B28" s="11" t="str">
        <f>CONCATENATE("          ", "6118", " - ", "VACATION")</f>
        <v xml:space="preserve">          6118 - VACATION</v>
      </c>
      <c r="D28" s="2">
        <v>2004.42</v>
      </c>
      <c r="F28" s="2">
        <v>3312.09</v>
      </c>
      <c r="G28" s="3"/>
      <c r="H28" s="2">
        <v>3482.18</v>
      </c>
      <c r="I28" s="3"/>
      <c r="J28" s="2">
        <v>2174.0100000000002</v>
      </c>
      <c r="K28" s="3"/>
      <c r="L28" s="2">
        <v>2245.87</v>
      </c>
      <c r="M28" s="3"/>
      <c r="N28" s="2">
        <v>1634.87</v>
      </c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"6119", " - ", "SICK LEAVE")</f>
        <v xml:space="preserve">          6119 - SICK LEAVE</v>
      </c>
      <c r="D29" s="2">
        <v>1731.46</v>
      </c>
      <c r="F29" s="2">
        <v>2619.44</v>
      </c>
      <c r="G29" s="3"/>
      <c r="H29" s="2">
        <v>2232.88</v>
      </c>
      <c r="I29" s="3"/>
      <c r="J29" s="2">
        <v>2643.45</v>
      </c>
      <c r="K29" s="3"/>
      <c r="L29" s="2">
        <v>3047.25</v>
      </c>
      <c r="M29" s="3"/>
      <c r="N29" s="2">
        <v>1996.53</v>
      </c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"6156", " - ", "EMPLOYEE MEALS")</f>
        <v xml:space="preserve">          6156 - EMPLOYEE MEALS</v>
      </c>
      <c r="D30" s="2">
        <v>55</v>
      </c>
      <c r="F30" s="2">
        <v>1036.42</v>
      </c>
      <c r="G30" s="3"/>
      <c r="H30" s="2">
        <v>1798.05</v>
      </c>
      <c r="I30" s="3"/>
      <c r="J30" s="2">
        <v>1632.65</v>
      </c>
      <c r="K30" s="3"/>
      <c r="L30" s="2">
        <v>1754.01</v>
      </c>
      <c r="M30" s="3"/>
      <c r="N30" s="2">
        <v>1517.77</v>
      </c>
      <c r="O30" s="3"/>
      <c r="P30" s="2"/>
      <c r="Q30" s="3"/>
      <c r="R30" s="2"/>
    </row>
    <row r="31" spans="1:18" s="15" customFormat="1" outlineLevel="1" collapsed="1" x14ac:dyDescent="0.35">
      <c r="A31" s="7"/>
      <c r="B31" s="20" t="str">
        <f>CONCATENATE("     ","*Payroll                                          ")</f>
        <v xml:space="preserve">     *Payroll                                          </v>
      </c>
      <c r="C31" s="7"/>
      <c r="D31" s="1">
        <f>SUM(OSRRefD21_1x_0)</f>
        <v>81920.100000000006</v>
      </c>
      <c r="E31" s="19"/>
      <c r="F31" s="1">
        <f>SUM(OSRRefF21_1x_0)</f>
        <v>116380.69</v>
      </c>
      <c r="G31" s="4"/>
      <c r="H31" s="1">
        <f>SUM(OSRRefH21_1x_0)</f>
        <v>120775.62000000001</v>
      </c>
      <c r="I31" s="4"/>
      <c r="J31" s="1">
        <f>SUM(OSRRefJ21_1x_0)</f>
        <v>114930.77</v>
      </c>
      <c r="K31" s="4"/>
      <c r="L31" s="1">
        <f>SUM(OSRRefL21_1x_0)</f>
        <v>126147.51</v>
      </c>
      <c r="M31" s="4"/>
      <c r="N31" s="1">
        <f>SUM(OSRRefN21_1x_0)</f>
        <v>112168.78</v>
      </c>
      <c r="O31" s="4"/>
      <c r="P31" s="1">
        <f>SUM(OSRRefP21_1x_0)</f>
        <v>0</v>
      </c>
      <c r="Q31" s="4"/>
      <c r="R31" s="1">
        <f>SUM(OSRRefR21_1x_0)</f>
        <v>0</v>
      </c>
    </row>
    <row r="32" spans="1:18" s="16" customFormat="1" hidden="1" outlineLevel="2" x14ac:dyDescent="0.35">
      <c r="B32" s="11" t="str">
        <f>CONCATENATE("          ", "6002", " - ", "STAFF SALARIES")</f>
        <v xml:space="preserve">          6002 - STAFF SALARIES</v>
      </c>
      <c r="D32" s="2">
        <v>33563.82</v>
      </c>
      <c r="F32" s="2">
        <v>43439.12</v>
      </c>
      <c r="G32" s="3"/>
      <c r="H32" s="2">
        <v>44686.33</v>
      </c>
      <c r="I32" s="3"/>
      <c r="J32" s="2">
        <v>47385.42</v>
      </c>
      <c r="K32" s="3"/>
      <c r="L32" s="2">
        <v>54037.85</v>
      </c>
      <c r="M32" s="3"/>
      <c r="N32" s="2">
        <v>37546.44</v>
      </c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/>
      <c r="F33" s="2"/>
      <c r="G33" s="3"/>
      <c r="H33" s="2"/>
      <c r="I33" s="3"/>
      <c r="J33" s="2"/>
      <c r="K33" s="3"/>
      <c r="L33" s="2"/>
      <c r="M33" s="3"/>
      <c r="N33" s="2">
        <v>2484.31</v>
      </c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17372.650000000001</v>
      </c>
      <c r="F34" s="2">
        <v>28426.799999999999</v>
      </c>
      <c r="G34" s="3"/>
      <c r="H34" s="2">
        <v>15364.43</v>
      </c>
      <c r="I34" s="3"/>
      <c r="J34" s="2">
        <v>25921.48</v>
      </c>
      <c r="K34" s="3"/>
      <c r="L34" s="2">
        <v>25193.75</v>
      </c>
      <c r="M34" s="3"/>
      <c r="N34" s="2">
        <v>40119.120000000003</v>
      </c>
      <c r="O34" s="3"/>
      <c r="P34" s="2"/>
      <c r="Q34" s="3"/>
      <c r="R34" s="2"/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/>
      <c r="F35" s="2"/>
      <c r="G35" s="3"/>
      <c r="H35" s="2">
        <v>5137.76</v>
      </c>
      <c r="I35" s="3"/>
      <c r="J35" s="2">
        <v>7720.16</v>
      </c>
      <c r="K35" s="3"/>
      <c r="L35" s="2"/>
      <c r="M35" s="3"/>
      <c r="N35" s="2">
        <v>1294.4100000000001</v>
      </c>
      <c r="O35" s="3"/>
      <c r="P35" s="2"/>
      <c r="Q35" s="3"/>
      <c r="R35" s="2"/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26006.63</v>
      </c>
      <c r="F36" s="2">
        <v>36976.14</v>
      </c>
      <c r="G36" s="3"/>
      <c r="H36" s="2">
        <v>45836.12</v>
      </c>
      <c r="I36" s="3"/>
      <c r="J36" s="2">
        <v>29983.61</v>
      </c>
      <c r="K36" s="3"/>
      <c r="L36" s="2">
        <v>38043.46</v>
      </c>
      <c r="M36" s="3"/>
      <c r="N36" s="2">
        <v>28126.86</v>
      </c>
      <c r="O36" s="3"/>
      <c r="P36" s="2"/>
      <c r="Q36" s="3"/>
      <c r="R36" s="2"/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>
        <v>4977</v>
      </c>
      <c r="F37" s="2">
        <v>7538.63</v>
      </c>
      <c r="G37" s="3"/>
      <c r="H37" s="2">
        <v>9750.98</v>
      </c>
      <c r="I37" s="3"/>
      <c r="J37" s="2">
        <v>3920.1</v>
      </c>
      <c r="K37" s="3"/>
      <c r="L37" s="2">
        <v>8872.4500000000007</v>
      </c>
      <c r="M37" s="3"/>
      <c r="N37" s="2">
        <v>2597.64</v>
      </c>
      <c r="O37" s="3"/>
      <c r="P37" s="2"/>
      <c r="Q37" s="3"/>
      <c r="R37" s="2"/>
    </row>
    <row r="38" spans="1:18" s="15" customFormat="1" outlineLevel="1" collapsed="1" x14ac:dyDescent="0.35">
      <c r="A38" s="7"/>
      <c r="B38" s="20" t="str">
        <f>CONCATENATE("     ","Advertising/Promo                                 ")</f>
        <v xml:space="preserve">     Advertising/Promo                                 </v>
      </c>
      <c r="C38" s="7"/>
      <c r="D38" s="1">
        <f>SUM(OSRRefD21_2x_0)</f>
        <v>2472.98</v>
      </c>
      <c r="E38" s="19"/>
      <c r="F38" s="1">
        <f>SUM(OSRRefF21_2x_0)</f>
        <v>1748.31</v>
      </c>
      <c r="G38" s="4"/>
      <c r="H38" s="1">
        <f>SUM(OSRRefH21_2x_0)</f>
        <v>3427.89</v>
      </c>
      <c r="I38" s="4"/>
      <c r="J38" s="1">
        <f>SUM(OSRRefJ21_2x_0)</f>
        <v>3278.05</v>
      </c>
      <c r="K38" s="4"/>
      <c r="L38" s="1">
        <f>SUM(OSRRefL21_2x_0)</f>
        <v>2992.32</v>
      </c>
      <c r="M38" s="4"/>
      <c r="N38" s="1">
        <f>SUM(OSRRefN21_2x_0)</f>
        <v>3228.7</v>
      </c>
      <c r="O38" s="4"/>
      <c r="P38" s="1">
        <f>SUM(OSRRefP21_2x_0)</f>
        <v>0</v>
      </c>
      <c r="Q38" s="4"/>
      <c r="R38" s="1">
        <f>SUM(OSRRefR21_2x_0)</f>
        <v>0</v>
      </c>
    </row>
    <row r="39" spans="1:18" s="16" customFormat="1" hidden="1" outlineLevel="2" x14ac:dyDescent="0.35">
      <c r="B39" s="11" t="str">
        <f>CONCATENATE("          ", "6362", " - ", "ADVERTISING EXPENSE")</f>
        <v xml:space="preserve">          6362 - ADVERTISING EXPENSE</v>
      </c>
      <c r="D39" s="2">
        <v>2472.98</v>
      </c>
      <c r="F39" s="2">
        <v>1748.31</v>
      </c>
      <c r="G39" s="3"/>
      <c r="H39" s="2">
        <v>3427.89</v>
      </c>
      <c r="I39" s="3"/>
      <c r="J39" s="2">
        <v>3278.05</v>
      </c>
      <c r="K39" s="3"/>
      <c r="L39" s="2">
        <v>2992.32</v>
      </c>
      <c r="M39" s="3"/>
      <c r="N39" s="2">
        <v>3228.7</v>
      </c>
      <c r="O39" s="3"/>
      <c r="P39" s="2"/>
      <c r="Q39" s="3"/>
      <c r="R39" s="2"/>
    </row>
    <row r="40" spans="1:18" s="15" customFormat="1" outlineLevel="1" collapsed="1" x14ac:dyDescent="0.35">
      <c r="A40" s="7"/>
      <c r="B40" s="20" t="str">
        <f>CONCATENATE("     ","Bad Debts/Over/Short                              ")</f>
        <v xml:space="preserve">     Bad Debts/Over/Short                              </v>
      </c>
      <c r="C40" s="7"/>
      <c r="D40" s="1">
        <f>SUM(OSRRefD21_3x_0)</f>
        <v>24.23</v>
      </c>
      <c r="E40" s="19"/>
      <c r="F40" s="1">
        <f>SUM(OSRRefF21_3x_0)</f>
        <v>-18.73</v>
      </c>
      <c r="G40" s="4"/>
      <c r="H40" s="1">
        <f>SUM(OSRRefH21_3x_0)</f>
        <v>-30.52</v>
      </c>
      <c r="I40" s="4"/>
      <c r="J40" s="1">
        <f>SUM(OSRRefJ21_3x_0)</f>
        <v>103.37</v>
      </c>
      <c r="K40" s="4"/>
      <c r="L40" s="1">
        <f>SUM(OSRRefL21_3x_0)</f>
        <v>512.79</v>
      </c>
      <c r="M40" s="4"/>
      <c r="N40" s="1">
        <f>SUM(OSRRefN21_3x_0)</f>
        <v>-42.37</v>
      </c>
      <c r="O40" s="4"/>
      <c r="P40" s="1">
        <f>SUM(OSRRefP21_3x_0)</f>
        <v>0</v>
      </c>
      <c r="Q40" s="4"/>
      <c r="R40" s="1">
        <f>SUM(OSRRefR21_3x_0)</f>
        <v>0</v>
      </c>
    </row>
    <row r="41" spans="1:18" s="16" customFormat="1" hidden="1" outlineLevel="2" x14ac:dyDescent="0.35">
      <c r="B41" s="11" t="str">
        <f>CONCATENATE("          ", "6272", " - ", "CASH (OVER/SHORT)")</f>
        <v xml:space="preserve">          6272 - CASH (OVER/SHORT)</v>
      </c>
      <c r="D41" s="2">
        <v>24.23</v>
      </c>
      <c r="F41" s="2">
        <v>-18.73</v>
      </c>
      <c r="G41" s="3"/>
      <c r="H41" s="2">
        <v>-30.52</v>
      </c>
      <c r="I41" s="3"/>
      <c r="J41" s="2">
        <v>103.37</v>
      </c>
      <c r="K41" s="3"/>
      <c r="L41" s="2">
        <v>512.79</v>
      </c>
      <c r="M41" s="3"/>
      <c r="N41" s="2">
        <v>-42.37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","Bank/card Fees                                    ")</f>
        <v xml:space="preserve">     Bank/card Fees                                    </v>
      </c>
      <c r="C42" s="7"/>
      <c r="D42" s="1">
        <f>SUM(OSRRefD21_4x_0)</f>
        <v>7053.29</v>
      </c>
      <c r="E42" s="19"/>
      <c r="F42" s="1">
        <f>SUM(OSRRefF21_4x_0)</f>
        <v>8742.84</v>
      </c>
      <c r="G42" s="4"/>
      <c r="H42" s="1">
        <f>SUM(OSRRefH21_4x_0)</f>
        <v>9800.67</v>
      </c>
      <c r="I42" s="4"/>
      <c r="J42" s="1">
        <f>SUM(OSRRefJ21_4x_0)</f>
        <v>10216.64</v>
      </c>
      <c r="K42" s="4"/>
      <c r="L42" s="1">
        <f>SUM(OSRRefL21_4x_0)</f>
        <v>9380.76</v>
      </c>
      <c r="M42" s="4"/>
      <c r="N42" s="1">
        <f>SUM(OSRRefN21_4x_0)</f>
        <v>7084.51</v>
      </c>
      <c r="O42" s="4"/>
      <c r="P42" s="1">
        <f>SUM(OSRRefP21_4x_0)</f>
        <v>0</v>
      </c>
      <c r="Q42" s="4"/>
      <c r="R42" s="1">
        <f>SUM(OSRRefR21_4x_0)</f>
        <v>0</v>
      </c>
    </row>
    <row r="43" spans="1:18" s="16" customFormat="1" hidden="1" outlineLevel="2" x14ac:dyDescent="0.35">
      <c r="B43" s="11" t="str">
        <f>CONCATENATE("          ", "6381", " - ", "BANK/CREDIT CARD FEES")</f>
        <v xml:space="preserve">          6381 - BANK/CREDIT CARD FEES</v>
      </c>
      <c r="D43" s="2">
        <v>7053.29</v>
      </c>
      <c r="F43" s="2">
        <v>8742.84</v>
      </c>
      <c r="G43" s="3"/>
      <c r="H43" s="2">
        <v>9800.67</v>
      </c>
      <c r="I43" s="3"/>
      <c r="J43" s="2">
        <v>10216.64</v>
      </c>
      <c r="K43" s="3"/>
      <c r="L43" s="2">
        <v>9380.76</v>
      </c>
      <c r="M43" s="3"/>
      <c r="N43" s="2">
        <v>7084.51</v>
      </c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","Depreciation                                      ")</f>
        <v xml:space="preserve">     Depreciation                                      </v>
      </c>
      <c r="C44" s="7"/>
      <c r="D44" s="1">
        <f>SUM(OSRRefD21_5x_0)</f>
        <v>7975.64</v>
      </c>
      <c r="E44" s="19"/>
      <c r="F44" s="1">
        <f>SUM(OSRRefF21_5x_0)</f>
        <v>31877.55</v>
      </c>
      <c r="G44" s="4"/>
      <c r="H44" s="1">
        <f>SUM(OSRRefH21_5x_0)</f>
        <v>32953.49</v>
      </c>
      <c r="I44" s="4"/>
      <c r="J44" s="1">
        <f>SUM(OSRRefJ21_5x_0)</f>
        <v>33312.129999999997</v>
      </c>
      <c r="K44" s="4"/>
      <c r="L44" s="1">
        <f>SUM(OSRRefL21_5x_0)</f>
        <v>33312.129999999997</v>
      </c>
      <c r="M44" s="4"/>
      <c r="N44" s="1">
        <f>SUM(OSRRefN21_5x_0)</f>
        <v>25336.48</v>
      </c>
      <c r="O44" s="4"/>
      <c r="P44" s="1">
        <f>SUM(OSRRefP21_5x_0)</f>
        <v>5220</v>
      </c>
      <c r="Q44" s="4"/>
      <c r="R44" s="1">
        <f>SUM(OSRRefR21_5x_0)</f>
        <v>0</v>
      </c>
    </row>
    <row r="45" spans="1:18" s="16" customFormat="1" hidden="1" outlineLevel="2" x14ac:dyDescent="0.35">
      <c r="B45" s="11" t="str">
        <f>CONCATENATE("          ", "6322", " - ", "EQUIPMENT DEPRECIATION EXPENSE")</f>
        <v xml:space="preserve">          6322 - EQUIPMENT DEPRECIATION EXPENSE</v>
      </c>
      <c r="D45" s="2">
        <v>7975.64</v>
      </c>
      <c r="F45" s="2">
        <v>31877.55</v>
      </c>
      <c r="G45" s="3"/>
      <c r="H45" s="2">
        <v>32953.49</v>
      </c>
      <c r="I45" s="3"/>
      <c r="J45" s="2">
        <v>33312.129999999997</v>
      </c>
      <c r="K45" s="3"/>
      <c r="L45" s="2">
        <v>33312.129999999997</v>
      </c>
      <c r="M45" s="3"/>
      <c r="N45" s="2">
        <v>25336.48</v>
      </c>
      <c r="O45" s="3"/>
      <c r="P45" s="2">
        <v>5220</v>
      </c>
      <c r="Q45" s="3"/>
      <c r="R45" s="2"/>
    </row>
    <row r="46" spans="1:18" s="15" customFormat="1" outlineLevel="1" collapsed="1" x14ac:dyDescent="0.35">
      <c r="A46" s="7"/>
      <c r="B46" s="20" t="str">
        <f>CONCATENATE("     ","Employees' Appreciation                           ")</f>
        <v xml:space="preserve">     Employees' Appreciation                           </v>
      </c>
      <c r="C46" s="7"/>
      <c r="D46" s="1">
        <f>SUM(OSRRefD21_6x_0)</f>
        <v>64.73</v>
      </c>
      <c r="E46" s="19"/>
      <c r="F46" s="1">
        <f>SUM(OSRRefF21_6x_0)</f>
        <v>69.13</v>
      </c>
      <c r="G46" s="4"/>
      <c r="H46" s="1">
        <f>SUM(OSRRefH21_6x_0)</f>
        <v>153.72999999999999</v>
      </c>
      <c r="I46" s="4"/>
      <c r="J46" s="1">
        <f>SUM(OSRRefJ21_6x_0)</f>
        <v>165.27</v>
      </c>
      <c r="K46" s="4"/>
      <c r="L46" s="1">
        <f>SUM(OSRRefL21_6x_0)</f>
        <v>133.54</v>
      </c>
      <c r="M46" s="4"/>
      <c r="N46" s="1">
        <f>SUM(OSRRefN21_6x_0)</f>
        <v>107.51</v>
      </c>
      <c r="O46" s="4"/>
      <c r="P46" s="1">
        <f>SUM(OSRRefP21_6x_0)</f>
        <v>0</v>
      </c>
      <c r="Q46" s="4"/>
      <c r="R46" s="1">
        <f>SUM(OSRRefR21_6x_0)</f>
        <v>0</v>
      </c>
    </row>
    <row r="47" spans="1:18" s="16" customFormat="1" hidden="1" outlineLevel="2" x14ac:dyDescent="0.35">
      <c r="B47" s="11" t="str">
        <f>CONCATENATE("          ", "6277", " - ", "EMPLOYEE APPRECIATION")</f>
        <v xml:space="preserve">          6277 - EMPLOYEE APPRECIATION</v>
      </c>
      <c r="D47" s="2">
        <v>64.73</v>
      </c>
      <c r="F47" s="2">
        <v>69.13</v>
      </c>
      <c r="G47" s="3"/>
      <c r="H47" s="2">
        <v>153.72999999999999</v>
      </c>
      <c r="I47" s="3"/>
      <c r="J47" s="2">
        <v>165.27</v>
      </c>
      <c r="K47" s="3"/>
      <c r="L47" s="2">
        <v>133.54</v>
      </c>
      <c r="M47" s="3"/>
      <c r="N47" s="2">
        <v>107.51</v>
      </c>
      <c r="O47" s="3"/>
      <c r="P47" s="2"/>
      <c r="Q47" s="3"/>
      <c r="R47" s="2"/>
    </row>
    <row r="48" spans="1:18" s="15" customFormat="1" outlineLevel="1" collapsed="1" x14ac:dyDescent="0.35">
      <c r="A48" s="7"/>
      <c r="B48" s="20" t="str">
        <f>CONCATENATE("     ","Equipment Rental                                  ")</f>
        <v xml:space="preserve">     Equipment Rental                                  </v>
      </c>
      <c r="C48" s="7"/>
      <c r="D48" s="1">
        <f>SUM(OSRRefD21_7x_0)</f>
        <v>0</v>
      </c>
      <c r="E48" s="19"/>
      <c r="F48" s="1">
        <f>SUM(OSRRefF21_7x_0)</f>
        <v>0</v>
      </c>
      <c r="G48" s="4"/>
      <c r="H48" s="1">
        <f>SUM(OSRRefH21_7x_0)</f>
        <v>0</v>
      </c>
      <c r="I48" s="4"/>
      <c r="J48" s="1">
        <f>SUM(OSRRefJ21_7x_0)</f>
        <v>0</v>
      </c>
      <c r="K48" s="4"/>
      <c r="L48" s="1">
        <f>SUM(OSRRefL21_7x_0)</f>
        <v>0</v>
      </c>
      <c r="M48" s="4"/>
      <c r="N48" s="1">
        <f>SUM(OSRRefN21_7x_0)</f>
        <v>1712.78</v>
      </c>
      <c r="O48" s="4"/>
      <c r="P48" s="1">
        <f>SUM(OSRRefP21_7x_0)</f>
        <v>0</v>
      </c>
      <c r="Q48" s="4"/>
      <c r="R48" s="1">
        <f>SUM(OSRRefR21_7x_0)</f>
        <v>0</v>
      </c>
    </row>
    <row r="49" spans="1:18" s="16" customFormat="1" hidden="1" outlineLevel="2" x14ac:dyDescent="0.35">
      <c r="B49" s="11" t="str">
        <f>CONCATENATE("          ", "6351", " - ", "EQUIPMENT RENTAL")</f>
        <v xml:space="preserve">          6351 - EQUIPMENT RENTAL</v>
      </c>
      <c r="D49" s="2"/>
      <c r="F49" s="2"/>
      <c r="G49" s="3"/>
      <c r="H49" s="2"/>
      <c r="I49" s="3"/>
      <c r="J49" s="2"/>
      <c r="K49" s="3"/>
      <c r="L49" s="2"/>
      <c r="M49" s="3"/>
      <c r="N49" s="2">
        <v>1712.78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","Freight out/Postage                               ")</f>
        <v xml:space="preserve">     Freight out/Postage                               </v>
      </c>
      <c r="C50" s="7"/>
      <c r="D50" s="1">
        <f>SUM(OSRRefD21_8x_0)</f>
        <v>0</v>
      </c>
      <c r="E50" s="19"/>
      <c r="F50" s="1">
        <f>SUM(OSRRefF21_8x_0)</f>
        <v>59.91</v>
      </c>
      <c r="G50" s="4"/>
      <c r="H50" s="1">
        <f>SUM(OSRRefH21_8x_0)</f>
        <v>0</v>
      </c>
      <c r="I50" s="4"/>
      <c r="J50" s="1">
        <f>SUM(OSRRefJ21_8x_0)</f>
        <v>0</v>
      </c>
      <c r="K50" s="4"/>
      <c r="L50" s="1">
        <f>SUM(OSRRefL21_8x_0)</f>
        <v>0</v>
      </c>
      <c r="M50" s="4"/>
      <c r="N50" s="1">
        <f>SUM(OSRRefN21_8x_0)</f>
        <v>0</v>
      </c>
      <c r="O50" s="4"/>
      <c r="P50" s="1">
        <f>SUM(OSRRefP21_8x_0)</f>
        <v>0</v>
      </c>
      <c r="Q50" s="4"/>
      <c r="R50" s="1">
        <f>SUM(OSRRefR21_8x_0)</f>
        <v>0</v>
      </c>
    </row>
    <row r="51" spans="1:18" s="16" customFormat="1" hidden="1" outlineLevel="2" x14ac:dyDescent="0.35">
      <c r="B51" s="11" t="str">
        <f>CONCATENATE("          ", "6307", " - ", "POSTAGE")</f>
        <v xml:space="preserve">          6307 - POSTAGE</v>
      </c>
      <c r="D51" s="2"/>
      <c r="F51" s="2">
        <v>59.91</v>
      </c>
      <c r="G51" s="3"/>
      <c r="H51" s="2"/>
      <c r="I51" s="3"/>
      <c r="J51" s="2"/>
      <c r="K51" s="3"/>
      <c r="L51" s="2"/>
      <c r="M51" s="3"/>
      <c r="N51" s="2"/>
      <c r="O51" s="3"/>
      <c r="P51" s="2"/>
      <c r="Q51" s="3"/>
      <c r="R51" s="2"/>
    </row>
    <row r="52" spans="1:18" s="15" customFormat="1" outlineLevel="1" collapsed="1" x14ac:dyDescent="0.35">
      <c r="A52" s="7"/>
      <c r="B52" s="20" t="str">
        <f>CONCATENATE("     ","General                                           ")</f>
        <v xml:space="preserve">     General                                           </v>
      </c>
      <c r="C52" s="7"/>
      <c r="D52" s="1">
        <f>SUM(OSRRefD21_9x_0)</f>
        <v>2615.5</v>
      </c>
      <c r="E52" s="19"/>
      <c r="F52" s="1">
        <f>SUM(OSRRefF21_9x_0)</f>
        <v>796.65</v>
      </c>
      <c r="G52" s="4"/>
      <c r="H52" s="1">
        <f>SUM(OSRRefH21_9x_0)</f>
        <v>2111.2600000000002</v>
      </c>
      <c r="I52" s="4"/>
      <c r="J52" s="1">
        <f>SUM(OSRRefJ21_9x_0)</f>
        <v>709</v>
      </c>
      <c r="K52" s="4"/>
      <c r="L52" s="1">
        <f>SUM(OSRRefL21_9x_0)</f>
        <v>769.2</v>
      </c>
      <c r="M52" s="4"/>
      <c r="N52" s="1">
        <f>SUM(OSRRefN21_9x_0)</f>
        <v>768.15</v>
      </c>
      <c r="O52" s="4"/>
      <c r="P52" s="1">
        <f>SUM(OSRRefP21_9x_0)</f>
        <v>0</v>
      </c>
      <c r="Q52" s="4"/>
      <c r="R52" s="1">
        <f>SUM(OSRRefR21_9x_0)</f>
        <v>0</v>
      </c>
    </row>
    <row r="53" spans="1:18" s="16" customFormat="1" hidden="1" outlineLevel="2" x14ac:dyDescent="0.35">
      <c r="B53" s="11" t="str">
        <f>CONCATENATE("          ", "6279", " - ", "GENERAL EXPENSE")</f>
        <v xml:space="preserve">          6279 - GENERAL EXPENSE</v>
      </c>
      <c r="D53" s="2">
        <v>2615.5</v>
      </c>
      <c r="F53" s="2">
        <v>796.65</v>
      </c>
      <c r="G53" s="3"/>
      <c r="H53" s="2">
        <v>2111.2600000000002</v>
      </c>
      <c r="I53" s="3"/>
      <c r="J53" s="2">
        <v>709</v>
      </c>
      <c r="K53" s="3"/>
      <c r="L53" s="2">
        <v>769.2</v>
      </c>
      <c r="M53" s="3"/>
      <c r="N53" s="2">
        <v>768.15</v>
      </c>
      <c r="O53" s="3"/>
      <c r="P53" s="2"/>
      <c r="Q53" s="3"/>
      <c r="R53" s="2"/>
    </row>
    <row r="54" spans="1:18" s="15" customFormat="1" outlineLevel="1" collapsed="1" x14ac:dyDescent="0.35">
      <c r="A54" s="7"/>
      <c r="B54" s="20" t="str">
        <f>CONCATENATE("     ","Repair and Maintenance                            ")</f>
        <v xml:space="preserve">     Repair and Maintenance                            </v>
      </c>
      <c r="C54" s="7"/>
      <c r="D54" s="1">
        <f>SUM(OSRRefD21_10x_0)</f>
        <v>7360.83</v>
      </c>
      <c r="E54" s="19"/>
      <c r="F54" s="1">
        <f>SUM(OSRRefF21_10x_0)</f>
        <v>2874.68</v>
      </c>
      <c r="G54" s="4"/>
      <c r="H54" s="1">
        <f>SUM(OSRRefH21_10x_0)</f>
        <v>8333.9000000000015</v>
      </c>
      <c r="I54" s="4"/>
      <c r="J54" s="1">
        <f>SUM(OSRRefJ21_10x_0)</f>
        <v>2918.62</v>
      </c>
      <c r="K54" s="4"/>
      <c r="L54" s="1">
        <f>SUM(OSRRefL21_10x_0)</f>
        <v>4842.8999999999996</v>
      </c>
      <c r="M54" s="4"/>
      <c r="N54" s="1">
        <f>SUM(OSRRefN21_10x_0)</f>
        <v>5563.88</v>
      </c>
      <c r="O54" s="4"/>
      <c r="P54" s="1">
        <f>SUM(OSRRefP21_10x_0)</f>
        <v>0</v>
      </c>
      <c r="Q54" s="4"/>
      <c r="R54" s="1">
        <f>SUM(OSRRefR21_10x_0)</f>
        <v>0</v>
      </c>
    </row>
    <row r="55" spans="1:18" s="16" customFormat="1" hidden="1" outlineLevel="2" x14ac:dyDescent="0.35">
      <c r="B55" s="11" t="str">
        <f>CONCATENATE("          ", "6371", " - ", "COMPUTER SOFTWARE MAINTENANCE")</f>
        <v xml:space="preserve">          6371 - COMPUTER SOFTWARE MAINTENANCE</v>
      </c>
      <c r="D55" s="2"/>
      <c r="F55" s="2"/>
      <c r="G55" s="3"/>
      <c r="H55" s="2">
        <v>2700</v>
      </c>
      <c r="I55" s="3"/>
      <c r="J55" s="2">
        <v>2103.75</v>
      </c>
      <c r="K55" s="3"/>
      <c r="L55" s="2"/>
      <c r="M55" s="3"/>
      <c r="N55" s="2">
        <v>2186.54</v>
      </c>
      <c r="O55" s="3"/>
      <c r="P55" s="2"/>
      <c r="Q55" s="3"/>
      <c r="R55" s="2"/>
    </row>
    <row r="56" spans="1:18" s="16" customFormat="1" hidden="1" outlineLevel="2" x14ac:dyDescent="0.35">
      <c r="B56" s="11" t="str">
        <f>CONCATENATE("          ", "6373", " - ", "MAINTENANCE CONTRACTS")</f>
        <v xml:space="preserve">          6373 - MAINTENANCE CONTRACTS</v>
      </c>
      <c r="D56" s="2">
        <v>1692.53</v>
      </c>
      <c r="F56" s="2">
        <v>945.62</v>
      </c>
      <c r="G56" s="3"/>
      <c r="H56" s="2">
        <v>178.05</v>
      </c>
      <c r="I56" s="3"/>
      <c r="J56" s="2">
        <v>323.64999999999998</v>
      </c>
      <c r="K56" s="3"/>
      <c r="L56" s="2">
        <v>663.96</v>
      </c>
      <c r="M56" s="3"/>
      <c r="N56" s="2">
        <v>978.86</v>
      </c>
      <c r="O56" s="3"/>
      <c r="P56" s="2"/>
      <c r="Q56" s="3"/>
      <c r="R56" s="2"/>
    </row>
    <row r="57" spans="1:18" s="16" customFormat="1" hidden="1" outlineLevel="2" x14ac:dyDescent="0.35">
      <c r="B57" s="11" t="str">
        <f>CONCATENATE("          ", "6375", " - ", "OUTSIDE REPAIRS &amp; MAINTENANCE")</f>
        <v xml:space="preserve">          6375 - OUTSIDE REPAIRS &amp; MAINTENANCE</v>
      </c>
      <c r="D57" s="2">
        <v>5668.3</v>
      </c>
      <c r="F57" s="2">
        <v>1929.06</v>
      </c>
      <c r="G57" s="3"/>
      <c r="H57" s="2">
        <v>5455.85</v>
      </c>
      <c r="I57" s="3"/>
      <c r="J57" s="2">
        <v>491.22</v>
      </c>
      <c r="K57" s="3"/>
      <c r="L57" s="2">
        <v>4178.9399999999996</v>
      </c>
      <c r="M57" s="3"/>
      <c r="N57" s="2">
        <v>2398.48</v>
      </c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","Royalty &amp; Commissions                             ")</f>
        <v xml:space="preserve">     Royalty &amp; Commissions                             </v>
      </c>
      <c r="C58" s="7"/>
      <c r="D58" s="1">
        <f>SUM(OSRRefD21_11x_0)</f>
        <v>15816.64</v>
      </c>
      <c r="E58" s="19"/>
      <c r="F58" s="1">
        <f>SUM(OSRRefF21_11x_0)</f>
        <v>22926.560000000001</v>
      </c>
      <c r="G58" s="4"/>
      <c r="H58" s="1">
        <f>SUM(OSRRefH21_11x_0)</f>
        <v>0</v>
      </c>
      <c r="I58" s="4"/>
      <c r="J58" s="1">
        <f>SUM(OSRRefJ21_11x_0)</f>
        <v>0</v>
      </c>
      <c r="K58" s="4"/>
      <c r="L58" s="1">
        <f>SUM(OSRRefL21_11x_0)</f>
        <v>0</v>
      </c>
      <c r="M58" s="4"/>
      <c r="N58" s="1">
        <f>SUM(OSRRefN21_11x_0)</f>
        <v>0</v>
      </c>
      <c r="O58" s="4"/>
      <c r="P58" s="1">
        <f>SUM(OSRRefP21_11x_0)</f>
        <v>0</v>
      </c>
      <c r="Q58" s="4"/>
      <c r="R58" s="1">
        <f>SUM(OSRRefR21_11x_0)</f>
        <v>0</v>
      </c>
    </row>
    <row r="59" spans="1:18" s="16" customFormat="1" hidden="1" outlineLevel="2" x14ac:dyDescent="0.35">
      <c r="B59" s="11" t="str">
        <f>CONCATENATE("          ", "6254", " - ", "ROYALTY &amp; COMMISSIONS")</f>
        <v xml:space="preserve">          6254 - ROYALTY &amp; COMMISSIONS</v>
      </c>
      <c r="D59" s="2">
        <v>15816.64</v>
      </c>
      <c r="F59" s="2">
        <v>22926.560000000001</v>
      </c>
      <c r="G59" s="3"/>
      <c r="H59" s="2"/>
      <c r="I59" s="3"/>
      <c r="J59" s="2"/>
      <c r="K59" s="3"/>
      <c r="L59" s="2"/>
      <c r="M59" s="3"/>
      <c r="N59" s="2"/>
      <c r="O59" s="3"/>
      <c r="P59" s="2"/>
      <c r="Q59" s="3"/>
      <c r="R59" s="2"/>
    </row>
    <row r="60" spans="1:18" s="15" customFormat="1" outlineLevel="1" collapsed="1" x14ac:dyDescent="0.35">
      <c r="A60" s="7"/>
      <c r="B60" s="20" t="str">
        <f>CONCATENATE("     ","Services                                          ")</f>
        <v xml:space="preserve">     Services                                          </v>
      </c>
      <c r="C60" s="7"/>
      <c r="D60" s="1">
        <f>SUM(OSRRefD21_12x_0)</f>
        <v>0</v>
      </c>
      <c r="E60" s="19"/>
      <c r="F60" s="1">
        <f>SUM(OSRRefF21_12x_0)</f>
        <v>1694.25</v>
      </c>
      <c r="G60" s="4"/>
      <c r="H60" s="1">
        <f>SUM(OSRRefH21_12x_0)</f>
        <v>2880.76</v>
      </c>
      <c r="I60" s="4"/>
      <c r="J60" s="1">
        <f>SUM(OSRRefJ21_12x_0)</f>
        <v>2319.79</v>
      </c>
      <c r="K60" s="4"/>
      <c r="L60" s="1">
        <f>SUM(OSRRefL21_12x_0)</f>
        <v>1981.58</v>
      </c>
      <c r="M60" s="4"/>
      <c r="N60" s="1">
        <f>SUM(OSRRefN21_12x_0)</f>
        <v>1739.62</v>
      </c>
      <c r="O60" s="4"/>
      <c r="P60" s="1">
        <f>SUM(OSRRefP21_12x_0)</f>
        <v>0</v>
      </c>
      <c r="Q60" s="4"/>
      <c r="R60" s="1">
        <f>SUM(OSRRefR21_12x_0)</f>
        <v>0</v>
      </c>
    </row>
    <row r="61" spans="1:18" s="16" customFormat="1" hidden="1" outlineLevel="2" x14ac:dyDescent="0.35">
      <c r="B61" s="11" t="str">
        <f>CONCATENATE("          ", "6284", " - ", "TRASH REMOVAL EXPENSE")</f>
        <v xml:space="preserve">          6284 - TRASH REMOVAL EXPENSE</v>
      </c>
      <c r="D61" s="2"/>
      <c r="F61" s="2"/>
      <c r="G61" s="3"/>
      <c r="H61" s="2"/>
      <c r="I61" s="3"/>
      <c r="J61" s="2"/>
      <c r="K61" s="3"/>
      <c r="L61" s="2"/>
      <c r="M61" s="3"/>
      <c r="N61" s="2"/>
      <c r="O61" s="3"/>
      <c r="P61" s="2"/>
      <c r="Q61" s="3"/>
      <c r="R61" s="2">
        <v>0</v>
      </c>
    </row>
    <row r="62" spans="1:18" s="16" customFormat="1" hidden="1" outlineLevel="2" x14ac:dyDescent="0.35">
      <c r="B62" s="11" t="str">
        <f>CONCATENATE("          ", "6285", " - ", "JANITORIAL SERVICES")</f>
        <v xml:space="preserve">          6285 - JANITORIAL SERVICES</v>
      </c>
      <c r="D62" s="2"/>
      <c r="F62" s="2">
        <v>1694.25</v>
      </c>
      <c r="G62" s="3"/>
      <c r="H62" s="2">
        <v>1742</v>
      </c>
      <c r="I62" s="3"/>
      <c r="J62" s="2">
        <v>1484.04</v>
      </c>
      <c r="K62" s="3"/>
      <c r="L62" s="2">
        <v>1256</v>
      </c>
      <c r="M62" s="3"/>
      <c r="N62" s="2">
        <v>1305.25</v>
      </c>
      <c r="O62" s="3"/>
      <c r="P62" s="2"/>
      <c r="Q62" s="3"/>
      <c r="R62" s="2"/>
    </row>
    <row r="63" spans="1:18" s="16" customFormat="1" hidden="1" outlineLevel="2" x14ac:dyDescent="0.35">
      <c r="B63" s="11" t="str">
        <f>CONCATENATE("          ", "6286", " - ", "LAUNDRY EXPENSE")</f>
        <v xml:space="preserve">          6286 - LAUNDRY EXPENSE</v>
      </c>
      <c r="D63" s="2"/>
      <c r="F63" s="2"/>
      <c r="G63" s="3"/>
      <c r="H63" s="2">
        <v>1138.76</v>
      </c>
      <c r="I63" s="3"/>
      <c r="J63" s="2">
        <v>835.75</v>
      </c>
      <c r="K63" s="3"/>
      <c r="L63" s="2">
        <v>725.58</v>
      </c>
      <c r="M63" s="3"/>
      <c r="N63" s="2">
        <v>434.37</v>
      </c>
      <c r="O63" s="3"/>
      <c r="P63" s="2"/>
      <c r="Q63" s="3"/>
      <c r="R63" s="2"/>
    </row>
    <row r="64" spans="1:18" s="15" customFormat="1" outlineLevel="1" collapsed="1" x14ac:dyDescent="0.35">
      <c r="A64" s="7"/>
      <c r="B64" s="20" t="str">
        <f>CONCATENATE("     ","Supplies                                          ")</f>
        <v xml:space="preserve">     Supplies                                          </v>
      </c>
      <c r="C64" s="7"/>
      <c r="D64" s="1">
        <f>SUM(OSRRefD21_13x_0)</f>
        <v>9971.2499999999982</v>
      </c>
      <c r="E64" s="19"/>
      <c r="F64" s="1">
        <f>SUM(OSRRefF21_13x_0)</f>
        <v>5362.25</v>
      </c>
      <c r="G64" s="4"/>
      <c r="H64" s="1">
        <f>SUM(OSRRefH21_13x_0)</f>
        <v>6589.4699999999993</v>
      </c>
      <c r="I64" s="4"/>
      <c r="J64" s="1">
        <f>SUM(OSRRefJ21_13x_0)</f>
        <v>7167.5499999999993</v>
      </c>
      <c r="K64" s="4"/>
      <c r="L64" s="1">
        <f>SUM(OSRRefL21_13x_0)</f>
        <v>4164.1000000000004</v>
      </c>
      <c r="M64" s="4"/>
      <c r="N64" s="1">
        <f>SUM(OSRRefN21_13x_0)</f>
        <v>6296.61</v>
      </c>
      <c r="O64" s="4"/>
      <c r="P64" s="1">
        <f>SUM(OSRRefP21_13x_0)</f>
        <v>0</v>
      </c>
      <c r="Q64" s="4"/>
      <c r="R64" s="1">
        <f>SUM(OSRRefR21_13x_0)</f>
        <v>0</v>
      </c>
    </row>
    <row r="65" spans="1:18" s="16" customFormat="1" hidden="1" outlineLevel="2" x14ac:dyDescent="0.35">
      <c r="B65" s="11" t="str">
        <f>CONCATENATE("          ", "6237", " - ", "JANITORIAL SUPPLIES")</f>
        <v xml:space="preserve">          6237 - JANITORIAL SUPPLIES</v>
      </c>
      <c r="D65" s="2"/>
      <c r="F65" s="2">
        <v>38.36</v>
      </c>
      <c r="G65" s="3"/>
      <c r="H65" s="2">
        <v>96.58</v>
      </c>
      <c r="I65" s="3"/>
      <c r="J65" s="2">
        <v>371.18</v>
      </c>
      <c r="K65" s="3"/>
      <c r="L65" s="2">
        <v>11.08</v>
      </c>
      <c r="M65" s="3"/>
      <c r="N65" s="2">
        <v>10.95</v>
      </c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"6239", " - ", "KITCHEN SUPPLIES")</f>
        <v xml:space="preserve">          6239 - KITCHEN SUPPLIES</v>
      </c>
      <c r="D66" s="2">
        <v>6042.4</v>
      </c>
      <c r="F66" s="2">
        <v>208.05</v>
      </c>
      <c r="G66" s="3"/>
      <c r="H66" s="2">
        <v>1751.66</v>
      </c>
      <c r="I66" s="3"/>
      <c r="J66" s="2">
        <v>884.28</v>
      </c>
      <c r="K66" s="3"/>
      <c r="L66" s="2">
        <v>61.49</v>
      </c>
      <c r="M66" s="3"/>
      <c r="N66" s="2">
        <v>2898.22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"6241", " - ", "OFFICE EXPENSE")</f>
        <v xml:space="preserve">          6241 - OFFICE EXPENSE</v>
      </c>
      <c r="D67" s="2">
        <v>429.36</v>
      </c>
      <c r="F67" s="2">
        <v>179.14</v>
      </c>
      <c r="G67" s="3"/>
      <c r="H67" s="2">
        <v>114.78</v>
      </c>
      <c r="I67" s="3"/>
      <c r="J67" s="2">
        <v>448.92</v>
      </c>
      <c r="K67" s="3"/>
      <c r="L67" s="2">
        <v>318.02999999999997</v>
      </c>
      <c r="M67" s="3"/>
      <c r="N67" s="2">
        <v>788.91</v>
      </c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"6243", " - ", "PAPER SUPPLIES")</f>
        <v xml:space="preserve">          6243 - PAPER SUPPLIES</v>
      </c>
      <c r="D68" s="2">
        <v>2255.11</v>
      </c>
      <c r="F68" s="2">
        <v>3019.73</v>
      </c>
      <c r="G68" s="3"/>
      <c r="H68" s="2">
        <v>3818.15</v>
      </c>
      <c r="I68" s="3"/>
      <c r="J68" s="2">
        <v>4387.2299999999996</v>
      </c>
      <c r="K68" s="3"/>
      <c r="L68" s="2">
        <v>2263.17</v>
      </c>
      <c r="M68" s="3"/>
      <c r="N68" s="2">
        <v>1858.86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"6247", " - ", "STORE SUPPLIES")</f>
        <v xml:space="preserve">          6247 - STORE SUPPLIES</v>
      </c>
      <c r="D69" s="2">
        <v>296.89999999999998</v>
      </c>
      <c r="F69" s="2">
        <v>540.91999999999996</v>
      </c>
      <c r="G69" s="3"/>
      <c r="H69" s="2">
        <v>91.9</v>
      </c>
      <c r="I69" s="3"/>
      <c r="J69" s="2">
        <v>158.62</v>
      </c>
      <c r="K69" s="3"/>
      <c r="L69" s="2">
        <v>771.1</v>
      </c>
      <c r="M69" s="3"/>
      <c r="N69" s="2">
        <v>102.64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"6248", " - ", "UNIFORMS")</f>
        <v xml:space="preserve">          6248 - UNIFORMS</v>
      </c>
      <c r="D70" s="2">
        <v>947.48</v>
      </c>
      <c r="F70" s="2">
        <v>1376.05</v>
      </c>
      <c r="G70" s="3"/>
      <c r="H70" s="2">
        <v>716.4</v>
      </c>
      <c r="I70" s="3"/>
      <c r="J70" s="2">
        <v>917.32</v>
      </c>
      <c r="K70" s="3"/>
      <c r="L70" s="2">
        <v>739.23</v>
      </c>
      <c r="M70" s="3"/>
      <c r="N70" s="2">
        <v>637.03</v>
      </c>
      <c r="O70" s="3"/>
      <c r="P70" s="2"/>
      <c r="Q70" s="3"/>
      <c r="R70" s="2"/>
    </row>
    <row r="71" spans="1:18" s="15" customFormat="1" outlineLevel="1" collapsed="1" x14ac:dyDescent="0.35">
      <c r="A71" s="7"/>
      <c r="B71" s="20" t="str">
        <f>CONCATENATE("     ","Telephone/Data Lines                              ")</f>
        <v xml:space="preserve">     Telephone/Data Lines                              </v>
      </c>
      <c r="C71" s="7"/>
      <c r="D71" s="1">
        <f>SUM(OSRRefD21_14x_0)</f>
        <v>428.27</v>
      </c>
      <c r="E71" s="19"/>
      <c r="F71" s="1">
        <f>SUM(OSRRefF21_14x_0)</f>
        <v>1111.68</v>
      </c>
      <c r="G71" s="4"/>
      <c r="H71" s="1">
        <f>SUM(OSRRefH21_14x_0)</f>
        <v>1033.8499999999999</v>
      </c>
      <c r="I71" s="4"/>
      <c r="J71" s="1">
        <f>SUM(OSRRefJ21_14x_0)</f>
        <v>1154.3399999999999</v>
      </c>
      <c r="K71" s="4"/>
      <c r="L71" s="1">
        <f>SUM(OSRRefL21_14x_0)</f>
        <v>1278.55</v>
      </c>
      <c r="M71" s="4"/>
      <c r="N71" s="1">
        <f>SUM(OSRRefN21_14x_0)</f>
        <v>978.5</v>
      </c>
      <c r="O71" s="4"/>
      <c r="P71" s="1">
        <f>SUM(OSRRefP21_14x_0)</f>
        <v>0</v>
      </c>
      <c r="Q71" s="4"/>
      <c r="R71" s="1">
        <f>SUM(OSRRefR21_14x_0)</f>
        <v>0</v>
      </c>
    </row>
    <row r="72" spans="1:18" s="16" customFormat="1" hidden="1" outlineLevel="2" x14ac:dyDescent="0.35">
      <c r="B72" s="11" t="str">
        <f>CONCATENATE("          ", "6309", " - ", "TELEPHONE")</f>
        <v xml:space="preserve">          6309 - TELEPHONE</v>
      </c>
      <c r="D72" s="2">
        <v>428.27</v>
      </c>
      <c r="F72" s="2">
        <v>1111.68</v>
      </c>
      <c r="G72" s="3"/>
      <c r="H72" s="2">
        <v>1033.8499999999999</v>
      </c>
      <c r="I72" s="3"/>
      <c r="J72" s="2">
        <v>1154.3399999999999</v>
      </c>
      <c r="K72" s="3"/>
      <c r="L72" s="2">
        <v>1278.55</v>
      </c>
      <c r="M72" s="3"/>
      <c r="N72" s="2">
        <v>978.5</v>
      </c>
      <c r="O72" s="3"/>
      <c r="P72" s="2"/>
      <c r="Q72" s="3"/>
      <c r="R72" s="2"/>
    </row>
    <row r="73" spans="1:18" s="15" customFormat="1" outlineLevel="1" collapsed="1" x14ac:dyDescent="0.35">
      <c r="A73" s="7"/>
      <c r="B73" s="20" t="str">
        <f>CONCATENATE("     ","Training                                          ")</f>
        <v xml:space="preserve">     Training                                          </v>
      </c>
      <c r="C73" s="7"/>
      <c r="D73" s="1">
        <f>SUM(OSRRefD21_15x_0)</f>
        <v>235</v>
      </c>
      <c r="E73" s="19"/>
      <c r="F73" s="1">
        <f>SUM(OSRRefF21_15x_0)</f>
        <v>90</v>
      </c>
      <c r="G73" s="4"/>
      <c r="H73" s="1">
        <f>SUM(OSRRefH21_15x_0)</f>
        <v>179.1</v>
      </c>
      <c r="I73" s="4"/>
      <c r="J73" s="1">
        <f>SUM(OSRRefJ21_15x_0)</f>
        <v>318.7</v>
      </c>
      <c r="K73" s="4"/>
      <c r="L73" s="1">
        <f>SUM(OSRRefL21_15x_0)</f>
        <v>398.22</v>
      </c>
      <c r="M73" s="4"/>
      <c r="N73" s="1">
        <f>SUM(OSRRefN21_15x_0)</f>
        <v>170.95</v>
      </c>
      <c r="O73" s="4"/>
      <c r="P73" s="1">
        <f>SUM(OSRRefP21_15x_0)</f>
        <v>0</v>
      </c>
      <c r="Q73" s="4"/>
      <c r="R73" s="1">
        <f>SUM(OSRRefR21_15x_0)</f>
        <v>0</v>
      </c>
    </row>
    <row r="74" spans="1:18" s="16" customFormat="1" hidden="1" outlineLevel="2" x14ac:dyDescent="0.35">
      <c r="B74" s="11" t="str">
        <f>CONCATENATE("          ", "6376", " - ", "TRAINING")</f>
        <v xml:space="preserve">          6376 - TRAINING</v>
      </c>
      <c r="D74" s="2">
        <v>235</v>
      </c>
      <c r="F74" s="2">
        <v>90</v>
      </c>
      <c r="G74" s="3"/>
      <c r="H74" s="2">
        <v>179.1</v>
      </c>
      <c r="I74" s="3"/>
      <c r="J74" s="2">
        <v>318.7</v>
      </c>
      <c r="K74" s="3"/>
      <c r="L74" s="2">
        <v>398.22</v>
      </c>
      <c r="M74" s="3"/>
      <c r="N74" s="2">
        <v>170.95</v>
      </c>
      <c r="O74" s="3"/>
      <c r="P74" s="2"/>
      <c r="Q74" s="3"/>
      <c r="R74" s="2"/>
    </row>
    <row r="75" spans="1:18" s="15" customFormat="1" outlineLevel="1" collapsed="1" x14ac:dyDescent="0.35">
      <c r="A75" s="7"/>
      <c r="B75" s="20" t="str">
        <f>CONCATENATE("     ","Travel                                            ")</f>
        <v xml:space="preserve">     Travel                                            </v>
      </c>
      <c r="C75" s="7"/>
      <c r="D75" s="1">
        <f>SUM(OSRRefD21_16x_0)</f>
        <v>0</v>
      </c>
      <c r="E75" s="19"/>
      <c r="F75" s="1">
        <f>SUM(OSRRefF21_16x_0)</f>
        <v>0</v>
      </c>
      <c r="G75" s="4"/>
      <c r="H75" s="1">
        <f>SUM(OSRRefH21_16x_0)</f>
        <v>230.6</v>
      </c>
      <c r="I75" s="4"/>
      <c r="J75" s="1">
        <f>SUM(OSRRefJ21_16x_0)</f>
        <v>0</v>
      </c>
      <c r="K75" s="4"/>
      <c r="L75" s="1">
        <f>SUM(OSRRefL21_16x_0)</f>
        <v>6.78</v>
      </c>
      <c r="M75" s="4"/>
      <c r="N75" s="1">
        <f>SUM(OSRRefN21_16x_0)</f>
        <v>11.5</v>
      </c>
      <c r="O75" s="4"/>
      <c r="P75" s="1">
        <f>SUM(OSRRefP21_16x_0)</f>
        <v>0</v>
      </c>
      <c r="Q75" s="4"/>
      <c r="R75" s="1">
        <f>SUM(OSRRefR21_16x_0)</f>
        <v>0</v>
      </c>
    </row>
    <row r="76" spans="1:18" s="16" customFormat="1" hidden="1" outlineLevel="2" x14ac:dyDescent="0.35">
      <c r="B76" s="11" t="str">
        <f>CONCATENATE("          ", "6292", " - ", "TRAVEL/CONFERENCE")</f>
        <v xml:space="preserve">          6292 - TRAVEL/CONFERENCE</v>
      </c>
      <c r="D76" s="2"/>
      <c r="F76" s="2"/>
      <c r="G76" s="3"/>
      <c r="H76" s="2">
        <v>169.7</v>
      </c>
      <c r="I76" s="3"/>
      <c r="J76" s="2"/>
      <c r="K76" s="3"/>
      <c r="L76" s="2">
        <v>6.78</v>
      </c>
      <c r="M76" s="3"/>
      <c r="N76" s="2"/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"6294", " - ", "TRAVEL OPERATIONAL")</f>
        <v xml:space="preserve">          6294 - TRAVEL OPERATIONAL</v>
      </c>
      <c r="D77" s="2"/>
      <c r="F77" s="2"/>
      <c r="G77" s="3"/>
      <c r="H77" s="2">
        <v>60.9</v>
      </c>
      <c r="I77" s="3"/>
      <c r="J77" s="2"/>
      <c r="K77" s="3"/>
      <c r="L77" s="2"/>
      <c r="M77" s="3"/>
      <c r="N77" s="2">
        <v>11.5</v>
      </c>
      <c r="O77" s="3"/>
      <c r="P77" s="2"/>
      <c r="Q77" s="3"/>
      <c r="R77" s="2"/>
    </row>
    <row r="78" spans="1:18" x14ac:dyDescent="0.35">
      <c r="A78" s="12"/>
      <c r="B78" s="12"/>
      <c r="C78" s="12"/>
      <c r="D78" s="1"/>
      <c r="F78" s="1"/>
      <c r="H78" s="1"/>
      <c r="J78" s="1"/>
      <c r="L78" s="1"/>
      <c r="N78" s="1"/>
      <c r="P78" s="1"/>
      <c r="R78" s="1"/>
    </row>
    <row r="79" spans="1:18" s="7" customFormat="1" x14ac:dyDescent="0.35">
      <c r="A79" s="36"/>
      <c r="B79" s="34" t="s">
        <v>295</v>
      </c>
      <c r="D79" s="6">
        <f>SUM(0)</f>
        <v>0</v>
      </c>
      <c r="E79" s="12"/>
      <c r="F79" s="6">
        <f>SUM(0)</f>
        <v>0</v>
      </c>
      <c r="G79" s="5"/>
      <c r="H79" s="6">
        <f>SUM(0)</f>
        <v>0</v>
      </c>
      <c r="I79" s="5"/>
      <c r="J79" s="6">
        <f>SUM(0)</f>
        <v>0</v>
      </c>
      <c r="K79" s="5"/>
      <c r="L79" s="6">
        <f>SUM(0)</f>
        <v>0</v>
      </c>
      <c r="M79" s="5"/>
      <c r="N79" s="6">
        <f>SUM(0)</f>
        <v>0</v>
      </c>
      <c r="O79" s="5"/>
      <c r="P79" s="6">
        <f>SUM(0)</f>
        <v>0</v>
      </c>
      <c r="Q79" s="5"/>
      <c r="R79" s="6">
        <f>SUM(0)</f>
        <v>0</v>
      </c>
    </row>
    <row r="80" spans="1:18" x14ac:dyDescent="0.35">
      <c r="A80" s="12"/>
      <c r="B80" s="7"/>
      <c r="C80" s="7"/>
      <c r="D80" s="6"/>
      <c r="F80" s="6"/>
      <c r="H80" s="6"/>
      <c r="J80" s="6"/>
      <c r="L80" s="6"/>
      <c r="N80" s="6"/>
      <c r="P80" s="6"/>
      <c r="R80" s="6"/>
    </row>
    <row r="81" spans="1:18" s="15" customFormat="1" x14ac:dyDescent="0.35">
      <c r="A81" s="7"/>
      <c r="B81" s="22" t="s">
        <v>279</v>
      </c>
      <c r="C81" s="22"/>
      <c r="D81" s="10">
        <f>+D18-D21+D79</f>
        <v>-38631.359999999928</v>
      </c>
      <c r="E81" s="12"/>
      <c r="F81" s="10">
        <f>+F18-F21+F79</f>
        <v>-46720</v>
      </c>
      <c r="G81" s="5"/>
      <c r="H81" s="10">
        <f>+H18-H21+H79</f>
        <v>-64130.830000000104</v>
      </c>
      <c r="I81" s="5"/>
      <c r="J81" s="10">
        <f>+J18-J21+J79</f>
        <v>-30308.830000000016</v>
      </c>
      <c r="K81" s="5"/>
      <c r="L81" s="10">
        <f>+L18-L21+L79</f>
        <v>-50074.450000000012</v>
      </c>
      <c r="M81" s="5"/>
      <c r="N81" s="10">
        <f>+N18-N21+N79</f>
        <v>-70906.240000000049</v>
      </c>
      <c r="O81" s="5"/>
      <c r="P81" s="10">
        <f>+P18-P21+P79</f>
        <v>-5220</v>
      </c>
      <c r="Q81" s="5"/>
      <c r="R81" s="10">
        <f>+R18-R21+R79</f>
        <v>0</v>
      </c>
    </row>
    <row r="82" spans="1:18" s="27" customFormat="1" x14ac:dyDescent="0.35">
      <c r="A82" s="18"/>
      <c r="B82" s="31"/>
      <c r="C82" s="18"/>
      <c r="D82" s="9">
        <f>IFERROR(D81/D10, 0)</f>
        <v>-0.19539422013593216</v>
      </c>
      <c r="E82" s="18"/>
      <c r="F82" s="9">
        <f>IFERROR(F81/F10, 0)</f>
        <v>-0.1630252233379261</v>
      </c>
      <c r="G82" s="14"/>
      <c r="H82" s="9">
        <f>IFERROR(H81/H10, 0)</f>
        <v>-0.23919131630018348</v>
      </c>
      <c r="I82" s="14"/>
      <c r="J82" s="9">
        <f>IFERROR(J81/J10, 0)</f>
        <v>-0.1167177096906319</v>
      </c>
      <c r="K82" s="14"/>
      <c r="L82" s="9">
        <f>IFERROR(L81/L10, 0)</f>
        <v>-0.20968862979757785</v>
      </c>
      <c r="M82" s="14"/>
      <c r="N82" s="9">
        <f>IFERROR(N81/N10, 0)</f>
        <v>-0.37325835553998804</v>
      </c>
      <c r="O82" s="14"/>
      <c r="P82" s="9">
        <f>IFERROR(P81/P10, 0)</f>
        <v>0</v>
      </c>
      <c r="Q82" s="14"/>
      <c r="R82" s="9">
        <f>IFERROR(R81/R10, 0)</f>
        <v>0</v>
      </c>
    </row>
    <row r="83" spans="1:18" s="27" customFormat="1" x14ac:dyDescent="0.35">
      <c r="A83" s="18"/>
      <c r="B83" s="31"/>
      <c r="C83" s="18"/>
      <c r="D83" s="13"/>
      <c r="E83" s="18"/>
      <c r="F83" s="13"/>
      <c r="G83" s="14"/>
      <c r="H83" s="13"/>
      <c r="I83" s="14"/>
      <c r="J83" s="13"/>
      <c r="K83" s="14"/>
      <c r="L83" s="13"/>
      <c r="M83" s="14"/>
      <c r="N83" s="13"/>
      <c r="O83" s="14"/>
      <c r="P83" s="13"/>
      <c r="Q83" s="14"/>
      <c r="R83" s="13"/>
    </row>
    <row r="84" spans="1:18" s="15" customFormat="1" x14ac:dyDescent="0.35">
      <c r="A84" s="37"/>
      <c r="B84" s="7" t="s">
        <v>127</v>
      </c>
      <c r="C84" s="7"/>
      <c r="D84" s="6">
        <v>42963.839999999997</v>
      </c>
      <c r="E84" s="12"/>
      <c r="F84" s="6">
        <v>40796.85</v>
      </c>
      <c r="G84" s="5"/>
      <c r="H84" s="6">
        <v>35848.550000000003</v>
      </c>
      <c r="I84" s="5"/>
      <c r="J84" s="6">
        <v>34852.07</v>
      </c>
      <c r="K84" s="5"/>
      <c r="L84" s="6">
        <v>17021.240000000002</v>
      </c>
      <c r="M84" s="5"/>
      <c r="N84" s="6">
        <v>28765.09</v>
      </c>
      <c r="O84" s="5"/>
      <c r="P84" s="6"/>
      <c r="Q84" s="5"/>
      <c r="R84" s="6"/>
    </row>
    <row r="85" spans="1:18" x14ac:dyDescent="0.35">
      <c r="A85" s="12"/>
      <c r="B85" s="7"/>
      <c r="C85" s="7"/>
      <c r="D85" s="6"/>
      <c r="F85" s="6"/>
      <c r="H85" s="6"/>
      <c r="J85" s="6"/>
      <c r="L85" s="6"/>
      <c r="N85" s="6"/>
      <c r="P85" s="6"/>
      <c r="R85" s="6"/>
    </row>
    <row r="86" spans="1:18" s="15" customFormat="1" x14ac:dyDescent="0.35">
      <c r="A86" s="7"/>
      <c r="B86" s="22" t="s">
        <v>126</v>
      </c>
      <c r="C86" s="22"/>
      <c r="D86" s="10">
        <f>+D81-D84</f>
        <v>-81595.199999999924</v>
      </c>
      <c r="E86" s="12"/>
      <c r="F86" s="10">
        <f>+F81-F84</f>
        <v>-87516.85</v>
      </c>
      <c r="G86" s="5"/>
      <c r="H86" s="10">
        <f>+H81-H84</f>
        <v>-99979.380000000107</v>
      </c>
      <c r="I86" s="5"/>
      <c r="J86" s="10">
        <f>+J81-J84</f>
        <v>-65160.900000000016</v>
      </c>
      <c r="K86" s="5"/>
      <c r="L86" s="10">
        <f>+L81-L84</f>
        <v>-67095.690000000017</v>
      </c>
      <c r="M86" s="5"/>
      <c r="N86" s="10">
        <f>+N81-N84</f>
        <v>-99671.330000000045</v>
      </c>
      <c r="O86" s="5"/>
      <c r="P86" s="10">
        <f>+P81-P84</f>
        <v>-5220</v>
      </c>
      <c r="Q86" s="5"/>
      <c r="R86" s="10">
        <f>+R81-R84</f>
        <v>0</v>
      </c>
    </row>
    <row r="87" spans="1:18" s="27" customFormat="1" x14ac:dyDescent="0.35">
      <c r="A87" s="18"/>
      <c r="B87" s="18"/>
      <c r="C87" s="18"/>
      <c r="D87" s="9">
        <f>IFERROR(D86/D10, 0)</f>
        <v>-0.41270176537495518</v>
      </c>
      <c r="E87" s="18"/>
      <c r="F87" s="9">
        <f>IFERROR(F86/F10, 0)</f>
        <v>-0.305382149338223</v>
      </c>
      <c r="G87" s="14"/>
      <c r="H87" s="9">
        <f>IFERROR(H86/H10, 0)</f>
        <v>-0.37289708405576888</v>
      </c>
      <c r="I87" s="14"/>
      <c r="J87" s="9">
        <f>IFERROR(J86/J10, 0)</f>
        <v>-0.25093119758764343</v>
      </c>
      <c r="K87" s="14"/>
      <c r="L87" s="9">
        <f>IFERROR(L86/L10, 0)</f>
        <v>-0.28096570808911625</v>
      </c>
      <c r="M87" s="14"/>
      <c r="N87" s="9">
        <f>IFERROR(N86/N10, 0)</f>
        <v>-0.52468099747333197</v>
      </c>
      <c r="O87" s="14"/>
      <c r="P87" s="9">
        <f>IFERROR(P86/P10, 0)</f>
        <v>0</v>
      </c>
      <c r="Q87" s="14"/>
      <c r="R87" s="9">
        <f>IFERROR(R86/R10, 0)</f>
        <v>0</v>
      </c>
    </row>
    <row r="88" spans="1:18" s="27" customFormat="1" x14ac:dyDescent="0.35">
      <c r="A88" s="18"/>
      <c r="B88" s="18"/>
      <c r="C88" s="18"/>
      <c r="D88" s="13"/>
      <c r="E88" s="18"/>
      <c r="F88" s="13"/>
      <c r="G88" s="14"/>
      <c r="H88" s="13"/>
      <c r="I88" s="14"/>
      <c r="J88" s="13"/>
      <c r="K88" s="14"/>
      <c r="L88" s="13"/>
      <c r="M88" s="14"/>
      <c r="N88" s="13"/>
      <c r="O88" s="14"/>
      <c r="P88" s="13"/>
      <c r="Q88" s="14"/>
      <c r="R88" s="13"/>
    </row>
    <row r="89" spans="1:18" x14ac:dyDescent="0.35">
      <c r="A89" s="12"/>
      <c r="B89" s="12"/>
      <c r="C89" s="12"/>
      <c r="D89" s="6"/>
      <c r="F89" s="6"/>
      <c r="H89" s="6"/>
      <c r="J89" s="6"/>
      <c r="L89" s="6"/>
      <c r="N89" s="6"/>
      <c r="P89" s="6"/>
      <c r="R89" s="6"/>
    </row>
    <row r="90" spans="1:18" s="15" customFormat="1" x14ac:dyDescent="0.35">
      <c r="A90" s="7"/>
      <c r="B90" s="22" t="s">
        <v>296</v>
      </c>
      <c r="C90" s="22"/>
      <c r="D90" s="10">
        <f>SUM(D86:D89)</f>
        <v>-81595.612701765305</v>
      </c>
      <c r="E90" s="12"/>
      <c r="F90" s="10">
        <f>SUM(F86:F89)</f>
        <v>-87517.155382149343</v>
      </c>
      <c r="G90" s="5"/>
      <c r="H90" s="10">
        <f>SUM(H86:H89)</f>
        <v>-99979.752897084167</v>
      </c>
      <c r="I90" s="5"/>
      <c r="J90" s="10">
        <f>SUM(J86:J89)</f>
        <v>-65161.150931197604</v>
      </c>
      <c r="K90" s="5"/>
      <c r="L90" s="10">
        <f>SUM(L86:L89)</f>
        <v>-67095.970965708111</v>
      </c>
      <c r="M90" s="5"/>
      <c r="N90" s="10">
        <f>SUM(N86:N89)</f>
        <v>-99671.854680997523</v>
      </c>
      <c r="O90" s="5"/>
      <c r="P90" s="10">
        <f>SUM(P86:P89)</f>
        <v>-5220</v>
      </c>
      <c r="Q90" s="5"/>
      <c r="R90" s="10">
        <f>SUM(R86:R89)</f>
        <v>0</v>
      </c>
    </row>
    <row r="91" spans="1:18" s="27" customFormat="1" x14ac:dyDescent="0.35">
      <c r="A91" s="18"/>
      <c r="B91" s="41"/>
      <c r="C91" s="18"/>
      <c r="D91" s="9">
        <f>IFERROR(D90/D10, 0)</f>
        <v>-0.41270385278631205</v>
      </c>
      <c r="E91" s="18"/>
      <c r="F91" s="9">
        <f>IFERROR(F90/F10, 0)</f>
        <v>-0.3053832149416712</v>
      </c>
      <c r="G91" s="14"/>
      <c r="H91" s="9">
        <f>IFERROR(H90/H10, 0)</f>
        <v>-0.37289847486490668</v>
      </c>
      <c r="I91" s="14"/>
      <c r="J91" s="9">
        <f>IFERROR(J90/J10, 0)</f>
        <v>-0.25093216391048306</v>
      </c>
      <c r="K91" s="14"/>
      <c r="L91" s="9">
        <f>IFERROR(L90/L10, 0)</f>
        <v>-0.28096688464351371</v>
      </c>
      <c r="M91" s="14"/>
      <c r="N91" s="9">
        <f>IFERROR(N90/N10, 0)</f>
        <v>-0.52468375945262036</v>
      </c>
      <c r="O91" s="14"/>
      <c r="P91" s="9">
        <f>IFERROR(P90/P10, 0)</f>
        <v>0</v>
      </c>
      <c r="Q91" s="14"/>
      <c r="R91" s="9">
        <f>IFERROR(R90/R10, 0)</f>
        <v>0</v>
      </c>
    </row>
    <row r="92" spans="1:18" x14ac:dyDescent="0.35">
      <c r="A92" s="12"/>
      <c r="B92" s="40">
        <v>44319.883572604165</v>
      </c>
      <c r="D92" s="24"/>
      <c r="F92" s="24"/>
      <c r="H92" s="24"/>
      <c r="J92" s="24"/>
      <c r="L92" s="24"/>
      <c r="N92" s="24"/>
      <c r="P92" s="24"/>
      <c r="R92" s="24"/>
    </row>
    <row r="93" spans="1:18" x14ac:dyDescent="0.35">
      <c r="A93" s="12"/>
      <c r="B93" s="39" t="s">
        <v>23</v>
      </c>
      <c r="D93" s="24"/>
      <c r="F93" s="24"/>
      <c r="H93" s="24"/>
      <c r="J93" s="24"/>
      <c r="L93" s="24"/>
      <c r="N93" s="24"/>
      <c r="P93" s="24"/>
      <c r="R93" s="24"/>
    </row>
    <row r="94" spans="1:18" x14ac:dyDescent="0.35">
      <c r="A94" s="12"/>
      <c r="D94" s="24"/>
      <c r="F94" s="24"/>
      <c r="H94" s="24"/>
      <c r="J94" s="24"/>
      <c r="L94" s="24"/>
      <c r="N94" s="24"/>
      <c r="P94" s="24"/>
      <c r="R94" s="24"/>
    </row>
    <row r="95" spans="1:18" x14ac:dyDescent="0.35">
      <c r="D95" s="24"/>
      <c r="F95" s="24"/>
      <c r="H95" s="24"/>
      <c r="J95" s="24"/>
      <c r="L95" s="24"/>
      <c r="N95" s="24"/>
      <c r="P95" s="24"/>
      <c r="R95" s="24"/>
    </row>
  </sheetData>
  <pageMargins left="0.5" right="0.5" top="0.5" bottom="0.5" header="0.3" footer="0.3"/>
  <pageSetup scale="59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2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","411", " - ", "University Dining")</f>
        <v>Department 411 - University Dining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1068312.3700000001</v>
      </c>
      <c r="E17" s="19"/>
      <c r="F17" s="8">
        <f>SUM(OSRRefF21x_0)</f>
        <v>1312085.7400000002</v>
      </c>
      <c r="G17" s="4"/>
      <c r="H17" s="8">
        <f>SUM(OSRRefH21x_0)</f>
        <v>1196693.5199999998</v>
      </c>
      <c r="I17" s="4"/>
      <c r="J17" s="8">
        <f>SUM(OSRRefJ21x_0)</f>
        <v>1099254.8099999998</v>
      </c>
      <c r="K17" s="4"/>
      <c r="L17" s="8">
        <f>SUM(OSRRefL21x_0)</f>
        <v>1112416.7000000002</v>
      </c>
      <c r="M17" s="4"/>
      <c r="N17" s="8">
        <f>SUM(OSRRefN21x_0)</f>
        <v>1037844.2999999999</v>
      </c>
      <c r="O17" s="4"/>
      <c r="P17" s="8">
        <f>SUM(OSRRefP21x_0)</f>
        <v>214092</v>
      </c>
      <c r="Q17" s="4"/>
      <c r="R17" s="8">
        <f>SUM(OSRRefR21x_0)</f>
        <v>536757.72160000005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86394.240000000005</v>
      </c>
      <c r="E18" s="19"/>
      <c r="F18" s="1">
        <f>SUM(OSRRefF21_0x_0)</f>
        <v>123473.35999999999</v>
      </c>
      <c r="G18" s="4"/>
      <c r="H18" s="1">
        <f>SUM(OSRRefH21_0x_0)</f>
        <v>117025.51999999999</v>
      </c>
      <c r="I18" s="4"/>
      <c r="J18" s="1">
        <f>SUM(OSRRefJ21_0x_0)</f>
        <v>108252.35</v>
      </c>
      <c r="K18" s="4"/>
      <c r="L18" s="1">
        <f>SUM(OSRRefL21_0x_0)</f>
        <v>119304.02000000002</v>
      </c>
      <c r="M18" s="4"/>
      <c r="N18" s="1">
        <f>SUM(OSRRefN21_0x_0)</f>
        <v>73387.12</v>
      </c>
      <c r="O18" s="4"/>
      <c r="P18" s="1">
        <f>SUM(OSRRefP21_0x_0)</f>
        <v>37440</v>
      </c>
      <c r="Q18" s="4"/>
      <c r="R18" s="1">
        <f>SUM(OSRRefR21_0x_0)</f>
        <v>107167.72160000002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>
        <v>12540.67</v>
      </c>
      <c r="F19" s="2">
        <v>18174.400000000001</v>
      </c>
      <c r="G19" s="3"/>
      <c r="H19" s="2">
        <v>19803.3</v>
      </c>
      <c r="I19" s="3"/>
      <c r="J19" s="2">
        <v>20610.32</v>
      </c>
      <c r="K19" s="3"/>
      <c r="L19" s="2">
        <v>21864.240000000002</v>
      </c>
      <c r="M19" s="3"/>
      <c r="N19" s="2">
        <v>23963.66</v>
      </c>
      <c r="O19" s="3"/>
      <c r="P19" s="2">
        <v>0</v>
      </c>
      <c r="Q19" s="3"/>
      <c r="R19" s="2">
        <v>17657.0016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>
        <v>3586.03</v>
      </c>
      <c r="F20" s="2">
        <v>8526.31</v>
      </c>
      <c r="G20" s="3"/>
      <c r="H20" s="2">
        <v>9144.19</v>
      </c>
      <c r="I20" s="3"/>
      <c r="J20" s="2">
        <v>4897.1400000000003</v>
      </c>
      <c r="K20" s="3"/>
      <c r="L20" s="2">
        <v>8373.35</v>
      </c>
      <c r="M20" s="3"/>
      <c r="N20" s="2">
        <v>8956.14</v>
      </c>
      <c r="O20" s="3"/>
      <c r="P20" s="2">
        <v>0</v>
      </c>
      <c r="Q20" s="3"/>
      <c r="R20" s="2">
        <v>8744.2880000000096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>
        <v>40510.82</v>
      </c>
      <c r="F21" s="2">
        <v>48440.160000000003</v>
      </c>
      <c r="G21" s="3"/>
      <c r="H21" s="2">
        <v>49479.65</v>
      </c>
      <c r="I21" s="3"/>
      <c r="J21" s="2">
        <v>41876.080000000002</v>
      </c>
      <c r="K21" s="3"/>
      <c r="L21" s="2">
        <v>40396.11</v>
      </c>
      <c r="M21" s="3"/>
      <c r="N21" s="2">
        <v>34608.81</v>
      </c>
      <c r="O21" s="3"/>
      <c r="P21" s="2">
        <v>33240</v>
      </c>
      <c r="Q21" s="3"/>
      <c r="R21" s="2">
        <v>33168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>
        <v>1028.3599999999999</v>
      </c>
      <c r="F22" s="2">
        <v>1549.03</v>
      </c>
      <c r="G22" s="3"/>
      <c r="H22" s="2">
        <v>876.75</v>
      </c>
      <c r="I22" s="3"/>
      <c r="J22" s="2">
        <v>830.2</v>
      </c>
      <c r="K22" s="3"/>
      <c r="L22" s="2">
        <v>764.38</v>
      </c>
      <c r="M22" s="3"/>
      <c r="N22" s="2">
        <v>0</v>
      </c>
      <c r="O22" s="3"/>
      <c r="P22" s="2">
        <v>0</v>
      </c>
      <c r="Q22" s="3"/>
      <c r="R22" s="2">
        <v>484.51200000000102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>
        <v>7511</v>
      </c>
      <c r="F23" s="2">
        <v>12237.58</v>
      </c>
      <c r="G23" s="3"/>
      <c r="H23" s="2">
        <v>13435.32</v>
      </c>
      <c r="I23" s="3"/>
      <c r="J23" s="2">
        <v>13800.99</v>
      </c>
      <c r="K23" s="3"/>
      <c r="L23" s="2">
        <v>13677.69</v>
      </c>
      <c r="M23" s="3"/>
      <c r="N23" s="2">
        <v>16779.48</v>
      </c>
      <c r="O23" s="3"/>
      <c r="P23" s="2">
        <v>0</v>
      </c>
      <c r="Q23" s="3"/>
      <c r="R23" s="2">
        <v>19841.919999999998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/>
      <c r="G24" s="3"/>
      <c r="H24" s="2"/>
      <c r="I24" s="3"/>
      <c r="J24" s="2"/>
      <c r="K24" s="3"/>
      <c r="L24" s="2"/>
      <c r="M24" s="3"/>
      <c r="N24" s="2"/>
      <c r="O24" s="3"/>
      <c r="P24" s="2">
        <v>0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"6117", " - ", "RETIREMENT STAFF HOURLY")</f>
        <v xml:space="preserve">          6117 - RETIREMENT STAFF HOURLY</v>
      </c>
      <c r="D25" s="2">
        <v>2323.15</v>
      </c>
      <c r="F25" s="2">
        <v>196</v>
      </c>
      <c r="G25" s="3"/>
      <c r="H25" s="2">
        <v>769.75</v>
      </c>
      <c r="I25" s="3"/>
      <c r="J25" s="2">
        <v>728</v>
      </c>
      <c r="K25" s="3"/>
      <c r="L25" s="2">
        <v>728</v>
      </c>
      <c r="M25" s="3"/>
      <c r="N25" s="2">
        <v>588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7178.91</v>
      </c>
      <c r="F26" s="2">
        <v>14034.61</v>
      </c>
      <c r="G26" s="3"/>
      <c r="H26" s="2">
        <v>10624.99</v>
      </c>
      <c r="I26" s="3"/>
      <c r="J26" s="2">
        <v>10500.36</v>
      </c>
      <c r="K26" s="3"/>
      <c r="L26" s="2">
        <v>15142.49</v>
      </c>
      <c r="M26" s="3"/>
      <c r="N26" s="2">
        <v>16327.77</v>
      </c>
      <c r="O26" s="3"/>
      <c r="P26" s="2">
        <v>0</v>
      </c>
      <c r="Q26" s="3"/>
      <c r="R26" s="2">
        <v>21424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5892.7</v>
      </c>
      <c r="F27" s="2">
        <v>14492.01</v>
      </c>
      <c r="G27" s="3"/>
      <c r="H27" s="2">
        <v>8513.5400000000009</v>
      </c>
      <c r="I27" s="3"/>
      <c r="J27" s="2">
        <v>10462.48</v>
      </c>
      <c r="K27" s="3"/>
      <c r="L27" s="2">
        <v>12915.97</v>
      </c>
      <c r="M27" s="3"/>
      <c r="N27" s="2">
        <v>-31556.91</v>
      </c>
      <c r="O27" s="3"/>
      <c r="P27" s="2">
        <v>0</v>
      </c>
      <c r="Q27" s="3"/>
      <c r="R27" s="2">
        <v>1648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>
        <v>5822.6</v>
      </c>
      <c r="F28" s="2">
        <v>5823.26</v>
      </c>
      <c r="G28" s="3"/>
      <c r="H28" s="2">
        <v>4378.03</v>
      </c>
      <c r="I28" s="3"/>
      <c r="J28" s="2">
        <v>4546.78</v>
      </c>
      <c r="K28" s="3"/>
      <c r="L28" s="2">
        <v>5441.79</v>
      </c>
      <c r="M28" s="3"/>
      <c r="N28" s="2">
        <v>3720.17</v>
      </c>
      <c r="O28" s="3"/>
      <c r="P28" s="2">
        <v>4200</v>
      </c>
      <c r="Q28" s="3"/>
      <c r="R28" s="2">
        <v>4200</v>
      </c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163659.65999999997</v>
      </c>
      <c r="E29" s="19"/>
      <c r="F29" s="1">
        <f>SUM(OSRRefF21_1x_0)</f>
        <v>236832.24000000002</v>
      </c>
      <c r="G29" s="4"/>
      <c r="H29" s="1">
        <f>SUM(OSRRefH21_1x_0)</f>
        <v>240650.72999999998</v>
      </c>
      <c r="I29" s="4"/>
      <c r="J29" s="1">
        <f>SUM(OSRRefJ21_1x_0)</f>
        <v>244853.01</v>
      </c>
      <c r="K29" s="4"/>
      <c r="L29" s="1">
        <f>SUM(OSRRefL21_1x_0)</f>
        <v>259626.22999999998</v>
      </c>
      <c r="M29" s="4"/>
      <c r="N29" s="1">
        <f>SUM(OSRRefN21_1x_0)</f>
        <v>259949.05000000002</v>
      </c>
      <c r="O29" s="4"/>
      <c r="P29" s="1">
        <f>SUM(OSRRefP21_1x_0)</f>
        <v>0</v>
      </c>
      <c r="Q29" s="4"/>
      <c r="R29" s="1">
        <f>SUM(OSRRefR21_1x_0)</f>
        <v>207648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48454.39</v>
      </c>
      <c r="F30" s="2">
        <v>100799.19</v>
      </c>
      <c r="G30" s="3"/>
      <c r="H30" s="2">
        <v>96672.04</v>
      </c>
      <c r="I30" s="3"/>
      <c r="J30" s="2">
        <v>105094.69</v>
      </c>
      <c r="K30" s="3"/>
      <c r="L30" s="2">
        <v>101830.2</v>
      </c>
      <c r="M30" s="3"/>
      <c r="N30" s="2">
        <v>67427.61</v>
      </c>
      <c r="O30" s="3"/>
      <c r="P30" s="2">
        <v>0</v>
      </c>
      <c r="Q30" s="3"/>
      <c r="R30" s="2">
        <v>133488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/>
      <c r="F31" s="2">
        <v>38448</v>
      </c>
      <c r="G31" s="3"/>
      <c r="H31" s="2">
        <v>42097.599999999999</v>
      </c>
      <c r="I31" s="3"/>
      <c r="J31" s="2">
        <v>36024.92</v>
      </c>
      <c r="K31" s="3"/>
      <c r="L31" s="2">
        <v>45188.32</v>
      </c>
      <c r="M31" s="3"/>
      <c r="N31" s="2">
        <v>56248.86</v>
      </c>
      <c r="O31" s="3"/>
      <c r="P31" s="2">
        <v>0</v>
      </c>
      <c r="Q31" s="3"/>
      <c r="R31" s="2">
        <v>74160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>
        <v>52159.6</v>
      </c>
      <c r="F33" s="2">
        <v>22787.040000000001</v>
      </c>
      <c r="G33" s="3"/>
      <c r="H33" s="2">
        <v>20614.240000000002</v>
      </c>
      <c r="I33" s="3"/>
      <c r="J33" s="2">
        <v>23712.7</v>
      </c>
      <c r="K33" s="3"/>
      <c r="L33" s="2">
        <v>24296.63</v>
      </c>
      <c r="M33" s="3"/>
      <c r="N33" s="2">
        <v>23599.23</v>
      </c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>
        <v>46477.279999999999</v>
      </c>
      <c r="F34" s="2">
        <v>60805.13</v>
      </c>
      <c r="G34" s="3"/>
      <c r="H34" s="2">
        <v>70564.44</v>
      </c>
      <c r="I34" s="3"/>
      <c r="J34" s="2">
        <v>67393.53</v>
      </c>
      <c r="K34" s="3"/>
      <c r="L34" s="2">
        <v>81132.59</v>
      </c>
      <c r="M34" s="3"/>
      <c r="N34" s="2">
        <v>94654.75</v>
      </c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/>
      <c r="F35" s="2">
        <v>92.25</v>
      </c>
      <c r="G35" s="3"/>
      <c r="H35" s="2"/>
      <c r="I35" s="3"/>
      <c r="J35" s="2"/>
      <c r="K35" s="3"/>
      <c r="L35" s="2">
        <v>1810.5</v>
      </c>
      <c r="M35" s="3"/>
      <c r="N35" s="2">
        <v>1236.8800000000001</v>
      </c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>
        <v>16568.39</v>
      </c>
      <c r="F36" s="2">
        <v>10387.879999999999</v>
      </c>
      <c r="G36" s="3"/>
      <c r="H36" s="2">
        <v>10122.41</v>
      </c>
      <c r="I36" s="3"/>
      <c r="J36" s="2">
        <v>12627.17</v>
      </c>
      <c r="K36" s="3"/>
      <c r="L36" s="2">
        <v>5367.99</v>
      </c>
      <c r="M36" s="3"/>
      <c r="N36" s="2">
        <v>16781.72</v>
      </c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/>
      <c r="F37" s="2">
        <v>3512.75</v>
      </c>
      <c r="G37" s="3"/>
      <c r="H37" s="2">
        <v>580</v>
      </c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","Advertising/Promo                                 ")</f>
        <v xml:space="preserve">     Advertising/Promo                                 </v>
      </c>
      <c r="C40" s="7"/>
      <c r="D40" s="1">
        <f>SUM(OSRRefD21_2x_0)</f>
        <v>4048.15</v>
      </c>
      <c r="E40" s="19"/>
      <c r="F40" s="1">
        <f>SUM(OSRRefF21_2x_0)</f>
        <v>4548.8599999999997</v>
      </c>
      <c r="G40" s="4"/>
      <c r="H40" s="1">
        <f>SUM(OSRRefH21_2x_0)</f>
        <v>4587.05</v>
      </c>
      <c r="I40" s="4"/>
      <c r="J40" s="1">
        <f>SUM(OSRRefJ21_2x_0)</f>
        <v>4797.9399999999996</v>
      </c>
      <c r="K40" s="4"/>
      <c r="L40" s="1">
        <f>SUM(OSRRefL21_2x_0)</f>
        <v>3600.47</v>
      </c>
      <c r="M40" s="4"/>
      <c r="N40" s="1">
        <f>SUM(OSRRefN21_2x_0)</f>
        <v>3780.74</v>
      </c>
      <c r="O40" s="4"/>
      <c r="P40" s="1">
        <f>SUM(OSRRefP21_2x_0)</f>
        <v>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"6362", " - ", "ADVERTISING EXPENSE")</f>
        <v xml:space="preserve">          6362 - ADVERTISING EXPENSE</v>
      </c>
      <c r="D41" s="2">
        <v>4048.15</v>
      </c>
      <c r="F41" s="2">
        <v>4548.8599999999997</v>
      </c>
      <c r="G41" s="3"/>
      <c r="H41" s="2">
        <v>4587.05</v>
      </c>
      <c r="I41" s="3"/>
      <c r="J41" s="2">
        <v>4797.9399999999996</v>
      </c>
      <c r="K41" s="3"/>
      <c r="L41" s="2">
        <v>3600.47</v>
      </c>
      <c r="M41" s="3"/>
      <c r="N41" s="2">
        <v>3780.74</v>
      </c>
      <c r="O41" s="3"/>
      <c r="P41" s="2">
        <v>0</v>
      </c>
      <c r="Q41" s="3"/>
      <c r="R41" s="2"/>
    </row>
    <row r="42" spans="1:18" s="15" customFormat="1" outlineLevel="1" collapsed="1" x14ac:dyDescent="0.35">
      <c r="A42" s="7"/>
      <c r="B42" s="20" t="str">
        <f>CONCATENATE("     ","Bad Debts/Over/Short                              ")</f>
        <v xml:space="preserve">     Bad Debts/Over/Short                              </v>
      </c>
      <c r="C42" s="7"/>
      <c r="D42" s="1">
        <f>SUM(OSRRefD21_3x_0)</f>
        <v>12.54</v>
      </c>
      <c r="E42" s="19"/>
      <c r="F42" s="1">
        <f>SUM(OSRRefF21_3x_0)</f>
        <v>0</v>
      </c>
      <c r="G42" s="4"/>
      <c r="H42" s="1">
        <f>SUM(OSRRefH21_3x_0)</f>
        <v>5615</v>
      </c>
      <c r="I42" s="4"/>
      <c r="J42" s="1">
        <f>SUM(OSRRefJ21_3x_0)</f>
        <v>0</v>
      </c>
      <c r="K42" s="4"/>
      <c r="L42" s="1">
        <f>SUM(OSRRefL21_3x_0)</f>
        <v>0</v>
      </c>
      <c r="M42" s="4"/>
      <c r="N42" s="1">
        <f>SUM(OSRRefN21_3x_0)</f>
        <v>0</v>
      </c>
      <c r="O42" s="4"/>
      <c r="P42" s="1">
        <f>SUM(OSRRefP21_3x_0)</f>
        <v>0</v>
      </c>
      <c r="Q42" s="4"/>
      <c r="R42" s="1">
        <f>SUM(OSRRefR21_3x_0)</f>
        <v>0</v>
      </c>
    </row>
    <row r="43" spans="1:18" s="16" customFormat="1" hidden="1" outlineLevel="2" x14ac:dyDescent="0.35">
      <c r="B43" s="11" t="str">
        <f>CONCATENATE("          ", "6342", " - ", "BAD DEBT")</f>
        <v xml:space="preserve">          6342 - BAD DEBT</v>
      </c>
      <c r="D43" s="2">
        <v>12.54</v>
      </c>
      <c r="F43" s="2"/>
      <c r="G43" s="3"/>
      <c r="H43" s="2">
        <v>5615</v>
      </c>
      <c r="I43" s="3"/>
      <c r="J43" s="2"/>
      <c r="K43" s="3"/>
      <c r="L43" s="2"/>
      <c r="M43" s="3"/>
      <c r="N43" s="2"/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","Bank/card Fees                                    ")</f>
        <v xml:space="preserve">     Bank/card Fees                                    </v>
      </c>
      <c r="C44" s="7"/>
      <c r="D44" s="1">
        <f>SUM(OSRRefD21_4x_0)</f>
        <v>350</v>
      </c>
      <c r="E44" s="19"/>
      <c r="F44" s="1">
        <f>SUM(OSRRefF21_4x_0)</f>
        <v>0</v>
      </c>
      <c r="G44" s="4"/>
      <c r="H44" s="1">
        <f>SUM(OSRRefH21_4x_0)</f>
        <v>2.59</v>
      </c>
      <c r="I44" s="4"/>
      <c r="J44" s="1">
        <f>SUM(OSRRefJ21_4x_0)</f>
        <v>0</v>
      </c>
      <c r="K44" s="4"/>
      <c r="L44" s="1">
        <f>SUM(OSRRefL21_4x_0)</f>
        <v>0</v>
      </c>
      <c r="M44" s="4"/>
      <c r="N44" s="1">
        <f>SUM(OSRRefN21_4x_0)</f>
        <v>536.59</v>
      </c>
      <c r="O44" s="4"/>
      <c r="P44" s="1">
        <f>SUM(OSRRefP21_4x_0)</f>
        <v>0</v>
      </c>
      <c r="Q44" s="4"/>
      <c r="R44" s="1">
        <f>SUM(OSRRefR21_4x_0)</f>
        <v>10068</v>
      </c>
    </row>
    <row r="45" spans="1:18" s="16" customFormat="1" hidden="1" outlineLevel="2" x14ac:dyDescent="0.35">
      <c r="B45" s="11" t="str">
        <f>CONCATENATE("          ", "6381", " - ", "BANK/CREDIT CARD FEES")</f>
        <v xml:space="preserve">          6381 - BANK/CREDIT CARD FEES</v>
      </c>
      <c r="D45" s="2">
        <v>350</v>
      </c>
      <c r="F45" s="2"/>
      <c r="G45" s="3"/>
      <c r="H45" s="2">
        <v>2.59</v>
      </c>
      <c r="I45" s="3"/>
      <c r="J45" s="2"/>
      <c r="K45" s="3"/>
      <c r="L45" s="2"/>
      <c r="M45" s="3"/>
      <c r="N45" s="2">
        <v>536.59</v>
      </c>
      <c r="O45" s="3"/>
      <c r="P45" s="2"/>
      <c r="Q45" s="3"/>
      <c r="R45" s="2">
        <v>10068</v>
      </c>
    </row>
    <row r="46" spans="1:18" s="15" customFormat="1" outlineLevel="1" collapsed="1" x14ac:dyDescent="0.35">
      <c r="A46" s="7"/>
      <c r="B46" s="20" t="str">
        <f>CONCATENATE("     ","Depreciation                                      ")</f>
        <v xml:space="preserve">     Depreciation                                      </v>
      </c>
      <c r="C46" s="7"/>
      <c r="D46" s="1">
        <f>SUM(OSRRefD21_5x_0)</f>
        <v>192580.13999999998</v>
      </c>
      <c r="E46" s="19"/>
      <c r="F46" s="1">
        <f>SUM(OSRRefF21_5x_0)</f>
        <v>199731.67999999996</v>
      </c>
      <c r="G46" s="4"/>
      <c r="H46" s="1">
        <f>SUM(OSRRefH21_5x_0)</f>
        <v>209991.75</v>
      </c>
      <c r="I46" s="4"/>
      <c r="J46" s="1">
        <f>SUM(OSRRefJ21_5x_0)</f>
        <v>157053.75999999998</v>
      </c>
      <c r="K46" s="4"/>
      <c r="L46" s="1">
        <f>SUM(OSRRefL21_5x_0)</f>
        <v>110978.61</v>
      </c>
      <c r="M46" s="4"/>
      <c r="N46" s="1">
        <f>SUM(OSRRefN21_5x_0)</f>
        <v>85610.599999999991</v>
      </c>
      <c r="O46" s="4"/>
      <c r="P46" s="1">
        <f>SUM(OSRRefP21_5x_0)</f>
        <v>80266</v>
      </c>
      <c r="Q46" s="4"/>
      <c r="R46" s="1">
        <f>SUM(OSRRefR21_5x_0)</f>
        <v>61684</v>
      </c>
    </row>
    <row r="47" spans="1:18" s="16" customFormat="1" hidden="1" outlineLevel="2" x14ac:dyDescent="0.35">
      <c r="B47" s="11" t="str">
        <f>CONCATENATE("          ", "6321", " - ", "BUILDING DEPRECIATION")</f>
        <v xml:space="preserve">          6321 - BUILDING DEPRECIATION</v>
      </c>
      <c r="D47" s="2">
        <v>176096.44</v>
      </c>
      <c r="F47" s="2">
        <v>179849.36</v>
      </c>
      <c r="G47" s="3"/>
      <c r="H47" s="2">
        <v>175457.06</v>
      </c>
      <c r="I47" s="3"/>
      <c r="J47" s="2">
        <v>124862.18</v>
      </c>
      <c r="K47" s="3"/>
      <c r="L47" s="2">
        <v>70848.91</v>
      </c>
      <c r="M47" s="3"/>
      <c r="N47" s="2">
        <v>27203.51</v>
      </c>
      <c r="O47" s="3"/>
      <c r="P47" s="2"/>
      <c r="Q47" s="3"/>
      <c r="R47" s="2"/>
    </row>
    <row r="48" spans="1:18" s="16" customFormat="1" hidden="1" outlineLevel="2" x14ac:dyDescent="0.35">
      <c r="B48" s="11" t="str">
        <f>CONCATENATE("          ", "6322", " - ", "EQUIPMENT DEPRECIATION EXPENSE")</f>
        <v xml:space="preserve">          6322 - EQUIPMENT DEPRECIATION EXPENSE</v>
      </c>
      <c r="D48" s="2">
        <v>15425.77</v>
      </c>
      <c r="F48" s="2">
        <v>14581.9</v>
      </c>
      <c r="G48" s="3"/>
      <c r="H48" s="2">
        <v>29269.29</v>
      </c>
      <c r="I48" s="3"/>
      <c r="J48" s="2">
        <v>27100.59</v>
      </c>
      <c r="K48" s="3"/>
      <c r="L48" s="2">
        <v>35038.71</v>
      </c>
      <c r="M48" s="3"/>
      <c r="N48" s="2">
        <v>54164.61</v>
      </c>
      <c r="O48" s="3"/>
      <c r="P48" s="2">
        <v>80266</v>
      </c>
      <c r="Q48" s="3"/>
      <c r="R48" s="2">
        <v>61684</v>
      </c>
    </row>
    <row r="49" spans="1:18" s="16" customFormat="1" hidden="1" outlineLevel="2" x14ac:dyDescent="0.35">
      <c r="B49" s="11" t="str">
        <f>CONCATENATE("          ", "6324", " - ", "FURNITURE + FIXT DEPRECIATION")</f>
        <v xml:space="preserve">          6324 - FURNITURE + FIXT DEPRECIATION</v>
      </c>
      <c r="D49" s="2">
        <v>209.43</v>
      </c>
      <c r="F49" s="2">
        <v>209.43</v>
      </c>
      <c r="G49" s="3"/>
      <c r="H49" s="2">
        <v>174.41</v>
      </c>
      <c r="I49" s="3"/>
      <c r="J49" s="2"/>
      <c r="K49" s="3"/>
      <c r="L49" s="2"/>
      <c r="M49" s="3"/>
      <c r="N49" s="2"/>
      <c r="O49" s="3"/>
      <c r="P49" s="2"/>
      <c r="Q49" s="3"/>
      <c r="R49" s="2"/>
    </row>
    <row r="50" spans="1:18" s="16" customFormat="1" hidden="1" outlineLevel="2" x14ac:dyDescent="0.35">
      <c r="B50" s="11" t="str">
        <f>CONCATENATE("          ", "6326", " - ", "VEHICLES DEPRECIATION EXPENSE")</f>
        <v xml:space="preserve">          6326 - VEHICLES DEPRECIATION EXPENSE</v>
      </c>
      <c r="D50" s="2">
        <v>848.5</v>
      </c>
      <c r="F50" s="2">
        <v>5090.99</v>
      </c>
      <c r="G50" s="3"/>
      <c r="H50" s="2">
        <v>5090.99</v>
      </c>
      <c r="I50" s="3"/>
      <c r="J50" s="2">
        <v>5090.99</v>
      </c>
      <c r="K50" s="3"/>
      <c r="L50" s="2">
        <v>5090.99</v>
      </c>
      <c r="M50" s="3"/>
      <c r="N50" s="2">
        <v>4242.4799999999996</v>
      </c>
      <c r="O50" s="3"/>
      <c r="P50" s="2"/>
      <c r="Q50" s="3"/>
      <c r="R50" s="2"/>
    </row>
    <row r="51" spans="1:18" s="15" customFormat="1" outlineLevel="1" collapsed="1" x14ac:dyDescent="0.35">
      <c r="A51" s="7"/>
      <c r="B51" s="20" t="str">
        <f>CONCATENATE("     ","Discounts and Markdowns                           ")</f>
        <v xml:space="preserve">     Discounts and Markdowns                           </v>
      </c>
      <c r="C51" s="7"/>
      <c r="D51" s="1">
        <f>SUM(OSRRefD21_6x_0)</f>
        <v>-26.8</v>
      </c>
      <c r="E51" s="19"/>
      <c r="F51" s="1">
        <f>SUM(OSRRefF21_6x_0)</f>
        <v>-112.7</v>
      </c>
      <c r="G51" s="4"/>
      <c r="H51" s="1">
        <f>SUM(OSRRefH21_6x_0)</f>
        <v>9.26</v>
      </c>
      <c r="I51" s="4"/>
      <c r="J51" s="1">
        <f>SUM(OSRRefJ21_6x_0)</f>
        <v>-1313.76</v>
      </c>
      <c r="K51" s="4"/>
      <c r="L51" s="1">
        <f>SUM(OSRRefL21_6x_0)</f>
        <v>0</v>
      </c>
      <c r="M51" s="4"/>
      <c r="N51" s="1">
        <f>SUM(OSRRefN21_6x_0)</f>
        <v>0</v>
      </c>
      <c r="O51" s="4"/>
      <c r="P51" s="1">
        <f>SUM(OSRRefP21_6x_0)</f>
        <v>0</v>
      </c>
      <c r="Q51" s="4"/>
      <c r="R51" s="1">
        <f>SUM(OSRRefR21_6x_0)</f>
        <v>0</v>
      </c>
    </row>
    <row r="52" spans="1:18" s="16" customFormat="1" hidden="1" outlineLevel="2" x14ac:dyDescent="0.35">
      <c r="B52" s="11" t="str">
        <f>CONCATENATE("          ", "9175", " - ", "EARNED DISCOUNTS")</f>
        <v xml:space="preserve">          9175 - EARNED DISCOUNTS</v>
      </c>
      <c r="D52" s="2">
        <v>-26.8</v>
      </c>
      <c r="F52" s="2">
        <v>-112.7</v>
      </c>
      <c r="G52" s="3"/>
      <c r="H52" s="2">
        <v>9.26</v>
      </c>
      <c r="I52" s="3"/>
      <c r="J52" s="2">
        <v>-1313.76</v>
      </c>
      <c r="K52" s="3"/>
      <c r="L52" s="2"/>
      <c r="M52" s="3"/>
      <c r="N52" s="2"/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","Donations                                         ")</f>
        <v xml:space="preserve">     Donations                                         </v>
      </c>
      <c r="C53" s="7"/>
      <c r="D53" s="1">
        <f>SUM(OSRRefD21_7x_0)</f>
        <v>182.45</v>
      </c>
      <c r="E53" s="19"/>
      <c r="F53" s="1">
        <f>SUM(OSRRefF21_7x_0)</f>
        <v>336</v>
      </c>
      <c r="G53" s="4"/>
      <c r="H53" s="1">
        <f>SUM(OSRRefH21_7x_0)</f>
        <v>374.17</v>
      </c>
      <c r="I53" s="4"/>
      <c r="J53" s="1">
        <f>SUM(OSRRefJ21_7x_0)</f>
        <v>393.67</v>
      </c>
      <c r="K53" s="4"/>
      <c r="L53" s="1">
        <f>SUM(OSRRefL21_7x_0)</f>
        <v>876.48</v>
      </c>
      <c r="M53" s="4"/>
      <c r="N53" s="1">
        <f>SUM(OSRRefN21_7x_0)</f>
        <v>163.68</v>
      </c>
      <c r="O53" s="4"/>
      <c r="P53" s="1">
        <f>SUM(OSRRefP21_7x_0)</f>
        <v>0</v>
      </c>
      <c r="Q53" s="4"/>
      <c r="R53" s="1">
        <f>SUM(OSRRefR21_7x_0)</f>
        <v>0</v>
      </c>
    </row>
    <row r="54" spans="1:18" s="16" customFormat="1" hidden="1" outlineLevel="2" x14ac:dyDescent="0.35">
      <c r="B54" s="11" t="str">
        <f>CONCATENATE("          ", "6399", " - ", "DONATION-ON CAMPUS")</f>
        <v xml:space="preserve">          6399 - DONATION-ON CAMPUS</v>
      </c>
      <c r="D54" s="2">
        <v>182.45</v>
      </c>
      <c r="F54" s="2">
        <v>336</v>
      </c>
      <c r="G54" s="3"/>
      <c r="H54" s="2">
        <v>374.17</v>
      </c>
      <c r="I54" s="3"/>
      <c r="J54" s="2">
        <v>393.67</v>
      </c>
      <c r="K54" s="3"/>
      <c r="L54" s="2">
        <v>876.48</v>
      </c>
      <c r="M54" s="3"/>
      <c r="N54" s="2">
        <v>163.68</v>
      </c>
      <c r="O54" s="3"/>
      <c r="P54" s="2"/>
      <c r="Q54" s="3"/>
      <c r="R54" s="2"/>
    </row>
    <row r="55" spans="1:18" s="15" customFormat="1" outlineLevel="1" collapsed="1" x14ac:dyDescent="0.35">
      <c r="A55" s="7"/>
      <c r="B55" s="20" t="str">
        <f>CONCATENATE("     ","Employees' Appreciation                           ")</f>
        <v xml:space="preserve">     Employees' Appreciation                           </v>
      </c>
      <c r="C55" s="7"/>
      <c r="D55" s="1">
        <f>SUM(OSRRefD21_8x_0)</f>
        <v>452.48</v>
      </c>
      <c r="E55" s="19"/>
      <c r="F55" s="1">
        <f>SUM(OSRRefF21_8x_0)</f>
        <v>401.22</v>
      </c>
      <c r="G55" s="4"/>
      <c r="H55" s="1">
        <f>SUM(OSRRefH21_8x_0)</f>
        <v>102.76</v>
      </c>
      <c r="I55" s="4"/>
      <c r="J55" s="1">
        <f>SUM(OSRRefJ21_8x_0)</f>
        <v>794.46</v>
      </c>
      <c r="K55" s="4"/>
      <c r="L55" s="1">
        <f>SUM(OSRRefL21_8x_0)</f>
        <v>2346.0300000000002</v>
      </c>
      <c r="M55" s="4"/>
      <c r="N55" s="1">
        <f>SUM(OSRRefN21_8x_0)</f>
        <v>502.38</v>
      </c>
      <c r="O55" s="4"/>
      <c r="P55" s="1">
        <f>SUM(OSRRefP21_8x_0)</f>
        <v>0</v>
      </c>
      <c r="Q55" s="4"/>
      <c r="R55" s="1">
        <f>SUM(OSRRefR21_8x_0)</f>
        <v>0</v>
      </c>
    </row>
    <row r="56" spans="1:18" s="16" customFormat="1" hidden="1" outlineLevel="2" x14ac:dyDescent="0.35">
      <c r="B56" s="11" t="str">
        <f>CONCATENATE("          ", "6277", " - ", "EMPLOYEE APPRECIATION")</f>
        <v xml:space="preserve">          6277 - EMPLOYEE APPRECIATION</v>
      </c>
      <c r="D56" s="2">
        <v>452.48</v>
      </c>
      <c r="F56" s="2">
        <v>401.22</v>
      </c>
      <c r="G56" s="3"/>
      <c r="H56" s="2">
        <v>102.76</v>
      </c>
      <c r="I56" s="3"/>
      <c r="J56" s="2">
        <v>794.46</v>
      </c>
      <c r="K56" s="3"/>
      <c r="L56" s="2">
        <v>2346.0300000000002</v>
      </c>
      <c r="M56" s="3"/>
      <c r="N56" s="2">
        <v>502.38</v>
      </c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","Equipment Rental                                  ")</f>
        <v xml:space="preserve">     Equipment Rental                                  </v>
      </c>
      <c r="C57" s="7"/>
      <c r="D57" s="1">
        <f>SUM(OSRRefD21_9x_0)</f>
        <v>12284.69</v>
      </c>
      <c r="E57" s="19"/>
      <c r="F57" s="1">
        <f>SUM(OSRRefF21_9x_0)</f>
        <v>10982.24</v>
      </c>
      <c r="G57" s="4"/>
      <c r="H57" s="1">
        <f>SUM(OSRRefH21_9x_0)</f>
        <v>10309.35</v>
      </c>
      <c r="I57" s="4"/>
      <c r="J57" s="1">
        <f>SUM(OSRRefJ21_9x_0)</f>
        <v>14751.19</v>
      </c>
      <c r="K57" s="4"/>
      <c r="L57" s="1">
        <f>SUM(OSRRefL21_9x_0)</f>
        <v>12095.65</v>
      </c>
      <c r="M57" s="4"/>
      <c r="N57" s="1">
        <f>SUM(OSRRefN21_9x_0)</f>
        <v>12510.09</v>
      </c>
      <c r="O57" s="4"/>
      <c r="P57" s="1">
        <f>SUM(OSRRefP21_9x_0)</f>
        <v>0</v>
      </c>
      <c r="Q57" s="4"/>
      <c r="R57" s="1">
        <f>SUM(OSRRefR21_9x_0)</f>
        <v>3600</v>
      </c>
    </row>
    <row r="58" spans="1:18" s="16" customFormat="1" hidden="1" outlineLevel="2" x14ac:dyDescent="0.35">
      <c r="B58" s="11" t="str">
        <f>CONCATENATE("          ", "6351", " - ", "EQUIPMENT RENTAL")</f>
        <v xml:space="preserve">          6351 - EQUIPMENT RENTAL</v>
      </c>
      <c r="D58" s="2">
        <v>12284.69</v>
      </c>
      <c r="F58" s="2">
        <v>10982.24</v>
      </c>
      <c r="G58" s="3"/>
      <c r="H58" s="2">
        <v>10309.35</v>
      </c>
      <c r="I58" s="3"/>
      <c r="J58" s="2">
        <v>14751.19</v>
      </c>
      <c r="K58" s="3"/>
      <c r="L58" s="2">
        <v>12095.65</v>
      </c>
      <c r="M58" s="3"/>
      <c r="N58" s="2">
        <v>12510.09</v>
      </c>
      <c r="O58" s="3"/>
      <c r="P58" s="2">
        <v>0</v>
      </c>
      <c r="Q58" s="3"/>
      <c r="R58" s="2">
        <v>3600</v>
      </c>
    </row>
    <row r="59" spans="1:18" s="15" customFormat="1" outlineLevel="1" collapsed="1" x14ac:dyDescent="0.35">
      <c r="A59" s="7"/>
      <c r="B59" s="20" t="str">
        <f>CONCATENATE("     ","Freight out/Postage                               ")</f>
        <v xml:space="preserve">     Freight out/Postage                               </v>
      </c>
      <c r="C59" s="7"/>
      <c r="D59" s="1">
        <f>SUM(OSRRefD21_10x_0)</f>
        <v>0</v>
      </c>
      <c r="E59" s="19"/>
      <c r="F59" s="1">
        <f>SUM(OSRRefF21_10x_0)</f>
        <v>0</v>
      </c>
      <c r="G59" s="4"/>
      <c r="H59" s="1">
        <f>SUM(OSRRefH21_10x_0)</f>
        <v>0</v>
      </c>
      <c r="I59" s="4"/>
      <c r="J59" s="1">
        <f>SUM(OSRRefJ21_10x_0)</f>
        <v>10.8</v>
      </c>
      <c r="K59" s="4"/>
      <c r="L59" s="1">
        <f>SUM(OSRRefL21_10x_0)</f>
        <v>9.01</v>
      </c>
      <c r="M59" s="4"/>
      <c r="N59" s="1">
        <f>SUM(OSRRefN21_10x_0)</f>
        <v>0.57999999999999996</v>
      </c>
      <c r="O59" s="4"/>
      <c r="P59" s="1">
        <f>SUM(OSRRefP21_10x_0)</f>
        <v>0</v>
      </c>
      <c r="Q59" s="4"/>
      <c r="R59" s="1">
        <f>SUM(OSRRefR21_10x_0)</f>
        <v>0</v>
      </c>
    </row>
    <row r="60" spans="1:18" s="16" customFormat="1" hidden="1" outlineLevel="2" x14ac:dyDescent="0.35">
      <c r="B60" s="11" t="str">
        <f>CONCATENATE("          ", "6307", " - ", "POSTAGE")</f>
        <v xml:space="preserve">          6307 - POSTAGE</v>
      </c>
      <c r="D60" s="2"/>
      <c r="F60" s="2"/>
      <c r="G60" s="3"/>
      <c r="H60" s="2"/>
      <c r="I60" s="3"/>
      <c r="J60" s="2">
        <v>10.8</v>
      </c>
      <c r="K60" s="3"/>
      <c r="L60" s="2">
        <v>9.01</v>
      </c>
      <c r="M60" s="3"/>
      <c r="N60" s="2">
        <v>0.57999999999999996</v>
      </c>
      <c r="O60" s="3"/>
      <c r="P60" s="2"/>
      <c r="Q60" s="3"/>
      <c r="R60" s="2"/>
    </row>
    <row r="61" spans="1:18" s="15" customFormat="1" outlineLevel="1" collapsed="1" x14ac:dyDescent="0.35">
      <c r="A61" s="7"/>
      <c r="B61" s="20" t="str">
        <f>CONCATENATE("     ","General                                           ")</f>
        <v xml:space="preserve">     General                                           </v>
      </c>
      <c r="C61" s="7"/>
      <c r="D61" s="1">
        <f>SUM(OSRRefD21_11x_0)</f>
        <v>3156.26</v>
      </c>
      <c r="E61" s="19"/>
      <c r="F61" s="1">
        <f>SUM(OSRRefF21_11x_0)</f>
        <v>45186.91</v>
      </c>
      <c r="G61" s="4"/>
      <c r="H61" s="1">
        <f>SUM(OSRRefH21_11x_0)</f>
        <v>328.97</v>
      </c>
      <c r="I61" s="4"/>
      <c r="J61" s="1">
        <f>SUM(OSRRefJ21_11x_0)</f>
        <v>27741.11</v>
      </c>
      <c r="K61" s="4"/>
      <c r="L61" s="1">
        <f>SUM(OSRRefL21_11x_0)</f>
        <v>5080.82</v>
      </c>
      <c r="M61" s="4"/>
      <c r="N61" s="1">
        <f>SUM(OSRRefN21_11x_0)</f>
        <v>23322.71</v>
      </c>
      <c r="O61" s="4"/>
      <c r="P61" s="1">
        <f>SUM(OSRRefP21_11x_0)</f>
        <v>0</v>
      </c>
      <c r="Q61" s="4"/>
      <c r="R61" s="1">
        <f>SUM(OSRRefR21_11x_0)</f>
        <v>1000</v>
      </c>
    </row>
    <row r="62" spans="1:18" s="16" customFormat="1" hidden="1" outlineLevel="2" x14ac:dyDescent="0.35">
      <c r="B62" s="11" t="str">
        <f>CONCATENATE("          ", "6279", " - ", "GENERAL EXPENSE")</f>
        <v xml:space="preserve">          6279 - GENERAL EXPENSE</v>
      </c>
      <c r="D62" s="2">
        <v>3156.26</v>
      </c>
      <c r="F62" s="2">
        <v>45186.91</v>
      </c>
      <c r="G62" s="3"/>
      <c r="H62" s="2">
        <v>328.97</v>
      </c>
      <c r="I62" s="3"/>
      <c r="J62" s="2">
        <v>27741.11</v>
      </c>
      <c r="K62" s="3"/>
      <c r="L62" s="2">
        <v>5080.82</v>
      </c>
      <c r="M62" s="3"/>
      <c r="N62" s="2">
        <v>23322.71</v>
      </c>
      <c r="O62" s="3"/>
      <c r="P62" s="2">
        <v>0</v>
      </c>
      <c r="Q62" s="3"/>
      <c r="R62" s="2">
        <v>1000</v>
      </c>
    </row>
    <row r="63" spans="1:18" s="15" customFormat="1" outlineLevel="1" collapsed="1" x14ac:dyDescent="0.35">
      <c r="A63" s="7"/>
      <c r="B63" s="20" t="str">
        <f>CONCATENATE("     ","Insurance                                         ")</f>
        <v xml:space="preserve">     Insurance                                         </v>
      </c>
      <c r="C63" s="7"/>
      <c r="D63" s="1">
        <f>SUM(OSRRefD21_12x_0)</f>
        <v>35387.15</v>
      </c>
      <c r="E63" s="19"/>
      <c r="F63" s="1">
        <f>SUM(OSRRefF21_12x_0)</f>
        <v>41656.800000000003</v>
      </c>
      <c r="G63" s="4"/>
      <c r="H63" s="1">
        <f>SUM(OSRRefH21_12x_0)</f>
        <v>36795.72</v>
      </c>
      <c r="I63" s="4"/>
      <c r="J63" s="1">
        <f>SUM(OSRRefJ21_12x_0)</f>
        <v>40521.72</v>
      </c>
      <c r="K63" s="4"/>
      <c r="L63" s="1">
        <f>SUM(OSRRefL21_12x_0)</f>
        <v>39230.9</v>
      </c>
      <c r="M63" s="4"/>
      <c r="N63" s="1">
        <f>SUM(OSRRefN21_12x_0)</f>
        <v>48947.199999999997</v>
      </c>
      <c r="O63" s="4"/>
      <c r="P63" s="1">
        <f>SUM(OSRRefP21_12x_0)</f>
        <v>46320</v>
      </c>
      <c r="Q63" s="4"/>
      <c r="R63" s="1">
        <f>SUM(OSRRefR21_12x_0)</f>
        <v>57840</v>
      </c>
    </row>
    <row r="64" spans="1:18" s="16" customFormat="1" hidden="1" outlineLevel="2" x14ac:dyDescent="0.35">
      <c r="B64" s="11" t="str">
        <f>CONCATENATE("          ", "6314", " - ", "LIABILITY INSURANCE")</f>
        <v xml:space="preserve">          6314 - LIABILITY INSURANCE</v>
      </c>
      <c r="D64" s="2">
        <v>35387.15</v>
      </c>
      <c r="F64" s="2">
        <v>41656.800000000003</v>
      </c>
      <c r="G64" s="3"/>
      <c r="H64" s="2">
        <v>36795.72</v>
      </c>
      <c r="I64" s="3"/>
      <c r="J64" s="2">
        <v>40521.72</v>
      </c>
      <c r="K64" s="3"/>
      <c r="L64" s="2">
        <v>39230.9</v>
      </c>
      <c r="M64" s="3"/>
      <c r="N64" s="2">
        <v>48947.199999999997</v>
      </c>
      <c r="O64" s="3"/>
      <c r="P64" s="2">
        <v>46320</v>
      </c>
      <c r="Q64" s="3"/>
      <c r="R64" s="2">
        <v>57840</v>
      </c>
    </row>
    <row r="65" spans="1:18" s="15" customFormat="1" outlineLevel="1" collapsed="1" x14ac:dyDescent="0.35">
      <c r="A65" s="7"/>
      <c r="B65" s="20" t="str">
        <f>CONCATENATE("     ","Professional Services                             ")</f>
        <v xml:space="preserve">     Professional Services                             </v>
      </c>
      <c r="C65" s="7"/>
      <c r="D65" s="1">
        <f>SUM(OSRRefD21_13x_0)</f>
        <v>0</v>
      </c>
      <c r="E65" s="19"/>
      <c r="F65" s="1">
        <f>SUM(OSRRefF21_13x_0)</f>
        <v>0</v>
      </c>
      <c r="G65" s="4"/>
      <c r="H65" s="1">
        <f>SUM(OSRRefH21_13x_0)</f>
        <v>300</v>
      </c>
      <c r="I65" s="4"/>
      <c r="J65" s="1">
        <f>SUM(OSRRefJ21_13x_0)</f>
        <v>0</v>
      </c>
      <c r="K65" s="4"/>
      <c r="L65" s="1">
        <f>SUM(OSRRefL21_13x_0)</f>
        <v>0</v>
      </c>
      <c r="M65" s="4"/>
      <c r="N65" s="1">
        <f>SUM(OSRRefN21_13x_0)</f>
        <v>125</v>
      </c>
      <c r="O65" s="4"/>
      <c r="P65" s="1">
        <f>SUM(OSRRefP21_13x_0)</f>
        <v>0</v>
      </c>
      <c r="Q65" s="4"/>
      <c r="R65" s="1">
        <f>SUM(OSRRefR21_13x_0)</f>
        <v>0</v>
      </c>
    </row>
    <row r="66" spans="1:18" s="16" customFormat="1" hidden="1" outlineLevel="2" x14ac:dyDescent="0.35">
      <c r="B66" s="11" t="str">
        <f>CONCATENATE("          ", "6336", " - ", "PROFESSIONAL SERVICES")</f>
        <v xml:space="preserve">          6336 - PROFESSIONAL SERVICES</v>
      </c>
      <c r="D66" s="2"/>
      <c r="F66" s="2"/>
      <c r="G66" s="3"/>
      <c r="H66" s="2">
        <v>300</v>
      </c>
      <c r="I66" s="3"/>
      <c r="J66" s="2"/>
      <c r="K66" s="3"/>
      <c r="L66" s="2"/>
      <c r="M66" s="3"/>
      <c r="N66" s="2">
        <v>125</v>
      </c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","Repair and Maintenance                            ")</f>
        <v xml:space="preserve">     Repair and Maintenance                            </v>
      </c>
      <c r="C67" s="7"/>
      <c r="D67" s="1">
        <f>SUM(OSRRefD21_14x_0)</f>
        <v>155645.13</v>
      </c>
      <c r="E67" s="19"/>
      <c r="F67" s="1">
        <f>SUM(OSRRefF21_14x_0)</f>
        <v>166631.6</v>
      </c>
      <c r="G67" s="4"/>
      <c r="H67" s="1">
        <f>SUM(OSRRefH21_14x_0)</f>
        <v>140440.35999999999</v>
      </c>
      <c r="I67" s="4"/>
      <c r="J67" s="1">
        <f>SUM(OSRRefJ21_14x_0)</f>
        <v>130200.29</v>
      </c>
      <c r="K67" s="4"/>
      <c r="L67" s="1">
        <f>SUM(OSRRefL21_14x_0)</f>
        <v>174404.15000000002</v>
      </c>
      <c r="M67" s="4"/>
      <c r="N67" s="1">
        <f>SUM(OSRRefN21_14x_0)</f>
        <v>123729.67000000001</v>
      </c>
      <c r="O67" s="4"/>
      <c r="P67" s="1">
        <f>SUM(OSRRefP21_14x_0)</f>
        <v>0</v>
      </c>
      <c r="Q67" s="4"/>
      <c r="R67" s="1">
        <f>SUM(OSRRefR21_14x_0)</f>
        <v>8000</v>
      </c>
    </row>
    <row r="68" spans="1:18" s="16" customFormat="1" hidden="1" outlineLevel="2" x14ac:dyDescent="0.35">
      <c r="B68" s="11" t="str">
        <f>CONCATENATE("          ", "6371", " - ", "COMPUTER SOFTWARE MAINTENANCE")</f>
        <v xml:space="preserve">          6371 - COMPUTER SOFTWARE MAINTENANCE</v>
      </c>
      <c r="D68" s="2">
        <v>34148.65</v>
      </c>
      <c r="F68" s="2">
        <v>36606.589999999997</v>
      </c>
      <c r="G68" s="3"/>
      <c r="H68" s="2">
        <v>40358.42</v>
      </c>
      <c r="I68" s="3"/>
      <c r="J68" s="2">
        <v>39654.9</v>
      </c>
      <c r="K68" s="3"/>
      <c r="L68" s="2">
        <v>16463.21</v>
      </c>
      <c r="M68" s="3"/>
      <c r="N68" s="2"/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"6372", " - ", "COMPUTER HARDWARE MAINTENANCE")</f>
        <v xml:space="preserve">          6372 - COMPUTER HARDWARE MAINTENANCE</v>
      </c>
      <c r="D69" s="2"/>
      <c r="F69" s="2"/>
      <c r="G69" s="3"/>
      <c r="H69" s="2"/>
      <c r="I69" s="3"/>
      <c r="J69" s="2"/>
      <c r="K69" s="3"/>
      <c r="L69" s="2"/>
      <c r="M69" s="3"/>
      <c r="N69" s="2">
        <v>8142.88</v>
      </c>
      <c r="O69" s="3"/>
      <c r="P69" s="2"/>
      <c r="Q69" s="3"/>
      <c r="R69" s="2">
        <v>8000</v>
      </c>
    </row>
    <row r="70" spans="1:18" s="16" customFormat="1" hidden="1" outlineLevel="2" x14ac:dyDescent="0.35">
      <c r="B70" s="11" t="str">
        <f>CONCATENATE("          ", "6373", " - ", "MAINTENANCE CONTRACTS")</f>
        <v xml:space="preserve">          6373 - MAINTENANCE CONTRACTS</v>
      </c>
      <c r="D70" s="2">
        <v>68390.39</v>
      </c>
      <c r="F70" s="2">
        <v>79376.83</v>
      </c>
      <c r="G70" s="3"/>
      <c r="H70" s="2">
        <v>76215.37</v>
      </c>
      <c r="I70" s="3"/>
      <c r="J70" s="2">
        <v>69795.28</v>
      </c>
      <c r="K70" s="3"/>
      <c r="L70" s="2">
        <v>94563.61</v>
      </c>
      <c r="M70" s="3"/>
      <c r="N70" s="2">
        <v>68724.570000000007</v>
      </c>
      <c r="O70" s="3"/>
      <c r="P70" s="2">
        <v>0</v>
      </c>
      <c r="Q70" s="3"/>
      <c r="R70" s="2"/>
    </row>
    <row r="71" spans="1:18" s="16" customFormat="1" hidden="1" outlineLevel="2" x14ac:dyDescent="0.35">
      <c r="B71" s="11" t="str">
        <f>CONCATENATE("          ", "6375", " - ", "OUTSIDE REPAIRS &amp; MAINTENANCE")</f>
        <v xml:space="preserve">          6375 - OUTSIDE REPAIRS &amp; MAINTENANCE</v>
      </c>
      <c r="D71" s="2">
        <v>53106.09</v>
      </c>
      <c r="F71" s="2">
        <v>50648.18</v>
      </c>
      <c r="G71" s="3"/>
      <c r="H71" s="2">
        <v>23866.57</v>
      </c>
      <c r="I71" s="3"/>
      <c r="J71" s="2">
        <v>20750.11</v>
      </c>
      <c r="K71" s="3"/>
      <c r="L71" s="2">
        <v>63377.33</v>
      </c>
      <c r="M71" s="3"/>
      <c r="N71" s="2">
        <v>46862.22</v>
      </c>
      <c r="O71" s="3"/>
      <c r="P71" s="2">
        <v>0</v>
      </c>
      <c r="Q71" s="3"/>
      <c r="R71" s="2"/>
    </row>
    <row r="72" spans="1:18" s="15" customFormat="1" outlineLevel="1" collapsed="1" x14ac:dyDescent="0.35">
      <c r="A72" s="7"/>
      <c r="B72" s="20" t="str">
        <f>CONCATENATE("     ","Royalty &amp; Commissions                             ")</f>
        <v xml:space="preserve">     Royalty &amp; Commissions                             </v>
      </c>
      <c r="C72" s="7"/>
      <c r="D72" s="1">
        <f>SUM(OSRRefD21_15x_0)</f>
        <v>-737.97</v>
      </c>
      <c r="E72" s="19"/>
      <c r="F72" s="1">
        <f>SUM(OSRRefF21_15x_0)</f>
        <v>0</v>
      </c>
      <c r="G72" s="4"/>
      <c r="H72" s="1">
        <f>SUM(OSRRefH21_15x_0)</f>
        <v>0</v>
      </c>
      <c r="I72" s="4"/>
      <c r="J72" s="1">
        <f>SUM(OSRRefJ21_15x_0)</f>
        <v>0</v>
      </c>
      <c r="K72" s="4"/>
      <c r="L72" s="1">
        <f>SUM(OSRRefL21_15x_0)</f>
        <v>0</v>
      </c>
      <c r="M72" s="4"/>
      <c r="N72" s="1">
        <f>SUM(OSRRefN21_15x_0)</f>
        <v>0</v>
      </c>
      <c r="O72" s="4"/>
      <c r="P72" s="1">
        <f>SUM(OSRRefP21_15x_0)</f>
        <v>0</v>
      </c>
      <c r="Q72" s="4"/>
      <c r="R72" s="1">
        <f>SUM(OSRRefR21_15x_0)</f>
        <v>0</v>
      </c>
    </row>
    <row r="73" spans="1:18" s="16" customFormat="1" hidden="1" outlineLevel="2" x14ac:dyDescent="0.35">
      <c r="B73" s="11" t="str">
        <f>CONCATENATE("          ", "6254", " - ", "ROYALTY &amp; COMMISSIONS")</f>
        <v xml:space="preserve">          6254 - ROYALTY &amp; COMMISSIONS</v>
      </c>
      <c r="D73" s="2">
        <v>-737.97</v>
      </c>
      <c r="F73" s="2"/>
      <c r="G73" s="3"/>
      <c r="H73" s="2"/>
      <c r="I73" s="3"/>
      <c r="J73" s="2"/>
      <c r="K73" s="3"/>
      <c r="L73" s="2"/>
      <c r="M73" s="3"/>
      <c r="N73" s="2"/>
      <c r="O73" s="3"/>
      <c r="P73" s="2"/>
      <c r="Q73" s="3"/>
      <c r="R73" s="2"/>
    </row>
    <row r="74" spans="1:18" s="15" customFormat="1" outlineLevel="1" collapsed="1" x14ac:dyDescent="0.35">
      <c r="A74" s="7"/>
      <c r="B74" s="20" t="str">
        <f>CONCATENATE("     ","Services                                          ")</f>
        <v xml:space="preserve">     Services                                          </v>
      </c>
      <c r="C74" s="7"/>
      <c r="D74" s="1">
        <f>SUM(OSRRefD21_16x_0)</f>
        <v>147431.69</v>
      </c>
      <c r="E74" s="19"/>
      <c r="F74" s="1">
        <f>SUM(OSRRefF21_16x_0)</f>
        <v>159951.46</v>
      </c>
      <c r="G74" s="4"/>
      <c r="H74" s="1">
        <f>SUM(OSRRefH21_16x_0)</f>
        <v>157816.43000000002</v>
      </c>
      <c r="I74" s="4"/>
      <c r="J74" s="1">
        <f>SUM(OSRRefJ21_16x_0)</f>
        <v>159420.91</v>
      </c>
      <c r="K74" s="4"/>
      <c r="L74" s="1">
        <f>SUM(OSRRefL21_16x_0)</f>
        <v>176987.21</v>
      </c>
      <c r="M74" s="4"/>
      <c r="N74" s="1">
        <f>SUM(OSRRefN21_16x_0)</f>
        <v>151195.43</v>
      </c>
      <c r="O74" s="4"/>
      <c r="P74" s="1">
        <f>SUM(OSRRefP21_16x_0)</f>
        <v>36566</v>
      </c>
      <c r="Q74" s="4"/>
      <c r="R74" s="1">
        <f>SUM(OSRRefR21_16x_0)</f>
        <v>9550</v>
      </c>
    </row>
    <row r="75" spans="1:18" s="16" customFormat="1" hidden="1" outlineLevel="2" x14ac:dyDescent="0.35">
      <c r="B75" s="11" t="str">
        <f>CONCATENATE("          ", "6282", " - ", "JANITORIAL/EXTERMINATOR EXPENS")</f>
        <v xml:space="preserve">          6282 - JANITORIAL/EXTERMINATOR EXPENS</v>
      </c>
      <c r="D75" s="2">
        <v>6168.57</v>
      </c>
      <c r="F75" s="2">
        <v>6907.02</v>
      </c>
      <c r="G75" s="3"/>
      <c r="H75" s="2">
        <v>6248.99</v>
      </c>
      <c r="I75" s="3"/>
      <c r="J75" s="2">
        <v>7191.36</v>
      </c>
      <c r="K75" s="3"/>
      <c r="L75" s="2">
        <v>6888.86</v>
      </c>
      <c r="M75" s="3"/>
      <c r="N75" s="2">
        <v>7515.12</v>
      </c>
      <c r="O75" s="3"/>
      <c r="P75" s="2">
        <v>8766</v>
      </c>
      <c r="Q75" s="3"/>
      <c r="R75" s="2">
        <v>7800</v>
      </c>
    </row>
    <row r="76" spans="1:18" s="16" customFormat="1" hidden="1" outlineLevel="2" x14ac:dyDescent="0.35">
      <c r="B76" s="11" t="str">
        <f>CONCATENATE("          ", "6283", " - ", "PLANT SERVICE")</f>
        <v xml:space="preserve">          6283 - PLANT SERVICE</v>
      </c>
      <c r="D76" s="2">
        <v>421</v>
      </c>
      <c r="F76" s="2">
        <v>396</v>
      </c>
      <c r="G76" s="3"/>
      <c r="H76" s="2">
        <v>396</v>
      </c>
      <c r="I76" s="3"/>
      <c r="J76" s="2">
        <v>363</v>
      </c>
      <c r="K76" s="3"/>
      <c r="L76" s="2">
        <v>398.53</v>
      </c>
      <c r="M76" s="3"/>
      <c r="N76" s="2">
        <v>319.77</v>
      </c>
      <c r="O76" s="3"/>
      <c r="P76" s="2">
        <v>0</v>
      </c>
      <c r="Q76" s="3"/>
      <c r="R76" s="2"/>
    </row>
    <row r="77" spans="1:18" s="16" customFormat="1" hidden="1" outlineLevel="2" x14ac:dyDescent="0.35">
      <c r="B77" s="11" t="str">
        <f>CONCATENATE("          ", "6284", " - ", "TRASH REMOVAL EXPENSE")</f>
        <v xml:space="preserve">          6284 - TRASH REMOVAL EXPENSE</v>
      </c>
      <c r="D77" s="2">
        <v>30764.07</v>
      </c>
      <c r="F77" s="2">
        <v>39302.730000000003</v>
      </c>
      <c r="G77" s="3"/>
      <c r="H77" s="2">
        <v>38507.82</v>
      </c>
      <c r="I77" s="3"/>
      <c r="J77" s="2">
        <v>43552.32</v>
      </c>
      <c r="K77" s="3"/>
      <c r="L77" s="2">
        <v>50183.99</v>
      </c>
      <c r="M77" s="3"/>
      <c r="N77" s="2">
        <v>47599</v>
      </c>
      <c r="O77" s="3"/>
      <c r="P77" s="2">
        <v>27800</v>
      </c>
      <c r="Q77" s="3"/>
      <c r="R77" s="2">
        <v>0</v>
      </c>
    </row>
    <row r="78" spans="1:18" s="16" customFormat="1" hidden="1" outlineLevel="2" x14ac:dyDescent="0.35">
      <c r="B78" s="11" t="str">
        <f>CONCATENATE("          ", "6285", " - ", "JANITORIAL SERVICES")</f>
        <v xml:space="preserve">          6285 - JANITORIAL SERVICES</v>
      </c>
      <c r="D78" s="2">
        <v>90389.13</v>
      </c>
      <c r="F78" s="2">
        <v>94498.25</v>
      </c>
      <c r="G78" s="3"/>
      <c r="H78" s="2">
        <v>102290.45</v>
      </c>
      <c r="I78" s="3"/>
      <c r="J78" s="2">
        <v>104758.1</v>
      </c>
      <c r="K78" s="3"/>
      <c r="L78" s="2">
        <v>117362.72</v>
      </c>
      <c r="M78" s="3"/>
      <c r="N78" s="2">
        <v>95016.71</v>
      </c>
      <c r="O78" s="3"/>
      <c r="P78" s="2">
        <v>0</v>
      </c>
      <c r="Q78" s="3"/>
      <c r="R78" s="2">
        <v>1750</v>
      </c>
    </row>
    <row r="79" spans="1:18" s="16" customFormat="1" hidden="1" outlineLevel="2" x14ac:dyDescent="0.35">
      <c r="B79" s="11" t="str">
        <f>CONCATENATE("          ", "6286", " - ", "LAUNDRY EXPENSE")</f>
        <v xml:space="preserve">          6286 - LAUNDRY EXPENSE</v>
      </c>
      <c r="D79" s="2">
        <v>19688.919999999998</v>
      </c>
      <c r="F79" s="2">
        <v>18847.46</v>
      </c>
      <c r="G79" s="3"/>
      <c r="H79" s="2">
        <v>10373.17</v>
      </c>
      <c r="I79" s="3"/>
      <c r="J79" s="2">
        <v>3556.13</v>
      </c>
      <c r="K79" s="3"/>
      <c r="L79" s="2">
        <v>2153.11</v>
      </c>
      <c r="M79" s="3"/>
      <c r="N79" s="2">
        <v>744.83</v>
      </c>
      <c r="O79" s="3"/>
      <c r="P79" s="2"/>
      <c r="Q79" s="3"/>
      <c r="R79" s="2"/>
    </row>
    <row r="80" spans="1:18" s="15" customFormat="1" outlineLevel="1" collapsed="1" x14ac:dyDescent="0.35">
      <c r="A80" s="7"/>
      <c r="B80" s="20" t="str">
        <f>CONCATENATE("     ","Subscriptions &amp; Dues                              ")</f>
        <v xml:space="preserve">     Subscriptions &amp; Dues                              </v>
      </c>
      <c r="C80" s="7"/>
      <c r="D80" s="1">
        <f>SUM(OSRRefD21_17x_0)</f>
        <v>700</v>
      </c>
      <c r="E80" s="19"/>
      <c r="F80" s="1">
        <f>SUM(OSRRefF21_17x_0)</f>
        <v>855</v>
      </c>
      <c r="G80" s="4"/>
      <c r="H80" s="1">
        <f>SUM(OSRRefH21_17x_0)</f>
        <v>600</v>
      </c>
      <c r="I80" s="4"/>
      <c r="J80" s="1">
        <f>SUM(OSRRefJ21_17x_0)</f>
        <v>3932.35</v>
      </c>
      <c r="K80" s="4"/>
      <c r="L80" s="1">
        <f>SUM(OSRRefL21_17x_0)</f>
        <v>1182.8399999999999</v>
      </c>
      <c r="M80" s="4"/>
      <c r="N80" s="1">
        <f>SUM(OSRRefN21_17x_0)</f>
        <v>795</v>
      </c>
      <c r="O80" s="4"/>
      <c r="P80" s="1">
        <f>SUM(OSRRefP21_17x_0)</f>
        <v>900</v>
      </c>
      <c r="Q80" s="4"/>
      <c r="R80" s="1">
        <f>SUM(OSRRefR21_17x_0)</f>
        <v>0</v>
      </c>
    </row>
    <row r="81" spans="1:18" s="16" customFormat="1" hidden="1" outlineLevel="2" x14ac:dyDescent="0.35">
      <c r="B81" s="11" t="str">
        <f>CONCATENATE("          ", "6258", " - ", "MEMBERSHIP DUES")</f>
        <v xml:space="preserve">          6258 - MEMBERSHIP DUES</v>
      </c>
      <c r="D81" s="2">
        <v>700</v>
      </c>
      <c r="F81" s="2">
        <v>255</v>
      </c>
      <c r="G81" s="3"/>
      <c r="H81" s="2">
        <v>600</v>
      </c>
      <c r="I81" s="3"/>
      <c r="J81" s="2">
        <v>760</v>
      </c>
      <c r="K81" s="3"/>
      <c r="L81" s="2"/>
      <c r="M81" s="3"/>
      <c r="N81" s="2">
        <v>795</v>
      </c>
      <c r="O81" s="3"/>
      <c r="P81" s="2">
        <v>900</v>
      </c>
      <c r="Q81" s="3"/>
      <c r="R81" s="2"/>
    </row>
    <row r="82" spans="1:18" s="16" customFormat="1" hidden="1" outlineLevel="2" x14ac:dyDescent="0.35">
      <c r="B82" s="11" t="str">
        <f>CONCATENATE("          ", "6275", " - ", "SUBSCRIPTIONS")</f>
        <v xml:space="preserve">          6275 - SUBSCRIPTIONS</v>
      </c>
      <c r="D82" s="2"/>
      <c r="F82" s="2">
        <v>600</v>
      </c>
      <c r="G82" s="3"/>
      <c r="H82" s="2"/>
      <c r="I82" s="3"/>
      <c r="J82" s="2">
        <v>3172.35</v>
      </c>
      <c r="K82" s="3"/>
      <c r="L82" s="2">
        <v>1182.8399999999999</v>
      </c>
      <c r="M82" s="3"/>
      <c r="N82" s="2"/>
      <c r="O82" s="3"/>
      <c r="P82" s="2"/>
      <c r="Q82" s="3"/>
      <c r="R82" s="2"/>
    </row>
    <row r="83" spans="1:18" s="15" customFormat="1" outlineLevel="1" collapsed="1" x14ac:dyDescent="0.35">
      <c r="A83" s="7"/>
      <c r="B83" s="20" t="str">
        <f>CONCATENATE("     ","Supplies                                          ")</f>
        <v xml:space="preserve">     Supplies                                          </v>
      </c>
      <c r="C83" s="7"/>
      <c r="D83" s="1">
        <f>SUM(OSRRefD21_18x_0)</f>
        <v>78980.509999999995</v>
      </c>
      <c r="E83" s="19"/>
      <c r="F83" s="1">
        <f>SUM(OSRRefF21_18x_0)</f>
        <v>78819.94</v>
      </c>
      <c r="G83" s="4"/>
      <c r="H83" s="1">
        <f>SUM(OSRRefH21_18x_0)</f>
        <v>84535.930000000008</v>
      </c>
      <c r="I83" s="4"/>
      <c r="J83" s="1">
        <f>SUM(OSRRefJ21_18x_0)</f>
        <v>82856.499999999985</v>
      </c>
      <c r="K83" s="4"/>
      <c r="L83" s="1">
        <f>SUM(OSRRefL21_18x_0)</f>
        <v>82375.060000000012</v>
      </c>
      <c r="M83" s="4"/>
      <c r="N83" s="1">
        <f>SUM(OSRRefN21_18x_0)</f>
        <v>67295.929999999993</v>
      </c>
      <c r="O83" s="4"/>
      <c r="P83" s="1">
        <f>SUM(OSRRefP21_18x_0)</f>
        <v>0</v>
      </c>
      <c r="Q83" s="4"/>
      <c r="R83" s="1">
        <f>SUM(OSRRefR21_18x_0)</f>
        <v>0</v>
      </c>
    </row>
    <row r="84" spans="1:18" s="16" customFormat="1" hidden="1" outlineLevel="2" x14ac:dyDescent="0.35">
      <c r="B84" s="11" t="str">
        <f>CONCATENATE("          ", "6234", " - ", "EXPENDABLE SUPPLIES &amp; EQUIPMEN")</f>
        <v xml:space="preserve">          6234 - EXPENDABLE SUPPLIES &amp; EQUIPMEN</v>
      </c>
      <c r="D84" s="2">
        <v>199.57</v>
      </c>
      <c r="F84" s="2"/>
      <c r="G84" s="3"/>
      <c r="H84" s="2">
        <v>1106.83</v>
      </c>
      <c r="I84" s="3"/>
      <c r="J84" s="2"/>
      <c r="K84" s="3"/>
      <c r="L84" s="2">
        <v>732.36</v>
      </c>
      <c r="M84" s="3"/>
      <c r="N84" s="2">
        <v>8480.18</v>
      </c>
      <c r="O84" s="3"/>
      <c r="P84" s="2"/>
      <c r="Q84" s="3"/>
      <c r="R84" s="2"/>
    </row>
    <row r="85" spans="1:18" s="16" customFormat="1" hidden="1" outlineLevel="2" x14ac:dyDescent="0.35">
      <c r="B85" s="11" t="str">
        <f>CONCATENATE("          ", "6235", " - ", "COVID-19 EXPENSES")</f>
        <v xml:space="preserve">          6235 - COVID-19 EXPENSES</v>
      </c>
      <c r="D85" s="2"/>
      <c r="F85" s="2"/>
      <c r="G85" s="3"/>
      <c r="H85" s="2"/>
      <c r="I85" s="3"/>
      <c r="J85" s="2"/>
      <c r="K85" s="3"/>
      <c r="L85" s="2"/>
      <c r="M85" s="3"/>
      <c r="N85" s="2">
        <v>1095.08</v>
      </c>
      <c r="O85" s="3"/>
      <c r="P85" s="2">
        <v>0</v>
      </c>
      <c r="Q85" s="3"/>
      <c r="R85" s="2"/>
    </row>
    <row r="86" spans="1:18" s="16" customFormat="1" hidden="1" outlineLevel="2" x14ac:dyDescent="0.35">
      <c r="B86" s="11" t="str">
        <f>CONCATENATE("          ", "6237", " - ", "JANITORIAL SUPPLIES")</f>
        <v xml:space="preserve">          6237 - JANITORIAL SUPPLIES</v>
      </c>
      <c r="D86" s="2">
        <v>35373.89</v>
      </c>
      <c r="F86" s="2">
        <v>38172.19</v>
      </c>
      <c r="G86" s="3"/>
      <c r="H86" s="2">
        <v>37484.879999999997</v>
      </c>
      <c r="I86" s="3"/>
      <c r="J86" s="2">
        <v>38977.42</v>
      </c>
      <c r="K86" s="3"/>
      <c r="L86" s="2">
        <v>36101.1</v>
      </c>
      <c r="M86" s="3"/>
      <c r="N86" s="2">
        <v>35461.51</v>
      </c>
      <c r="O86" s="3"/>
      <c r="P86" s="2">
        <v>0</v>
      </c>
      <c r="Q86" s="3"/>
      <c r="R86" s="2"/>
    </row>
    <row r="87" spans="1:18" s="16" customFormat="1" hidden="1" outlineLevel="2" x14ac:dyDescent="0.35">
      <c r="B87" s="11" t="str">
        <f>CONCATENATE("          ", "6239", " - ", "KITCHEN SUPPLIES")</f>
        <v xml:space="preserve">          6239 - KITCHEN SUPPLIES</v>
      </c>
      <c r="D87" s="2">
        <v>400.21</v>
      </c>
      <c r="F87" s="2">
        <v>14582.55</v>
      </c>
      <c r="G87" s="3"/>
      <c r="H87" s="2">
        <v>29082.57</v>
      </c>
      <c r="I87" s="3"/>
      <c r="J87" s="2">
        <v>22756.62</v>
      </c>
      <c r="K87" s="3"/>
      <c r="L87" s="2">
        <v>26297</v>
      </c>
      <c r="M87" s="3"/>
      <c r="N87" s="2">
        <v>18397.89</v>
      </c>
      <c r="O87" s="3"/>
      <c r="P87" s="2">
        <v>0</v>
      </c>
      <c r="Q87" s="3"/>
      <c r="R87" s="2"/>
    </row>
    <row r="88" spans="1:18" s="16" customFormat="1" hidden="1" outlineLevel="2" x14ac:dyDescent="0.35">
      <c r="B88" s="11" t="str">
        <f>CONCATENATE("          ", "6241", " - ", "OFFICE EXPENSE")</f>
        <v xml:space="preserve">          6241 - OFFICE EXPENSE</v>
      </c>
      <c r="D88" s="2">
        <v>7994.8</v>
      </c>
      <c r="F88" s="2">
        <v>7462.52</v>
      </c>
      <c r="G88" s="3"/>
      <c r="H88" s="2">
        <v>14606.94</v>
      </c>
      <c r="I88" s="3"/>
      <c r="J88" s="2">
        <v>10421.290000000001</v>
      </c>
      <c r="K88" s="3"/>
      <c r="L88" s="2">
        <v>13190.01</v>
      </c>
      <c r="M88" s="3"/>
      <c r="N88" s="2">
        <v>2203.9499999999998</v>
      </c>
      <c r="O88" s="3"/>
      <c r="P88" s="2">
        <v>0</v>
      </c>
      <c r="Q88" s="3"/>
      <c r="R88" s="2"/>
    </row>
    <row r="89" spans="1:18" s="16" customFormat="1" hidden="1" outlineLevel="2" x14ac:dyDescent="0.35">
      <c r="B89" s="11" t="str">
        <f>CONCATENATE("          ", "6243", " - ", "PAPER SUPPLIES")</f>
        <v xml:space="preserve">          6243 - PAPER SUPPLIES</v>
      </c>
      <c r="D89" s="2">
        <v>119.77</v>
      </c>
      <c r="F89" s="2">
        <v>4921.16</v>
      </c>
      <c r="G89" s="3"/>
      <c r="H89" s="2"/>
      <c r="I89" s="3"/>
      <c r="J89" s="2">
        <v>4627.8500000000004</v>
      </c>
      <c r="K89" s="3"/>
      <c r="L89" s="2">
        <v>4500.3</v>
      </c>
      <c r="M89" s="3"/>
      <c r="N89" s="2">
        <v>1027.17</v>
      </c>
      <c r="O89" s="3"/>
      <c r="P89" s="2"/>
      <c r="Q89" s="3"/>
      <c r="R89" s="2"/>
    </row>
    <row r="90" spans="1:18" s="16" customFormat="1" hidden="1" outlineLevel="2" x14ac:dyDescent="0.35">
      <c r="B90" s="11" t="str">
        <f>CONCATENATE("          ", "6245", " - ", "PRINTING")</f>
        <v xml:space="preserve">          6245 - PRINTING</v>
      </c>
      <c r="D90" s="2">
        <v>265.68</v>
      </c>
      <c r="F90" s="2">
        <v>36.74</v>
      </c>
      <c r="G90" s="3"/>
      <c r="H90" s="2">
        <v>50.02</v>
      </c>
      <c r="I90" s="3"/>
      <c r="J90" s="2">
        <v>280.58999999999997</v>
      </c>
      <c r="K90" s="3"/>
      <c r="L90" s="2">
        <v>87.11</v>
      </c>
      <c r="M90" s="3"/>
      <c r="N90" s="2">
        <v>15.99</v>
      </c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"6246", " - ", "REPLACEMENTS")</f>
        <v xml:space="preserve">          6246 - REPLACEMENTS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0</v>
      </c>
      <c r="Q91" s="3"/>
      <c r="R91" s="2"/>
    </row>
    <row r="92" spans="1:18" s="16" customFormat="1" hidden="1" outlineLevel="2" x14ac:dyDescent="0.35">
      <c r="B92" s="11" t="str">
        <f>CONCATENATE("          ", "6247", " - ", "STORE SUPPLIES")</f>
        <v xml:space="preserve">          6247 - STORE SUPPLIES</v>
      </c>
      <c r="D92" s="2">
        <v>33560.639999999999</v>
      </c>
      <c r="F92" s="2">
        <v>12796.75</v>
      </c>
      <c r="G92" s="3"/>
      <c r="H92" s="2">
        <v>-267.67</v>
      </c>
      <c r="I92" s="3"/>
      <c r="J92" s="2">
        <v>5849.68</v>
      </c>
      <c r="K92" s="3"/>
      <c r="L92" s="2">
        <v>191.55</v>
      </c>
      <c r="M92" s="3"/>
      <c r="N92" s="2">
        <v>123.68</v>
      </c>
      <c r="O92" s="3"/>
      <c r="P92" s="2">
        <v>0</v>
      </c>
      <c r="Q92" s="3"/>
      <c r="R92" s="2"/>
    </row>
    <row r="93" spans="1:18" s="16" customFormat="1" hidden="1" outlineLevel="2" x14ac:dyDescent="0.35">
      <c r="B93" s="11" t="str">
        <f>CONCATENATE("          ", "6248", " - ", "UNIFORMS")</f>
        <v xml:space="preserve">          6248 - UNIFORMS</v>
      </c>
      <c r="D93" s="2">
        <v>1065.95</v>
      </c>
      <c r="F93" s="2">
        <v>848.03</v>
      </c>
      <c r="G93" s="3"/>
      <c r="H93" s="2">
        <v>2472.36</v>
      </c>
      <c r="I93" s="3"/>
      <c r="J93" s="2">
        <v>-56.95</v>
      </c>
      <c r="K93" s="3"/>
      <c r="L93" s="2">
        <v>1275.6300000000001</v>
      </c>
      <c r="M93" s="3"/>
      <c r="N93" s="2">
        <v>490.48</v>
      </c>
      <c r="O93" s="3"/>
      <c r="P93" s="2">
        <v>0</v>
      </c>
      <c r="Q93" s="3"/>
      <c r="R93" s="2"/>
    </row>
    <row r="94" spans="1:18" s="15" customFormat="1" outlineLevel="1" collapsed="1" x14ac:dyDescent="0.35">
      <c r="A94" s="7"/>
      <c r="B94" s="20" t="str">
        <f>CONCATENATE("     ","Telephone/Data Lines                              ")</f>
        <v xml:space="preserve">     Telephone/Data Lines                              </v>
      </c>
      <c r="C94" s="7"/>
      <c r="D94" s="1">
        <f>SUM(OSRRefD21_19x_0)</f>
        <v>7477.77</v>
      </c>
      <c r="E94" s="19"/>
      <c r="F94" s="1">
        <f>SUM(OSRRefF21_19x_0)</f>
        <v>7128.54</v>
      </c>
      <c r="G94" s="4"/>
      <c r="H94" s="1">
        <f>SUM(OSRRefH21_19x_0)</f>
        <v>5992.7</v>
      </c>
      <c r="I94" s="4"/>
      <c r="J94" s="1">
        <f>SUM(OSRRefJ21_19x_0)</f>
        <v>5466.95</v>
      </c>
      <c r="K94" s="4"/>
      <c r="L94" s="1">
        <f>SUM(OSRRefL21_19x_0)</f>
        <v>5292.55</v>
      </c>
      <c r="M94" s="4"/>
      <c r="N94" s="1">
        <f>SUM(OSRRefN21_19x_0)</f>
        <v>5123.67</v>
      </c>
      <c r="O94" s="4"/>
      <c r="P94" s="1">
        <f>SUM(OSRRefP21_19x_0)</f>
        <v>600</v>
      </c>
      <c r="Q94" s="4"/>
      <c r="R94" s="1">
        <f>SUM(OSRRefR21_19x_0)</f>
        <v>0</v>
      </c>
    </row>
    <row r="95" spans="1:18" s="16" customFormat="1" hidden="1" outlineLevel="2" x14ac:dyDescent="0.35">
      <c r="B95" s="11" t="str">
        <f>CONCATENATE("          ", "6309", " - ", "TELEPHONE")</f>
        <v xml:space="preserve">          6309 - TELEPHONE</v>
      </c>
      <c r="D95" s="2">
        <v>7477.77</v>
      </c>
      <c r="F95" s="2">
        <v>7128.54</v>
      </c>
      <c r="G95" s="3"/>
      <c r="H95" s="2">
        <v>5992.7</v>
      </c>
      <c r="I95" s="3"/>
      <c r="J95" s="2">
        <v>5466.95</v>
      </c>
      <c r="K95" s="3"/>
      <c r="L95" s="2">
        <v>5292.55</v>
      </c>
      <c r="M95" s="3"/>
      <c r="N95" s="2">
        <v>5123.67</v>
      </c>
      <c r="O95" s="3"/>
      <c r="P95" s="2">
        <v>600</v>
      </c>
      <c r="Q95" s="3"/>
      <c r="R95" s="2"/>
    </row>
    <row r="96" spans="1:18" s="15" customFormat="1" outlineLevel="1" collapsed="1" x14ac:dyDescent="0.35">
      <c r="A96" s="7"/>
      <c r="B96" s="20" t="str">
        <f>CONCATENATE("     ","Training                                          ")</f>
        <v xml:space="preserve">     Training                                          </v>
      </c>
      <c r="C96" s="7"/>
      <c r="D96" s="1">
        <f>SUM(OSRRefD21_20x_0)</f>
        <v>860</v>
      </c>
      <c r="E96" s="19"/>
      <c r="F96" s="1">
        <f>SUM(OSRRefF21_20x_0)</f>
        <v>983.65</v>
      </c>
      <c r="G96" s="4"/>
      <c r="H96" s="1">
        <f>SUM(OSRRefH21_20x_0)</f>
        <v>1835.3</v>
      </c>
      <c r="I96" s="4"/>
      <c r="J96" s="1">
        <f>SUM(OSRRefJ21_20x_0)</f>
        <v>692.64</v>
      </c>
      <c r="K96" s="4"/>
      <c r="L96" s="1">
        <f>SUM(OSRRefL21_20x_0)</f>
        <v>170</v>
      </c>
      <c r="M96" s="4"/>
      <c r="N96" s="1">
        <f>SUM(OSRRefN21_20x_0)</f>
        <v>240</v>
      </c>
      <c r="O96" s="4"/>
      <c r="P96" s="1">
        <f>SUM(OSRRefP21_20x_0)</f>
        <v>0</v>
      </c>
      <c r="Q96" s="4"/>
      <c r="R96" s="1">
        <f>SUM(OSRRefR21_20x_0)</f>
        <v>3600</v>
      </c>
    </row>
    <row r="97" spans="1:18" s="16" customFormat="1" hidden="1" outlineLevel="2" x14ac:dyDescent="0.35">
      <c r="B97" s="11" t="str">
        <f>CONCATENATE("          ", "6376", " - ", "TRAINING")</f>
        <v xml:space="preserve">          6376 - TRAINING</v>
      </c>
      <c r="D97" s="2">
        <v>860</v>
      </c>
      <c r="F97" s="2">
        <v>983.65</v>
      </c>
      <c r="G97" s="3"/>
      <c r="H97" s="2">
        <v>1835.3</v>
      </c>
      <c r="I97" s="3"/>
      <c r="J97" s="2">
        <v>692.64</v>
      </c>
      <c r="K97" s="3"/>
      <c r="L97" s="2">
        <v>170</v>
      </c>
      <c r="M97" s="3"/>
      <c r="N97" s="2">
        <v>240</v>
      </c>
      <c r="O97" s="3"/>
      <c r="P97" s="2"/>
      <c r="Q97" s="3"/>
      <c r="R97" s="2">
        <v>3600</v>
      </c>
    </row>
    <row r="98" spans="1:18" s="15" customFormat="1" outlineLevel="1" collapsed="1" x14ac:dyDescent="0.35">
      <c r="A98" s="7"/>
      <c r="B98" s="20" t="str">
        <f>CONCATENATE("     ","Travel                                            ")</f>
        <v xml:space="preserve">     Travel                                            </v>
      </c>
      <c r="C98" s="7"/>
      <c r="D98" s="1">
        <f>SUM(OSRRefD21_21x_0)</f>
        <v>7794.71</v>
      </c>
      <c r="E98" s="19"/>
      <c r="F98" s="1">
        <f>SUM(OSRRefF21_21x_0)</f>
        <v>6147.87</v>
      </c>
      <c r="G98" s="4"/>
      <c r="H98" s="1">
        <f>SUM(OSRRefH21_21x_0)</f>
        <v>4254.49</v>
      </c>
      <c r="I98" s="4"/>
      <c r="J98" s="1">
        <f>SUM(OSRRefJ21_21x_0)</f>
        <v>4081.13</v>
      </c>
      <c r="K98" s="4"/>
      <c r="L98" s="1">
        <f>SUM(OSRRefL21_21x_0)</f>
        <v>2856.95</v>
      </c>
      <c r="M98" s="4"/>
      <c r="N98" s="1">
        <f>SUM(OSRRefN21_21x_0)</f>
        <v>2300.86</v>
      </c>
      <c r="O98" s="4"/>
      <c r="P98" s="1">
        <f>SUM(OSRRefP21_21x_0)</f>
        <v>0</v>
      </c>
      <c r="Q98" s="4"/>
      <c r="R98" s="1">
        <f>SUM(OSRRefR21_21x_0)</f>
        <v>0</v>
      </c>
    </row>
    <row r="99" spans="1:18" s="16" customFormat="1" hidden="1" outlineLevel="2" x14ac:dyDescent="0.35">
      <c r="B99" s="11" t="str">
        <f>CONCATENATE("          ", "6292", " - ", "TRAVEL/CONFERENCE")</f>
        <v xml:space="preserve">          6292 - TRAVEL/CONFERENCE</v>
      </c>
      <c r="D99" s="2">
        <v>5821.14</v>
      </c>
      <c r="F99" s="2">
        <v>4978.6400000000003</v>
      </c>
      <c r="G99" s="3"/>
      <c r="H99" s="2">
        <v>2403.8000000000002</v>
      </c>
      <c r="I99" s="3"/>
      <c r="J99" s="2">
        <v>1810.32</v>
      </c>
      <c r="K99" s="3"/>
      <c r="L99" s="2">
        <v>1466.67</v>
      </c>
      <c r="M99" s="3"/>
      <c r="N99" s="2">
        <v>966.72</v>
      </c>
      <c r="O99" s="3"/>
      <c r="P99" s="2"/>
      <c r="Q99" s="3"/>
      <c r="R99" s="2"/>
    </row>
    <row r="100" spans="1:18" s="16" customFormat="1" hidden="1" outlineLevel="2" x14ac:dyDescent="0.35">
      <c r="B100" s="11" t="str">
        <f>CONCATENATE("          ", "6294", " - ", "TRAVEL OPERATIONAL")</f>
        <v xml:space="preserve">          6294 - TRAVEL OPERATIONAL</v>
      </c>
      <c r="D100" s="2">
        <v>987.44</v>
      </c>
      <c r="F100" s="2">
        <v>108.37</v>
      </c>
      <c r="G100" s="3"/>
      <c r="H100" s="2">
        <v>786.95</v>
      </c>
      <c r="I100" s="3"/>
      <c r="J100" s="2">
        <v>824.45</v>
      </c>
      <c r="K100" s="3"/>
      <c r="L100" s="2">
        <v>29.49</v>
      </c>
      <c r="M100" s="3"/>
      <c r="N100" s="2">
        <v>45.49</v>
      </c>
      <c r="O100" s="3"/>
      <c r="P100" s="2"/>
      <c r="Q100" s="3"/>
      <c r="R100" s="2"/>
    </row>
    <row r="101" spans="1:18" s="16" customFormat="1" hidden="1" outlineLevel="2" x14ac:dyDescent="0.35">
      <c r="B101" s="11" t="str">
        <f>CONCATENATE("          ", "6298", " - ", "VEHICLE MILEAGE")</f>
        <v xml:space="preserve">          6298 - VEHICLE MILEAGE</v>
      </c>
      <c r="D101" s="2">
        <v>986.13</v>
      </c>
      <c r="F101" s="2">
        <v>1060.8599999999999</v>
      </c>
      <c r="G101" s="3"/>
      <c r="H101" s="2">
        <v>1063.74</v>
      </c>
      <c r="I101" s="3"/>
      <c r="J101" s="2">
        <v>1446.36</v>
      </c>
      <c r="K101" s="3"/>
      <c r="L101" s="2">
        <v>1360.79</v>
      </c>
      <c r="M101" s="3"/>
      <c r="N101" s="2">
        <v>1288.6500000000001</v>
      </c>
      <c r="O101" s="3"/>
      <c r="P101" s="2"/>
      <c r="Q101" s="3"/>
      <c r="R101" s="2"/>
    </row>
    <row r="102" spans="1:18" s="15" customFormat="1" outlineLevel="1" collapsed="1" x14ac:dyDescent="0.35">
      <c r="A102" s="7"/>
      <c r="B102" s="20" t="str">
        <f>CONCATENATE("     ","Utilities                                         ")</f>
        <v xml:space="preserve">     Utilities                                         </v>
      </c>
      <c r="C102" s="7"/>
      <c r="D102" s="1">
        <f>SUM(OSRRefD21_22x_0)</f>
        <v>171679.57</v>
      </c>
      <c r="E102" s="19"/>
      <c r="F102" s="1">
        <f>SUM(OSRRefF21_22x_0)</f>
        <v>228531.07</v>
      </c>
      <c r="G102" s="4"/>
      <c r="H102" s="1">
        <f>SUM(OSRRefH21_22x_0)</f>
        <v>175125.44</v>
      </c>
      <c r="I102" s="4"/>
      <c r="J102" s="1">
        <f>SUM(OSRRefJ21_22x_0)</f>
        <v>114747.79</v>
      </c>
      <c r="K102" s="4"/>
      <c r="L102" s="1">
        <f>SUM(OSRRefL21_22x_0)</f>
        <v>115999.72</v>
      </c>
      <c r="M102" s="4"/>
      <c r="N102" s="1">
        <f>SUM(OSRRefN21_22x_0)</f>
        <v>178328</v>
      </c>
      <c r="O102" s="4"/>
      <c r="P102" s="1">
        <f>SUM(OSRRefP21_22x_0)</f>
        <v>12000</v>
      </c>
      <c r="Q102" s="4"/>
      <c r="R102" s="1">
        <f>SUM(OSRRefR21_22x_0)</f>
        <v>66600</v>
      </c>
    </row>
    <row r="103" spans="1:18" s="16" customFormat="1" hidden="1" outlineLevel="2" x14ac:dyDescent="0.35">
      <c r="B103" s="11" t="str">
        <f>CONCATENATE("          ", "6274", " - ", "UTILITIES")</f>
        <v xml:space="preserve">          6274 - UTILITIES</v>
      </c>
      <c r="D103" s="2">
        <v>171679.57</v>
      </c>
      <c r="F103" s="2">
        <v>228531.07</v>
      </c>
      <c r="G103" s="3"/>
      <c r="H103" s="2">
        <v>175125.44</v>
      </c>
      <c r="I103" s="3"/>
      <c r="J103" s="2">
        <v>114747.79</v>
      </c>
      <c r="K103" s="3"/>
      <c r="L103" s="2">
        <v>115999.72</v>
      </c>
      <c r="M103" s="3"/>
      <c r="N103" s="2">
        <v>178328</v>
      </c>
      <c r="O103" s="3"/>
      <c r="P103" s="2">
        <v>12000</v>
      </c>
      <c r="Q103" s="3"/>
      <c r="R103" s="2">
        <v>66600</v>
      </c>
    </row>
    <row r="104" spans="1:18" x14ac:dyDescent="0.35">
      <c r="A104" s="12"/>
      <c r="B104" s="12"/>
      <c r="C104" s="12"/>
      <c r="D104" s="1"/>
      <c r="F104" s="1"/>
      <c r="H104" s="1"/>
      <c r="J104" s="1"/>
      <c r="L104" s="1"/>
      <c r="N104" s="1"/>
      <c r="P104" s="1"/>
      <c r="R104" s="1"/>
    </row>
    <row r="105" spans="1:18" s="7" customFormat="1" collapsed="1" x14ac:dyDescent="0.35">
      <c r="A105" s="36"/>
      <c r="B105" s="34" t="s">
        <v>295</v>
      </c>
      <c r="D105" s="6">
        <f>SUM(OSRRefD24x_0)</f>
        <v>102513.38</v>
      </c>
      <c r="E105" s="12"/>
      <c r="F105" s="6">
        <f>SUM(OSRRefF24x_0)</f>
        <v>91619.28</v>
      </c>
      <c r="G105" s="5"/>
      <c r="H105" s="6">
        <f>SUM(OSRRefH24x_0)</f>
        <v>114543.98</v>
      </c>
      <c r="I105" s="5"/>
      <c r="J105" s="6">
        <f>SUM(OSRRefJ24x_0)</f>
        <v>118104.95999999999</v>
      </c>
      <c r="K105" s="5"/>
      <c r="L105" s="6">
        <f>SUM(OSRRefL24x_0)</f>
        <v>139931.76999999999</v>
      </c>
      <c r="M105" s="5"/>
      <c r="N105" s="6">
        <f>SUM(OSRRefN24x_0)</f>
        <v>128692.56999999999</v>
      </c>
      <c r="O105" s="5"/>
      <c r="P105" s="6">
        <f>SUM(OSRRefP24x_0)</f>
        <v>12000</v>
      </c>
      <c r="Q105" s="5"/>
      <c r="R105" s="6">
        <f>SUM(OSRRefR24x_0)</f>
        <v>0</v>
      </c>
    </row>
    <row r="106" spans="1:18" s="7" customFormat="1" hidden="1" outlineLevel="1" x14ac:dyDescent="0.35">
      <c r="A106" s="36"/>
      <c r="B106" s="11" t="str">
        <f>CONCATENATE("          ", "9150", " - ", "MISC. INCOME")</f>
        <v xml:space="preserve">          9150 - MISC. INCOME</v>
      </c>
      <c r="D106" s="11">
        <f>--101654.69</f>
        <v>101654.69</v>
      </c>
      <c r="E106" s="16"/>
      <c r="F106" s="11">
        <f>--90907.65</f>
        <v>90907.65</v>
      </c>
      <c r="G106" s="3"/>
      <c r="H106" s="11">
        <f>--113998</f>
        <v>113998</v>
      </c>
      <c r="I106" s="3"/>
      <c r="J106" s="11">
        <f>--117542.2</f>
        <v>117542.2</v>
      </c>
      <c r="K106" s="3"/>
      <c r="L106" s="11">
        <f>--138145.08</f>
        <v>138145.07999999999</v>
      </c>
      <c r="M106" s="3"/>
      <c r="N106" s="11">
        <f>--126642.54</f>
        <v>126642.54</v>
      </c>
      <c r="O106" s="3"/>
      <c r="P106" s="11">
        <v>12000</v>
      </c>
      <c r="Q106" s="3"/>
      <c r="R106" s="11"/>
    </row>
    <row r="107" spans="1:18" s="7" customFormat="1" hidden="1" outlineLevel="1" x14ac:dyDescent="0.35">
      <c r="A107" s="36"/>
      <c r="B107" s="11" t="str">
        <f>CONCATENATE("          ", "9160", " - ", "MISC. INCOME")</f>
        <v xml:space="preserve">          9160 - MISC. INCOME</v>
      </c>
      <c r="D107" s="11">
        <f>--858.69</f>
        <v>858.69</v>
      </c>
      <c r="E107" s="16"/>
      <c r="F107" s="11">
        <f>--711.63</f>
        <v>711.63</v>
      </c>
      <c r="G107" s="3"/>
      <c r="H107" s="11">
        <f>--545.98</f>
        <v>545.98</v>
      </c>
      <c r="I107" s="3"/>
      <c r="J107" s="11">
        <f>--562.76</f>
        <v>562.76</v>
      </c>
      <c r="K107" s="3"/>
      <c r="L107" s="11">
        <f>--1786.69</f>
        <v>1786.69</v>
      </c>
      <c r="M107" s="3"/>
      <c r="N107" s="11">
        <f>--2050.03</f>
        <v>2050.0300000000002</v>
      </c>
      <c r="O107" s="3"/>
      <c r="P107" s="11"/>
      <c r="Q107" s="3"/>
      <c r="R107" s="11"/>
    </row>
    <row r="108" spans="1:18" x14ac:dyDescent="0.35">
      <c r="A108" s="12"/>
      <c r="B108" s="7"/>
      <c r="C108" s="7"/>
      <c r="D108" s="6"/>
      <c r="F108" s="6"/>
      <c r="H108" s="6"/>
      <c r="J108" s="6"/>
      <c r="L108" s="6"/>
      <c r="N108" s="6"/>
      <c r="P108" s="6"/>
      <c r="R108" s="6"/>
    </row>
    <row r="109" spans="1:18" s="15" customFormat="1" x14ac:dyDescent="0.35">
      <c r="A109" s="7"/>
      <c r="B109" s="22" t="s">
        <v>279</v>
      </c>
      <c r="C109" s="22"/>
      <c r="D109" s="10">
        <f>+D14-D17+D105</f>
        <v>-965798.99000000011</v>
      </c>
      <c r="E109" s="12"/>
      <c r="F109" s="10">
        <f>+F14-F17+F105</f>
        <v>-1220466.4600000002</v>
      </c>
      <c r="G109" s="5"/>
      <c r="H109" s="10">
        <f>+H14-H17+H105</f>
        <v>-1082149.5399999998</v>
      </c>
      <c r="I109" s="5"/>
      <c r="J109" s="10">
        <f>+J14-J17+J105</f>
        <v>-981149.84999999986</v>
      </c>
      <c r="K109" s="5"/>
      <c r="L109" s="10">
        <f>+L14-L17+L105</f>
        <v>-972484.93000000017</v>
      </c>
      <c r="M109" s="5"/>
      <c r="N109" s="10">
        <f>+N14-N17+N105</f>
        <v>-909151.73</v>
      </c>
      <c r="O109" s="5"/>
      <c r="P109" s="10">
        <f>+P14-P17+P105</f>
        <v>-202092</v>
      </c>
      <c r="Q109" s="5"/>
      <c r="R109" s="10">
        <f>+R14-R17+R105</f>
        <v>-536757.72160000005</v>
      </c>
    </row>
    <row r="110" spans="1:18" s="27" customFormat="1" x14ac:dyDescent="0.35">
      <c r="A110" s="18"/>
      <c r="B110" s="31"/>
      <c r="C110" s="18"/>
      <c r="D110" s="9">
        <f>IFERROR(D109/D10, 0)</f>
        <v>0</v>
      </c>
      <c r="E110" s="18"/>
      <c r="F110" s="9">
        <f>IFERROR(F109/F10, 0)</f>
        <v>0</v>
      </c>
      <c r="G110" s="14"/>
      <c r="H110" s="9">
        <f>IFERROR(H109/H10, 0)</f>
        <v>0</v>
      </c>
      <c r="I110" s="14"/>
      <c r="J110" s="9">
        <f>IFERROR(J109/J10, 0)</f>
        <v>0</v>
      </c>
      <c r="K110" s="14"/>
      <c r="L110" s="9">
        <f>IFERROR(L109/L10, 0)</f>
        <v>0</v>
      </c>
      <c r="M110" s="14"/>
      <c r="N110" s="9">
        <f>IFERROR(N109/N10, 0)</f>
        <v>0</v>
      </c>
      <c r="O110" s="14"/>
      <c r="P110" s="9">
        <f>IFERROR(P109/P10, 0)</f>
        <v>0</v>
      </c>
      <c r="Q110" s="14"/>
      <c r="R110" s="9">
        <f>IFERROR(R109/R10, 0)</f>
        <v>0</v>
      </c>
    </row>
    <row r="111" spans="1:18" s="27" customFormat="1" x14ac:dyDescent="0.35">
      <c r="A111" s="18"/>
      <c r="B111" s="31"/>
      <c r="C111" s="18"/>
      <c r="D111" s="13"/>
      <c r="E111" s="18"/>
      <c r="F111" s="13"/>
      <c r="G111" s="14"/>
      <c r="H111" s="13"/>
      <c r="I111" s="14"/>
      <c r="J111" s="13"/>
      <c r="K111" s="14"/>
      <c r="L111" s="13"/>
      <c r="M111" s="14"/>
      <c r="N111" s="13"/>
      <c r="O111" s="14"/>
      <c r="P111" s="13"/>
      <c r="Q111" s="14"/>
      <c r="R111" s="13"/>
    </row>
    <row r="112" spans="1:18" s="15" customFormat="1" x14ac:dyDescent="0.35">
      <c r="A112" s="37"/>
      <c r="B112" s="7" t="s">
        <v>127</v>
      </c>
      <c r="C112" s="7"/>
      <c r="D112" s="6"/>
      <c r="E112" s="12"/>
      <c r="F112" s="6"/>
      <c r="G112" s="5"/>
      <c r="H112" s="6"/>
      <c r="I112" s="5"/>
      <c r="J112" s="6"/>
      <c r="K112" s="5"/>
      <c r="L112" s="6"/>
      <c r="M112" s="5"/>
      <c r="N112" s="6"/>
      <c r="O112" s="5"/>
      <c r="P112" s="6"/>
      <c r="Q112" s="5"/>
      <c r="R112" s="6"/>
    </row>
    <row r="113" spans="1:18" x14ac:dyDescent="0.35">
      <c r="A113" s="12"/>
      <c r="B113" s="7"/>
      <c r="C113" s="7"/>
      <c r="D113" s="6"/>
      <c r="F113" s="6"/>
      <c r="H113" s="6"/>
      <c r="J113" s="6"/>
      <c r="L113" s="6"/>
      <c r="N113" s="6"/>
      <c r="P113" s="6"/>
      <c r="R113" s="6"/>
    </row>
    <row r="114" spans="1:18" s="15" customFormat="1" x14ac:dyDescent="0.35">
      <c r="A114" s="7"/>
      <c r="B114" s="22" t="s">
        <v>126</v>
      </c>
      <c r="C114" s="22"/>
      <c r="D114" s="10">
        <f>+D109-D112</f>
        <v>-965798.99000000011</v>
      </c>
      <c r="E114" s="12"/>
      <c r="F114" s="10">
        <f>+F109-F112</f>
        <v>-1220466.4600000002</v>
      </c>
      <c r="G114" s="5"/>
      <c r="H114" s="10">
        <f>+H109-H112</f>
        <v>-1082149.5399999998</v>
      </c>
      <c r="I114" s="5"/>
      <c r="J114" s="10">
        <f>+J109-J112</f>
        <v>-981149.84999999986</v>
      </c>
      <c r="K114" s="5"/>
      <c r="L114" s="10">
        <f>+L109-L112</f>
        <v>-972484.93000000017</v>
      </c>
      <c r="M114" s="5"/>
      <c r="N114" s="10">
        <f>+N109-N112</f>
        <v>-909151.73</v>
      </c>
      <c r="O114" s="5"/>
      <c r="P114" s="10">
        <f>+P109-P112</f>
        <v>-202092</v>
      </c>
      <c r="Q114" s="5"/>
      <c r="R114" s="10">
        <f>+R109-R112</f>
        <v>-536757.72160000005</v>
      </c>
    </row>
    <row r="115" spans="1:18" s="27" customFormat="1" x14ac:dyDescent="0.35">
      <c r="A115" s="18"/>
      <c r="B115" s="18"/>
      <c r="C115" s="18"/>
      <c r="D115" s="9">
        <f>IFERROR(D114/D10, 0)</f>
        <v>0</v>
      </c>
      <c r="E115" s="18"/>
      <c r="F115" s="9">
        <f>IFERROR(F114/F10, 0)</f>
        <v>0</v>
      </c>
      <c r="G115" s="14"/>
      <c r="H115" s="9">
        <f>IFERROR(H114/H10, 0)</f>
        <v>0</v>
      </c>
      <c r="I115" s="14"/>
      <c r="J115" s="9">
        <f>IFERROR(J114/J10, 0)</f>
        <v>0</v>
      </c>
      <c r="K115" s="14"/>
      <c r="L115" s="9">
        <f>IFERROR(L114/L10, 0)</f>
        <v>0</v>
      </c>
      <c r="M115" s="14"/>
      <c r="N115" s="9">
        <f>IFERROR(N114/N10, 0)</f>
        <v>0</v>
      </c>
      <c r="O115" s="14"/>
      <c r="P115" s="9">
        <f>IFERROR(P114/P10, 0)</f>
        <v>0</v>
      </c>
      <c r="Q115" s="14"/>
      <c r="R115" s="9">
        <f>IFERROR(R114/R10, 0)</f>
        <v>0</v>
      </c>
    </row>
    <row r="116" spans="1:18" s="27" customFormat="1" x14ac:dyDescent="0.35">
      <c r="A116" s="18"/>
      <c r="B116" s="18"/>
      <c r="C116" s="18"/>
      <c r="D116" s="13"/>
      <c r="E116" s="18"/>
      <c r="F116" s="13"/>
      <c r="G116" s="14"/>
      <c r="H116" s="13"/>
      <c r="I116" s="14"/>
      <c r="J116" s="13"/>
      <c r="K116" s="14"/>
      <c r="L116" s="13"/>
      <c r="M116" s="14"/>
      <c r="N116" s="13"/>
      <c r="O116" s="14"/>
      <c r="P116" s="13"/>
      <c r="Q116" s="14"/>
      <c r="R116" s="13"/>
    </row>
    <row r="117" spans="1:18" x14ac:dyDescent="0.35">
      <c r="A117" s="12"/>
      <c r="B117" s="12"/>
      <c r="C117" s="12"/>
      <c r="D117" s="6"/>
      <c r="F117" s="6"/>
      <c r="H117" s="6"/>
      <c r="J117" s="6"/>
      <c r="L117" s="6"/>
      <c r="N117" s="6"/>
      <c r="P117" s="6"/>
      <c r="R117" s="6"/>
    </row>
    <row r="118" spans="1:18" s="15" customFormat="1" x14ac:dyDescent="0.35">
      <c r="A118" s="7"/>
      <c r="B118" s="22" t="s">
        <v>296</v>
      </c>
      <c r="C118" s="22"/>
      <c r="D118" s="10">
        <f>SUM(D114:D117)</f>
        <v>-965798.99000000011</v>
      </c>
      <c r="E118" s="12"/>
      <c r="F118" s="10">
        <f>SUM(F114:F117)</f>
        <v>-1220466.4600000002</v>
      </c>
      <c r="G118" s="5"/>
      <c r="H118" s="10">
        <f>SUM(H114:H117)</f>
        <v>-1082149.5399999998</v>
      </c>
      <c r="I118" s="5"/>
      <c r="J118" s="10">
        <f>SUM(J114:J117)</f>
        <v>-981149.84999999986</v>
      </c>
      <c r="K118" s="5"/>
      <c r="L118" s="10">
        <f>SUM(L114:L117)</f>
        <v>-972484.93000000017</v>
      </c>
      <c r="M118" s="5"/>
      <c r="N118" s="10">
        <f>SUM(N114:N117)</f>
        <v>-909151.73</v>
      </c>
      <c r="O118" s="5"/>
      <c r="P118" s="10">
        <f>SUM(P114:P117)</f>
        <v>-202092</v>
      </c>
      <c r="Q118" s="5"/>
      <c r="R118" s="10">
        <f>SUM(R114:R117)</f>
        <v>-536757.72160000005</v>
      </c>
    </row>
    <row r="119" spans="1:18" s="27" customFormat="1" x14ac:dyDescent="0.35">
      <c r="A119" s="18"/>
      <c r="B119" s="41"/>
      <c r="C119" s="18"/>
      <c r="D119" s="9">
        <f>IFERROR(D118/D10, 0)</f>
        <v>0</v>
      </c>
      <c r="E119" s="18"/>
      <c r="F119" s="9">
        <f>IFERROR(F118/F10, 0)</f>
        <v>0</v>
      </c>
      <c r="G119" s="14"/>
      <c r="H119" s="9">
        <f>IFERROR(H118/H10, 0)</f>
        <v>0</v>
      </c>
      <c r="I119" s="14"/>
      <c r="J119" s="9">
        <f>IFERROR(J118/J10, 0)</f>
        <v>0</v>
      </c>
      <c r="K119" s="14"/>
      <c r="L119" s="9">
        <f>IFERROR(L118/L10, 0)</f>
        <v>0</v>
      </c>
      <c r="M119" s="14"/>
      <c r="N119" s="9">
        <f>IFERROR(N118/N10, 0)</f>
        <v>0</v>
      </c>
      <c r="O119" s="14"/>
      <c r="P119" s="9">
        <f>IFERROR(P118/P10, 0)</f>
        <v>0</v>
      </c>
      <c r="Q119" s="14"/>
      <c r="R119" s="9">
        <f>IFERROR(R118/R10, 0)</f>
        <v>0</v>
      </c>
    </row>
    <row r="120" spans="1:18" x14ac:dyDescent="0.35">
      <c r="A120" s="12"/>
      <c r="B120" s="40">
        <v>44319.883572604165</v>
      </c>
      <c r="D120" s="24"/>
      <c r="F120" s="24"/>
      <c r="H120" s="24"/>
      <c r="J120" s="24"/>
      <c r="L120" s="24"/>
      <c r="N120" s="24"/>
      <c r="P120" s="24"/>
      <c r="R120" s="24"/>
    </row>
    <row r="121" spans="1:18" x14ac:dyDescent="0.35">
      <c r="A121" s="12"/>
      <c r="B121" s="39" t="s">
        <v>23</v>
      </c>
      <c r="D121" s="24"/>
      <c r="F121" s="24"/>
      <c r="H121" s="24"/>
      <c r="J121" s="24"/>
      <c r="L121" s="24"/>
      <c r="N121" s="24"/>
      <c r="P121" s="24"/>
      <c r="R121" s="24"/>
    </row>
    <row r="122" spans="1:18" x14ac:dyDescent="0.35">
      <c r="A122" s="12"/>
      <c r="D122" s="24"/>
      <c r="F122" s="24"/>
      <c r="H122" s="24"/>
      <c r="J122" s="24"/>
      <c r="L122" s="24"/>
      <c r="N122" s="24"/>
      <c r="P122" s="24"/>
      <c r="R122" s="24"/>
    </row>
    <row r="123" spans="1:18" x14ac:dyDescent="0.35">
      <c r="D123" s="24"/>
      <c r="F123" s="24"/>
      <c r="H123" s="24"/>
      <c r="J123" s="24"/>
      <c r="L123" s="24"/>
      <c r="N123" s="24"/>
      <c r="P123" s="24"/>
      <c r="R123" s="24"/>
    </row>
  </sheetData>
  <pageMargins left="0.5" right="0.5" top="0.5" bottom="0.5" header="0.3" footer="0.3"/>
  <pageSetup scale="59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7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","412", " - ", "Chartroom")</f>
        <v>Department 412 - Chartroom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929305.6399999999</v>
      </c>
      <c r="F10" s="8">
        <f>SUM(OSRRefF11x_0)</f>
        <v>1036390.63</v>
      </c>
      <c r="G10" s="8"/>
      <c r="H10" s="8">
        <f>SUM(OSRRefH11x_0)</f>
        <v>1029080.58</v>
      </c>
      <c r="I10" s="8"/>
      <c r="J10" s="8">
        <f>SUM(OSRRefJ11x_0)</f>
        <v>1018591.38</v>
      </c>
      <c r="K10" s="8"/>
      <c r="L10" s="8">
        <f>SUM(OSRRefL11x_0)</f>
        <v>1111397.3499999999</v>
      </c>
      <c r="M10" s="8"/>
      <c r="N10" s="8">
        <f>SUM(OSRRefN11x_0)</f>
        <v>379973.86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"4052", " - ", "TAXABLE SALES-FOOD")</f>
        <v xml:space="preserve">          4052 - TAXABLE SALES-FOOD</v>
      </c>
      <c r="D11" s="11">
        <f>-753912.19*-1</f>
        <v>753912.19</v>
      </c>
      <c r="F11" s="11">
        <f>-871957.37*-1</f>
        <v>871957.37</v>
      </c>
      <c r="G11" s="3"/>
      <c r="H11" s="11">
        <f>-840850.35*-1</f>
        <v>840850.35</v>
      </c>
      <c r="I11" s="3"/>
      <c r="J11" s="11">
        <f>--922682.62</f>
        <v>922682.62</v>
      </c>
      <c r="K11" s="3"/>
      <c r="L11" s="11">
        <f>--1031703.81</f>
        <v>1031703.81</v>
      </c>
      <c r="M11" s="3"/>
      <c r="N11" s="11">
        <f>--329896.47</f>
        <v>329896.46999999997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>0*-1</f>
        <v>0</v>
      </c>
      <c r="F12" s="11">
        <f>0*-1</f>
        <v>0</v>
      </c>
      <c r="G12" s="3"/>
      <c r="H12" s="11">
        <f>0*-1</f>
        <v>0</v>
      </c>
      <c r="I12" s="3"/>
      <c r="J12" s="11">
        <f>0</f>
        <v>0</v>
      </c>
      <c r="K12" s="3"/>
      <c r="L12" s="11">
        <f>0</f>
        <v>0</v>
      </c>
      <c r="M12" s="3"/>
      <c r="N12" s="11">
        <f>0</f>
        <v>0</v>
      </c>
      <c r="O12" s="3"/>
      <c r="P12" s="11">
        <v>0</v>
      </c>
      <c r="Q12" s="3"/>
      <c r="R12" s="11"/>
    </row>
    <row r="13" spans="1:18" s="16" customFormat="1" hidden="1" outlineLevel="1" x14ac:dyDescent="0.35">
      <c r="B13" s="35" t="str">
        <f>CONCATENATE("          ", "4152", " - ", "NON-TAXABLE SALES-FOOD")</f>
        <v xml:space="preserve">          4152 - NON-TAXABLE SALES-FOOD</v>
      </c>
      <c r="D13" s="11">
        <f>-175393.45*-1</f>
        <v>175393.45</v>
      </c>
      <c r="F13" s="11">
        <f>-164433.26*-1</f>
        <v>164433.26</v>
      </c>
      <c r="G13" s="3"/>
      <c r="H13" s="11">
        <f>-188230.23*-1</f>
        <v>188230.23</v>
      </c>
      <c r="I13" s="3"/>
      <c r="J13" s="11">
        <f>--95908.76</f>
        <v>95908.76</v>
      </c>
      <c r="K13" s="3"/>
      <c r="L13" s="11">
        <f>--79166.41</f>
        <v>79166.41</v>
      </c>
      <c r="M13" s="3"/>
      <c r="N13" s="11">
        <f>--50077.39</f>
        <v>50077.39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"4153", " - ", "NON-TAXABLE SALES-FOOD")</f>
        <v xml:space="preserve">          4153 - NON-TAXABLE SALES-FOOD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0</f>
        <v>0</v>
      </c>
      <c r="K14" s="3"/>
      <c r="L14" s="11">
        <f>--527.13</f>
        <v>527.13</v>
      </c>
      <c r="M14" s="3"/>
      <c r="N14" s="11">
        <f>0</f>
        <v>0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316840.54000000004</v>
      </c>
      <c r="E16" s="8"/>
      <c r="F16" s="8">
        <f>SUM(OSRRefF14x_0)</f>
        <v>334913.34000000003</v>
      </c>
      <c r="G16" s="8"/>
      <c r="H16" s="8">
        <f>SUM(OSRRefH14x_0)</f>
        <v>317532.65999999997</v>
      </c>
      <c r="I16" s="8"/>
      <c r="J16" s="8">
        <f>SUM(OSRRefJ14x_0)</f>
        <v>316996.81</v>
      </c>
      <c r="K16" s="8"/>
      <c r="L16" s="8">
        <f>SUM(OSRRefL14x_0)</f>
        <v>334192.59000000003</v>
      </c>
      <c r="M16" s="8"/>
      <c r="N16" s="8">
        <f>SUM(OSRRefN14x_0)</f>
        <v>204085.49</v>
      </c>
      <c r="O16" s="8"/>
      <c r="P16" s="8">
        <f>SUM(OSRRefP14x_0)</f>
        <v>0</v>
      </c>
      <c r="Q16" s="8"/>
      <c r="R16" s="8">
        <f>SUM(OSRRefR14x_0)</f>
        <v>0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0</v>
      </c>
      <c r="Q17" s="3"/>
      <c r="R17" s="11"/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316813.45</v>
      </c>
      <c r="E18" s="16"/>
      <c r="F18" s="11">
        <v>334571.01</v>
      </c>
      <c r="G18" s="3"/>
      <c r="H18" s="11">
        <v>317532.65999999997</v>
      </c>
      <c r="I18" s="3"/>
      <c r="J18" s="11">
        <v>316921.51</v>
      </c>
      <c r="K18" s="3"/>
      <c r="L18" s="11">
        <v>334192.59000000003</v>
      </c>
      <c r="M18" s="3"/>
      <c r="N18" s="11">
        <v>218035.49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"5055", " - ", "PURCHASES @ COST-FOOD")</f>
        <v xml:space="preserve">          5055 - PURCHASES @ COST-FOOD</v>
      </c>
      <c r="C19" s="16"/>
      <c r="D19" s="11"/>
      <c r="E19" s="16"/>
      <c r="F19" s="11">
        <v>94.33</v>
      </c>
      <c r="G19" s="3"/>
      <c r="H19" s="11"/>
      <c r="I19" s="3"/>
      <c r="J19" s="11"/>
      <c r="K19" s="3"/>
      <c r="L19" s="11"/>
      <c r="M19" s="3"/>
      <c r="N19" s="11"/>
      <c r="O19" s="3"/>
      <c r="P19" s="11"/>
      <c r="Q19" s="3"/>
      <c r="R19" s="11"/>
    </row>
    <row r="20" spans="1:18" s="44" customFormat="1" hidden="1" outlineLevel="1" x14ac:dyDescent="0.35">
      <c r="A20" s="16"/>
      <c r="B20" s="35" t="str">
        <f>CONCATENATE("          ", "5059", " - ", "PURCHASES @ COST-FOOD")</f>
        <v xml:space="preserve">          5059 - PURCHASES @ COST-FOOD</v>
      </c>
      <c r="C20" s="16"/>
      <c r="D20" s="11">
        <v>27.09</v>
      </c>
      <c r="E20" s="16"/>
      <c r="F20" s="11">
        <v>248</v>
      </c>
      <c r="G20" s="3"/>
      <c r="H20" s="11"/>
      <c r="I20" s="3"/>
      <c r="J20" s="11">
        <v>75.3</v>
      </c>
      <c r="K20" s="3"/>
      <c r="L20" s="11"/>
      <c r="M20" s="3"/>
      <c r="N20" s="11">
        <v>-13950</v>
      </c>
      <c r="O20" s="3"/>
      <c r="P20" s="11"/>
      <c r="Q20" s="3"/>
      <c r="R20" s="11"/>
    </row>
    <row r="21" spans="1:18" x14ac:dyDescent="0.35">
      <c r="A21" s="12"/>
      <c r="B21" s="7"/>
      <c r="C21" s="7"/>
      <c r="D21" s="6"/>
      <c r="F21" s="6"/>
      <c r="H21" s="6"/>
      <c r="J21" s="6"/>
      <c r="L21" s="6"/>
      <c r="N21" s="6"/>
      <c r="P21" s="6"/>
      <c r="R21" s="6"/>
    </row>
    <row r="22" spans="1:18" s="15" customFormat="1" x14ac:dyDescent="0.35">
      <c r="A22" s="7"/>
      <c r="B22" s="22" t="s">
        <v>107</v>
      </c>
      <c r="C22" s="22"/>
      <c r="D22" s="10">
        <f>+D10-D16</f>
        <v>612465.09999999986</v>
      </c>
      <c r="E22" s="12"/>
      <c r="F22" s="10">
        <f>+F10-F16</f>
        <v>701477.29</v>
      </c>
      <c r="G22" s="5"/>
      <c r="H22" s="10">
        <f>+H10-H16</f>
        <v>711547.91999999993</v>
      </c>
      <c r="I22" s="5"/>
      <c r="J22" s="10">
        <f>+J10-J16</f>
        <v>701594.57000000007</v>
      </c>
      <c r="K22" s="5"/>
      <c r="L22" s="10">
        <f>+L10-L16</f>
        <v>777204.75999999978</v>
      </c>
      <c r="M22" s="5"/>
      <c r="N22" s="10">
        <f>+N10-N16</f>
        <v>175888.37</v>
      </c>
      <c r="O22" s="5"/>
      <c r="P22" s="10">
        <f>+P10-P16</f>
        <v>0</v>
      </c>
      <c r="Q22" s="5"/>
      <c r="R22" s="10">
        <f>+R10-R16</f>
        <v>0</v>
      </c>
    </row>
    <row r="23" spans="1:18" s="27" customFormat="1" x14ac:dyDescent="0.35">
      <c r="A23" s="18"/>
      <c r="B23" s="31"/>
      <c r="C23" s="18"/>
      <c r="D23" s="9">
        <f>IFERROR(D22/D10, 0)</f>
        <v>0.65905669097198194</v>
      </c>
      <c r="E23" s="13"/>
      <c r="F23" s="9">
        <f>IFERROR(F22/F10, 0)</f>
        <v>0.67684642227998537</v>
      </c>
      <c r="G23" s="26"/>
      <c r="H23" s="9">
        <f>IFERROR(H22/H10, 0)</f>
        <v>0.69144043122454024</v>
      </c>
      <c r="I23" s="26"/>
      <c r="J23" s="9">
        <f>IFERROR(J22/J10, 0)</f>
        <v>0.68878903137782299</v>
      </c>
      <c r="K23" s="26"/>
      <c r="L23" s="9">
        <f>IFERROR(L22/L10, 0)</f>
        <v>0.69930413276583736</v>
      </c>
      <c r="M23" s="26"/>
      <c r="N23" s="9">
        <f>IFERROR(N22/N10, 0)</f>
        <v>0.46289597394936588</v>
      </c>
      <c r="O23" s="26"/>
      <c r="P23" s="9">
        <f>IFERROR(P22/P10, 0)</f>
        <v>0</v>
      </c>
      <c r="Q23" s="26"/>
      <c r="R23" s="9">
        <f>IFERROR(R22/R10, 0)</f>
        <v>0</v>
      </c>
    </row>
    <row r="24" spans="1:18" s="27" customFormat="1" x14ac:dyDescent="0.35">
      <c r="A24" s="18"/>
      <c r="B24" s="31"/>
      <c r="C24" s="18"/>
      <c r="D24" s="13"/>
      <c r="E24" s="13"/>
      <c r="F24" s="13"/>
      <c r="G24" s="26"/>
      <c r="H24" s="13"/>
      <c r="I24" s="26"/>
      <c r="J24" s="13"/>
      <c r="K24" s="26"/>
      <c r="L24" s="13"/>
      <c r="M24" s="26"/>
      <c r="N24" s="13"/>
      <c r="O24" s="26"/>
      <c r="P24" s="13"/>
      <c r="Q24" s="26"/>
      <c r="R24" s="13"/>
    </row>
    <row r="25" spans="1:18" s="15" customFormat="1" x14ac:dyDescent="0.35">
      <c r="A25" s="7"/>
      <c r="B25" s="34" t="s">
        <v>314</v>
      </c>
      <c r="C25" s="7"/>
      <c r="D25" s="8">
        <f>SUM(OSRRefD21x_0)</f>
        <v>509649.68</v>
      </c>
      <c r="E25" s="19"/>
      <c r="F25" s="8">
        <f>SUM(OSRRefF21x_0)</f>
        <v>607988.82000000007</v>
      </c>
      <c r="G25" s="4"/>
      <c r="H25" s="8">
        <f>SUM(OSRRefH21x_0)</f>
        <v>661456.22</v>
      </c>
      <c r="I25" s="4"/>
      <c r="J25" s="8">
        <f>SUM(OSRRefJ21x_0)</f>
        <v>652533.15999999992</v>
      </c>
      <c r="K25" s="4"/>
      <c r="L25" s="8">
        <f>SUM(OSRRefL21x_0)</f>
        <v>725413.31999999972</v>
      </c>
      <c r="M25" s="4"/>
      <c r="N25" s="8">
        <f>SUM(OSRRefN21x_0)</f>
        <v>341470.01999999996</v>
      </c>
      <c r="O25" s="4"/>
      <c r="P25" s="8">
        <f>SUM(OSRRefP21x_0)</f>
        <v>10176</v>
      </c>
      <c r="Q25" s="4"/>
      <c r="R25" s="8">
        <f>SUM(OSRRefR21x_0)</f>
        <v>6924</v>
      </c>
    </row>
    <row r="26" spans="1:18" s="15" customFormat="1" outlineLevel="1" collapsed="1" x14ac:dyDescent="0.35">
      <c r="A26" s="7"/>
      <c r="B26" s="20" t="str">
        <f>CONCATENATE("     ","*Benefits                                         ")</f>
        <v xml:space="preserve">     *Benefits                                         </v>
      </c>
      <c r="C26" s="7"/>
      <c r="D26" s="1">
        <f>SUM(OSRRefD21_0x_0)</f>
        <v>110752.38</v>
      </c>
      <c r="E26" s="19"/>
      <c r="F26" s="1">
        <f>SUM(OSRRefF21_0x_0)</f>
        <v>128240.1</v>
      </c>
      <c r="G26" s="4"/>
      <c r="H26" s="1">
        <f>SUM(OSRRefH21_0x_0)</f>
        <v>132624.93</v>
      </c>
      <c r="I26" s="4"/>
      <c r="J26" s="1">
        <f>SUM(OSRRefJ21_0x_0)</f>
        <v>150183.86000000002</v>
      </c>
      <c r="K26" s="4"/>
      <c r="L26" s="1">
        <f>SUM(OSRRefL21_0x_0)</f>
        <v>152082.76</v>
      </c>
      <c r="M26" s="4"/>
      <c r="N26" s="1">
        <f>SUM(OSRRefN21_0x_0)</f>
        <v>76946.960000000021</v>
      </c>
      <c r="O26" s="4"/>
      <c r="P26" s="1">
        <f>SUM(OSRRefP21_0x_0)</f>
        <v>0</v>
      </c>
      <c r="Q26" s="4"/>
      <c r="R26" s="1">
        <f>SUM(OSRRefR21_0x_0)</f>
        <v>0</v>
      </c>
    </row>
    <row r="27" spans="1:18" s="16" customFormat="1" hidden="1" outlineLevel="2" x14ac:dyDescent="0.35">
      <c r="B27" s="11" t="str">
        <f>CONCATENATE("          ", "6111", " - ", "F.I.C.A.")</f>
        <v xml:space="preserve">          6111 - F.I.C.A.</v>
      </c>
      <c r="D27" s="2">
        <v>21336.41</v>
      </c>
      <c r="F27" s="2">
        <v>24364.880000000001</v>
      </c>
      <c r="G27" s="3"/>
      <c r="H27" s="2">
        <v>28817.86</v>
      </c>
      <c r="I27" s="3"/>
      <c r="J27" s="2">
        <v>30332.65</v>
      </c>
      <c r="K27" s="3"/>
      <c r="L27" s="2">
        <v>31406.58</v>
      </c>
      <c r="M27" s="3"/>
      <c r="N27" s="2">
        <v>14871.7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"6112", " - ", "COMPENSATION INSURANCE")</f>
        <v xml:space="preserve">          6112 - COMPENSATION INSURANCE</v>
      </c>
      <c r="D28" s="2">
        <v>6087.96</v>
      </c>
      <c r="F28" s="2">
        <v>12409.27</v>
      </c>
      <c r="G28" s="3"/>
      <c r="H28" s="2">
        <v>15516.28</v>
      </c>
      <c r="I28" s="3"/>
      <c r="J28" s="2">
        <v>13801.76</v>
      </c>
      <c r="K28" s="3"/>
      <c r="L28" s="2">
        <v>13691.01</v>
      </c>
      <c r="M28" s="3"/>
      <c r="N28" s="2">
        <v>5449.61</v>
      </c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"6113", " - ", "GROUP INSURANCE")</f>
        <v xml:space="preserve">          6113 - GROUP INSURANCE</v>
      </c>
      <c r="D29" s="2">
        <v>50883</v>
      </c>
      <c r="F29" s="2">
        <v>59447.85</v>
      </c>
      <c r="G29" s="3"/>
      <c r="H29" s="2">
        <v>54668.44</v>
      </c>
      <c r="I29" s="3"/>
      <c r="J29" s="2">
        <v>62886.41</v>
      </c>
      <c r="K29" s="3"/>
      <c r="L29" s="2">
        <v>61376.92</v>
      </c>
      <c r="M29" s="3"/>
      <c r="N29" s="2">
        <v>36209.82</v>
      </c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"6114", " - ", "STATE UNEMPLOYMENT INSURANCE")</f>
        <v xml:space="preserve">          6114 - STATE UNEMPLOYMENT INSURANCE</v>
      </c>
      <c r="D30" s="2">
        <v>1740.63</v>
      </c>
      <c r="F30" s="2">
        <v>2163.96</v>
      </c>
      <c r="G30" s="3"/>
      <c r="H30" s="2">
        <v>1251.18</v>
      </c>
      <c r="I30" s="3"/>
      <c r="J30" s="2">
        <v>1219.1600000000001</v>
      </c>
      <c r="K30" s="3"/>
      <c r="L30" s="2">
        <v>1186.3699999999999</v>
      </c>
      <c r="M30" s="3"/>
      <c r="N30" s="2">
        <v>0</v>
      </c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"6115", " - ", "P.E.R.S.")</f>
        <v xml:space="preserve">          6115 - P.E.R.S.</v>
      </c>
      <c r="D31" s="2">
        <v>10644.42</v>
      </c>
      <c r="F31" s="2">
        <v>8336.6299999999992</v>
      </c>
      <c r="G31" s="3"/>
      <c r="H31" s="2">
        <v>10399.549999999999</v>
      </c>
      <c r="I31" s="3"/>
      <c r="J31" s="2">
        <v>12966.36</v>
      </c>
      <c r="K31" s="3"/>
      <c r="L31" s="2">
        <v>13193.1</v>
      </c>
      <c r="M31" s="3"/>
      <c r="N31" s="2">
        <v>6215.55</v>
      </c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"6116", " - ", "EDUCATIONAL BENEFITS")</f>
        <v xml:space="preserve">          6116 - EDUCATIONAL BENEFITS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"6117", " - ", "RETIREMENT STAFF HOURLY")</f>
        <v xml:space="preserve">          6117 - RETIREMENT STAFF HOURLY</v>
      </c>
      <c r="D33" s="2">
        <v>46.41</v>
      </c>
      <c r="F33" s="2"/>
      <c r="G33" s="3"/>
      <c r="H33" s="2"/>
      <c r="I33" s="3"/>
      <c r="J33" s="2"/>
      <c r="K33" s="3"/>
      <c r="L33" s="2"/>
      <c r="M33" s="3"/>
      <c r="N33" s="2"/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"6118", " - ", "VACATION")</f>
        <v xml:space="preserve">          6118 - VACATION</v>
      </c>
      <c r="D34" s="2">
        <v>7891.09</v>
      </c>
      <c r="F34" s="2">
        <v>8100.89</v>
      </c>
      <c r="G34" s="3"/>
      <c r="H34" s="2">
        <v>8532.7099999999991</v>
      </c>
      <c r="I34" s="3"/>
      <c r="J34" s="2">
        <v>11337.16</v>
      </c>
      <c r="K34" s="3"/>
      <c r="L34" s="2">
        <v>12889.28</v>
      </c>
      <c r="M34" s="3"/>
      <c r="N34" s="2">
        <v>7805.68</v>
      </c>
      <c r="O34" s="3"/>
      <c r="P34" s="2">
        <v>0</v>
      </c>
      <c r="Q34" s="3"/>
      <c r="R34" s="2"/>
    </row>
    <row r="35" spans="1:18" s="16" customFormat="1" hidden="1" outlineLevel="2" x14ac:dyDescent="0.35">
      <c r="B35" s="11" t="str">
        <f>CONCATENATE("          ", "6119", " - ", "SICK LEAVE")</f>
        <v xml:space="preserve">          6119 - SICK LEAVE</v>
      </c>
      <c r="D35" s="2">
        <v>7206.64</v>
      </c>
      <c r="F35" s="2">
        <v>8531.9500000000007</v>
      </c>
      <c r="G35" s="3"/>
      <c r="H35" s="2">
        <v>7856.64</v>
      </c>
      <c r="I35" s="3"/>
      <c r="J35" s="2">
        <v>11071.44</v>
      </c>
      <c r="K35" s="3"/>
      <c r="L35" s="2">
        <v>12002.24</v>
      </c>
      <c r="M35" s="3"/>
      <c r="N35" s="2">
        <v>2660.64</v>
      </c>
      <c r="O35" s="3"/>
      <c r="P35" s="2">
        <v>0</v>
      </c>
      <c r="Q35" s="3"/>
      <c r="R35" s="2"/>
    </row>
    <row r="36" spans="1:18" s="16" customFormat="1" hidden="1" outlineLevel="2" x14ac:dyDescent="0.35">
      <c r="B36" s="11" t="str">
        <f>CONCATENATE("          ", "6156", " - ", "EMPLOYEE MEALS")</f>
        <v xml:space="preserve">          6156 - EMPLOYEE MEALS</v>
      </c>
      <c r="D36" s="2">
        <v>4915.82</v>
      </c>
      <c r="F36" s="2">
        <v>4884.67</v>
      </c>
      <c r="G36" s="3"/>
      <c r="H36" s="2">
        <v>5582.27</v>
      </c>
      <c r="I36" s="3"/>
      <c r="J36" s="2">
        <v>6568.92</v>
      </c>
      <c r="K36" s="3"/>
      <c r="L36" s="2">
        <v>6337.26</v>
      </c>
      <c r="M36" s="3"/>
      <c r="N36" s="2">
        <v>3733.96</v>
      </c>
      <c r="O36" s="3"/>
      <c r="P36" s="2"/>
      <c r="Q36" s="3"/>
      <c r="R36" s="2"/>
    </row>
    <row r="37" spans="1:18" s="15" customFormat="1" outlineLevel="1" collapsed="1" x14ac:dyDescent="0.35">
      <c r="A37" s="7"/>
      <c r="B37" s="20" t="str">
        <f>CONCATENATE("     ","*Payroll                                          ")</f>
        <v xml:space="preserve">     *Payroll                                          </v>
      </c>
      <c r="C37" s="7"/>
      <c r="D37" s="1">
        <f>SUM(OSRRefD21_1x_0)</f>
        <v>303905.96999999997</v>
      </c>
      <c r="E37" s="19"/>
      <c r="F37" s="1">
        <f>SUM(OSRRefF21_1x_0)</f>
        <v>371408.69</v>
      </c>
      <c r="G37" s="4"/>
      <c r="H37" s="1">
        <f>SUM(OSRRefH21_1x_0)</f>
        <v>419017.05</v>
      </c>
      <c r="I37" s="4"/>
      <c r="J37" s="1">
        <f>SUM(OSRRefJ21_1x_0)</f>
        <v>405632.94000000006</v>
      </c>
      <c r="K37" s="4"/>
      <c r="L37" s="1">
        <f>SUM(OSRRefL21_1x_0)</f>
        <v>449340.43999999994</v>
      </c>
      <c r="M37" s="4"/>
      <c r="N37" s="1">
        <f>SUM(OSRRefN21_1x_0)</f>
        <v>208564.34</v>
      </c>
      <c r="O37" s="4"/>
      <c r="P37" s="1">
        <f>SUM(OSRRefP21_1x_0)</f>
        <v>0</v>
      </c>
      <c r="Q37" s="4"/>
      <c r="R37" s="1">
        <f>SUM(OSRRefR21_1x_0)</f>
        <v>0</v>
      </c>
    </row>
    <row r="38" spans="1:18" s="16" customFormat="1" hidden="1" outlineLevel="2" x14ac:dyDescent="0.35">
      <c r="B38" s="11" t="str">
        <f>CONCATENATE("          ", "6001", " - ", "ADMINISTRATIVE SALARIES")</f>
        <v xml:space="preserve">          6001 - ADMINISTRATIVE SALARIES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"6002", " - ", "STAFF SALARIES")</f>
        <v xml:space="preserve">          6002 - STAFF SALARIES</v>
      </c>
      <c r="D39" s="2">
        <v>96302.47</v>
      </c>
      <c r="F39" s="2">
        <v>106014.38</v>
      </c>
      <c r="G39" s="3"/>
      <c r="H39" s="2">
        <v>130046.28</v>
      </c>
      <c r="I39" s="3"/>
      <c r="J39" s="2">
        <v>160419.07999999999</v>
      </c>
      <c r="K39" s="3"/>
      <c r="L39" s="2">
        <v>163841.81</v>
      </c>
      <c r="M39" s="3"/>
      <c r="N39" s="2">
        <v>60376.42</v>
      </c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"6003", " - ", "STAFF HOURLY-9 MONTH")</f>
        <v xml:space="preserve">          6003 - STAFF HOURLY-9 MONTH</v>
      </c>
      <c r="D40" s="2"/>
      <c r="F40" s="2">
        <v>48.38</v>
      </c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"6004", " - ", "STAFF HOURLY")</f>
        <v xml:space="preserve">          6004 - STAFF HOURLY</v>
      </c>
      <c r="D41" s="2">
        <v>28512.34</v>
      </c>
      <c r="F41" s="2">
        <v>50795.47</v>
      </c>
      <c r="G41" s="3"/>
      <c r="H41" s="2">
        <v>59782.14</v>
      </c>
      <c r="I41" s="3"/>
      <c r="J41" s="2">
        <v>74348.240000000005</v>
      </c>
      <c r="K41" s="3"/>
      <c r="L41" s="2">
        <v>77768.23</v>
      </c>
      <c r="M41" s="3"/>
      <c r="N41" s="2">
        <v>54540.13</v>
      </c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"6005", " - ", "TEMPORARY WAGES-HOURLY")</f>
        <v xml:space="preserve">          6005 - TEMPORARY WAGES-HOURLY</v>
      </c>
      <c r="D42" s="2">
        <v>147801.9</v>
      </c>
      <c r="F42" s="2">
        <v>157309.66</v>
      </c>
      <c r="G42" s="3"/>
      <c r="H42" s="2">
        <v>163540.78</v>
      </c>
      <c r="I42" s="3"/>
      <c r="J42" s="2">
        <v>123225.88</v>
      </c>
      <c r="K42" s="3"/>
      <c r="L42" s="2">
        <v>117835.4</v>
      </c>
      <c r="M42" s="3"/>
      <c r="N42" s="2">
        <v>47656.53</v>
      </c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"6006", " - ", "TEMPORARY PART TIME")</f>
        <v xml:space="preserve">          6006 - TEMPORARY PART TIME</v>
      </c>
      <c r="D43" s="2">
        <v>493</v>
      </c>
      <c r="F43" s="2">
        <v>5053.25</v>
      </c>
      <c r="G43" s="3"/>
      <c r="H43" s="2">
        <v>3543.13</v>
      </c>
      <c r="I43" s="3"/>
      <c r="J43" s="2">
        <v>1847.27</v>
      </c>
      <c r="K43" s="3"/>
      <c r="L43" s="2">
        <v>5463.31</v>
      </c>
      <c r="M43" s="3"/>
      <c r="N43" s="2">
        <v>1299.6300000000001</v>
      </c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"6007", " - ", "STUDENT HOURLY")</f>
        <v xml:space="preserve">          6007 - STUDENT HOURLY</v>
      </c>
      <c r="D44" s="2">
        <v>27229.51</v>
      </c>
      <c r="F44" s="2">
        <v>37374.89</v>
      </c>
      <c r="G44" s="3"/>
      <c r="H44" s="2">
        <v>35740.39</v>
      </c>
      <c r="I44" s="3"/>
      <c r="J44" s="2">
        <v>21403.84</v>
      </c>
      <c r="K44" s="3"/>
      <c r="L44" s="2">
        <v>68597.58</v>
      </c>
      <c r="M44" s="3"/>
      <c r="N44" s="2">
        <v>41286.410000000003</v>
      </c>
      <c r="O44" s="3"/>
      <c r="P44" s="2">
        <v>0</v>
      </c>
      <c r="Q44" s="3"/>
      <c r="R44" s="2"/>
    </row>
    <row r="45" spans="1:18" s="16" customFormat="1" hidden="1" outlineLevel="2" x14ac:dyDescent="0.35">
      <c r="B45" s="11" t="str">
        <f>CONCATENATE("          ", "6008", " - ", "STUDENT HOURLY-FICA EXEMPT")</f>
        <v xml:space="preserve">          6008 - STUDENT HOURLY-FICA EXEMPT</v>
      </c>
      <c r="D45" s="2">
        <v>3566.75</v>
      </c>
      <c r="F45" s="2">
        <v>14812.66</v>
      </c>
      <c r="G45" s="3"/>
      <c r="H45" s="2">
        <v>26364.33</v>
      </c>
      <c r="I45" s="3"/>
      <c r="J45" s="2">
        <v>24388.63</v>
      </c>
      <c r="K45" s="3"/>
      <c r="L45" s="2">
        <v>15834.11</v>
      </c>
      <c r="M45" s="3"/>
      <c r="N45" s="2">
        <v>3405.22</v>
      </c>
      <c r="O45" s="3"/>
      <c r="P45" s="2">
        <v>0</v>
      </c>
      <c r="Q45" s="3"/>
      <c r="R45" s="2"/>
    </row>
    <row r="46" spans="1:18" s="16" customFormat="1" hidden="1" outlineLevel="2" x14ac:dyDescent="0.35">
      <c r="B46" s="11" t="str">
        <f>CONCATENATE("          ", "6009", " - ", "TEMPORARY-SEASONAL")</f>
        <v xml:space="preserve">          6009 - TEMPORARY-SEASONAL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/>
    </row>
    <row r="47" spans="1:18" s="16" customFormat="1" hidden="1" outlineLevel="2" x14ac:dyDescent="0.35">
      <c r="B47" s="11" t="str">
        <f>CONCATENATE("          ", "6010", " - ", "GRATUITY")</f>
        <v xml:space="preserve">          6010 - GRATUITY</v>
      </c>
      <c r="D47" s="2"/>
      <c r="F47" s="2"/>
      <c r="G47" s="3"/>
      <c r="H47" s="2"/>
      <c r="I47" s="3"/>
      <c r="J47" s="2"/>
      <c r="K47" s="3"/>
      <c r="L47" s="2"/>
      <c r="M47" s="3"/>
      <c r="N47" s="2"/>
      <c r="O47" s="3"/>
      <c r="P47" s="2">
        <v>0</v>
      </c>
      <c r="Q47" s="3"/>
      <c r="R47" s="2"/>
    </row>
    <row r="48" spans="1:18" s="15" customFormat="1" outlineLevel="1" collapsed="1" x14ac:dyDescent="0.35">
      <c r="A48" s="7"/>
      <c r="B48" s="20" t="str">
        <f>CONCATENATE("     ","Advertising/Promo                                 ")</f>
        <v xml:space="preserve">     Advertising/Promo                                 </v>
      </c>
      <c r="C48" s="7"/>
      <c r="D48" s="1">
        <f>SUM(OSRRefD21_2x_0)</f>
        <v>1569.07</v>
      </c>
      <c r="E48" s="19"/>
      <c r="F48" s="1">
        <f>SUM(OSRRefF21_2x_0)</f>
        <v>1323.92</v>
      </c>
      <c r="G48" s="4"/>
      <c r="H48" s="1">
        <f>SUM(OSRRefH21_2x_0)</f>
        <v>1602.47</v>
      </c>
      <c r="I48" s="4"/>
      <c r="J48" s="1">
        <f>SUM(OSRRefJ21_2x_0)</f>
        <v>3657.75</v>
      </c>
      <c r="K48" s="4"/>
      <c r="L48" s="1">
        <f>SUM(OSRRefL21_2x_0)</f>
        <v>3760.99</v>
      </c>
      <c r="M48" s="4"/>
      <c r="N48" s="1">
        <f>SUM(OSRRefN21_2x_0)</f>
        <v>462.48</v>
      </c>
      <c r="O48" s="4"/>
      <c r="P48" s="1">
        <f>SUM(OSRRefP21_2x_0)</f>
        <v>0</v>
      </c>
      <c r="Q48" s="4"/>
      <c r="R48" s="1">
        <f>SUM(OSRRefR21_2x_0)</f>
        <v>0</v>
      </c>
    </row>
    <row r="49" spans="1:18" s="16" customFormat="1" hidden="1" outlineLevel="2" x14ac:dyDescent="0.35">
      <c r="B49" s="11" t="str">
        <f>CONCATENATE("          ", "6362", " - ", "ADVERTISING EXPENSE")</f>
        <v xml:space="preserve">          6362 - ADVERTISING EXPENSE</v>
      </c>
      <c r="D49" s="2">
        <v>1569.07</v>
      </c>
      <c r="F49" s="2">
        <v>1323.92</v>
      </c>
      <c r="G49" s="3"/>
      <c r="H49" s="2">
        <v>1602.47</v>
      </c>
      <c r="I49" s="3"/>
      <c r="J49" s="2">
        <v>3657.75</v>
      </c>
      <c r="K49" s="3"/>
      <c r="L49" s="2">
        <v>3760.99</v>
      </c>
      <c r="M49" s="3"/>
      <c r="N49" s="2">
        <v>462.48</v>
      </c>
      <c r="O49" s="3"/>
      <c r="P49" s="2">
        <v>0</v>
      </c>
      <c r="Q49" s="3"/>
      <c r="R49" s="2"/>
    </row>
    <row r="50" spans="1:18" s="15" customFormat="1" outlineLevel="1" collapsed="1" x14ac:dyDescent="0.35">
      <c r="A50" s="7"/>
      <c r="B50" s="20" t="str">
        <f>CONCATENATE("     ","Bad Debts/Over/Short                              ")</f>
        <v xml:space="preserve">     Bad Debts/Over/Short                              </v>
      </c>
      <c r="C50" s="7"/>
      <c r="D50" s="1">
        <f>SUM(OSRRefD21_3x_0)</f>
        <v>-38.950000000000003</v>
      </c>
      <c r="E50" s="19"/>
      <c r="F50" s="1">
        <f>SUM(OSRRefF21_3x_0)</f>
        <v>-14.46</v>
      </c>
      <c r="G50" s="4"/>
      <c r="H50" s="1">
        <f>SUM(OSRRefH21_3x_0)</f>
        <v>75.040000000000006</v>
      </c>
      <c r="I50" s="4"/>
      <c r="J50" s="1">
        <f>SUM(OSRRefJ21_3x_0)</f>
        <v>-54.21</v>
      </c>
      <c r="K50" s="4"/>
      <c r="L50" s="1">
        <f>SUM(OSRRefL21_3x_0)</f>
        <v>1157.8599999999999</v>
      </c>
      <c r="M50" s="4"/>
      <c r="N50" s="1">
        <f>SUM(OSRRefN21_3x_0)</f>
        <v>-0.24</v>
      </c>
      <c r="O50" s="4"/>
      <c r="P50" s="1">
        <f>SUM(OSRRefP21_3x_0)</f>
        <v>0</v>
      </c>
      <c r="Q50" s="4"/>
      <c r="R50" s="1">
        <f>SUM(OSRRefR21_3x_0)</f>
        <v>0</v>
      </c>
    </row>
    <row r="51" spans="1:18" s="16" customFormat="1" hidden="1" outlineLevel="2" x14ac:dyDescent="0.35">
      <c r="B51" s="11" t="str">
        <f>CONCATENATE("          ", "6272", " - ", "CASH (OVER/SHORT)")</f>
        <v xml:space="preserve">          6272 - CASH (OVER/SHORT)</v>
      </c>
      <c r="D51" s="2">
        <v>-38.950000000000003</v>
      </c>
      <c r="F51" s="2">
        <v>-14.46</v>
      </c>
      <c r="G51" s="3"/>
      <c r="H51" s="2">
        <v>75.040000000000006</v>
      </c>
      <c r="I51" s="3"/>
      <c r="J51" s="2">
        <v>-54.21</v>
      </c>
      <c r="K51" s="3"/>
      <c r="L51" s="2">
        <v>1157.8599999999999</v>
      </c>
      <c r="M51" s="3"/>
      <c r="N51" s="2">
        <v>-0.24</v>
      </c>
      <c r="O51" s="3"/>
      <c r="P51" s="2"/>
      <c r="Q51" s="3"/>
      <c r="R51" s="2"/>
    </row>
    <row r="52" spans="1:18" s="15" customFormat="1" outlineLevel="1" collapsed="1" x14ac:dyDescent="0.35">
      <c r="A52" s="7"/>
      <c r="B52" s="20" t="str">
        <f>CONCATENATE("     ","Bank/card Fees                                    ")</f>
        <v xml:space="preserve">     Bank/card Fees                                    </v>
      </c>
      <c r="C52" s="7"/>
      <c r="D52" s="1">
        <f>SUM(OSRRefD21_4x_0)</f>
        <v>9268.07</v>
      </c>
      <c r="E52" s="19"/>
      <c r="F52" s="1">
        <f>SUM(OSRRefF21_4x_0)</f>
        <v>9575.4500000000007</v>
      </c>
      <c r="G52" s="4"/>
      <c r="H52" s="1">
        <f>SUM(OSRRefH21_4x_0)</f>
        <v>11387.83</v>
      </c>
      <c r="I52" s="4"/>
      <c r="J52" s="1">
        <f>SUM(OSRRefJ21_4x_0)</f>
        <v>10727.22</v>
      </c>
      <c r="K52" s="4"/>
      <c r="L52" s="1">
        <f>SUM(OSRRefL21_4x_0)</f>
        <v>11513.83</v>
      </c>
      <c r="M52" s="4"/>
      <c r="N52" s="1">
        <f>SUM(OSRRefN21_4x_0)</f>
        <v>5691.38</v>
      </c>
      <c r="O52" s="4"/>
      <c r="P52" s="1">
        <f>SUM(OSRRefP21_4x_0)</f>
        <v>0</v>
      </c>
      <c r="Q52" s="4"/>
      <c r="R52" s="1">
        <f>SUM(OSRRefR21_4x_0)</f>
        <v>0</v>
      </c>
    </row>
    <row r="53" spans="1:18" s="16" customFormat="1" hidden="1" outlineLevel="2" x14ac:dyDescent="0.35">
      <c r="B53" s="11" t="str">
        <f>CONCATENATE("          ", "6381", " - ", "BANK/CREDIT CARD FEES")</f>
        <v xml:space="preserve">          6381 - BANK/CREDIT CARD FEES</v>
      </c>
      <c r="D53" s="2">
        <v>9268.07</v>
      </c>
      <c r="F53" s="2">
        <v>9575.4500000000007</v>
      </c>
      <c r="G53" s="3"/>
      <c r="H53" s="2">
        <v>11387.83</v>
      </c>
      <c r="I53" s="3"/>
      <c r="J53" s="2">
        <v>10727.22</v>
      </c>
      <c r="K53" s="3"/>
      <c r="L53" s="2">
        <v>11513.83</v>
      </c>
      <c r="M53" s="3"/>
      <c r="N53" s="2">
        <v>5691.38</v>
      </c>
      <c r="O53" s="3"/>
      <c r="P53" s="2">
        <v>0</v>
      </c>
      <c r="Q53" s="3"/>
      <c r="R53" s="2"/>
    </row>
    <row r="54" spans="1:18" s="15" customFormat="1" outlineLevel="1" collapsed="1" x14ac:dyDescent="0.35">
      <c r="A54" s="7"/>
      <c r="B54" s="20" t="str">
        <f>CONCATENATE("     ","Depreciation                                      ")</f>
        <v xml:space="preserve">     Depreciation                                      </v>
      </c>
      <c r="C54" s="7"/>
      <c r="D54" s="1">
        <f>SUM(OSRRefD21_5x_0)</f>
        <v>4786</v>
      </c>
      <c r="E54" s="19"/>
      <c r="F54" s="1">
        <f>SUM(OSRRefF21_5x_0)</f>
        <v>5802.97</v>
      </c>
      <c r="G54" s="4"/>
      <c r="H54" s="1">
        <f>SUM(OSRRefH21_5x_0)</f>
        <v>6141.96</v>
      </c>
      <c r="I54" s="4"/>
      <c r="J54" s="1">
        <f>SUM(OSRRefJ21_5x_0)</f>
        <v>6696.94</v>
      </c>
      <c r="K54" s="4"/>
      <c r="L54" s="1">
        <f>SUM(OSRRefL21_5x_0)</f>
        <v>7963.08</v>
      </c>
      <c r="M54" s="4"/>
      <c r="N54" s="1">
        <f>SUM(OSRRefN21_5x_0)</f>
        <v>5378.02</v>
      </c>
      <c r="O54" s="4"/>
      <c r="P54" s="1">
        <f>SUM(OSRRefP21_5x_0)</f>
        <v>10176</v>
      </c>
      <c r="Q54" s="4"/>
      <c r="R54" s="1">
        <f>SUM(OSRRefR21_5x_0)</f>
        <v>6924</v>
      </c>
    </row>
    <row r="55" spans="1:18" s="16" customFormat="1" hidden="1" outlineLevel="2" x14ac:dyDescent="0.35">
      <c r="B55" s="11" t="str">
        <f>CONCATENATE("          ", "6322", " - ", "EQUIPMENT DEPRECIATION EXPENSE")</f>
        <v xml:space="preserve">          6322 - EQUIPMENT DEPRECIATION EXPENSE</v>
      </c>
      <c r="D55" s="2">
        <v>4786</v>
      </c>
      <c r="F55" s="2">
        <v>5802.97</v>
      </c>
      <c r="G55" s="3"/>
      <c r="H55" s="2">
        <v>6141.96</v>
      </c>
      <c r="I55" s="3"/>
      <c r="J55" s="2">
        <v>6696.94</v>
      </c>
      <c r="K55" s="3"/>
      <c r="L55" s="2">
        <v>7963.08</v>
      </c>
      <c r="M55" s="3"/>
      <c r="N55" s="2">
        <v>5378.02</v>
      </c>
      <c r="O55" s="3"/>
      <c r="P55" s="2">
        <v>3576</v>
      </c>
      <c r="Q55" s="3"/>
      <c r="R55" s="2">
        <v>6924</v>
      </c>
    </row>
    <row r="56" spans="1:18" s="16" customFormat="1" hidden="1" outlineLevel="2" x14ac:dyDescent="0.35">
      <c r="B56" s="11" t="str">
        <f>CONCATENATE("          ", "6326", " - ", "VEHICLES DEPRECIATION EXPENSE")</f>
        <v xml:space="preserve">          6326 - VEHICLES DEPRECIATION EXPENSE</v>
      </c>
      <c r="D56" s="2"/>
      <c r="F56" s="2"/>
      <c r="G56" s="3"/>
      <c r="H56" s="2"/>
      <c r="I56" s="3"/>
      <c r="J56" s="2"/>
      <c r="K56" s="3"/>
      <c r="L56" s="2"/>
      <c r="M56" s="3"/>
      <c r="N56" s="2"/>
      <c r="O56" s="3"/>
      <c r="P56" s="2">
        <v>6600</v>
      </c>
      <c r="Q56" s="3"/>
      <c r="R56" s="2"/>
    </row>
    <row r="57" spans="1:18" s="15" customFormat="1" outlineLevel="1" collapsed="1" x14ac:dyDescent="0.35">
      <c r="A57" s="7"/>
      <c r="B57" s="20" t="str">
        <f>CONCATENATE("     ","Donations                                         ")</f>
        <v xml:space="preserve">     Donations                                         </v>
      </c>
      <c r="C57" s="7"/>
      <c r="D57" s="1">
        <f>SUM(OSRRefD21_6x_0)</f>
        <v>251.95</v>
      </c>
      <c r="E57" s="19"/>
      <c r="F57" s="1">
        <f>SUM(OSRRefF21_6x_0)</f>
        <v>684.25</v>
      </c>
      <c r="G57" s="4"/>
      <c r="H57" s="1">
        <f>SUM(OSRRefH21_6x_0)</f>
        <v>0</v>
      </c>
      <c r="I57" s="4"/>
      <c r="J57" s="1">
        <f>SUM(OSRRefJ21_6x_0)</f>
        <v>0</v>
      </c>
      <c r="K57" s="4"/>
      <c r="L57" s="1">
        <f>SUM(OSRRefL21_6x_0)</f>
        <v>0</v>
      </c>
      <c r="M57" s="4"/>
      <c r="N57" s="1">
        <f>SUM(OSRRefN21_6x_0)</f>
        <v>0</v>
      </c>
      <c r="O57" s="4"/>
      <c r="P57" s="1">
        <f>SUM(OSRRefP21_6x_0)</f>
        <v>0</v>
      </c>
      <c r="Q57" s="4"/>
      <c r="R57" s="1">
        <f>SUM(OSRRefR21_6x_0)</f>
        <v>0</v>
      </c>
    </row>
    <row r="58" spans="1:18" s="16" customFormat="1" hidden="1" outlineLevel="2" x14ac:dyDescent="0.35">
      <c r="B58" s="11" t="str">
        <f>CONCATENATE("          ", "6399", " - ", "DONATION-ON CAMPUS")</f>
        <v xml:space="preserve">          6399 - DONATION-ON CAMPUS</v>
      </c>
      <c r="D58" s="2">
        <v>251.95</v>
      </c>
      <c r="F58" s="2">
        <v>684.25</v>
      </c>
      <c r="G58" s="3"/>
      <c r="H58" s="2"/>
      <c r="I58" s="3"/>
      <c r="J58" s="2"/>
      <c r="K58" s="3"/>
      <c r="L58" s="2"/>
      <c r="M58" s="3"/>
      <c r="N58" s="2"/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","Employees' Appreciation                           ")</f>
        <v xml:space="preserve">     Employees' Appreciation                           </v>
      </c>
      <c r="C59" s="7"/>
      <c r="D59" s="1">
        <f>SUM(OSRRefD21_7x_0)</f>
        <v>447.12</v>
      </c>
      <c r="E59" s="19"/>
      <c r="F59" s="1">
        <f>SUM(OSRRefF21_7x_0)</f>
        <v>345.84</v>
      </c>
      <c r="G59" s="4"/>
      <c r="H59" s="1">
        <f>SUM(OSRRefH21_7x_0)</f>
        <v>321.98</v>
      </c>
      <c r="I59" s="4"/>
      <c r="J59" s="1">
        <f>SUM(OSRRefJ21_7x_0)</f>
        <v>538.13</v>
      </c>
      <c r="K59" s="4"/>
      <c r="L59" s="1">
        <f>SUM(OSRRefL21_7x_0)</f>
        <v>80.209999999999994</v>
      </c>
      <c r="M59" s="4"/>
      <c r="N59" s="1">
        <f>SUM(OSRRefN21_7x_0)</f>
        <v>60</v>
      </c>
      <c r="O59" s="4"/>
      <c r="P59" s="1">
        <f>SUM(OSRRefP21_7x_0)</f>
        <v>0</v>
      </c>
      <c r="Q59" s="4"/>
      <c r="R59" s="1">
        <f>SUM(OSRRefR21_7x_0)</f>
        <v>0</v>
      </c>
    </row>
    <row r="60" spans="1:18" s="16" customFormat="1" hidden="1" outlineLevel="2" x14ac:dyDescent="0.35">
      <c r="B60" s="11" t="str">
        <f>CONCATENATE("          ", "6277", " - ", "EMPLOYEE APPRECIATION")</f>
        <v xml:space="preserve">          6277 - EMPLOYEE APPRECIATION</v>
      </c>
      <c r="D60" s="2">
        <v>447.12</v>
      </c>
      <c r="F60" s="2">
        <v>345.84</v>
      </c>
      <c r="G60" s="3"/>
      <c r="H60" s="2">
        <v>321.98</v>
      </c>
      <c r="I60" s="3"/>
      <c r="J60" s="2">
        <v>538.13</v>
      </c>
      <c r="K60" s="3"/>
      <c r="L60" s="2">
        <v>80.209999999999994</v>
      </c>
      <c r="M60" s="3"/>
      <c r="N60" s="2">
        <v>60</v>
      </c>
      <c r="O60" s="3"/>
      <c r="P60" s="2">
        <v>0</v>
      </c>
      <c r="Q60" s="3"/>
      <c r="R60" s="2"/>
    </row>
    <row r="61" spans="1:18" s="15" customFormat="1" outlineLevel="1" collapsed="1" x14ac:dyDescent="0.35">
      <c r="A61" s="7"/>
      <c r="B61" s="20" t="str">
        <f>CONCATENATE("     ","Equipment Rental                                  ")</f>
        <v xml:space="preserve">     Equipment Rental                                  </v>
      </c>
      <c r="C61" s="7"/>
      <c r="D61" s="1">
        <f>SUM(OSRRefD21_8x_0)</f>
        <v>1886.42</v>
      </c>
      <c r="E61" s="19"/>
      <c r="F61" s="1">
        <f>SUM(OSRRefF21_8x_0)</f>
        <v>2442.16</v>
      </c>
      <c r="G61" s="4"/>
      <c r="H61" s="1">
        <f>SUM(OSRRefH21_8x_0)</f>
        <v>2141.08</v>
      </c>
      <c r="I61" s="4"/>
      <c r="J61" s="1">
        <f>SUM(OSRRefJ21_8x_0)</f>
        <v>1689.28</v>
      </c>
      <c r="K61" s="4"/>
      <c r="L61" s="1">
        <f>SUM(OSRRefL21_8x_0)</f>
        <v>2136.34</v>
      </c>
      <c r="M61" s="4"/>
      <c r="N61" s="1">
        <f>SUM(OSRRefN21_8x_0)</f>
        <v>854</v>
      </c>
      <c r="O61" s="4"/>
      <c r="P61" s="1">
        <f>SUM(OSRRefP21_8x_0)</f>
        <v>0</v>
      </c>
      <c r="Q61" s="4"/>
      <c r="R61" s="1">
        <f>SUM(OSRRefR21_8x_0)</f>
        <v>0</v>
      </c>
    </row>
    <row r="62" spans="1:18" s="16" customFormat="1" hidden="1" outlineLevel="2" x14ac:dyDescent="0.35">
      <c r="B62" s="11" t="str">
        <f>CONCATENATE("          ", "6351", " - ", "EQUIPMENT RENTAL")</f>
        <v xml:space="preserve">          6351 - EQUIPMENT RENTAL</v>
      </c>
      <c r="D62" s="2">
        <v>1886.42</v>
      </c>
      <c r="F62" s="2">
        <v>2442.16</v>
      </c>
      <c r="G62" s="3"/>
      <c r="H62" s="2">
        <v>2141.08</v>
      </c>
      <c r="I62" s="3"/>
      <c r="J62" s="2">
        <v>1689.28</v>
      </c>
      <c r="K62" s="3"/>
      <c r="L62" s="2">
        <v>2136.34</v>
      </c>
      <c r="M62" s="3"/>
      <c r="N62" s="2">
        <v>854</v>
      </c>
      <c r="O62" s="3"/>
      <c r="P62" s="2">
        <v>0</v>
      </c>
      <c r="Q62" s="3"/>
      <c r="R62" s="2"/>
    </row>
    <row r="63" spans="1:18" s="15" customFormat="1" outlineLevel="1" collapsed="1" x14ac:dyDescent="0.35">
      <c r="A63" s="7"/>
      <c r="B63" s="20" t="str">
        <f>CONCATENATE("     ","General                                           ")</f>
        <v xml:space="preserve">     General                                           </v>
      </c>
      <c r="C63" s="7"/>
      <c r="D63" s="1">
        <f>SUM(OSRRefD21_9x_0)</f>
        <v>1746.32</v>
      </c>
      <c r="E63" s="19"/>
      <c r="F63" s="1">
        <f>SUM(OSRRefF21_9x_0)</f>
        <v>6611.34</v>
      </c>
      <c r="G63" s="4"/>
      <c r="H63" s="1">
        <f>SUM(OSRRefH21_9x_0)</f>
        <v>2119.09</v>
      </c>
      <c r="I63" s="4"/>
      <c r="J63" s="1">
        <f>SUM(OSRRefJ21_9x_0)</f>
        <v>2236.16</v>
      </c>
      <c r="K63" s="4"/>
      <c r="L63" s="1">
        <f>SUM(OSRRefL21_9x_0)</f>
        <v>2013.6</v>
      </c>
      <c r="M63" s="4"/>
      <c r="N63" s="1">
        <f>SUM(OSRRefN21_9x_0)</f>
        <v>2498.7399999999998</v>
      </c>
      <c r="O63" s="4"/>
      <c r="P63" s="1">
        <f>SUM(OSRRefP21_9x_0)</f>
        <v>0</v>
      </c>
      <c r="Q63" s="4"/>
      <c r="R63" s="1">
        <f>SUM(OSRRefR21_9x_0)</f>
        <v>0</v>
      </c>
    </row>
    <row r="64" spans="1:18" s="16" customFormat="1" hidden="1" outlineLevel="2" x14ac:dyDescent="0.35">
      <c r="B64" s="11" t="str">
        <f>CONCATENATE("          ", "6279", " - ", "GENERAL EXPENSE")</f>
        <v xml:space="preserve">          6279 - GENERAL EXPENSE</v>
      </c>
      <c r="D64" s="2">
        <v>1746.32</v>
      </c>
      <c r="F64" s="2">
        <v>6611.34</v>
      </c>
      <c r="G64" s="3"/>
      <c r="H64" s="2">
        <v>2119.09</v>
      </c>
      <c r="I64" s="3"/>
      <c r="J64" s="2">
        <v>2236.16</v>
      </c>
      <c r="K64" s="3"/>
      <c r="L64" s="2">
        <v>2013.6</v>
      </c>
      <c r="M64" s="3"/>
      <c r="N64" s="2">
        <v>2498.7399999999998</v>
      </c>
      <c r="O64" s="3"/>
      <c r="P64" s="2">
        <v>0</v>
      </c>
      <c r="Q64" s="3"/>
      <c r="R64" s="2"/>
    </row>
    <row r="65" spans="1:18" s="15" customFormat="1" outlineLevel="1" collapsed="1" x14ac:dyDescent="0.35">
      <c r="A65" s="7"/>
      <c r="B65" s="20" t="str">
        <f>CONCATENATE("     ","Insurance                                         ")</f>
        <v xml:space="preserve">     Insurance                                         </v>
      </c>
      <c r="C65" s="7"/>
      <c r="D65" s="1">
        <f>SUM(OSRRefD21_10x_0)</f>
        <v>444</v>
      </c>
      <c r="E65" s="19"/>
      <c r="F65" s="1">
        <f>SUM(OSRRefF21_10x_0)</f>
        <v>386</v>
      </c>
      <c r="G65" s="4"/>
      <c r="H65" s="1">
        <f>SUM(OSRRefH21_10x_0)</f>
        <v>348</v>
      </c>
      <c r="I65" s="4"/>
      <c r="J65" s="1">
        <f>SUM(OSRRefJ21_10x_0)</f>
        <v>0</v>
      </c>
      <c r="K65" s="4"/>
      <c r="L65" s="1">
        <f>SUM(OSRRefL21_10x_0)</f>
        <v>0</v>
      </c>
      <c r="M65" s="4"/>
      <c r="N65" s="1">
        <f>SUM(OSRRefN21_10x_0)</f>
        <v>0</v>
      </c>
      <c r="O65" s="4"/>
      <c r="P65" s="1">
        <f>SUM(OSRRefP21_10x_0)</f>
        <v>0</v>
      </c>
      <c r="Q65" s="4"/>
      <c r="R65" s="1">
        <f>SUM(OSRRefR21_10x_0)</f>
        <v>0</v>
      </c>
    </row>
    <row r="66" spans="1:18" s="16" customFormat="1" hidden="1" outlineLevel="2" x14ac:dyDescent="0.35">
      <c r="B66" s="11" t="str">
        <f>CONCATENATE("          ", "6314", " - ", "LIABILITY INSURANCE")</f>
        <v xml:space="preserve">          6314 - LIABILITY INSURANCE</v>
      </c>
      <c r="D66" s="2">
        <v>444</v>
      </c>
      <c r="F66" s="2">
        <v>386</v>
      </c>
      <c r="G66" s="3"/>
      <c r="H66" s="2">
        <v>348</v>
      </c>
      <c r="I66" s="3"/>
      <c r="J66" s="2"/>
      <c r="K66" s="3"/>
      <c r="L66" s="2"/>
      <c r="M66" s="3"/>
      <c r="N66" s="2"/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","Repair and Maintenance                            ")</f>
        <v xml:space="preserve">     Repair and Maintenance                            </v>
      </c>
      <c r="C67" s="7"/>
      <c r="D67" s="1">
        <f>SUM(OSRRefD21_11x_0)</f>
        <v>14492.630000000001</v>
      </c>
      <c r="E67" s="19"/>
      <c r="F67" s="1">
        <f>SUM(OSRRefF21_11x_0)</f>
        <v>6129.0599999999995</v>
      </c>
      <c r="G67" s="4"/>
      <c r="H67" s="1">
        <f>SUM(OSRRefH21_11x_0)</f>
        <v>6521.5700000000006</v>
      </c>
      <c r="I67" s="4"/>
      <c r="J67" s="1">
        <f>SUM(OSRRefJ21_11x_0)</f>
        <v>8593.33</v>
      </c>
      <c r="K67" s="4"/>
      <c r="L67" s="1">
        <f>SUM(OSRRefL21_11x_0)</f>
        <v>27536.84</v>
      </c>
      <c r="M67" s="4"/>
      <c r="N67" s="1">
        <f>SUM(OSRRefN21_11x_0)</f>
        <v>5516.92</v>
      </c>
      <c r="O67" s="4"/>
      <c r="P67" s="1">
        <f>SUM(OSRRefP21_11x_0)</f>
        <v>0</v>
      </c>
      <c r="Q67" s="4"/>
      <c r="R67" s="1">
        <f>SUM(OSRRefR21_11x_0)</f>
        <v>0</v>
      </c>
    </row>
    <row r="68" spans="1:18" s="16" customFormat="1" hidden="1" outlineLevel="2" x14ac:dyDescent="0.35">
      <c r="B68" s="11" t="str">
        <f>CONCATENATE("          ", "6371", " - ", "COMPUTER SOFTWARE MAINTENANCE")</f>
        <v xml:space="preserve">          6371 - COMPUTER SOFTWARE MAINTENANCE</v>
      </c>
      <c r="D68" s="2"/>
      <c r="F68" s="2">
        <v>850</v>
      </c>
      <c r="G68" s="3"/>
      <c r="H68" s="2">
        <v>850</v>
      </c>
      <c r="I68" s="3"/>
      <c r="J68" s="2">
        <v>850</v>
      </c>
      <c r="K68" s="3"/>
      <c r="L68" s="2">
        <v>13623.25</v>
      </c>
      <c r="M68" s="3"/>
      <c r="N68" s="2">
        <v>0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"6373", " - ", "MAINTENANCE CONTRACTS")</f>
        <v xml:space="preserve">          6373 - MAINTENANCE CONTRACTS</v>
      </c>
      <c r="D69" s="2">
        <v>2025.87</v>
      </c>
      <c r="F69" s="2">
        <v>941.39</v>
      </c>
      <c r="G69" s="3"/>
      <c r="H69" s="2">
        <v>151.63999999999999</v>
      </c>
      <c r="I69" s="3"/>
      <c r="J69" s="2">
        <v>346.19</v>
      </c>
      <c r="K69" s="3"/>
      <c r="L69" s="2">
        <v>1188.92</v>
      </c>
      <c r="M69" s="3"/>
      <c r="N69" s="2">
        <v>1192.48</v>
      </c>
      <c r="O69" s="3"/>
      <c r="P69" s="2">
        <v>0</v>
      </c>
      <c r="Q69" s="3"/>
      <c r="R69" s="2"/>
    </row>
    <row r="70" spans="1:18" s="16" customFormat="1" hidden="1" outlineLevel="2" x14ac:dyDescent="0.35">
      <c r="B70" s="11" t="str">
        <f>CONCATENATE("          ", "6375", " - ", "OUTSIDE REPAIRS &amp; MAINTENANCE")</f>
        <v xml:space="preserve">          6375 - OUTSIDE REPAIRS &amp; MAINTENANCE</v>
      </c>
      <c r="D70" s="2">
        <v>12466.76</v>
      </c>
      <c r="F70" s="2">
        <v>4337.67</v>
      </c>
      <c r="G70" s="3"/>
      <c r="H70" s="2">
        <v>5519.93</v>
      </c>
      <c r="I70" s="3"/>
      <c r="J70" s="2">
        <v>7397.14</v>
      </c>
      <c r="K70" s="3"/>
      <c r="L70" s="2">
        <v>12724.67</v>
      </c>
      <c r="M70" s="3"/>
      <c r="N70" s="2">
        <v>4324.4399999999996</v>
      </c>
      <c r="O70" s="3"/>
      <c r="P70" s="2">
        <v>0</v>
      </c>
      <c r="Q70" s="3"/>
      <c r="R70" s="2"/>
    </row>
    <row r="71" spans="1:18" s="15" customFormat="1" outlineLevel="1" collapsed="1" x14ac:dyDescent="0.35">
      <c r="A71" s="7"/>
      <c r="B71" s="20" t="str">
        <f>CONCATENATE("     ","Royalty &amp; Commissions                             ")</f>
        <v xml:space="preserve">     Royalty &amp; Commissions                             </v>
      </c>
      <c r="C71" s="7"/>
      <c r="D71" s="1">
        <f>SUM(OSRRefD21_12x_0)</f>
        <v>0</v>
      </c>
      <c r="E71" s="19"/>
      <c r="F71" s="1">
        <f>SUM(OSRRefF21_12x_0)</f>
        <v>0</v>
      </c>
      <c r="G71" s="4"/>
      <c r="H71" s="1">
        <f>SUM(OSRRefH21_12x_0)</f>
        <v>2122.29</v>
      </c>
      <c r="I71" s="4"/>
      <c r="J71" s="1">
        <f>SUM(OSRRefJ21_12x_0)</f>
        <v>1688.89</v>
      </c>
      <c r="K71" s="4"/>
      <c r="L71" s="1">
        <f>SUM(OSRRefL21_12x_0)</f>
        <v>2954.27</v>
      </c>
      <c r="M71" s="4"/>
      <c r="N71" s="1">
        <f>SUM(OSRRefN21_12x_0)</f>
        <v>0</v>
      </c>
      <c r="O71" s="4"/>
      <c r="P71" s="1">
        <f>SUM(OSRRefP21_12x_0)</f>
        <v>0</v>
      </c>
      <c r="Q71" s="4"/>
      <c r="R71" s="1">
        <f>SUM(OSRRefR21_12x_0)</f>
        <v>0</v>
      </c>
    </row>
    <row r="72" spans="1:18" s="16" customFormat="1" hidden="1" outlineLevel="2" x14ac:dyDescent="0.35">
      <c r="B72" s="11" t="str">
        <f>CONCATENATE("          ", "6254", " - ", "ROYALTY &amp; COMMISSIONS")</f>
        <v xml:space="preserve">          6254 - ROYALTY &amp; COMMISSIONS</v>
      </c>
      <c r="D72" s="2"/>
      <c r="F72" s="2"/>
      <c r="G72" s="3"/>
      <c r="H72" s="2">
        <v>2122.29</v>
      </c>
      <c r="I72" s="3"/>
      <c r="J72" s="2">
        <v>1688.89</v>
      </c>
      <c r="K72" s="3"/>
      <c r="L72" s="2">
        <v>2954.27</v>
      </c>
      <c r="M72" s="3"/>
      <c r="N72" s="2"/>
      <c r="O72" s="3"/>
      <c r="P72" s="2">
        <v>0</v>
      </c>
      <c r="Q72" s="3"/>
      <c r="R72" s="2"/>
    </row>
    <row r="73" spans="1:18" s="15" customFormat="1" outlineLevel="1" collapsed="1" x14ac:dyDescent="0.35">
      <c r="A73" s="7"/>
      <c r="B73" s="20" t="str">
        <f>CONCATENATE("     ","Services                                          ")</f>
        <v xml:space="preserve">     Services                                          </v>
      </c>
      <c r="C73" s="7"/>
      <c r="D73" s="1">
        <f>SUM(OSRRefD21_13x_0)</f>
        <v>34461.68</v>
      </c>
      <c r="E73" s="19"/>
      <c r="F73" s="1">
        <f>SUM(OSRRefF21_13x_0)</f>
        <v>37269.350000000006</v>
      </c>
      <c r="G73" s="4"/>
      <c r="H73" s="1">
        <f>SUM(OSRRefH21_13x_0)</f>
        <v>43539.98</v>
      </c>
      <c r="I73" s="4"/>
      <c r="J73" s="1">
        <f>SUM(OSRRefJ21_13x_0)</f>
        <v>35032.9</v>
      </c>
      <c r="K73" s="4"/>
      <c r="L73" s="1">
        <f>SUM(OSRRefL21_13x_0)</f>
        <v>34534.93</v>
      </c>
      <c r="M73" s="4"/>
      <c r="N73" s="1">
        <f>SUM(OSRRefN21_13x_0)</f>
        <v>19714.809999999998</v>
      </c>
      <c r="O73" s="4"/>
      <c r="P73" s="1">
        <f>SUM(OSRRefP21_13x_0)</f>
        <v>0</v>
      </c>
      <c r="Q73" s="4"/>
      <c r="R73" s="1">
        <f>SUM(OSRRefR21_13x_0)</f>
        <v>0</v>
      </c>
    </row>
    <row r="74" spans="1:18" s="16" customFormat="1" hidden="1" outlineLevel="2" x14ac:dyDescent="0.35">
      <c r="B74" s="11" t="str">
        <f>CONCATENATE("          ", "6282", " - ", "JANITORIAL/EXTERMINATOR EXPENS")</f>
        <v xml:space="preserve">          6282 - JANITORIAL/EXTERMINATOR EXPENS</v>
      </c>
      <c r="D74" s="2"/>
      <c r="F74" s="2">
        <v>535.87</v>
      </c>
      <c r="G74" s="3"/>
      <c r="H74" s="2"/>
      <c r="I74" s="3"/>
      <c r="J74" s="2"/>
      <c r="K74" s="3"/>
      <c r="L74" s="2"/>
      <c r="M74" s="3"/>
      <c r="N74" s="2"/>
      <c r="O74" s="3"/>
      <c r="P74" s="2">
        <v>0</v>
      </c>
      <c r="Q74" s="3"/>
      <c r="R74" s="2"/>
    </row>
    <row r="75" spans="1:18" s="16" customFormat="1" hidden="1" outlineLevel="2" x14ac:dyDescent="0.35">
      <c r="B75" s="11" t="str">
        <f>CONCATENATE("          ", "6283", " - ", "PLANT SERVICE")</f>
        <v xml:space="preserve">          6283 - PLANT SERVICE</v>
      </c>
      <c r="D75" s="2">
        <v>1483</v>
      </c>
      <c r="F75" s="2">
        <v>684</v>
      </c>
      <c r="G75" s="3"/>
      <c r="H75" s="2">
        <v>684</v>
      </c>
      <c r="I75" s="3"/>
      <c r="J75" s="2">
        <v>627</v>
      </c>
      <c r="K75" s="3"/>
      <c r="L75" s="2">
        <v>689.95</v>
      </c>
      <c r="M75" s="3"/>
      <c r="N75" s="2">
        <v>566.54999999999995</v>
      </c>
      <c r="O75" s="3"/>
      <c r="P75" s="2">
        <v>0</v>
      </c>
      <c r="Q75" s="3"/>
      <c r="R75" s="2"/>
    </row>
    <row r="76" spans="1:18" s="16" customFormat="1" hidden="1" outlineLevel="2" x14ac:dyDescent="0.35">
      <c r="B76" s="11" t="str">
        <f>CONCATENATE("          ", "6284", " - ", "TRASH REMOVAL EXPENSE")</f>
        <v xml:space="preserve">          6284 - TRASH REMOVAL EXPENSE</v>
      </c>
      <c r="D76" s="2"/>
      <c r="F76" s="2"/>
      <c r="G76" s="3"/>
      <c r="H76" s="2"/>
      <c r="I76" s="3"/>
      <c r="J76" s="2"/>
      <c r="K76" s="3"/>
      <c r="L76" s="2"/>
      <c r="M76" s="3"/>
      <c r="N76" s="2"/>
      <c r="O76" s="3"/>
      <c r="P76" s="2"/>
      <c r="Q76" s="3"/>
      <c r="R76" s="2">
        <v>0</v>
      </c>
    </row>
    <row r="77" spans="1:18" s="16" customFormat="1" hidden="1" outlineLevel="2" x14ac:dyDescent="0.35">
      <c r="B77" s="11" t="str">
        <f>CONCATENATE("          ", "6285", " - ", "JANITORIAL SERVICES")</f>
        <v xml:space="preserve">          6285 - JANITORIAL SERVICES</v>
      </c>
      <c r="D77" s="2">
        <v>1407</v>
      </c>
      <c r="F77" s="2">
        <v>872</v>
      </c>
      <c r="G77" s="3"/>
      <c r="H77" s="2">
        <v>893</v>
      </c>
      <c r="I77" s="3"/>
      <c r="J77" s="2">
        <v>936</v>
      </c>
      <c r="K77" s="3"/>
      <c r="L77" s="2">
        <v>739.12</v>
      </c>
      <c r="M77" s="3"/>
      <c r="N77" s="2">
        <v>517.04999999999995</v>
      </c>
      <c r="O77" s="3"/>
      <c r="P77" s="2">
        <v>0</v>
      </c>
      <c r="Q77" s="3"/>
      <c r="R77" s="2"/>
    </row>
    <row r="78" spans="1:18" s="16" customFormat="1" hidden="1" outlineLevel="2" x14ac:dyDescent="0.35">
      <c r="B78" s="11" t="str">
        <f>CONCATENATE("          ", "6286", " - ", "LAUNDRY EXPENSE")</f>
        <v xml:space="preserve">          6286 - LAUNDRY EXPENSE</v>
      </c>
      <c r="D78" s="2">
        <v>31571.68</v>
      </c>
      <c r="F78" s="2">
        <v>35177.480000000003</v>
      </c>
      <c r="G78" s="3"/>
      <c r="H78" s="2">
        <v>41962.98</v>
      </c>
      <c r="I78" s="3"/>
      <c r="J78" s="2">
        <v>33469.9</v>
      </c>
      <c r="K78" s="3"/>
      <c r="L78" s="2">
        <v>33105.86</v>
      </c>
      <c r="M78" s="3"/>
      <c r="N78" s="2">
        <v>18631.21</v>
      </c>
      <c r="O78" s="3"/>
      <c r="P78" s="2">
        <v>0</v>
      </c>
      <c r="Q78" s="3"/>
      <c r="R78" s="2"/>
    </row>
    <row r="79" spans="1:18" s="15" customFormat="1" outlineLevel="1" collapsed="1" x14ac:dyDescent="0.35">
      <c r="A79" s="7"/>
      <c r="B79" s="20" t="str">
        <f>CONCATENATE("     ","Supplies                                          ")</f>
        <v xml:space="preserve">     Supplies                                          </v>
      </c>
      <c r="C79" s="7"/>
      <c r="D79" s="1">
        <f>SUM(OSRRefD21_14x_0)</f>
        <v>24312.57</v>
      </c>
      <c r="E79" s="19"/>
      <c r="F79" s="1">
        <f>SUM(OSRRefF21_14x_0)</f>
        <v>34048.57</v>
      </c>
      <c r="G79" s="4"/>
      <c r="H79" s="1">
        <f>SUM(OSRRefH21_14x_0)</f>
        <v>31461.65</v>
      </c>
      <c r="I79" s="4"/>
      <c r="J79" s="1">
        <f>SUM(OSRRefJ21_14x_0)</f>
        <v>21953.609999999993</v>
      </c>
      <c r="K79" s="4"/>
      <c r="L79" s="1">
        <f>SUM(OSRRefL21_14x_0)</f>
        <v>27709.329999999994</v>
      </c>
      <c r="M79" s="4"/>
      <c r="N79" s="1">
        <f>SUM(OSRRefN21_14x_0)</f>
        <v>13532.82</v>
      </c>
      <c r="O79" s="4"/>
      <c r="P79" s="1">
        <f>SUM(OSRRefP21_14x_0)</f>
        <v>0</v>
      </c>
      <c r="Q79" s="4"/>
      <c r="R79" s="1">
        <f>SUM(OSRRefR21_14x_0)</f>
        <v>0</v>
      </c>
    </row>
    <row r="80" spans="1:18" s="16" customFormat="1" hidden="1" outlineLevel="2" x14ac:dyDescent="0.35">
      <c r="B80" s="11" t="str">
        <f>CONCATENATE("          ", "6234", " - ", "EXPENDABLE SUPPLIES &amp; EQUIPMEN")</f>
        <v xml:space="preserve">          6234 - EXPENDABLE SUPPLIES &amp; EQUIPMEN</v>
      </c>
      <c r="D80" s="2">
        <v>1789.81</v>
      </c>
      <c r="F80" s="2">
        <v>4645.1400000000003</v>
      </c>
      <c r="G80" s="3"/>
      <c r="H80" s="2">
        <v>5101.76</v>
      </c>
      <c r="I80" s="3"/>
      <c r="J80" s="2">
        <v>7107.19</v>
      </c>
      <c r="K80" s="3"/>
      <c r="L80" s="2">
        <v>6484.52</v>
      </c>
      <c r="M80" s="3"/>
      <c r="N80" s="2">
        <v>2073.9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"6235", " - ", "COVID-19 EXPENSES")</f>
        <v xml:space="preserve">          6235 - COVID-19 EXPENSES</v>
      </c>
      <c r="D81" s="2"/>
      <c r="F81" s="2"/>
      <c r="G81" s="3"/>
      <c r="H81" s="2"/>
      <c r="I81" s="3"/>
      <c r="J81" s="2"/>
      <c r="K81" s="3"/>
      <c r="L81" s="2"/>
      <c r="M81" s="3"/>
      <c r="N81" s="2"/>
      <c r="O81" s="3"/>
      <c r="P81" s="2">
        <v>0</v>
      </c>
      <c r="Q81" s="3"/>
      <c r="R81" s="2"/>
    </row>
    <row r="82" spans="1:18" s="16" customFormat="1" hidden="1" outlineLevel="2" x14ac:dyDescent="0.35">
      <c r="B82" s="11" t="str">
        <f>CONCATENATE("          ", "6237", " - ", "JANITORIAL SUPPLIES")</f>
        <v xml:space="preserve">          6237 - JANITORIAL SUPPLIES</v>
      </c>
      <c r="D82" s="2">
        <v>150.62</v>
      </c>
      <c r="F82" s="2">
        <v>1078.68</v>
      </c>
      <c r="G82" s="3"/>
      <c r="H82" s="2">
        <v>2179.27</v>
      </c>
      <c r="I82" s="3"/>
      <c r="J82" s="2">
        <v>1464.7</v>
      </c>
      <c r="K82" s="3"/>
      <c r="L82" s="2">
        <v>640.37</v>
      </c>
      <c r="M82" s="3"/>
      <c r="N82" s="2"/>
      <c r="O82" s="3"/>
      <c r="P82" s="2"/>
      <c r="Q82" s="3"/>
      <c r="R82" s="2"/>
    </row>
    <row r="83" spans="1:18" s="16" customFormat="1" hidden="1" outlineLevel="2" x14ac:dyDescent="0.35">
      <c r="B83" s="11" t="str">
        <f>CONCATENATE("          ", "6239", " - ", "KITCHEN SUPPLIES")</f>
        <v xml:space="preserve">          6239 - KITCHEN SUPPLIES</v>
      </c>
      <c r="D83" s="2">
        <v>4811.5600000000004</v>
      </c>
      <c r="F83" s="2">
        <v>3493.94</v>
      </c>
      <c r="G83" s="3"/>
      <c r="H83" s="2">
        <v>7618.68</v>
      </c>
      <c r="I83" s="3"/>
      <c r="J83" s="2">
        <v>659.71</v>
      </c>
      <c r="K83" s="3"/>
      <c r="L83" s="2">
        <v>3338.75</v>
      </c>
      <c r="M83" s="3"/>
      <c r="N83" s="2">
        <v>3652.68</v>
      </c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"6241", " - ", "OFFICE EXPENSE")</f>
        <v xml:space="preserve">          6241 - OFFICE EXPENSE</v>
      </c>
      <c r="D84" s="2">
        <v>1660.65</v>
      </c>
      <c r="F84" s="2">
        <v>2102.1</v>
      </c>
      <c r="G84" s="3"/>
      <c r="H84" s="2">
        <v>2489.15</v>
      </c>
      <c r="I84" s="3"/>
      <c r="J84" s="2">
        <v>1907.05</v>
      </c>
      <c r="K84" s="3"/>
      <c r="L84" s="2">
        <v>3471.53</v>
      </c>
      <c r="M84" s="3"/>
      <c r="N84" s="2">
        <v>786.78</v>
      </c>
      <c r="O84" s="3"/>
      <c r="P84" s="2">
        <v>0</v>
      </c>
      <c r="Q84" s="3"/>
      <c r="R84" s="2"/>
    </row>
    <row r="85" spans="1:18" s="16" customFormat="1" hidden="1" outlineLevel="2" x14ac:dyDescent="0.35">
      <c r="B85" s="11" t="str">
        <f>CONCATENATE("          ", "6243", " - ", "PAPER SUPPLIES")</f>
        <v xml:space="preserve">          6243 - PAPER SUPPLIES</v>
      </c>
      <c r="D85" s="2">
        <v>10497.4</v>
      </c>
      <c r="F85" s="2">
        <v>13079.5</v>
      </c>
      <c r="G85" s="3"/>
      <c r="H85" s="2">
        <v>8291.51</v>
      </c>
      <c r="I85" s="3"/>
      <c r="J85" s="2">
        <v>7373.5</v>
      </c>
      <c r="K85" s="3"/>
      <c r="L85" s="2">
        <v>10959.39</v>
      </c>
      <c r="M85" s="3"/>
      <c r="N85" s="2">
        <v>5217.22</v>
      </c>
      <c r="O85" s="3"/>
      <c r="P85" s="2">
        <v>0</v>
      </c>
      <c r="Q85" s="3"/>
      <c r="R85" s="2"/>
    </row>
    <row r="86" spans="1:18" s="16" customFormat="1" hidden="1" outlineLevel="2" x14ac:dyDescent="0.35">
      <c r="B86" s="11" t="str">
        <f>CONCATENATE("          ", "6245", " - ", "PRINTING")</f>
        <v xml:space="preserve">          6245 - PRINTING</v>
      </c>
      <c r="D86" s="2"/>
      <c r="F86" s="2">
        <v>147.51</v>
      </c>
      <c r="G86" s="3"/>
      <c r="H86" s="2"/>
      <c r="I86" s="3"/>
      <c r="J86" s="2">
        <v>115.76</v>
      </c>
      <c r="K86" s="3"/>
      <c r="L86" s="2">
        <v>36.82</v>
      </c>
      <c r="M86" s="3"/>
      <c r="N86" s="2"/>
      <c r="O86" s="3"/>
      <c r="P86" s="2"/>
      <c r="Q86" s="3"/>
      <c r="R86" s="2"/>
    </row>
    <row r="87" spans="1:18" s="16" customFormat="1" hidden="1" outlineLevel="2" x14ac:dyDescent="0.35">
      <c r="B87" s="11" t="str">
        <f>CONCATENATE("          ", "6246", " - ", "REPLACEMENTS")</f>
        <v xml:space="preserve">          6246 - REPLACEMENTS</v>
      </c>
      <c r="D87" s="2"/>
      <c r="F87" s="2"/>
      <c r="G87" s="3"/>
      <c r="H87" s="2"/>
      <c r="I87" s="3"/>
      <c r="J87" s="2">
        <v>1011.44</v>
      </c>
      <c r="K87" s="3"/>
      <c r="L87" s="2"/>
      <c r="M87" s="3"/>
      <c r="N87" s="2"/>
      <c r="O87" s="3"/>
      <c r="P87" s="2"/>
      <c r="Q87" s="3"/>
      <c r="R87" s="2"/>
    </row>
    <row r="88" spans="1:18" s="16" customFormat="1" hidden="1" outlineLevel="2" x14ac:dyDescent="0.35">
      <c r="B88" s="11" t="str">
        <f>CONCATENATE("          ", "6247", " - ", "STORE SUPPLIES")</f>
        <v xml:space="preserve">          6247 - STORE SUPPLIES</v>
      </c>
      <c r="D88" s="2">
        <v>4643.57</v>
      </c>
      <c r="F88" s="2">
        <v>6571.41</v>
      </c>
      <c r="G88" s="3"/>
      <c r="H88" s="2">
        <v>3597.28</v>
      </c>
      <c r="I88" s="3"/>
      <c r="J88" s="2">
        <v>494.62</v>
      </c>
      <c r="K88" s="3"/>
      <c r="L88" s="2">
        <v>1587.85</v>
      </c>
      <c r="M88" s="3"/>
      <c r="N88" s="2">
        <v>509.58</v>
      </c>
      <c r="O88" s="3"/>
      <c r="P88" s="2">
        <v>0</v>
      </c>
      <c r="Q88" s="3"/>
      <c r="R88" s="2"/>
    </row>
    <row r="89" spans="1:18" s="16" customFormat="1" hidden="1" outlineLevel="2" x14ac:dyDescent="0.35">
      <c r="B89" s="11" t="str">
        <f>CONCATENATE("          ", "6248", " - ", "UNIFORMS")</f>
        <v xml:space="preserve">          6248 - UNIFORMS</v>
      </c>
      <c r="D89" s="2">
        <v>758.96</v>
      </c>
      <c r="F89" s="2">
        <v>2930.29</v>
      </c>
      <c r="G89" s="3"/>
      <c r="H89" s="2">
        <v>2184</v>
      </c>
      <c r="I89" s="3"/>
      <c r="J89" s="2">
        <v>1819.64</v>
      </c>
      <c r="K89" s="3"/>
      <c r="L89" s="2">
        <v>1190.0999999999999</v>
      </c>
      <c r="M89" s="3"/>
      <c r="N89" s="2">
        <v>1292.6600000000001</v>
      </c>
      <c r="O89" s="3"/>
      <c r="P89" s="2">
        <v>0</v>
      </c>
      <c r="Q89" s="3"/>
      <c r="R89" s="2"/>
    </row>
    <row r="90" spans="1:18" s="15" customFormat="1" outlineLevel="1" collapsed="1" x14ac:dyDescent="0.35">
      <c r="A90" s="7"/>
      <c r="B90" s="20" t="str">
        <f>CONCATENATE("     ","Telephone/Data Lines                              ")</f>
        <v xml:space="preserve">     Telephone/Data Lines                              </v>
      </c>
      <c r="C90" s="7"/>
      <c r="D90" s="1">
        <f>SUM(OSRRefD21_15x_0)</f>
        <v>986.47</v>
      </c>
      <c r="E90" s="19"/>
      <c r="F90" s="1">
        <f>SUM(OSRRefF21_15x_0)</f>
        <v>1288.79</v>
      </c>
      <c r="G90" s="4"/>
      <c r="H90" s="1">
        <f>SUM(OSRRefH21_15x_0)</f>
        <v>1086</v>
      </c>
      <c r="I90" s="4"/>
      <c r="J90" s="1">
        <f>SUM(OSRRefJ21_15x_0)</f>
        <v>2362.0300000000002</v>
      </c>
      <c r="K90" s="4"/>
      <c r="L90" s="1">
        <f>SUM(OSRRefL21_15x_0)</f>
        <v>2453.84</v>
      </c>
      <c r="M90" s="4"/>
      <c r="N90" s="1">
        <f>SUM(OSRRefN21_15x_0)</f>
        <v>2074.79</v>
      </c>
      <c r="O90" s="4"/>
      <c r="P90" s="1">
        <f>SUM(OSRRefP21_15x_0)</f>
        <v>0</v>
      </c>
      <c r="Q90" s="4"/>
      <c r="R90" s="1">
        <f>SUM(OSRRefR21_15x_0)</f>
        <v>0</v>
      </c>
    </row>
    <row r="91" spans="1:18" s="16" customFormat="1" hidden="1" outlineLevel="2" x14ac:dyDescent="0.35">
      <c r="B91" s="11" t="str">
        <f>CONCATENATE("          ", "6303", " - ", "DATA PHONE LINES")</f>
        <v xml:space="preserve">          6303 - DATA PHONE LINES</v>
      </c>
      <c r="D91" s="2"/>
      <c r="F91" s="2"/>
      <c r="G91" s="3"/>
      <c r="H91" s="2"/>
      <c r="I91" s="3"/>
      <c r="J91" s="2"/>
      <c r="K91" s="3"/>
      <c r="L91" s="2"/>
      <c r="M91" s="3"/>
      <c r="N91" s="2"/>
      <c r="O91" s="3"/>
      <c r="P91" s="2">
        <v>0</v>
      </c>
      <c r="Q91" s="3"/>
      <c r="R91" s="2"/>
    </row>
    <row r="92" spans="1:18" s="16" customFormat="1" hidden="1" outlineLevel="2" x14ac:dyDescent="0.35">
      <c r="B92" s="11" t="str">
        <f>CONCATENATE("          ", "6309", " - ", "TELEPHONE")</f>
        <v xml:space="preserve">          6309 - TELEPHONE</v>
      </c>
      <c r="D92" s="2">
        <v>986.47</v>
      </c>
      <c r="F92" s="2">
        <v>1288.79</v>
      </c>
      <c r="G92" s="3"/>
      <c r="H92" s="2">
        <v>1086</v>
      </c>
      <c r="I92" s="3"/>
      <c r="J92" s="2">
        <v>2362.0300000000002</v>
      </c>
      <c r="K92" s="3"/>
      <c r="L92" s="2">
        <v>2453.84</v>
      </c>
      <c r="M92" s="3"/>
      <c r="N92" s="2">
        <v>2074.79</v>
      </c>
      <c r="O92" s="3"/>
      <c r="P92" s="2"/>
      <c r="Q92" s="3"/>
      <c r="R92" s="2"/>
    </row>
    <row r="93" spans="1:18" s="15" customFormat="1" outlineLevel="1" collapsed="1" x14ac:dyDescent="0.35">
      <c r="A93" s="7"/>
      <c r="B93" s="20" t="str">
        <f>CONCATENATE("     ","Training                                          ")</f>
        <v xml:space="preserve">     Training                                          </v>
      </c>
      <c r="C93" s="7"/>
      <c r="D93" s="1">
        <f>SUM(OSRRefD21_16x_0)</f>
        <v>352.98</v>
      </c>
      <c r="E93" s="19"/>
      <c r="F93" s="1">
        <f>SUM(OSRRefF21_16x_0)</f>
        <v>412.42</v>
      </c>
      <c r="G93" s="4"/>
      <c r="H93" s="1">
        <f>SUM(OSRRefH21_16x_0)</f>
        <v>938.84</v>
      </c>
      <c r="I93" s="4"/>
      <c r="J93" s="1">
        <f>SUM(OSRRefJ21_16x_0)</f>
        <v>240</v>
      </c>
      <c r="K93" s="4"/>
      <c r="L93" s="1">
        <f>SUM(OSRRefL21_16x_0)</f>
        <v>175</v>
      </c>
      <c r="M93" s="4"/>
      <c r="N93" s="1">
        <f>SUM(OSRRefN21_16x_0)</f>
        <v>175</v>
      </c>
      <c r="O93" s="4"/>
      <c r="P93" s="1">
        <f>SUM(OSRRefP21_16x_0)</f>
        <v>0</v>
      </c>
      <c r="Q93" s="4"/>
      <c r="R93" s="1">
        <f>SUM(OSRRefR21_16x_0)</f>
        <v>0</v>
      </c>
    </row>
    <row r="94" spans="1:18" s="16" customFormat="1" hidden="1" outlineLevel="2" x14ac:dyDescent="0.35">
      <c r="B94" s="11" t="str">
        <f>CONCATENATE("          ", "6376", " - ", "TRAINING")</f>
        <v xml:space="preserve">          6376 - TRAINING</v>
      </c>
      <c r="D94" s="2">
        <v>352.98</v>
      </c>
      <c r="F94" s="2">
        <v>412.42</v>
      </c>
      <c r="G94" s="3"/>
      <c r="H94" s="2">
        <v>938.84</v>
      </c>
      <c r="I94" s="3"/>
      <c r="J94" s="2">
        <v>240</v>
      </c>
      <c r="K94" s="3"/>
      <c r="L94" s="2">
        <v>175</v>
      </c>
      <c r="M94" s="3"/>
      <c r="N94" s="2">
        <v>175</v>
      </c>
      <c r="O94" s="3"/>
      <c r="P94" s="2"/>
      <c r="Q94" s="3"/>
      <c r="R94" s="2"/>
    </row>
    <row r="95" spans="1:18" s="15" customFormat="1" outlineLevel="1" collapsed="1" x14ac:dyDescent="0.35">
      <c r="A95" s="7"/>
      <c r="B95" s="20" t="str">
        <f>CONCATENATE("     ","Travel                                            ")</f>
        <v xml:space="preserve">     Travel                                            </v>
      </c>
      <c r="C95" s="7"/>
      <c r="D95" s="1">
        <f>SUM(OSRRefD21_17x_0)</f>
        <v>25</v>
      </c>
      <c r="E95" s="19"/>
      <c r="F95" s="1">
        <f>SUM(OSRRefF21_17x_0)</f>
        <v>2034.37</v>
      </c>
      <c r="G95" s="4"/>
      <c r="H95" s="1">
        <f>SUM(OSRRefH21_17x_0)</f>
        <v>0</v>
      </c>
      <c r="I95" s="4"/>
      <c r="J95" s="1">
        <f>SUM(OSRRefJ21_17x_0)</f>
        <v>1354.33</v>
      </c>
      <c r="K95" s="4"/>
      <c r="L95" s="1">
        <f>SUM(OSRRefL21_17x_0)</f>
        <v>0</v>
      </c>
      <c r="M95" s="4"/>
      <c r="N95" s="1">
        <f>SUM(OSRRefN21_17x_0)</f>
        <v>0</v>
      </c>
      <c r="O95" s="4"/>
      <c r="P95" s="1">
        <f>SUM(OSRRefP21_17x_0)</f>
        <v>0</v>
      </c>
      <c r="Q95" s="4"/>
      <c r="R95" s="1">
        <f>SUM(OSRRefR21_17x_0)</f>
        <v>0</v>
      </c>
    </row>
    <row r="96" spans="1:18" s="16" customFormat="1" hidden="1" outlineLevel="2" x14ac:dyDescent="0.35">
      <c r="B96" s="11" t="str">
        <f>CONCATENATE("          ", "6292", " - ", "TRAVEL/CONFERENCE")</f>
        <v xml:space="preserve">          6292 - TRAVEL/CONFERENCE</v>
      </c>
      <c r="D96" s="2"/>
      <c r="F96" s="2">
        <v>2034.37</v>
      </c>
      <c r="G96" s="3"/>
      <c r="H96" s="2"/>
      <c r="I96" s="3"/>
      <c r="J96" s="2">
        <v>1354.33</v>
      </c>
      <c r="K96" s="3"/>
      <c r="L96" s="2"/>
      <c r="M96" s="3"/>
      <c r="N96" s="2"/>
      <c r="O96" s="3"/>
      <c r="P96" s="2"/>
      <c r="Q96" s="3"/>
      <c r="R96" s="2"/>
    </row>
    <row r="97" spans="1:18" s="16" customFormat="1" hidden="1" outlineLevel="2" x14ac:dyDescent="0.35">
      <c r="B97" s="11" t="str">
        <f>CONCATENATE("          ", "6294", " - ", "TRAVEL OPERATIONAL")</f>
        <v xml:space="preserve">          6294 - TRAVEL OPERATIONAL</v>
      </c>
      <c r="D97" s="2">
        <v>25</v>
      </c>
      <c r="F97" s="2"/>
      <c r="G97" s="3"/>
      <c r="H97" s="2"/>
      <c r="I97" s="3"/>
      <c r="J97" s="2"/>
      <c r="K97" s="3"/>
      <c r="L97" s="2"/>
      <c r="M97" s="3"/>
      <c r="N97" s="2"/>
      <c r="O97" s="3"/>
      <c r="P97" s="2"/>
      <c r="Q97" s="3"/>
      <c r="R97" s="2"/>
    </row>
    <row r="98" spans="1:18" s="15" customFormat="1" outlineLevel="1" collapsed="1" x14ac:dyDescent="0.35">
      <c r="A98" s="7"/>
      <c r="B98" s="20" t="str">
        <f>CONCATENATE("     ","Utilities                                         ")</f>
        <v xml:space="preserve">     Utilities                                         </v>
      </c>
      <c r="C98" s="7"/>
      <c r="D98" s="1">
        <f>SUM(OSRRefD21_18x_0)</f>
        <v>0</v>
      </c>
      <c r="E98" s="19"/>
      <c r="F98" s="1">
        <f>SUM(OSRRefF21_18x_0)</f>
        <v>0</v>
      </c>
      <c r="G98" s="4"/>
      <c r="H98" s="1">
        <f>SUM(OSRRefH21_18x_0)</f>
        <v>6.46</v>
      </c>
      <c r="I98" s="4"/>
      <c r="J98" s="1">
        <f>SUM(OSRRefJ21_18x_0)</f>
        <v>0</v>
      </c>
      <c r="K98" s="4"/>
      <c r="L98" s="1">
        <f>SUM(OSRRefL21_18x_0)</f>
        <v>0</v>
      </c>
      <c r="M98" s="4"/>
      <c r="N98" s="1">
        <f>SUM(OSRRefN21_18x_0)</f>
        <v>0</v>
      </c>
      <c r="O98" s="4"/>
      <c r="P98" s="1">
        <f>SUM(OSRRefP21_18x_0)</f>
        <v>0</v>
      </c>
      <c r="Q98" s="4"/>
      <c r="R98" s="1">
        <f>SUM(OSRRefR21_18x_0)</f>
        <v>0</v>
      </c>
    </row>
    <row r="99" spans="1:18" s="16" customFormat="1" hidden="1" outlineLevel="2" x14ac:dyDescent="0.35">
      <c r="B99" s="11" t="str">
        <f>CONCATENATE("          ", "6274", " - ", "UTILITIES")</f>
        <v xml:space="preserve">          6274 - UTILITIES</v>
      </c>
      <c r="D99" s="2"/>
      <c r="F99" s="2"/>
      <c r="G99" s="3"/>
      <c r="H99" s="2">
        <v>6.46</v>
      </c>
      <c r="I99" s="3"/>
      <c r="J99" s="2"/>
      <c r="K99" s="3"/>
      <c r="L99" s="2"/>
      <c r="M99" s="3"/>
      <c r="N99" s="2"/>
      <c r="O99" s="3"/>
      <c r="P99" s="2">
        <v>0</v>
      </c>
      <c r="Q99" s="3"/>
      <c r="R99" s="2"/>
    </row>
    <row r="100" spans="1:18" x14ac:dyDescent="0.35">
      <c r="A100" s="12"/>
      <c r="B100" s="12"/>
      <c r="C100" s="12"/>
      <c r="D100" s="1"/>
      <c r="F100" s="1"/>
      <c r="H100" s="1"/>
      <c r="J100" s="1"/>
      <c r="L100" s="1"/>
      <c r="N100" s="1"/>
      <c r="P100" s="1"/>
      <c r="R100" s="1"/>
    </row>
    <row r="101" spans="1:18" s="7" customFormat="1" x14ac:dyDescent="0.35">
      <c r="A101" s="36"/>
      <c r="B101" s="34" t="s">
        <v>295</v>
      </c>
      <c r="D101" s="6">
        <f>SUM(0)</f>
        <v>0</v>
      </c>
      <c r="E101" s="12"/>
      <c r="F101" s="6">
        <f>SUM(0)</f>
        <v>0</v>
      </c>
      <c r="G101" s="5"/>
      <c r="H101" s="6">
        <f>SUM(0)</f>
        <v>0</v>
      </c>
      <c r="I101" s="5"/>
      <c r="J101" s="6">
        <f>SUM(0)</f>
        <v>0</v>
      </c>
      <c r="K101" s="5"/>
      <c r="L101" s="6">
        <f>SUM(0)</f>
        <v>0</v>
      </c>
      <c r="M101" s="5"/>
      <c r="N101" s="6">
        <f>SUM(0)</f>
        <v>0</v>
      </c>
      <c r="O101" s="5"/>
      <c r="P101" s="6">
        <f>SUM(0)</f>
        <v>0</v>
      </c>
      <c r="Q101" s="5"/>
      <c r="R101" s="6">
        <f>SUM(0)</f>
        <v>0</v>
      </c>
    </row>
    <row r="102" spans="1:18" x14ac:dyDescent="0.35">
      <c r="A102" s="12"/>
      <c r="B102" s="7"/>
      <c r="C102" s="7"/>
      <c r="D102" s="6"/>
      <c r="F102" s="6"/>
      <c r="H102" s="6"/>
      <c r="J102" s="6"/>
      <c r="L102" s="6"/>
      <c r="N102" s="6"/>
      <c r="P102" s="6"/>
      <c r="R102" s="6"/>
    </row>
    <row r="103" spans="1:18" s="15" customFormat="1" x14ac:dyDescent="0.35">
      <c r="A103" s="7"/>
      <c r="B103" s="22" t="s">
        <v>279</v>
      </c>
      <c r="C103" s="22"/>
      <c r="D103" s="10">
        <f>+D22-D25+D101</f>
        <v>102815.41999999987</v>
      </c>
      <c r="E103" s="12"/>
      <c r="F103" s="10">
        <f>+F22-F25+F101</f>
        <v>93488.469999999972</v>
      </c>
      <c r="G103" s="5"/>
      <c r="H103" s="10">
        <f>+H22-H25+H101</f>
        <v>50091.699999999953</v>
      </c>
      <c r="I103" s="5"/>
      <c r="J103" s="10">
        <f>+J22-J25+J101</f>
        <v>49061.410000000149</v>
      </c>
      <c r="K103" s="5"/>
      <c r="L103" s="10">
        <f>+L22-L25+L101</f>
        <v>51791.440000000061</v>
      </c>
      <c r="M103" s="5"/>
      <c r="N103" s="10">
        <f>+N22-N25+N101</f>
        <v>-165581.64999999997</v>
      </c>
      <c r="O103" s="5"/>
      <c r="P103" s="10">
        <f>+P22-P25+P101</f>
        <v>-10176</v>
      </c>
      <c r="Q103" s="5"/>
      <c r="R103" s="10">
        <f>+R22-R25+R101</f>
        <v>-6924</v>
      </c>
    </row>
    <row r="104" spans="1:18" s="27" customFormat="1" x14ac:dyDescent="0.35">
      <c r="A104" s="18"/>
      <c r="B104" s="31"/>
      <c r="C104" s="18"/>
      <c r="D104" s="9">
        <f>IFERROR(D103/D10, 0)</f>
        <v>0.11063681912013348</v>
      </c>
      <c r="E104" s="18"/>
      <c r="F104" s="9">
        <f>IFERROR(F103/F10, 0)</f>
        <v>9.0205823261833212E-2</v>
      </c>
      <c r="G104" s="14"/>
      <c r="H104" s="9">
        <f>IFERROR(H103/H10, 0)</f>
        <v>4.8676168779708151E-2</v>
      </c>
      <c r="I104" s="14"/>
      <c r="J104" s="9">
        <f>IFERROR(J103/J10, 0)</f>
        <v>4.8165938730013749E-2</v>
      </c>
      <c r="K104" s="14"/>
      <c r="L104" s="9">
        <f>IFERROR(L103/L10, 0)</f>
        <v>4.660029106601709E-2</v>
      </c>
      <c r="M104" s="14"/>
      <c r="N104" s="9">
        <f>IFERROR(N103/N10, 0)</f>
        <v>-0.43577116067931615</v>
      </c>
      <c r="O104" s="14"/>
      <c r="P104" s="9">
        <f>IFERROR(P103/P10, 0)</f>
        <v>0</v>
      </c>
      <c r="Q104" s="14"/>
      <c r="R104" s="9">
        <f>IFERROR(R103/R10, 0)</f>
        <v>0</v>
      </c>
    </row>
    <row r="105" spans="1:18" s="27" customFormat="1" x14ac:dyDescent="0.35">
      <c r="A105" s="18"/>
      <c r="B105" s="31"/>
      <c r="C105" s="18"/>
      <c r="D105" s="13"/>
      <c r="E105" s="18"/>
      <c r="F105" s="13"/>
      <c r="G105" s="14"/>
      <c r="H105" s="13"/>
      <c r="I105" s="14"/>
      <c r="J105" s="13"/>
      <c r="K105" s="14"/>
      <c r="L105" s="13"/>
      <c r="M105" s="14"/>
      <c r="N105" s="13"/>
      <c r="O105" s="14"/>
      <c r="P105" s="13"/>
      <c r="Q105" s="14"/>
      <c r="R105" s="13"/>
    </row>
    <row r="106" spans="1:18" s="15" customFormat="1" x14ac:dyDescent="0.35">
      <c r="A106" s="37"/>
      <c r="B106" s="7" t="s">
        <v>127</v>
      </c>
      <c r="C106" s="7"/>
      <c r="D106" s="6">
        <v>201945.14</v>
      </c>
      <c r="E106" s="12"/>
      <c r="F106" s="6">
        <v>147537.38</v>
      </c>
      <c r="G106" s="5"/>
      <c r="H106" s="6">
        <v>137593.99</v>
      </c>
      <c r="I106" s="5"/>
      <c r="J106" s="6">
        <v>136708.69</v>
      </c>
      <c r="K106" s="5"/>
      <c r="L106" s="6">
        <v>79217.17</v>
      </c>
      <c r="M106" s="5"/>
      <c r="N106" s="6">
        <v>57536.639999999999</v>
      </c>
      <c r="O106" s="5"/>
      <c r="P106" s="6"/>
      <c r="Q106" s="5"/>
      <c r="R106" s="6"/>
    </row>
    <row r="107" spans="1:18" x14ac:dyDescent="0.35">
      <c r="A107" s="12"/>
      <c r="B107" s="7"/>
      <c r="C107" s="7"/>
      <c r="D107" s="6"/>
      <c r="F107" s="6"/>
      <c r="H107" s="6"/>
      <c r="J107" s="6"/>
      <c r="L107" s="6"/>
      <c r="N107" s="6"/>
      <c r="P107" s="6"/>
      <c r="R107" s="6"/>
    </row>
    <row r="108" spans="1:18" s="15" customFormat="1" x14ac:dyDescent="0.35">
      <c r="A108" s="7"/>
      <c r="B108" s="22" t="s">
        <v>126</v>
      </c>
      <c r="C108" s="22"/>
      <c r="D108" s="10">
        <f>+D103-D106</f>
        <v>-99129.720000000147</v>
      </c>
      <c r="E108" s="12"/>
      <c r="F108" s="10">
        <f>+F103-F106</f>
        <v>-54048.910000000033</v>
      </c>
      <c r="G108" s="5"/>
      <c r="H108" s="10">
        <f>+H103-H106</f>
        <v>-87502.290000000037</v>
      </c>
      <c r="I108" s="5"/>
      <c r="J108" s="10">
        <f>+J103-J106</f>
        <v>-87647.279999999853</v>
      </c>
      <c r="K108" s="5"/>
      <c r="L108" s="10">
        <f>+L103-L106</f>
        <v>-27425.729999999938</v>
      </c>
      <c r="M108" s="5"/>
      <c r="N108" s="10">
        <f>+N103-N106</f>
        <v>-223118.28999999998</v>
      </c>
      <c r="O108" s="5"/>
      <c r="P108" s="10">
        <f>+P103-P106</f>
        <v>-10176</v>
      </c>
      <c r="Q108" s="5"/>
      <c r="R108" s="10">
        <f>+R103-R106</f>
        <v>-6924</v>
      </c>
    </row>
    <row r="109" spans="1:18" s="27" customFormat="1" x14ac:dyDescent="0.35">
      <c r="A109" s="18"/>
      <c r="B109" s="18"/>
      <c r="C109" s="18"/>
      <c r="D109" s="9">
        <f>IFERROR(D108/D10, 0)</f>
        <v>-0.10667073967182654</v>
      </c>
      <c r="E109" s="18"/>
      <c r="F109" s="9">
        <f>IFERROR(F108/F10, 0)</f>
        <v>-5.2151098664409992E-2</v>
      </c>
      <c r="G109" s="14"/>
      <c r="H109" s="9">
        <f>IFERROR(H108/H10, 0)</f>
        <v>-8.5029580482414741E-2</v>
      </c>
      <c r="I109" s="14"/>
      <c r="J109" s="9">
        <f>IFERROR(J108/J10, 0)</f>
        <v>-8.6047537531684051E-2</v>
      </c>
      <c r="K109" s="14"/>
      <c r="L109" s="9">
        <f>IFERROR(L108/L10, 0)</f>
        <v>-2.4676799886197264E-2</v>
      </c>
      <c r="M109" s="14"/>
      <c r="N109" s="9">
        <f>IFERROR(N108/N10, 0)</f>
        <v>-0.58719378748843409</v>
      </c>
      <c r="O109" s="14"/>
      <c r="P109" s="9">
        <f>IFERROR(P108/P10, 0)</f>
        <v>0</v>
      </c>
      <c r="Q109" s="14"/>
      <c r="R109" s="9">
        <f>IFERROR(R108/R10, 0)</f>
        <v>0</v>
      </c>
    </row>
    <row r="110" spans="1:18" s="27" customFormat="1" x14ac:dyDescent="0.35">
      <c r="A110" s="18"/>
      <c r="B110" s="18"/>
      <c r="C110" s="18"/>
      <c r="D110" s="13"/>
      <c r="E110" s="18"/>
      <c r="F110" s="13"/>
      <c r="G110" s="14"/>
      <c r="H110" s="13"/>
      <c r="I110" s="14"/>
      <c r="J110" s="13"/>
      <c r="K110" s="14"/>
      <c r="L110" s="13"/>
      <c r="M110" s="14"/>
      <c r="N110" s="13"/>
      <c r="O110" s="14"/>
      <c r="P110" s="13"/>
      <c r="Q110" s="14"/>
      <c r="R110" s="13"/>
    </row>
    <row r="111" spans="1:18" x14ac:dyDescent="0.35">
      <c r="A111" s="12"/>
      <c r="B111" s="12"/>
      <c r="C111" s="12"/>
      <c r="D111" s="6"/>
      <c r="F111" s="6"/>
      <c r="H111" s="6"/>
      <c r="J111" s="6"/>
      <c r="L111" s="6"/>
      <c r="N111" s="6"/>
      <c r="P111" s="6"/>
      <c r="R111" s="6"/>
    </row>
    <row r="112" spans="1:18" s="15" customFormat="1" x14ac:dyDescent="0.35">
      <c r="A112" s="7"/>
      <c r="B112" s="22" t="s">
        <v>296</v>
      </c>
      <c r="C112" s="22"/>
      <c r="D112" s="10">
        <f>SUM(D108:D111)</f>
        <v>-99129.826670739814</v>
      </c>
      <c r="E112" s="12"/>
      <c r="F112" s="10">
        <f>SUM(F108:F111)</f>
        <v>-54048.962151098698</v>
      </c>
      <c r="G112" s="5"/>
      <c r="H112" s="10">
        <f>SUM(H108:H111)</f>
        <v>-87502.375029580522</v>
      </c>
      <c r="I112" s="5"/>
      <c r="J112" s="10">
        <f>SUM(J108:J111)</f>
        <v>-87647.366047537391</v>
      </c>
      <c r="K112" s="5"/>
      <c r="L112" s="10">
        <f>SUM(L108:L111)</f>
        <v>-27425.754676799825</v>
      </c>
      <c r="M112" s="5"/>
      <c r="N112" s="10">
        <f>SUM(N108:N111)</f>
        <v>-223118.87719378746</v>
      </c>
      <c r="O112" s="5"/>
      <c r="P112" s="10">
        <f>SUM(P108:P111)</f>
        <v>-10176</v>
      </c>
      <c r="Q112" s="5"/>
      <c r="R112" s="10">
        <f>SUM(R108:R111)</f>
        <v>-6924</v>
      </c>
    </row>
    <row r="113" spans="1:18" s="27" customFormat="1" x14ac:dyDescent="0.35">
      <c r="A113" s="18"/>
      <c r="B113" s="41"/>
      <c r="C113" s="18"/>
      <c r="D113" s="9">
        <f>IFERROR(D112/D10, 0)</f>
        <v>-0.10667085445724812</v>
      </c>
      <c r="E113" s="18"/>
      <c r="F113" s="9">
        <f>IFERROR(F112/F10, 0)</f>
        <v>-5.2151148984334893E-2</v>
      </c>
      <c r="G113" s="14"/>
      <c r="H113" s="9">
        <f>IFERROR(H112/H10, 0)</f>
        <v>-8.5029663109161505E-2</v>
      </c>
      <c r="I113" s="14"/>
      <c r="J113" s="9">
        <f>IFERROR(J112/J10, 0)</f>
        <v>-8.6047622008677702E-2</v>
      </c>
      <c r="K113" s="14"/>
      <c r="L113" s="9">
        <f>IFERROR(L112/L10, 0)</f>
        <v>-2.4676822089597233E-2</v>
      </c>
      <c r="M113" s="14"/>
      <c r="N113" s="9">
        <f>IFERROR(N112/N10, 0)</f>
        <v>-0.58719533284154724</v>
      </c>
      <c r="O113" s="14"/>
      <c r="P113" s="9">
        <f>IFERROR(P112/P10, 0)</f>
        <v>0</v>
      </c>
      <c r="Q113" s="14"/>
      <c r="R113" s="9">
        <f>IFERROR(R112/R10, 0)</f>
        <v>0</v>
      </c>
    </row>
    <row r="114" spans="1:18" x14ac:dyDescent="0.35">
      <c r="A114" s="12"/>
      <c r="B114" s="40">
        <v>44319.883572604165</v>
      </c>
      <c r="D114" s="24"/>
      <c r="F114" s="24"/>
      <c r="H114" s="24"/>
      <c r="J114" s="24"/>
      <c r="L114" s="24"/>
      <c r="N114" s="24"/>
      <c r="P114" s="24"/>
      <c r="R114" s="24"/>
    </row>
    <row r="115" spans="1:18" x14ac:dyDescent="0.35">
      <c r="A115" s="12"/>
      <c r="B115" s="39" t="s">
        <v>23</v>
      </c>
      <c r="D115" s="24"/>
      <c r="F115" s="24"/>
      <c r="H115" s="24"/>
      <c r="J115" s="24"/>
      <c r="L115" s="24"/>
      <c r="N115" s="24"/>
      <c r="P115" s="24"/>
      <c r="R115" s="24"/>
    </row>
    <row r="116" spans="1:18" x14ac:dyDescent="0.35">
      <c r="A116" s="12"/>
      <c r="D116" s="24"/>
      <c r="F116" s="24"/>
      <c r="H116" s="24"/>
      <c r="J116" s="24"/>
      <c r="L116" s="24"/>
      <c r="N116" s="24"/>
      <c r="P116" s="24"/>
      <c r="R116" s="24"/>
    </row>
    <row r="117" spans="1:18" x14ac:dyDescent="0.35">
      <c r="D117" s="24"/>
      <c r="F117" s="24"/>
      <c r="H117" s="24"/>
      <c r="J117" s="24"/>
      <c r="L117" s="24"/>
      <c r="N117" s="24"/>
      <c r="P117" s="24"/>
      <c r="R117" s="24"/>
    </row>
  </sheetData>
  <pageMargins left="0.5" right="0.5" top="0.5" bottom="0.5" header="0.3" footer="0.3"/>
  <pageSetup scale="59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5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","413", " - ", "Beach Walk")</f>
        <v>Department 413 - Beach Walk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331432.93</v>
      </c>
      <c r="F10" s="8">
        <f>SUM(OSRRefF11x_0)</f>
        <v>404800.96</v>
      </c>
      <c r="G10" s="8"/>
      <c r="H10" s="8">
        <f>SUM(OSRRefH11x_0)</f>
        <v>442917.93</v>
      </c>
      <c r="I10" s="8"/>
      <c r="J10" s="8">
        <f>SUM(OSRRefJ11x_0)</f>
        <v>365637.57</v>
      </c>
      <c r="K10" s="8"/>
      <c r="L10" s="8">
        <f>SUM(OSRRefL11x_0)</f>
        <v>349338.82</v>
      </c>
      <c r="M10" s="8"/>
      <c r="N10" s="8">
        <f>SUM(OSRRefN11x_0)</f>
        <v>255048.55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/>
    </row>
    <row r="12" spans="1:18" s="16" customFormat="1" hidden="1" outlineLevel="1" x14ac:dyDescent="0.35">
      <c r="B12" s="35" t="str">
        <f>CONCATENATE("          ", "4051", " - ", "TAXABLE SALES-FOOD")</f>
        <v xml:space="preserve">          4051 - TAXABLE SALES-FOOD</v>
      </c>
      <c r="D12" s="11">
        <f>-17880.51*-1</f>
        <v>17880.509999999998</v>
      </c>
      <c r="F12" s="11">
        <f>-53806.07*-1</f>
        <v>53806.07</v>
      </c>
      <c r="G12" s="3"/>
      <c r="H12" s="11">
        <f>-65496.02*-1</f>
        <v>65496.02</v>
      </c>
      <c r="I12" s="3"/>
      <c r="J12" s="11">
        <f>--82003.69</f>
        <v>82003.69</v>
      </c>
      <c r="K12" s="3"/>
      <c r="L12" s="11">
        <f>--93019.09</f>
        <v>93019.09</v>
      </c>
      <c r="M12" s="3"/>
      <c r="N12" s="11">
        <f>--57510.69</f>
        <v>57510.69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0</v>
      </c>
      <c r="Q13" s="3"/>
      <c r="R13" s="11"/>
    </row>
    <row r="14" spans="1:18" s="16" customFormat="1" hidden="1" outlineLevel="1" x14ac:dyDescent="0.35">
      <c r="B14" s="35" t="str">
        <f>CONCATENATE("          ", "4151", " - ", "NON-TAXABLE SALES-FOOD")</f>
        <v xml:space="preserve">          4151 - NON-TAXABLE SALES-FOOD</v>
      </c>
      <c r="D14" s="11">
        <f>-313552.42*-1</f>
        <v>313552.42</v>
      </c>
      <c r="F14" s="11">
        <f>-350994.89*-1</f>
        <v>350994.89</v>
      </c>
      <c r="G14" s="3"/>
      <c r="H14" s="11">
        <f>-377421.91*-1</f>
        <v>377421.91</v>
      </c>
      <c r="I14" s="3"/>
      <c r="J14" s="11">
        <f>--283633.88</f>
        <v>283633.88</v>
      </c>
      <c r="K14" s="3"/>
      <c r="L14" s="11">
        <f>--256319.73</f>
        <v>256319.73</v>
      </c>
      <c r="M14" s="3"/>
      <c r="N14" s="11">
        <f>--197537.86</f>
        <v>197537.86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108173.14000000001</v>
      </c>
      <c r="E16" s="8"/>
      <c r="F16" s="8">
        <f>SUM(OSRRefF14x_0)</f>
        <v>121266.08</v>
      </c>
      <c r="G16" s="8"/>
      <c r="H16" s="8">
        <f>SUM(OSRRefH14x_0)</f>
        <v>135846.08000000002</v>
      </c>
      <c r="I16" s="8"/>
      <c r="J16" s="8">
        <f>SUM(OSRRefJ14x_0)</f>
        <v>111178.95000000001</v>
      </c>
      <c r="K16" s="8"/>
      <c r="L16" s="8">
        <f>SUM(OSRRefL14x_0)</f>
        <v>110184.48000000001</v>
      </c>
      <c r="M16" s="8"/>
      <c r="N16" s="8">
        <f>SUM(OSRRefN14x_0)</f>
        <v>93796.46</v>
      </c>
      <c r="O16" s="8"/>
      <c r="P16" s="8">
        <f>SUM(OSRRefP14x_0)</f>
        <v>0</v>
      </c>
      <c r="Q16" s="8"/>
      <c r="R16" s="8">
        <f>SUM(OSRRefR14x_0)</f>
        <v>0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0</v>
      </c>
      <c r="Q17" s="3"/>
      <c r="R17" s="11"/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136638.17000000001</v>
      </c>
      <c r="E18" s="16"/>
      <c r="F18" s="11">
        <v>142493.63</v>
      </c>
      <c r="G18" s="3"/>
      <c r="H18" s="11">
        <v>156343.45000000001</v>
      </c>
      <c r="I18" s="3"/>
      <c r="J18" s="11">
        <v>134509.88</v>
      </c>
      <c r="K18" s="3"/>
      <c r="L18" s="11">
        <v>115768.41</v>
      </c>
      <c r="M18" s="3"/>
      <c r="N18" s="11">
        <v>90960.52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-28465.03</v>
      </c>
      <c r="E19" s="16"/>
      <c r="F19" s="11">
        <v>-21227.55</v>
      </c>
      <c r="G19" s="3"/>
      <c r="H19" s="11">
        <v>-20497.37</v>
      </c>
      <c r="I19" s="3"/>
      <c r="J19" s="11">
        <v>-23330.93</v>
      </c>
      <c r="K19" s="3"/>
      <c r="L19" s="11">
        <v>-5583.93</v>
      </c>
      <c r="M19" s="3"/>
      <c r="N19" s="11">
        <v>2835.94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223259.78999999998</v>
      </c>
      <c r="E21" s="12"/>
      <c r="F21" s="10">
        <f>+F10-F16</f>
        <v>283534.88</v>
      </c>
      <c r="G21" s="5"/>
      <c r="H21" s="10">
        <f>+H10-H16</f>
        <v>307071.84999999998</v>
      </c>
      <c r="I21" s="5"/>
      <c r="J21" s="10">
        <f>+J10-J16</f>
        <v>254458.62</v>
      </c>
      <c r="K21" s="5"/>
      <c r="L21" s="10">
        <f>+L10-L16</f>
        <v>239154.34</v>
      </c>
      <c r="M21" s="5"/>
      <c r="N21" s="10">
        <f>+N10-N16</f>
        <v>161252.08999999997</v>
      </c>
      <c r="O21" s="5"/>
      <c r="P21" s="10">
        <f>+P10-P16</f>
        <v>0</v>
      </c>
      <c r="Q21" s="5"/>
      <c r="R21" s="10">
        <f>+R10-R16</f>
        <v>0</v>
      </c>
    </row>
    <row r="22" spans="1:18" s="27" customFormat="1" x14ac:dyDescent="0.35">
      <c r="A22" s="18"/>
      <c r="B22" s="31"/>
      <c r="C22" s="18"/>
      <c r="D22" s="9">
        <f>IFERROR(D21/D10, 0)</f>
        <v>0.67361981804282389</v>
      </c>
      <c r="E22" s="13"/>
      <c r="F22" s="9">
        <f>IFERROR(F21/F10, 0)</f>
        <v>0.70043035471062121</v>
      </c>
      <c r="G22" s="26"/>
      <c r="H22" s="9">
        <f>IFERROR(H21/H10, 0)</f>
        <v>0.69329288611097772</v>
      </c>
      <c r="I22" s="26"/>
      <c r="J22" s="9">
        <f>IFERROR(J21/J10, 0)</f>
        <v>0.69593127423967949</v>
      </c>
      <c r="K22" s="26"/>
      <c r="L22" s="9">
        <f>IFERROR(L21/L10, 0)</f>
        <v>0.68459136605545301</v>
      </c>
      <c r="M22" s="26"/>
      <c r="N22" s="9">
        <f>IFERROR(N21/N10, 0)</f>
        <v>0.63224076357226877</v>
      </c>
      <c r="O22" s="26"/>
      <c r="P22" s="9">
        <f>IFERROR(P21/P10, 0)</f>
        <v>0</v>
      </c>
      <c r="Q22" s="26"/>
      <c r="R22" s="9">
        <f>IFERROR(R21/R10, 0)</f>
        <v>0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202367.57</v>
      </c>
      <c r="E24" s="19"/>
      <c r="F24" s="8">
        <f>SUM(OSRRefF21x_0)</f>
        <v>204260.72000000003</v>
      </c>
      <c r="G24" s="4"/>
      <c r="H24" s="8">
        <f>SUM(OSRRefH21x_0)</f>
        <v>220698.97999999998</v>
      </c>
      <c r="I24" s="4"/>
      <c r="J24" s="8">
        <f>SUM(OSRRefJ21x_0)</f>
        <v>207165.2600000001</v>
      </c>
      <c r="K24" s="4"/>
      <c r="L24" s="8">
        <f>SUM(OSRRefL21x_0)</f>
        <v>222041.51</v>
      </c>
      <c r="M24" s="4"/>
      <c r="N24" s="8">
        <f>SUM(OSRRefN21x_0)</f>
        <v>202889.50999999995</v>
      </c>
      <c r="O24" s="4"/>
      <c r="P24" s="8">
        <f>SUM(OSRRefP21x_0)</f>
        <v>7560</v>
      </c>
      <c r="Q24" s="4"/>
      <c r="R24" s="8">
        <f>SUM(OSRRefR21x_0)</f>
        <v>696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39603.049999999996</v>
      </c>
      <c r="E25" s="19"/>
      <c r="F25" s="1">
        <f>SUM(OSRRefF21_0x_0)</f>
        <v>36905.69</v>
      </c>
      <c r="G25" s="4"/>
      <c r="H25" s="1">
        <f>SUM(OSRRefH21_0x_0)</f>
        <v>37229.69</v>
      </c>
      <c r="I25" s="4"/>
      <c r="J25" s="1">
        <f>SUM(OSRRefJ21_0x_0)</f>
        <v>38282.119999999995</v>
      </c>
      <c r="K25" s="4"/>
      <c r="L25" s="1">
        <f>SUM(OSRRefL21_0x_0)</f>
        <v>40620.910000000003</v>
      </c>
      <c r="M25" s="4"/>
      <c r="N25" s="1">
        <f>SUM(OSRRefN21_0x_0)</f>
        <v>39360.07</v>
      </c>
      <c r="O25" s="4"/>
      <c r="P25" s="1">
        <f>SUM(OSRRefP21_0x_0)</f>
        <v>0</v>
      </c>
      <c r="Q25" s="4"/>
      <c r="R25" s="1">
        <f>SUM(OSRRefR21_0x_0)</f>
        <v>0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5864.47</v>
      </c>
      <c r="F26" s="2">
        <v>6441.93</v>
      </c>
      <c r="G26" s="3"/>
      <c r="H26" s="2">
        <v>7791.11</v>
      </c>
      <c r="I26" s="3"/>
      <c r="J26" s="2">
        <v>6976.15</v>
      </c>
      <c r="K26" s="3"/>
      <c r="L26" s="2">
        <v>7873.37</v>
      </c>
      <c r="M26" s="3"/>
      <c r="N26" s="2">
        <v>7681.8</v>
      </c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3091.02</v>
      </c>
      <c r="F27" s="2">
        <v>4896.2</v>
      </c>
      <c r="G27" s="3"/>
      <c r="H27" s="2">
        <v>6180.68</v>
      </c>
      <c r="I27" s="3"/>
      <c r="J27" s="2">
        <v>4253.9399999999996</v>
      </c>
      <c r="K27" s="3"/>
      <c r="L27" s="2">
        <v>4682.26</v>
      </c>
      <c r="M27" s="3"/>
      <c r="N27" s="2">
        <v>4772.83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16225.81</v>
      </c>
      <c r="F28" s="2">
        <v>13614.84</v>
      </c>
      <c r="G28" s="3"/>
      <c r="H28" s="2">
        <v>15098.18</v>
      </c>
      <c r="I28" s="3"/>
      <c r="J28" s="2">
        <v>16282.1</v>
      </c>
      <c r="K28" s="3"/>
      <c r="L28" s="2">
        <v>15322.11</v>
      </c>
      <c r="M28" s="3"/>
      <c r="N28" s="2">
        <v>14100.93</v>
      </c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881.64</v>
      </c>
      <c r="F29" s="2">
        <v>853.81</v>
      </c>
      <c r="G29" s="3"/>
      <c r="H29" s="2">
        <v>486.79</v>
      </c>
      <c r="I29" s="3"/>
      <c r="J29" s="2">
        <v>450.23</v>
      </c>
      <c r="K29" s="3"/>
      <c r="L29" s="2">
        <v>390.47</v>
      </c>
      <c r="M29" s="3"/>
      <c r="N29" s="2">
        <v>0</v>
      </c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4773.4399999999996</v>
      </c>
      <c r="F30" s="2">
        <v>3133.98</v>
      </c>
      <c r="G30" s="3"/>
      <c r="H30" s="2">
        <v>3568.15</v>
      </c>
      <c r="I30" s="3"/>
      <c r="J30" s="2">
        <v>3462.52</v>
      </c>
      <c r="K30" s="3"/>
      <c r="L30" s="2">
        <v>3630.09</v>
      </c>
      <c r="M30" s="3"/>
      <c r="N30" s="2">
        <v>4131.1000000000004</v>
      </c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"6117", " - ", "RETIREMENT STAFF HOURLY")</f>
        <v xml:space="preserve">          6117 - RETIREMENT STAFF HOURLY</v>
      </c>
      <c r="D32" s="2"/>
      <c r="F32" s="2"/>
      <c r="G32" s="3"/>
      <c r="H32" s="2">
        <v>0</v>
      </c>
      <c r="I32" s="3"/>
      <c r="J32" s="2"/>
      <c r="K32" s="3"/>
      <c r="L32" s="2"/>
      <c r="M32" s="3"/>
      <c r="N32" s="2"/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"6118", " - ", "VACATION")</f>
        <v xml:space="preserve">          6118 - VACATION</v>
      </c>
      <c r="D33" s="2">
        <v>2491.89</v>
      </c>
      <c r="F33" s="2">
        <v>2173.0500000000002</v>
      </c>
      <c r="G33" s="3"/>
      <c r="H33" s="2">
        <v>2094.36</v>
      </c>
      <c r="I33" s="3"/>
      <c r="J33" s="2">
        <v>2573.2800000000002</v>
      </c>
      <c r="K33" s="3"/>
      <c r="L33" s="2">
        <v>3548.88</v>
      </c>
      <c r="M33" s="3"/>
      <c r="N33" s="2">
        <v>3612.5</v>
      </c>
      <c r="O33" s="3"/>
      <c r="P33" s="2">
        <v>0</v>
      </c>
      <c r="Q33" s="3"/>
      <c r="R33" s="2"/>
    </row>
    <row r="34" spans="1:18" s="16" customFormat="1" hidden="1" outlineLevel="2" x14ac:dyDescent="0.35">
      <c r="B34" s="11" t="str">
        <f>CONCATENATE("          ", "6119", " - ", "SICK LEAVE")</f>
        <v xml:space="preserve">          6119 - SICK LEAVE</v>
      </c>
      <c r="D34" s="2">
        <v>2275.9</v>
      </c>
      <c r="F34" s="2">
        <v>2659.31</v>
      </c>
      <c r="G34" s="3"/>
      <c r="H34" s="2">
        <v>8.1999999999999993</v>
      </c>
      <c r="I34" s="3"/>
      <c r="J34" s="2">
        <v>2643.09</v>
      </c>
      <c r="K34" s="3"/>
      <c r="L34" s="2">
        <v>3576.87</v>
      </c>
      <c r="M34" s="3"/>
      <c r="N34" s="2">
        <v>3742.82</v>
      </c>
      <c r="O34" s="3"/>
      <c r="P34" s="2">
        <v>0</v>
      </c>
      <c r="Q34" s="3"/>
      <c r="R34" s="2"/>
    </row>
    <row r="35" spans="1:18" s="16" customFormat="1" hidden="1" outlineLevel="2" x14ac:dyDescent="0.35">
      <c r="B35" s="11" t="str">
        <f>CONCATENATE("          ", "6156", " - ", "EMPLOYEE MEALS")</f>
        <v xml:space="preserve">          6156 - EMPLOYEE MEALS</v>
      </c>
      <c r="D35" s="2">
        <v>3998.88</v>
      </c>
      <c r="F35" s="2">
        <v>3132.57</v>
      </c>
      <c r="G35" s="3"/>
      <c r="H35" s="2">
        <v>2002.22</v>
      </c>
      <c r="I35" s="3"/>
      <c r="J35" s="2">
        <v>1640.81</v>
      </c>
      <c r="K35" s="3"/>
      <c r="L35" s="2">
        <v>1596.86</v>
      </c>
      <c r="M35" s="3"/>
      <c r="N35" s="2">
        <v>1318.09</v>
      </c>
      <c r="O35" s="3"/>
      <c r="P35" s="2">
        <v>0</v>
      </c>
      <c r="Q35" s="3"/>
      <c r="R35" s="2"/>
    </row>
    <row r="36" spans="1:18" s="15" customFormat="1" outlineLevel="1" collapsed="1" x14ac:dyDescent="0.35">
      <c r="A36" s="7"/>
      <c r="B36" s="20" t="str">
        <f>CONCATENATE("     ","*Payroll                                          ")</f>
        <v xml:space="preserve">     *Payroll                                          </v>
      </c>
      <c r="C36" s="7"/>
      <c r="D36" s="1">
        <f>SUM(OSRRefD21_1x_0)</f>
        <v>112613.59000000001</v>
      </c>
      <c r="E36" s="19"/>
      <c r="F36" s="1">
        <f>SUM(OSRRefF21_1x_0)</f>
        <v>124964.66999999998</v>
      </c>
      <c r="G36" s="4"/>
      <c r="H36" s="1">
        <f>SUM(OSRRefH21_1x_0)</f>
        <v>134622.18</v>
      </c>
      <c r="I36" s="4"/>
      <c r="J36" s="1">
        <f>SUM(OSRRefJ21_1x_0)</f>
        <v>123002.55</v>
      </c>
      <c r="K36" s="4"/>
      <c r="L36" s="1">
        <f>SUM(OSRRefL21_1x_0)</f>
        <v>141277.18000000002</v>
      </c>
      <c r="M36" s="4"/>
      <c r="N36" s="1">
        <f>SUM(OSRRefN21_1x_0)</f>
        <v>128335.54999999999</v>
      </c>
      <c r="O36" s="4"/>
      <c r="P36" s="1">
        <f>SUM(OSRRefP21_1x_0)</f>
        <v>0</v>
      </c>
      <c r="Q36" s="4"/>
      <c r="R36" s="1">
        <f>SUM(OSRRefR21_1x_0)</f>
        <v>0</v>
      </c>
    </row>
    <row r="37" spans="1:18" s="16" customFormat="1" hidden="1" outlineLevel="2" x14ac:dyDescent="0.35">
      <c r="B37" s="11" t="str">
        <f>CONCATENATE("          ", "6001", " - ", "ADMINISTRATIVE SALARIES")</f>
        <v xml:space="preserve">          6001 - ADMINISTRATIVE SALARIES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"6002", " - ", "STAFF SALARIES")</f>
        <v xml:space="preserve">          6002 - STAFF SALARIES</v>
      </c>
      <c r="D38" s="2">
        <v>43967.44</v>
      </c>
      <c r="F38" s="2">
        <v>48525.32</v>
      </c>
      <c r="G38" s="3"/>
      <c r="H38" s="2">
        <v>50438.83</v>
      </c>
      <c r="I38" s="3"/>
      <c r="J38" s="2">
        <v>51816</v>
      </c>
      <c r="K38" s="3"/>
      <c r="L38" s="2">
        <v>54344.23</v>
      </c>
      <c r="M38" s="3"/>
      <c r="N38" s="2">
        <v>54888.73</v>
      </c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"6003", " - ", "STAFF HOURLY-9 MONTH")</f>
        <v xml:space="preserve">          6003 - STAFF HOURLY-9 MONTH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"6004", " - ", "STAFF HOURLY")</f>
        <v xml:space="preserve">          6004 - STAFF HOURLY</v>
      </c>
      <c r="D40" s="2"/>
      <c r="F40" s="2"/>
      <c r="G40" s="3"/>
      <c r="H40" s="2"/>
      <c r="I40" s="3"/>
      <c r="J40" s="2"/>
      <c r="K40" s="3"/>
      <c r="L40" s="2"/>
      <c r="M40" s="3"/>
      <c r="N40" s="2">
        <v>2483.52</v>
      </c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"6005", " - ", "TEMPORARY WAGES-HOURLY")</f>
        <v xml:space="preserve">          6005 - TEMPORARY WAGES-HOURLY</v>
      </c>
      <c r="D41" s="2">
        <v>27043.97</v>
      </c>
      <c r="F41" s="2">
        <v>33502.639999999999</v>
      </c>
      <c r="G41" s="3"/>
      <c r="H41" s="2">
        <v>36449.21</v>
      </c>
      <c r="I41" s="3"/>
      <c r="J41" s="2">
        <v>27720.6</v>
      </c>
      <c r="K41" s="3"/>
      <c r="L41" s="2">
        <v>32962.559999999998</v>
      </c>
      <c r="M41" s="3"/>
      <c r="N41" s="2">
        <v>29725.46</v>
      </c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"6006", " - ", "TEMPORARY PART TIME")</f>
        <v xml:space="preserve">          6006 - TEMPORARY PART TIME</v>
      </c>
      <c r="D42" s="2">
        <v>47.5</v>
      </c>
      <c r="F42" s="2"/>
      <c r="G42" s="3"/>
      <c r="H42" s="2">
        <v>4504.84</v>
      </c>
      <c r="I42" s="3"/>
      <c r="J42" s="2">
        <v>244.75</v>
      </c>
      <c r="K42" s="3"/>
      <c r="L42" s="2">
        <v>5862.52</v>
      </c>
      <c r="M42" s="3"/>
      <c r="N42" s="2"/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"6007", " - ", "STUDENT HOURLY")</f>
        <v xml:space="preserve">          6007 - STUDENT HOURLY</v>
      </c>
      <c r="D43" s="2">
        <v>39590.550000000003</v>
      </c>
      <c r="F43" s="2">
        <v>36638.21</v>
      </c>
      <c r="G43" s="3"/>
      <c r="H43" s="2">
        <v>41693.65</v>
      </c>
      <c r="I43" s="3"/>
      <c r="J43" s="2">
        <v>40832.69</v>
      </c>
      <c r="K43" s="3"/>
      <c r="L43" s="2">
        <v>39047.269999999997</v>
      </c>
      <c r="M43" s="3"/>
      <c r="N43" s="2">
        <v>36868.25</v>
      </c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"6008", " - ", "STUDENT HOURLY-FICA EXEMPT")</f>
        <v xml:space="preserve">          6008 - STUDENT HOURLY-FICA EXEMPT</v>
      </c>
      <c r="D44" s="2">
        <v>1964.13</v>
      </c>
      <c r="F44" s="2">
        <v>6298.5</v>
      </c>
      <c r="G44" s="3"/>
      <c r="H44" s="2">
        <v>1535.65</v>
      </c>
      <c r="I44" s="3"/>
      <c r="J44" s="2">
        <v>2388.5100000000002</v>
      </c>
      <c r="K44" s="3"/>
      <c r="L44" s="2">
        <v>9060.6</v>
      </c>
      <c r="M44" s="3"/>
      <c r="N44" s="2">
        <v>4369.59</v>
      </c>
      <c r="O44" s="3"/>
      <c r="P44" s="2">
        <v>0</v>
      </c>
      <c r="Q44" s="3"/>
      <c r="R44" s="2"/>
    </row>
    <row r="45" spans="1:18" s="16" customFormat="1" hidden="1" outlineLevel="2" x14ac:dyDescent="0.35">
      <c r="B45" s="11" t="str">
        <f>CONCATENATE("          ", "6009", " - ", "TEMPORARY-SEASONAL")</f>
        <v xml:space="preserve">          6009 - TEMPORARY-SEASONAL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/>
    </row>
    <row r="46" spans="1:18" s="16" customFormat="1" hidden="1" outlineLevel="2" x14ac:dyDescent="0.35">
      <c r="B46" s="11" t="str">
        <f>CONCATENATE("          ", "6010", " - ", "GRATUITY")</f>
        <v xml:space="preserve">          6010 - GRATUITY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/>
    </row>
    <row r="47" spans="1:18" s="15" customFormat="1" outlineLevel="1" collapsed="1" x14ac:dyDescent="0.35">
      <c r="A47" s="7"/>
      <c r="B47" s="20" t="str">
        <f>CONCATENATE("     ","Advertising/Promo                                 ")</f>
        <v xml:space="preserve">     Advertising/Promo                                 </v>
      </c>
      <c r="C47" s="7"/>
      <c r="D47" s="1">
        <f>SUM(OSRRefD21_2x_0)</f>
        <v>1777.83</v>
      </c>
      <c r="E47" s="19"/>
      <c r="F47" s="1">
        <f>SUM(OSRRefF21_2x_0)</f>
        <v>3045.29</v>
      </c>
      <c r="G47" s="4"/>
      <c r="H47" s="1">
        <f>SUM(OSRRefH21_2x_0)</f>
        <v>1632.33</v>
      </c>
      <c r="I47" s="4"/>
      <c r="J47" s="1">
        <f>SUM(OSRRefJ21_2x_0)</f>
        <v>3467.48</v>
      </c>
      <c r="K47" s="4"/>
      <c r="L47" s="1">
        <f>SUM(OSRRefL21_2x_0)</f>
        <v>3107.95</v>
      </c>
      <c r="M47" s="4"/>
      <c r="N47" s="1">
        <f>SUM(OSRRefN21_2x_0)</f>
        <v>2599.63</v>
      </c>
      <c r="O47" s="4"/>
      <c r="P47" s="1">
        <f>SUM(OSRRefP21_2x_0)</f>
        <v>0</v>
      </c>
      <c r="Q47" s="4"/>
      <c r="R47" s="1">
        <f>SUM(OSRRefR21_2x_0)</f>
        <v>0</v>
      </c>
    </row>
    <row r="48" spans="1:18" s="16" customFormat="1" hidden="1" outlineLevel="2" x14ac:dyDescent="0.35">
      <c r="B48" s="11" t="str">
        <f>CONCATENATE("          ", "6362", " - ", "ADVERTISING EXPENSE")</f>
        <v xml:space="preserve">          6362 - ADVERTISING EXPENSE</v>
      </c>
      <c r="D48" s="2">
        <v>1777.83</v>
      </c>
      <c r="F48" s="2">
        <v>3045.29</v>
      </c>
      <c r="G48" s="3"/>
      <c r="H48" s="2">
        <v>1632.33</v>
      </c>
      <c r="I48" s="3"/>
      <c r="J48" s="2">
        <v>3467.48</v>
      </c>
      <c r="K48" s="3"/>
      <c r="L48" s="2">
        <v>3107.95</v>
      </c>
      <c r="M48" s="3"/>
      <c r="N48" s="2">
        <v>2599.63</v>
      </c>
      <c r="O48" s="3"/>
      <c r="P48" s="2">
        <v>0</v>
      </c>
      <c r="Q48" s="3"/>
      <c r="R48" s="2"/>
    </row>
    <row r="49" spans="1:18" s="15" customFormat="1" outlineLevel="1" collapsed="1" x14ac:dyDescent="0.35">
      <c r="A49" s="7"/>
      <c r="B49" s="20" t="str">
        <f>CONCATENATE("     ","Bad Debts/Over/Short                              ")</f>
        <v xml:space="preserve">     Bad Debts/Over/Short                              </v>
      </c>
      <c r="C49" s="7"/>
      <c r="D49" s="1">
        <f>SUM(OSRRefD21_3x_0)</f>
        <v>92.7</v>
      </c>
      <c r="E49" s="19"/>
      <c r="F49" s="1">
        <f>SUM(OSRRefF21_3x_0)</f>
        <v>-192.1</v>
      </c>
      <c r="G49" s="4"/>
      <c r="H49" s="1">
        <f>SUM(OSRRefH21_3x_0)</f>
        <v>20.14</v>
      </c>
      <c r="I49" s="4"/>
      <c r="J49" s="1">
        <f>SUM(OSRRefJ21_3x_0)</f>
        <v>15.1</v>
      </c>
      <c r="K49" s="4"/>
      <c r="L49" s="1">
        <f>SUM(OSRRefL21_3x_0)</f>
        <v>614.96</v>
      </c>
      <c r="M49" s="4"/>
      <c r="N49" s="1">
        <f>SUM(OSRRefN21_3x_0)</f>
        <v>-48.26</v>
      </c>
      <c r="O49" s="4"/>
      <c r="P49" s="1">
        <f>SUM(OSRRefP21_3x_0)</f>
        <v>0</v>
      </c>
      <c r="Q49" s="4"/>
      <c r="R49" s="1">
        <f>SUM(OSRRefR21_3x_0)</f>
        <v>0</v>
      </c>
    </row>
    <row r="50" spans="1:18" s="16" customFormat="1" hidden="1" outlineLevel="2" x14ac:dyDescent="0.35">
      <c r="B50" s="11" t="str">
        <f>CONCATENATE("          ", "6272", " - ", "CASH (OVER/SHORT)")</f>
        <v xml:space="preserve">          6272 - CASH (OVER/SHORT)</v>
      </c>
      <c r="D50" s="2">
        <v>92.7</v>
      </c>
      <c r="F50" s="2">
        <v>-192.1</v>
      </c>
      <c r="G50" s="3"/>
      <c r="H50" s="2">
        <v>20.14</v>
      </c>
      <c r="I50" s="3"/>
      <c r="J50" s="2">
        <v>15.1</v>
      </c>
      <c r="K50" s="3"/>
      <c r="L50" s="2">
        <v>614.96</v>
      </c>
      <c r="M50" s="3"/>
      <c r="N50" s="2">
        <v>-48.26</v>
      </c>
      <c r="O50" s="3"/>
      <c r="P50" s="2">
        <v>0</v>
      </c>
      <c r="Q50" s="3"/>
      <c r="R50" s="2"/>
    </row>
    <row r="51" spans="1:18" s="15" customFormat="1" outlineLevel="1" collapsed="1" x14ac:dyDescent="0.35">
      <c r="A51" s="7"/>
      <c r="B51" s="20" t="str">
        <f>CONCATENATE("     ","Bank/card Fees                                    ")</f>
        <v xml:space="preserve">     Bank/card Fees                                    </v>
      </c>
      <c r="C51" s="7"/>
      <c r="D51" s="1">
        <f>SUM(OSRRefD21_4x_0)</f>
        <v>11951.07</v>
      </c>
      <c r="E51" s="19"/>
      <c r="F51" s="1">
        <f>SUM(OSRRefF21_4x_0)</f>
        <v>12201.61</v>
      </c>
      <c r="G51" s="4"/>
      <c r="H51" s="1">
        <f>SUM(OSRRefH21_4x_0)</f>
        <v>16271.88</v>
      </c>
      <c r="I51" s="4"/>
      <c r="J51" s="1">
        <f>SUM(OSRRefJ21_4x_0)</f>
        <v>15110.85</v>
      </c>
      <c r="K51" s="4"/>
      <c r="L51" s="1">
        <f>SUM(OSRRefL21_4x_0)</f>
        <v>14164.73</v>
      </c>
      <c r="M51" s="4"/>
      <c r="N51" s="1">
        <f>SUM(OSRRefN21_4x_0)</f>
        <v>10000.31</v>
      </c>
      <c r="O51" s="4"/>
      <c r="P51" s="1">
        <f>SUM(OSRRefP21_4x_0)</f>
        <v>0</v>
      </c>
      <c r="Q51" s="4"/>
      <c r="R51" s="1">
        <f>SUM(OSRRefR21_4x_0)</f>
        <v>0</v>
      </c>
    </row>
    <row r="52" spans="1:18" s="16" customFormat="1" hidden="1" outlineLevel="2" x14ac:dyDescent="0.35">
      <c r="B52" s="11" t="str">
        <f>CONCATENATE("          ", "6381", " - ", "BANK/CREDIT CARD FEES")</f>
        <v xml:space="preserve">          6381 - BANK/CREDIT CARD FEES</v>
      </c>
      <c r="D52" s="2">
        <v>11951.07</v>
      </c>
      <c r="F52" s="2">
        <v>12201.61</v>
      </c>
      <c r="G52" s="3"/>
      <c r="H52" s="2">
        <v>16271.88</v>
      </c>
      <c r="I52" s="3"/>
      <c r="J52" s="2">
        <v>15110.85</v>
      </c>
      <c r="K52" s="3"/>
      <c r="L52" s="2">
        <v>14164.73</v>
      </c>
      <c r="M52" s="3"/>
      <c r="N52" s="2">
        <v>10000.31</v>
      </c>
      <c r="O52" s="3"/>
      <c r="P52" s="2">
        <v>0</v>
      </c>
      <c r="Q52" s="3"/>
      <c r="R52" s="2"/>
    </row>
    <row r="53" spans="1:18" s="15" customFormat="1" outlineLevel="1" collapsed="1" x14ac:dyDescent="0.35">
      <c r="A53" s="7"/>
      <c r="B53" s="20" t="str">
        <f>CONCATENATE("     ","Depreciation                                      ")</f>
        <v xml:space="preserve">     Depreciation                                      </v>
      </c>
      <c r="C53" s="7"/>
      <c r="D53" s="1">
        <f>SUM(OSRRefD21_5x_0)</f>
        <v>8576.2999999999993</v>
      </c>
      <c r="E53" s="19"/>
      <c r="F53" s="1">
        <f>SUM(OSRRefF21_5x_0)</f>
        <v>13725.94</v>
      </c>
      <c r="G53" s="4"/>
      <c r="H53" s="1">
        <f>SUM(OSRRefH21_5x_0)</f>
        <v>8064.18</v>
      </c>
      <c r="I53" s="4"/>
      <c r="J53" s="1">
        <f>SUM(OSRRefJ21_5x_0)</f>
        <v>7105.94</v>
      </c>
      <c r="K53" s="4"/>
      <c r="L53" s="1">
        <f>SUM(OSRRefL21_5x_0)</f>
        <v>7628.24</v>
      </c>
      <c r="M53" s="4"/>
      <c r="N53" s="1">
        <f>SUM(OSRRefN21_5x_0)</f>
        <v>5846.06</v>
      </c>
      <c r="O53" s="4"/>
      <c r="P53" s="1">
        <f>SUM(OSRRefP21_5x_0)</f>
        <v>7560</v>
      </c>
      <c r="Q53" s="4"/>
      <c r="R53" s="1">
        <f>SUM(OSRRefR21_5x_0)</f>
        <v>696</v>
      </c>
    </row>
    <row r="54" spans="1:18" s="16" customFormat="1" hidden="1" outlineLevel="2" x14ac:dyDescent="0.35">
      <c r="B54" s="11" t="str">
        <f>CONCATENATE("          ", "6322", " - ", "EQUIPMENT DEPRECIATION EXPENSE")</f>
        <v xml:space="preserve">          6322 - EQUIPMENT DEPRECIATION EXPENSE</v>
      </c>
      <c r="D54" s="2">
        <v>8576.2999999999993</v>
      </c>
      <c r="F54" s="2">
        <v>13725.94</v>
      </c>
      <c r="G54" s="3"/>
      <c r="H54" s="2">
        <v>8064.18</v>
      </c>
      <c r="I54" s="3"/>
      <c r="J54" s="2">
        <v>7105.94</v>
      </c>
      <c r="K54" s="3"/>
      <c r="L54" s="2">
        <v>7628.24</v>
      </c>
      <c r="M54" s="3"/>
      <c r="N54" s="2">
        <v>5846.06</v>
      </c>
      <c r="O54" s="3"/>
      <c r="P54" s="2">
        <v>7560</v>
      </c>
      <c r="Q54" s="3"/>
      <c r="R54" s="2">
        <v>696</v>
      </c>
    </row>
    <row r="55" spans="1:18" s="15" customFormat="1" outlineLevel="1" collapsed="1" x14ac:dyDescent="0.35">
      <c r="A55" s="7"/>
      <c r="B55" s="20" t="str">
        <f>CONCATENATE("     ","Employees' Appreciation                           ")</f>
        <v xml:space="preserve">     Employees' Appreciation                           </v>
      </c>
      <c r="C55" s="7"/>
      <c r="D55" s="1">
        <f>SUM(OSRRefD21_6x_0)</f>
        <v>0</v>
      </c>
      <c r="E55" s="19"/>
      <c r="F55" s="1">
        <f>SUM(OSRRefF21_6x_0)</f>
        <v>102.98</v>
      </c>
      <c r="G55" s="4"/>
      <c r="H55" s="1">
        <f>SUM(OSRRefH21_6x_0)</f>
        <v>209.52</v>
      </c>
      <c r="I55" s="4"/>
      <c r="J55" s="1">
        <f>SUM(OSRRefJ21_6x_0)</f>
        <v>171.45</v>
      </c>
      <c r="K55" s="4"/>
      <c r="L55" s="1">
        <f>SUM(OSRRefL21_6x_0)</f>
        <v>100.64</v>
      </c>
      <c r="M55" s="4"/>
      <c r="N55" s="1">
        <f>SUM(OSRRefN21_6x_0)</f>
        <v>0</v>
      </c>
      <c r="O55" s="4"/>
      <c r="P55" s="1">
        <f>SUM(OSRRefP21_6x_0)</f>
        <v>0</v>
      </c>
      <c r="Q55" s="4"/>
      <c r="R55" s="1">
        <f>SUM(OSRRefR21_6x_0)</f>
        <v>0</v>
      </c>
    </row>
    <row r="56" spans="1:18" s="16" customFormat="1" hidden="1" outlineLevel="2" x14ac:dyDescent="0.35">
      <c r="B56" s="11" t="str">
        <f>CONCATENATE("          ", "6277", " - ", "EMPLOYEE APPRECIATION")</f>
        <v xml:space="preserve">          6277 - EMPLOYEE APPRECIATION</v>
      </c>
      <c r="D56" s="2"/>
      <c r="F56" s="2">
        <v>102.98</v>
      </c>
      <c r="G56" s="3"/>
      <c r="H56" s="2">
        <v>209.52</v>
      </c>
      <c r="I56" s="3"/>
      <c r="J56" s="2">
        <v>171.45</v>
      </c>
      <c r="K56" s="3"/>
      <c r="L56" s="2">
        <v>100.64</v>
      </c>
      <c r="M56" s="3"/>
      <c r="N56" s="2"/>
      <c r="O56" s="3"/>
      <c r="P56" s="2">
        <v>0</v>
      </c>
      <c r="Q56" s="3"/>
      <c r="R56" s="2"/>
    </row>
    <row r="57" spans="1:18" s="15" customFormat="1" outlineLevel="1" collapsed="1" x14ac:dyDescent="0.35">
      <c r="A57" s="7"/>
      <c r="B57" s="20" t="str">
        <f>CONCATENATE("     ","General                                           ")</f>
        <v xml:space="preserve">     General                                           </v>
      </c>
      <c r="C57" s="7"/>
      <c r="D57" s="1">
        <f>SUM(OSRRefD21_7x_0)</f>
        <v>1669.8</v>
      </c>
      <c r="E57" s="19"/>
      <c r="F57" s="1">
        <f>SUM(OSRRefF21_7x_0)</f>
        <v>1328.99</v>
      </c>
      <c r="G57" s="4"/>
      <c r="H57" s="1">
        <f>SUM(OSRRefH21_7x_0)</f>
        <v>1427.55</v>
      </c>
      <c r="I57" s="4"/>
      <c r="J57" s="1">
        <f>SUM(OSRRefJ21_7x_0)</f>
        <v>849.2</v>
      </c>
      <c r="K57" s="4"/>
      <c r="L57" s="1">
        <f>SUM(OSRRefL21_7x_0)</f>
        <v>724.2</v>
      </c>
      <c r="M57" s="4"/>
      <c r="N57" s="1">
        <f>SUM(OSRRefN21_7x_0)</f>
        <v>901.75</v>
      </c>
      <c r="O57" s="4"/>
      <c r="P57" s="1">
        <f>SUM(OSRRefP21_7x_0)</f>
        <v>0</v>
      </c>
      <c r="Q57" s="4"/>
      <c r="R57" s="1">
        <f>SUM(OSRRefR21_7x_0)</f>
        <v>0</v>
      </c>
    </row>
    <row r="58" spans="1:18" s="16" customFormat="1" hidden="1" outlineLevel="2" x14ac:dyDescent="0.35">
      <c r="B58" s="11" t="str">
        <f>CONCATENATE("          ", "6279", " - ", "GENERAL EXPENSE")</f>
        <v xml:space="preserve">          6279 - GENERAL EXPENSE</v>
      </c>
      <c r="D58" s="2">
        <v>1669.8</v>
      </c>
      <c r="F58" s="2">
        <v>1328.99</v>
      </c>
      <c r="G58" s="3"/>
      <c r="H58" s="2">
        <v>1427.55</v>
      </c>
      <c r="I58" s="3"/>
      <c r="J58" s="2">
        <v>849.2</v>
      </c>
      <c r="K58" s="3"/>
      <c r="L58" s="2">
        <v>724.2</v>
      </c>
      <c r="M58" s="3"/>
      <c r="N58" s="2">
        <v>901.75</v>
      </c>
      <c r="O58" s="3"/>
      <c r="P58" s="2">
        <v>0</v>
      </c>
      <c r="Q58" s="3"/>
      <c r="R58" s="2"/>
    </row>
    <row r="59" spans="1:18" s="15" customFormat="1" outlineLevel="1" collapsed="1" x14ac:dyDescent="0.35">
      <c r="A59" s="7"/>
      <c r="B59" s="20" t="str">
        <f>CONCATENATE("     ","Repair and Maintenance                            ")</f>
        <v xml:space="preserve">     Repair and Maintenance                            </v>
      </c>
      <c r="C59" s="7"/>
      <c r="D59" s="1">
        <f>SUM(OSRRefD21_8x_0)</f>
        <v>9514.0499999999993</v>
      </c>
      <c r="E59" s="19"/>
      <c r="F59" s="1">
        <f>SUM(OSRRefF21_8x_0)</f>
        <v>4469.76</v>
      </c>
      <c r="G59" s="4"/>
      <c r="H59" s="1">
        <f>SUM(OSRRefH21_8x_0)</f>
        <v>11332.560000000001</v>
      </c>
      <c r="I59" s="4"/>
      <c r="J59" s="1">
        <f>SUM(OSRRefJ21_8x_0)</f>
        <v>7444.71</v>
      </c>
      <c r="K59" s="4"/>
      <c r="L59" s="1">
        <f>SUM(OSRRefL21_8x_0)</f>
        <v>5934.9400000000005</v>
      </c>
      <c r="M59" s="4"/>
      <c r="N59" s="1">
        <f>SUM(OSRRefN21_8x_0)</f>
        <v>9042.86</v>
      </c>
      <c r="O59" s="4"/>
      <c r="P59" s="1">
        <f>SUM(OSRRefP21_8x_0)</f>
        <v>0</v>
      </c>
      <c r="Q59" s="4"/>
      <c r="R59" s="1">
        <f>SUM(OSRRefR21_8x_0)</f>
        <v>0</v>
      </c>
    </row>
    <row r="60" spans="1:18" s="16" customFormat="1" hidden="1" outlineLevel="2" x14ac:dyDescent="0.35">
      <c r="B60" s="11" t="str">
        <f>CONCATENATE("          ", "6371", " - ", "COMPUTER SOFTWARE MAINTENANCE")</f>
        <v xml:space="preserve">          6371 - COMPUTER SOFTWARE MAINTENANCE</v>
      </c>
      <c r="D60" s="2"/>
      <c r="F60" s="2"/>
      <c r="G60" s="3"/>
      <c r="H60" s="2">
        <v>2700</v>
      </c>
      <c r="I60" s="3"/>
      <c r="J60" s="2">
        <v>841.5</v>
      </c>
      <c r="K60" s="3"/>
      <c r="L60" s="2"/>
      <c r="M60" s="3"/>
      <c r="N60" s="2">
        <v>874.62</v>
      </c>
      <c r="O60" s="3"/>
      <c r="P60" s="2">
        <v>0</v>
      </c>
      <c r="Q60" s="3"/>
      <c r="R60" s="2"/>
    </row>
    <row r="61" spans="1:18" s="16" customFormat="1" hidden="1" outlineLevel="2" x14ac:dyDescent="0.35">
      <c r="B61" s="11" t="str">
        <f>CONCATENATE("          ", "6372", " - ", "COMPUTER HARDWARE MAINTENANCE")</f>
        <v xml:space="preserve">          6372 - COMPUTER HARDWARE MAINTENANCE</v>
      </c>
      <c r="D61" s="2"/>
      <c r="F61" s="2"/>
      <c r="G61" s="3"/>
      <c r="H61" s="2"/>
      <c r="I61" s="3"/>
      <c r="J61" s="2"/>
      <c r="K61" s="3"/>
      <c r="L61" s="2"/>
      <c r="M61" s="3"/>
      <c r="N61" s="2"/>
      <c r="O61" s="3"/>
      <c r="P61" s="2">
        <v>0</v>
      </c>
      <c r="Q61" s="3"/>
      <c r="R61" s="2"/>
    </row>
    <row r="62" spans="1:18" s="16" customFormat="1" hidden="1" outlineLevel="2" x14ac:dyDescent="0.35">
      <c r="B62" s="11" t="str">
        <f>CONCATENATE("          ", "6373", " - ", "MAINTENANCE CONTRACTS")</f>
        <v xml:space="preserve">          6373 - MAINTENANCE CONTRACTS</v>
      </c>
      <c r="D62" s="2">
        <v>1315.57</v>
      </c>
      <c r="F62" s="2">
        <v>734.02</v>
      </c>
      <c r="G62" s="3"/>
      <c r="H62" s="2">
        <v>178.05</v>
      </c>
      <c r="I62" s="3"/>
      <c r="J62" s="2">
        <v>1026.82</v>
      </c>
      <c r="K62" s="3"/>
      <c r="L62" s="2">
        <v>2465.3000000000002</v>
      </c>
      <c r="M62" s="3"/>
      <c r="N62" s="2">
        <v>1197.72</v>
      </c>
      <c r="O62" s="3"/>
      <c r="P62" s="2">
        <v>0</v>
      </c>
      <c r="Q62" s="3"/>
      <c r="R62" s="2"/>
    </row>
    <row r="63" spans="1:18" s="16" customFormat="1" hidden="1" outlineLevel="2" x14ac:dyDescent="0.35">
      <c r="B63" s="11" t="str">
        <f>CONCATENATE("          ", "6375", " - ", "OUTSIDE REPAIRS &amp; MAINTENANCE")</f>
        <v xml:space="preserve">          6375 - OUTSIDE REPAIRS &amp; MAINTENANCE</v>
      </c>
      <c r="D63" s="2">
        <v>8198.48</v>
      </c>
      <c r="F63" s="2">
        <v>3735.74</v>
      </c>
      <c r="G63" s="3"/>
      <c r="H63" s="2">
        <v>8454.51</v>
      </c>
      <c r="I63" s="3"/>
      <c r="J63" s="2">
        <v>5576.39</v>
      </c>
      <c r="K63" s="3"/>
      <c r="L63" s="2">
        <v>3469.64</v>
      </c>
      <c r="M63" s="3"/>
      <c r="N63" s="2">
        <v>6970.52</v>
      </c>
      <c r="O63" s="3"/>
      <c r="P63" s="2">
        <v>0</v>
      </c>
      <c r="Q63" s="3"/>
      <c r="R63" s="2"/>
    </row>
    <row r="64" spans="1:18" s="15" customFormat="1" outlineLevel="1" collapsed="1" x14ac:dyDescent="0.35">
      <c r="A64" s="7"/>
      <c r="B64" s="20" t="str">
        <f>CONCATENATE("     ","Services                                          ")</f>
        <v xml:space="preserve">     Services                                          </v>
      </c>
      <c r="C64" s="7"/>
      <c r="D64" s="1">
        <f>SUM(OSRRefD21_9x_0)</f>
        <v>307</v>
      </c>
      <c r="E64" s="19"/>
      <c r="F64" s="1">
        <f>SUM(OSRRefF21_9x_0)</f>
        <v>921</v>
      </c>
      <c r="G64" s="4"/>
      <c r="H64" s="1">
        <f>SUM(OSRRefH21_9x_0)</f>
        <v>2205.1</v>
      </c>
      <c r="I64" s="4"/>
      <c r="J64" s="1">
        <f>SUM(OSRRefJ21_9x_0)</f>
        <v>1633.05</v>
      </c>
      <c r="K64" s="4"/>
      <c r="L64" s="1">
        <f>SUM(OSRRefL21_9x_0)</f>
        <v>1689.97</v>
      </c>
      <c r="M64" s="4"/>
      <c r="N64" s="1">
        <f>SUM(OSRRefN21_9x_0)</f>
        <v>1368.82</v>
      </c>
      <c r="O64" s="4"/>
      <c r="P64" s="1">
        <f>SUM(OSRRefP21_9x_0)</f>
        <v>0</v>
      </c>
      <c r="Q64" s="4"/>
      <c r="R64" s="1">
        <f>SUM(OSRRefR21_9x_0)</f>
        <v>0</v>
      </c>
    </row>
    <row r="65" spans="1:18" s="16" customFormat="1" hidden="1" outlineLevel="2" x14ac:dyDescent="0.35">
      <c r="B65" s="11" t="str">
        <f>CONCATENATE("          ", "6284", " - ", "TRASH REMOVAL EXPENSE")</f>
        <v xml:space="preserve">          6284 - TRASH REMOVAL EXPENSE</v>
      </c>
      <c r="D65" s="2"/>
      <c r="F65" s="2"/>
      <c r="G65" s="3"/>
      <c r="H65" s="2"/>
      <c r="I65" s="3"/>
      <c r="J65" s="2"/>
      <c r="K65" s="3"/>
      <c r="L65" s="2"/>
      <c r="M65" s="3"/>
      <c r="N65" s="2"/>
      <c r="O65" s="3"/>
      <c r="P65" s="2"/>
      <c r="Q65" s="3"/>
      <c r="R65" s="2">
        <v>0</v>
      </c>
    </row>
    <row r="66" spans="1:18" s="16" customFormat="1" hidden="1" outlineLevel="2" x14ac:dyDescent="0.35">
      <c r="B66" s="11" t="str">
        <f>CONCATENATE("          ", "6285", " - ", "JANITORIAL SERVICES")</f>
        <v xml:space="preserve">          6285 - JANITORIAL SERVICES</v>
      </c>
      <c r="D66" s="2">
        <v>307</v>
      </c>
      <c r="F66" s="2">
        <v>921</v>
      </c>
      <c r="G66" s="3"/>
      <c r="H66" s="2">
        <v>1258</v>
      </c>
      <c r="I66" s="3"/>
      <c r="J66" s="2">
        <v>660</v>
      </c>
      <c r="K66" s="3"/>
      <c r="L66" s="2">
        <v>686</v>
      </c>
      <c r="M66" s="3"/>
      <c r="N66" s="2">
        <v>712.8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"6286", " - ", "LAUNDRY EXPENSE")</f>
        <v xml:space="preserve">          6286 - LAUNDRY EXPENSE</v>
      </c>
      <c r="D67" s="2"/>
      <c r="F67" s="2"/>
      <c r="G67" s="3"/>
      <c r="H67" s="2">
        <v>947.1</v>
      </c>
      <c r="I67" s="3"/>
      <c r="J67" s="2">
        <v>973.05</v>
      </c>
      <c r="K67" s="3"/>
      <c r="L67" s="2">
        <v>1003.97</v>
      </c>
      <c r="M67" s="3"/>
      <c r="N67" s="2">
        <v>656.02</v>
      </c>
      <c r="O67" s="3"/>
      <c r="P67" s="2">
        <v>0</v>
      </c>
      <c r="Q67" s="3"/>
      <c r="R67" s="2"/>
    </row>
    <row r="68" spans="1:18" s="15" customFormat="1" outlineLevel="1" collapsed="1" x14ac:dyDescent="0.35">
      <c r="A68" s="7"/>
      <c r="B68" s="20" t="str">
        <f>CONCATENATE("     ","Supplies                                          ")</f>
        <v xml:space="preserve">     Supplies                                          </v>
      </c>
      <c r="C68" s="7"/>
      <c r="D68" s="1">
        <f>SUM(OSRRefD21_10x_0)</f>
        <v>15843.93</v>
      </c>
      <c r="E68" s="19"/>
      <c r="F68" s="1">
        <f>SUM(OSRRefF21_10x_0)</f>
        <v>6208.89</v>
      </c>
      <c r="G68" s="4"/>
      <c r="H68" s="1">
        <f>SUM(OSRRefH21_10x_0)</f>
        <v>5823.84</v>
      </c>
      <c r="I68" s="4"/>
      <c r="J68" s="1">
        <f>SUM(OSRRefJ21_10x_0)</f>
        <v>8748.11</v>
      </c>
      <c r="K68" s="4"/>
      <c r="L68" s="1">
        <f>SUM(OSRRefL21_10x_0)</f>
        <v>5319.01</v>
      </c>
      <c r="M68" s="4"/>
      <c r="N68" s="1">
        <f>SUM(OSRRefN21_10x_0)</f>
        <v>4596.26</v>
      </c>
      <c r="O68" s="4"/>
      <c r="P68" s="1">
        <f>SUM(OSRRefP21_10x_0)</f>
        <v>0</v>
      </c>
      <c r="Q68" s="4"/>
      <c r="R68" s="1">
        <f>SUM(OSRRefR21_10x_0)</f>
        <v>0</v>
      </c>
    </row>
    <row r="69" spans="1:18" s="16" customFormat="1" hidden="1" outlineLevel="2" x14ac:dyDescent="0.35">
      <c r="B69" s="11" t="str">
        <f>CONCATENATE("          ", "6234", " - ", "EXPENDABLE SUPPLIES &amp; EQUIPMEN")</f>
        <v xml:space="preserve">          6234 - EXPENDABLE SUPPLIES &amp; EQUIPMEN</v>
      </c>
      <c r="D69" s="2">
        <v>1835.64</v>
      </c>
      <c r="F69" s="2"/>
      <c r="G69" s="3"/>
      <c r="H69" s="2"/>
      <c r="I69" s="3"/>
      <c r="J69" s="2"/>
      <c r="K69" s="3"/>
      <c r="L69" s="2"/>
      <c r="M69" s="3"/>
      <c r="N69" s="2"/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"6235", " - ", "COVID-19 EXPENSES")</f>
        <v xml:space="preserve">          6235 - COVID-19 EXPENSES</v>
      </c>
      <c r="D70" s="2"/>
      <c r="F70" s="2"/>
      <c r="G70" s="3"/>
      <c r="H70" s="2"/>
      <c r="I70" s="3"/>
      <c r="J70" s="2"/>
      <c r="K70" s="3"/>
      <c r="L70" s="2"/>
      <c r="M70" s="3"/>
      <c r="N70" s="2"/>
      <c r="O70" s="3"/>
      <c r="P70" s="2">
        <v>0</v>
      </c>
      <c r="Q70" s="3"/>
      <c r="R70" s="2"/>
    </row>
    <row r="71" spans="1:18" s="16" customFormat="1" hidden="1" outlineLevel="2" x14ac:dyDescent="0.35">
      <c r="B71" s="11" t="str">
        <f>CONCATENATE("          ", "6237", " - ", "JANITORIAL SUPPLIES")</f>
        <v xml:space="preserve">          6237 - JANITORIAL SUPPLIES</v>
      </c>
      <c r="D71" s="2">
        <v>206.59</v>
      </c>
      <c r="F71" s="2">
        <v>371.94</v>
      </c>
      <c r="G71" s="3"/>
      <c r="H71" s="2">
        <v>182</v>
      </c>
      <c r="I71" s="3"/>
      <c r="J71" s="2">
        <v>171.98</v>
      </c>
      <c r="K71" s="3"/>
      <c r="L71" s="2"/>
      <c r="M71" s="3"/>
      <c r="N71" s="2"/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"6239", " - ", "KITCHEN SUPPLIES")</f>
        <v xml:space="preserve">          6239 - KITCHEN SUPPLIES</v>
      </c>
      <c r="D72" s="2">
        <v>3458.62</v>
      </c>
      <c r="F72" s="2">
        <v>272.16000000000003</v>
      </c>
      <c r="G72" s="3"/>
      <c r="H72" s="2">
        <v>467.67</v>
      </c>
      <c r="I72" s="3"/>
      <c r="J72" s="2">
        <v>420.16</v>
      </c>
      <c r="K72" s="3"/>
      <c r="L72" s="2">
        <v>528.37</v>
      </c>
      <c r="M72" s="3"/>
      <c r="N72" s="2">
        <v>960.31</v>
      </c>
      <c r="O72" s="3"/>
      <c r="P72" s="2">
        <v>0</v>
      </c>
      <c r="Q72" s="3"/>
      <c r="R72" s="2"/>
    </row>
    <row r="73" spans="1:18" s="16" customFormat="1" hidden="1" outlineLevel="2" x14ac:dyDescent="0.35">
      <c r="B73" s="11" t="str">
        <f>CONCATENATE("          ", "6241", " - ", "OFFICE EXPENSE")</f>
        <v xml:space="preserve">          6241 - OFFICE EXPENSE</v>
      </c>
      <c r="D73" s="2">
        <v>692.58</v>
      </c>
      <c r="F73" s="2">
        <v>314.39999999999998</v>
      </c>
      <c r="G73" s="3"/>
      <c r="H73" s="2">
        <v>1799.16</v>
      </c>
      <c r="I73" s="3"/>
      <c r="J73" s="2">
        <v>3744.82</v>
      </c>
      <c r="K73" s="3"/>
      <c r="L73" s="2">
        <v>1286.0899999999999</v>
      </c>
      <c r="M73" s="3"/>
      <c r="N73" s="2">
        <v>1153.24</v>
      </c>
      <c r="O73" s="3"/>
      <c r="P73" s="2">
        <v>0</v>
      </c>
      <c r="Q73" s="3"/>
      <c r="R73" s="2"/>
    </row>
    <row r="74" spans="1:18" s="16" customFormat="1" hidden="1" outlineLevel="2" x14ac:dyDescent="0.35">
      <c r="B74" s="11" t="str">
        <f>CONCATENATE("          ", "6243", " - ", "PAPER SUPPLIES")</f>
        <v xml:space="preserve">          6243 - PAPER SUPPLIES</v>
      </c>
      <c r="D74" s="2">
        <v>7479.89</v>
      </c>
      <c r="F74" s="2">
        <v>2384.17</v>
      </c>
      <c r="G74" s="3"/>
      <c r="H74" s="2">
        <v>2353.96</v>
      </c>
      <c r="I74" s="3"/>
      <c r="J74" s="2">
        <v>3312.11</v>
      </c>
      <c r="K74" s="3"/>
      <c r="L74" s="2">
        <v>2257.8200000000002</v>
      </c>
      <c r="M74" s="3"/>
      <c r="N74" s="2">
        <v>1490.35</v>
      </c>
      <c r="O74" s="3"/>
      <c r="P74" s="2">
        <v>0</v>
      </c>
      <c r="Q74" s="3"/>
      <c r="R74" s="2"/>
    </row>
    <row r="75" spans="1:18" s="16" customFormat="1" hidden="1" outlineLevel="2" x14ac:dyDescent="0.35">
      <c r="B75" s="11" t="str">
        <f>CONCATENATE("          ", "6244", " - ", "SAFETY SUPPLY EXPENSE")</f>
        <v xml:space="preserve">          6244 - SAFETY SUPPLY EXPENSE</v>
      </c>
      <c r="D75" s="2"/>
      <c r="F75" s="2"/>
      <c r="G75" s="3"/>
      <c r="H75" s="2"/>
      <c r="I75" s="3"/>
      <c r="J75" s="2"/>
      <c r="K75" s="3"/>
      <c r="L75" s="2"/>
      <c r="M75" s="3"/>
      <c r="N75" s="2"/>
      <c r="O75" s="3"/>
      <c r="P75" s="2">
        <v>0</v>
      </c>
      <c r="Q75" s="3"/>
      <c r="R75" s="2"/>
    </row>
    <row r="76" spans="1:18" s="16" customFormat="1" hidden="1" outlineLevel="2" x14ac:dyDescent="0.35">
      <c r="B76" s="11" t="str">
        <f>CONCATENATE("          ", "6245", " - ", "PRINTING")</f>
        <v xml:space="preserve">          6245 - PRINTING</v>
      </c>
      <c r="D76" s="2"/>
      <c r="F76" s="2">
        <v>147.51</v>
      </c>
      <c r="G76" s="3"/>
      <c r="H76" s="2"/>
      <c r="I76" s="3"/>
      <c r="J76" s="2">
        <v>6.04</v>
      </c>
      <c r="K76" s="3"/>
      <c r="L76" s="2">
        <v>7.06</v>
      </c>
      <c r="M76" s="3"/>
      <c r="N76" s="2">
        <v>244.39</v>
      </c>
      <c r="O76" s="3"/>
      <c r="P76" s="2">
        <v>0</v>
      </c>
      <c r="Q76" s="3"/>
      <c r="R76" s="2"/>
    </row>
    <row r="77" spans="1:18" s="16" customFormat="1" hidden="1" outlineLevel="2" x14ac:dyDescent="0.35">
      <c r="B77" s="11" t="str">
        <f>CONCATENATE("          ", "6247", " - ", "STORE SUPPLIES")</f>
        <v xml:space="preserve">          6247 - STORE SUPPLIES</v>
      </c>
      <c r="D77" s="2">
        <v>562.02</v>
      </c>
      <c r="F77" s="2">
        <v>1096.3399999999999</v>
      </c>
      <c r="G77" s="3"/>
      <c r="H77" s="2">
        <v>290.52999999999997</v>
      </c>
      <c r="I77" s="3"/>
      <c r="J77" s="2">
        <v>254.5</v>
      </c>
      <c r="K77" s="3"/>
      <c r="L77" s="2">
        <v>334.08</v>
      </c>
      <c r="M77" s="3"/>
      <c r="N77" s="2">
        <v>42.98</v>
      </c>
      <c r="O77" s="3"/>
      <c r="P77" s="2">
        <v>0</v>
      </c>
      <c r="Q77" s="3"/>
      <c r="R77" s="2"/>
    </row>
    <row r="78" spans="1:18" s="16" customFormat="1" hidden="1" outlineLevel="2" x14ac:dyDescent="0.35">
      <c r="B78" s="11" t="str">
        <f>CONCATENATE("          ", "6248", " - ", "UNIFORMS")</f>
        <v xml:space="preserve">          6248 - UNIFORMS</v>
      </c>
      <c r="D78" s="2">
        <v>1608.59</v>
      </c>
      <c r="F78" s="2">
        <v>1622.37</v>
      </c>
      <c r="G78" s="3"/>
      <c r="H78" s="2">
        <v>730.52</v>
      </c>
      <c r="I78" s="3"/>
      <c r="J78" s="2">
        <v>838.5</v>
      </c>
      <c r="K78" s="3"/>
      <c r="L78" s="2">
        <v>905.59</v>
      </c>
      <c r="M78" s="3"/>
      <c r="N78" s="2">
        <v>704.99</v>
      </c>
      <c r="O78" s="3"/>
      <c r="P78" s="2">
        <v>0</v>
      </c>
      <c r="Q78" s="3"/>
      <c r="R78" s="2"/>
    </row>
    <row r="79" spans="1:18" s="15" customFormat="1" outlineLevel="1" collapsed="1" x14ac:dyDescent="0.35">
      <c r="A79" s="7"/>
      <c r="B79" s="20" t="str">
        <f>CONCATENATE("     ","Telephone/Data Lines                              ")</f>
        <v xml:space="preserve">     Telephone/Data Lines                              </v>
      </c>
      <c r="C79" s="7"/>
      <c r="D79" s="1">
        <f>SUM(OSRRefD21_11x_0)</f>
        <v>227</v>
      </c>
      <c r="E79" s="19"/>
      <c r="F79" s="1">
        <f>SUM(OSRRefF21_11x_0)</f>
        <v>428</v>
      </c>
      <c r="G79" s="4"/>
      <c r="H79" s="1">
        <f>SUM(OSRRefH21_11x_0)</f>
        <v>532</v>
      </c>
      <c r="I79" s="4"/>
      <c r="J79" s="1">
        <f>SUM(OSRRefJ21_11x_0)</f>
        <v>926</v>
      </c>
      <c r="K79" s="4"/>
      <c r="L79" s="1">
        <f>SUM(OSRRefL21_11x_0)</f>
        <v>852</v>
      </c>
      <c r="M79" s="4"/>
      <c r="N79" s="1">
        <f>SUM(OSRRefN21_11x_0)</f>
        <v>833.96</v>
      </c>
      <c r="O79" s="4"/>
      <c r="P79" s="1">
        <f>SUM(OSRRefP21_11x_0)</f>
        <v>0</v>
      </c>
      <c r="Q79" s="4"/>
      <c r="R79" s="1">
        <f>SUM(OSRRefR21_11x_0)</f>
        <v>0</v>
      </c>
    </row>
    <row r="80" spans="1:18" s="16" customFormat="1" hidden="1" outlineLevel="2" x14ac:dyDescent="0.35">
      <c r="B80" s="11" t="str">
        <f>CONCATENATE("          ", "6303", " - ", "DATA PHONE LINES")</f>
        <v xml:space="preserve">          6303 - DATA PHONE LINES</v>
      </c>
      <c r="D80" s="2"/>
      <c r="F80" s="2"/>
      <c r="G80" s="3"/>
      <c r="H80" s="2"/>
      <c r="I80" s="3"/>
      <c r="J80" s="2"/>
      <c r="K80" s="3"/>
      <c r="L80" s="2"/>
      <c r="M80" s="3"/>
      <c r="N80" s="2"/>
      <c r="O80" s="3"/>
      <c r="P80" s="2">
        <v>0</v>
      </c>
      <c r="Q80" s="3"/>
      <c r="R80" s="2"/>
    </row>
    <row r="81" spans="1:18" s="16" customFormat="1" hidden="1" outlineLevel="2" x14ac:dyDescent="0.35">
      <c r="B81" s="11" t="str">
        <f>CONCATENATE("          ", "6309", " - ", "TELEPHONE")</f>
        <v xml:space="preserve">          6309 - TELEPHONE</v>
      </c>
      <c r="D81" s="2">
        <v>227</v>
      </c>
      <c r="F81" s="2">
        <v>428</v>
      </c>
      <c r="G81" s="3"/>
      <c r="H81" s="2">
        <v>532</v>
      </c>
      <c r="I81" s="3"/>
      <c r="J81" s="2">
        <v>926</v>
      </c>
      <c r="K81" s="3"/>
      <c r="L81" s="2">
        <v>852</v>
      </c>
      <c r="M81" s="3"/>
      <c r="N81" s="2">
        <v>833.96</v>
      </c>
      <c r="O81" s="3"/>
      <c r="P81" s="2">
        <v>0</v>
      </c>
      <c r="Q81" s="3"/>
      <c r="R81" s="2"/>
    </row>
    <row r="82" spans="1:18" s="15" customFormat="1" outlineLevel="1" collapsed="1" x14ac:dyDescent="0.35">
      <c r="A82" s="7"/>
      <c r="B82" s="20" t="str">
        <f>CONCATENATE("     ","Training                                          ")</f>
        <v xml:space="preserve">     Training                                          </v>
      </c>
      <c r="C82" s="7"/>
      <c r="D82" s="1">
        <f>SUM(OSRRefD21_12x_0)</f>
        <v>191.25</v>
      </c>
      <c r="E82" s="19"/>
      <c r="F82" s="1">
        <f>SUM(OSRRefF21_12x_0)</f>
        <v>150</v>
      </c>
      <c r="G82" s="4"/>
      <c r="H82" s="1">
        <f>SUM(OSRRefH21_12x_0)</f>
        <v>289.10000000000002</v>
      </c>
      <c r="I82" s="4"/>
      <c r="J82" s="1">
        <f>SUM(OSRRefJ21_12x_0)</f>
        <v>408.7</v>
      </c>
      <c r="K82" s="4"/>
      <c r="L82" s="1">
        <f>SUM(OSRRefL21_12x_0)</f>
        <v>0</v>
      </c>
      <c r="M82" s="4"/>
      <c r="N82" s="1">
        <f>SUM(OSRRefN21_12x_0)</f>
        <v>52.5</v>
      </c>
      <c r="O82" s="4"/>
      <c r="P82" s="1">
        <f>SUM(OSRRefP21_12x_0)</f>
        <v>0</v>
      </c>
      <c r="Q82" s="4"/>
      <c r="R82" s="1">
        <f>SUM(OSRRefR21_12x_0)</f>
        <v>0</v>
      </c>
    </row>
    <row r="83" spans="1:18" s="16" customFormat="1" hidden="1" outlineLevel="2" x14ac:dyDescent="0.35">
      <c r="B83" s="11" t="str">
        <f>CONCATENATE("          ", "6376", " - ", "TRAINING")</f>
        <v xml:space="preserve">          6376 - TRAINING</v>
      </c>
      <c r="D83" s="2">
        <v>191.25</v>
      </c>
      <c r="F83" s="2">
        <v>150</v>
      </c>
      <c r="G83" s="3"/>
      <c r="H83" s="2">
        <v>289.10000000000002</v>
      </c>
      <c r="I83" s="3"/>
      <c r="J83" s="2">
        <v>408.7</v>
      </c>
      <c r="K83" s="3"/>
      <c r="L83" s="2"/>
      <c r="M83" s="3"/>
      <c r="N83" s="2">
        <v>52.5</v>
      </c>
      <c r="O83" s="3"/>
      <c r="P83" s="2"/>
      <c r="Q83" s="3"/>
      <c r="R83" s="2"/>
    </row>
    <row r="84" spans="1:18" s="15" customFormat="1" outlineLevel="1" collapsed="1" x14ac:dyDescent="0.35">
      <c r="A84" s="7"/>
      <c r="B84" s="20" t="str">
        <f>CONCATENATE("     ","Travel                                            ")</f>
        <v xml:space="preserve">     Travel                                            </v>
      </c>
      <c r="C84" s="7"/>
      <c r="D84" s="1">
        <f>SUM(OSRRefD21_13x_0)</f>
        <v>0</v>
      </c>
      <c r="E84" s="19"/>
      <c r="F84" s="1">
        <f>SUM(OSRRefF21_13x_0)</f>
        <v>0</v>
      </c>
      <c r="G84" s="4"/>
      <c r="H84" s="1">
        <f>SUM(OSRRefH21_13x_0)</f>
        <v>1038.9100000000001</v>
      </c>
      <c r="I84" s="4"/>
      <c r="J84" s="1">
        <f>SUM(OSRRefJ21_13x_0)</f>
        <v>0</v>
      </c>
      <c r="K84" s="4"/>
      <c r="L84" s="1">
        <f>SUM(OSRRefL21_13x_0)</f>
        <v>6.78</v>
      </c>
      <c r="M84" s="4"/>
      <c r="N84" s="1">
        <f>SUM(OSRRefN21_13x_0)</f>
        <v>0</v>
      </c>
      <c r="O84" s="4"/>
      <c r="P84" s="1">
        <f>SUM(OSRRefP21_13x_0)</f>
        <v>0</v>
      </c>
      <c r="Q84" s="4"/>
      <c r="R84" s="1">
        <f>SUM(OSRRefR21_13x_0)</f>
        <v>0</v>
      </c>
    </row>
    <row r="85" spans="1:18" s="16" customFormat="1" hidden="1" outlineLevel="2" x14ac:dyDescent="0.35">
      <c r="B85" s="11" t="str">
        <f>CONCATENATE("          ", "6292", " - ", "TRAVEL/CONFERENCE")</f>
        <v xml:space="preserve">          6292 - TRAVEL/CONFERENCE</v>
      </c>
      <c r="D85" s="2"/>
      <c r="F85" s="2"/>
      <c r="G85" s="3"/>
      <c r="H85" s="2">
        <v>670.72</v>
      </c>
      <c r="I85" s="3"/>
      <c r="J85" s="2"/>
      <c r="K85" s="3"/>
      <c r="L85" s="2">
        <v>6.78</v>
      </c>
      <c r="M85" s="3"/>
      <c r="N85" s="2"/>
      <c r="O85" s="3"/>
      <c r="P85" s="2">
        <v>0</v>
      </c>
      <c r="Q85" s="3"/>
      <c r="R85" s="2"/>
    </row>
    <row r="86" spans="1:18" s="16" customFormat="1" hidden="1" outlineLevel="2" x14ac:dyDescent="0.35">
      <c r="B86" s="11" t="str">
        <f>CONCATENATE("          ", "6294", " - ", "TRAVEL OPERATIONAL")</f>
        <v xml:space="preserve">          6294 - TRAVEL OPERATIONAL</v>
      </c>
      <c r="D86" s="2"/>
      <c r="F86" s="2"/>
      <c r="G86" s="3"/>
      <c r="H86" s="2">
        <v>368.19</v>
      </c>
      <c r="I86" s="3"/>
      <c r="J86" s="2"/>
      <c r="K86" s="3"/>
      <c r="L86" s="2"/>
      <c r="M86" s="3"/>
      <c r="N86" s="2"/>
      <c r="O86" s="3"/>
      <c r="P86" s="2"/>
      <c r="Q86" s="3"/>
      <c r="R86" s="2"/>
    </row>
    <row r="87" spans="1:18" x14ac:dyDescent="0.35">
      <c r="A87" s="12"/>
      <c r="B87" s="12"/>
      <c r="C87" s="12"/>
      <c r="D87" s="1"/>
      <c r="F87" s="1"/>
      <c r="H87" s="1"/>
      <c r="J87" s="1"/>
      <c r="L87" s="1"/>
      <c r="N87" s="1"/>
      <c r="P87" s="1"/>
      <c r="R87" s="1"/>
    </row>
    <row r="88" spans="1:18" s="7" customFormat="1" collapsed="1" x14ac:dyDescent="0.35">
      <c r="A88" s="36"/>
      <c r="B88" s="34" t="s">
        <v>295</v>
      </c>
      <c r="D88" s="6">
        <f>SUM(OSRRefD24x_0)</f>
        <v>0</v>
      </c>
      <c r="E88" s="12"/>
      <c r="F88" s="6">
        <f>SUM(OSRRefF24x_0)</f>
        <v>0</v>
      </c>
      <c r="G88" s="5"/>
      <c r="H88" s="6">
        <f>SUM(OSRRefH24x_0)</f>
        <v>0</v>
      </c>
      <c r="I88" s="5"/>
      <c r="J88" s="6">
        <f>SUM(OSRRefJ24x_0)</f>
        <v>0</v>
      </c>
      <c r="K88" s="5"/>
      <c r="L88" s="6">
        <f>SUM(OSRRefL24x_0)</f>
        <v>6413</v>
      </c>
      <c r="M88" s="5"/>
      <c r="N88" s="6">
        <f>SUM(OSRRefN24x_0)</f>
        <v>507</v>
      </c>
      <c r="O88" s="5"/>
      <c r="P88" s="6">
        <f>SUM(OSRRefP24x_0)</f>
        <v>0</v>
      </c>
      <c r="Q88" s="5"/>
      <c r="R88" s="6">
        <f>SUM(OSRRefR24x_0)</f>
        <v>0</v>
      </c>
    </row>
    <row r="89" spans="1:18" s="7" customFormat="1" hidden="1" outlineLevel="1" x14ac:dyDescent="0.35">
      <c r="A89" s="36"/>
      <c r="B89" s="11" t="str">
        <f>CONCATENATE("          ", "9150", " - ", "MISC. INCOME")</f>
        <v xml:space="preserve">          9150 - MISC. INCOME</v>
      </c>
      <c r="D89" s="11">
        <f>0</f>
        <v>0</v>
      </c>
      <c r="E89" s="16"/>
      <c r="F89" s="11">
        <f>0</f>
        <v>0</v>
      </c>
      <c r="G89" s="3"/>
      <c r="H89" s="11">
        <f>0</f>
        <v>0</v>
      </c>
      <c r="I89" s="3"/>
      <c r="J89" s="11">
        <f>0</f>
        <v>0</v>
      </c>
      <c r="K89" s="3"/>
      <c r="L89" s="11">
        <f>--6413</f>
        <v>6413</v>
      </c>
      <c r="M89" s="3"/>
      <c r="N89" s="11">
        <f>--507</f>
        <v>507</v>
      </c>
      <c r="O89" s="3"/>
      <c r="P89" s="11"/>
      <c r="Q89" s="3"/>
      <c r="R89" s="11"/>
    </row>
    <row r="90" spans="1:18" x14ac:dyDescent="0.35">
      <c r="A90" s="12"/>
      <c r="B90" s="7"/>
      <c r="C90" s="7"/>
      <c r="D90" s="6"/>
      <c r="F90" s="6"/>
      <c r="H90" s="6"/>
      <c r="J90" s="6"/>
      <c r="L90" s="6"/>
      <c r="N90" s="6"/>
      <c r="P90" s="6"/>
      <c r="R90" s="6"/>
    </row>
    <row r="91" spans="1:18" s="15" customFormat="1" x14ac:dyDescent="0.35">
      <c r="A91" s="7"/>
      <c r="B91" s="22" t="s">
        <v>279</v>
      </c>
      <c r="C91" s="22"/>
      <c r="D91" s="10">
        <f>+D21-D24+D88</f>
        <v>20892.219999999972</v>
      </c>
      <c r="E91" s="12"/>
      <c r="F91" s="10">
        <f>+F21-F24+F88</f>
        <v>79274.159999999974</v>
      </c>
      <c r="G91" s="5"/>
      <c r="H91" s="10">
        <f>+H21-H24+H88</f>
        <v>86372.87</v>
      </c>
      <c r="I91" s="5"/>
      <c r="J91" s="10">
        <f>+J21-J24+J88</f>
        <v>47293.359999999899</v>
      </c>
      <c r="K91" s="5"/>
      <c r="L91" s="10">
        <f>+L21-L24+L88</f>
        <v>23525.829999999987</v>
      </c>
      <c r="M91" s="5"/>
      <c r="N91" s="10">
        <f>+N21-N24+N88</f>
        <v>-41130.419999999984</v>
      </c>
      <c r="O91" s="5"/>
      <c r="P91" s="10">
        <f>+P21-P24+P88</f>
        <v>-7560</v>
      </c>
      <c r="Q91" s="5"/>
      <c r="R91" s="10">
        <f>+R21-R24+R88</f>
        <v>-696</v>
      </c>
    </row>
    <row r="92" spans="1:18" s="27" customFormat="1" x14ac:dyDescent="0.35">
      <c r="A92" s="18"/>
      <c r="B92" s="31"/>
      <c r="C92" s="18"/>
      <c r="D92" s="9">
        <f>IFERROR(D91/D10, 0)</f>
        <v>6.3036041711365176E-2</v>
      </c>
      <c r="E92" s="18"/>
      <c r="F92" s="9">
        <f>IFERROR(F91/F10, 0)</f>
        <v>0.19583491106345194</v>
      </c>
      <c r="G92" s="14"/>
      <c r="H92" s="9">
        <f>IFERROR(H91/H10, 0)</f>
        <v>0.19500874575115981</v>
      </c>
      <c r="I92" s="14"/>
      <c r="J92" s="9">
        <f>IFERROR(J91/J10, 0)</f>
        <v>0.12934491387195221</v>
      </c>
      <c r="K92" s="14"/>
      <c r="L92" s="9">
        <f>IFERROR(L91/L10, 0)</f>
        <v>6.7343875496001238E-2</v>
      </c>
      <c r="M92" s="14"/>
      <c r="N92" s="9">
        <f>IFERROR(N91/N10, 0)</f>
        <v>-0.16126506110307229</v>
      </c>
      <c r="O92" s="14"/>
      <c r="P92" s="9">
        <f>IFERROR(P91/P10, 0)</f>
        <v>0</v>
      </c>
      <c r="Q92" s="14"/>
      <c r="R92" s="9">
        <f>IFERROR(R91/R10, 0)</f>
        <v>0</v>
      </c>
    </row>
    <row r="93" spans="1:18" s="27" customFormat="1" x14ac:dyDescent="0.35">
      <c r="A93" s="18"/>
      <c r="B93" s="31"/>
      <c r="C93" s="18"/>
      <c r="D93" s="13"/>
      <c r="E93" s="18"/>
      <c r="F93" s="13"/>
      <c r="G93" s="14"/>
      <c r="H93" s="13"/>
      <c r="I93" s="14"/>
      <c r="J93" s="13"/>
      <c r="K93" s="14"/>
      <c r="L93" s="13"/>
      <c r="M93" s="14"/>
      <c r="N93" s="13"/>
      <c r="O93" s="14"/>
      <c r="P93" s="13"/>
      <c r="Q93" s="14"/>
      <c r="R93" s="13"/>
    </row>
    <row r="94" spans="1:18" s="15" customFormat="1" x14ac:dyDescent="0.35">
      <c r="A94" s="37"/>
      <c r="B94" s="7" t="s">
        <v>127</v>
      </c>
      <c r="C94" s="7"/>
      <c r="D94" s="6">
        <v>72022.880000000005</v>
      </c>
      <c r="E94" s="12"/>
      <c r="F94" s="6">
        <v>57886.46</v>
      </c>
      <c r="G94" s="5"/>
      <c r="H94" s="6">
        <v>59220.67</v>
      </c>
      <c r="I94" s="5"/>
      <c r="J94" s="6">
        <v>49073.49</v>
      </c>
      <c r="K94" s="5"/>
      <c r="L94" s="6">
        <v>24899.86</v>
      </c>
      <c r="M94" s="5"/>
      <c r="N94" s="6">
        <v>38620.120000000003</v>
      </c>
      <c r="O94" s="5"/>
      <c r="P94" s="6"/>
      <c r="Q94" s="5"/>
      <c r="R94" s="6"/>
    </row>
    <row r="95" spans="1:18" x14ac:dyDescent="0.35">
      <c r="A95" s="12"/>
      <c r="B95" s="7"/>
      <c r="C95" s="7"/>
      <c r="D95" s="6"/>
      <c r="F95" s="6"/>
      <c r="H95" s="6"/>
      <c r="J95" s="6"/>
      <c r="L95" s="6"/>
      <c r="N95" s="6"/>
      <c r="P95" s="6"/>
      <c r="R95" s="6"/>
    </row>
    <row r="96" spans="1:18" s="15" customFormat="1" x14ac:dyDescent="0.35">
      <c r="A96" s="7"/>
      <c r="B96" s="22" t="s">
        <v>126</v>
      </c>
      <c r="C96" s="22"/>
      <c r="D96" s="10">
        <f>+D91-D94</f>
        <v>-51130.660000000033</v>
      </c>
      <c r="E96" s="12"/>
      <c r="F96" s="10">
        <f>+F91-F94</f>
        <v>21387.699999999975</v>
      </c>
      <c r="G96" s="5"/>
      <c r="H96" s="10">
        <f>+H91-H94</f>
        <v>27152.199999999997</v>
      </c>
      <c r="I96" s="5"/>
      <c r="J96" s="10">
        <f>+J91-J94</f>
        <v>-1780.1300000000992</v>
      </c>
      <c r="K96" s="5"/>
      <c r="L96" s="10">
        <f>+L91-L94</f>
        <v>-1374.0300000000134</v>
      </c>
      <c r="M96" s="5"/>
      <c r="N96" s="10">
        <f>+N91-N94</f>
        <v>-79750.539999999979</v>
      </c>
      <c r="O96" s="5"/>
      <c r="P96" s="10">
        <f>+P91-P94</f>
        <v>-7560</v>
      </c>
      <c r="Q96" s="5"/>
      <c r="R96" s="10">
        <f>+R91-R94</f>
        <v>-696</v>
      </c>
    </row>
    <row r="97" spans="1:18" s="27" customFormat="1" x14ac:dyDescent="0.35">
      <c r="A97" s="18"/>
      <c r="B97" s="18"/>
      <c r="C97" s="18"/>
      <c r="D97" s="9">
        <f>IFERROR(D96/D10, 0)</f>
        <v>-0.15427151430004266</v>
      </c>
      <c r="E97" s="18"/>
      <c r="F97" s="9">
        <f>IFERROR(F96/F10, 0)</f>
        <v>5.2835101972090119E-2</v>
      </c>
      <c r="G97" s="14"/>
      <c r="H97" s="9">
        <f>IFERROR(H96/H10, 0)</f>
        <v>6.1303004825295736E-2</v>
      </c>
      <c r="I97" s="14"/>
      <c r="J97" s="9">
        <f>IFERROR(J96/J10, 0)</f>
        <v>-4.8685642451898456E-3</v>
      </c>
      <c r="K97" s="14"/>
      <c r="L97" s="9">
        <f>IFERROR(L96/L10, 0)</f>
        <v>-3.9332302089988549E-3</v>
      </c>
      <c r="M97" s="14"/>
      <c r="N97" s="9">
        <f>IFERROR(N96/N10, 0)</f>
        <v>-0.31268768240399714</v>
      </c>
      <c r="O97" s="14"/>
      <c r="P97" s="9">
        <f>IFERROR(P96/P10, 0)</f>
        <v>0</v>
      </c>
      <c r="Q97" s="14"/>
      <c r="R97" s="9">
        <f>IFERROR(R96/R10, 0)</f>
        <v>0</v>
      </c>
    </row>
    <row r="98" spans="1:18" s="27" customFormat="1" x14ac:dyDescent="0.35">
      <c r="A98" s="18"/>
      <c r="B98" s="18"/>
      <c r="C98" s="18"/>
      <c r="D98" s="13"/>
      <c r="E98" s="18"/>
      <c r="F98" s="13"/>
      <c r="G98" s="14"/>
      <c r="H98" s="13"/>
      <c r="I98" s="14"/>
      <c r="J98" s="13"/>
      <c r="K98" s="14"/>
      <c r="L98" s="13"/>
      <c r="M98" s="14"/>
      <c r="N98" s="13"/>
      <c r="O98" s="14"/>
      <c r="P98" s="13"/>
      <c r="Q98" s="14"/>
      <c r="R98" s="13"/>
    </row>
    <row r="99" spans="1:18" x14ac:dyDescent="0.35">
      <c r="A99" s="12"/>
      <c r="B99" s="12"/>
      <c r="C99" s="12"/>
      <c r="D99" s="6"/>
      <c r="F99" s="6"/>
      <c r="H99" s="6"/>
      <c r="J99" s="6"/>
      <c r="L99" s="6"/>
      <c r="N99" s="6"/>
      <c r="P99" s="6"/>
      <c r="R99" s="6"/>
    </row>
    <row r="100" spans="1:18" s="15" customFormat="1" x14ac:dyDescent="0.35">
      <c r="A100" s="7"/>
      <c r="B100" s="22" t="s">
        <v>296</v>
      </c>
      <c r="C100" s="22"/>
      <c r="D100" s="10">
        <f>SUM(D96:D99)</f>
        <v>-51130.814271514333</v>
      </c>
      <c r="E100" s="12"/>
      <c r="F100" s="10">
        <f>SUM(F96:F99)</f>
        <v>21387.752835101946</v>
      </c>
      <c r="G100" s="5"/>
      <c r="H100" s="10">
        <f>SUM(H96:H99)</f>
        <v>27152.261303004823</v>
      </c>
      <c r="I100" s="5"/>
      <c r="J100" s="10">
        <f>SUM(J96:J99)</f>
        <v>-1780.1348685643445</v>
      </c>
      <c r="K100" s="5"/>
      <c r="L100" s="10">
        <f>SUM(L96:L99)</f>
        <v>-1374.0339332302224</v>
      </c>
      <c r="M100" s="5"/>
      <c r="N100" s="10">
        <f>SUM(N96:N99)</f>
        <v>-79750.852687682389</v>
      </c>
      <c r="O100" s="5"/>
      <c r="P100" s="10">
        <f>SUM(P96:P99)</f>
        <v>-7560</v>
      </c>
      <c r="Q100" s="5"/>
      <c r="R100" s="10">
        <f>SUM(R96:R99)</f>
        <v>-696</v>
      </c>
    </row>
    <row r="101" spans="1:18" s="27" customFormat="1" x14ac:dyDescent="0.35">
      <c r="A101" s="18"/>
      <c r="B101" s="41"/>
      <c r="C101" s="18"/>
      <c r="D101" s="9">
        <f>IFERROR(D100/D10, 0)</f>
        <v>-0.15427197976831794</v>
      </c>
      <c r="E101" s="18"/>
      <c r="F101" s="9">
        <f>IFERROR(F100/F10, 0)</f>
        <v>5.2835232493277547E-2</v>
      </c>
      <c r="G101" s="14"/>
      <c r="H101" s="9">
        <f>IFERROR(H100/H10, 0)</f>
        <v>6.1303143232437719E-2</v>
      </c>
      <c r="I101" s="14"/>
      <c r="J101" s="9">
        <f>IFERROR(J100/J10, 0)</f>
        <v>-4.8685775604633422E-3</v>
      </c>
      <c r="K101" s="14"/>
      <c r="L101" s="9">
        <f>IFERROR(L100/L10, 0)</f>
        <v>-3.9332414680688004E-3</v>
      </c>
      <c r="M101" s="14"/>
      <c r="N101" s="9">
        <f>IFERROR(N100/N10, 0)</f>
        <v>-0.31268890839678326</v>
      </c>
      <c r="O101" s="14"/>
      <c r="P101" s="9">
        <f>IFERROR(P100/P10, 0)</f>
        <v>0</v>
      </c>
      <c r="Q101" s="14"/>
      <c r="R101" s="9">
        <f>IFERROR(R100/R10, 0)</f>
        <v>0</v>
      </c>
    </row>
    <row r="102" spans="1:18" x14ac:dyDescent="0.35">
      <c r="A102" s="12"/>
      <c r="B102" s="40">
        <v>44319.883572604165</v>
      </c>
      <c r="D102" s="24"/>
      <c r="F102" s="24"/>
      <c r="H102" s="24"/>
      <c r="J102" s="24"/>
      <c r="L102" s="24"/>
      <c r="N102" s="24"/>
      <c r="P102" s="24"/>
      <c r="R102" s="24"/>
    </row>
    <row r="103" spans="1:18" x14ac:dyDescent="0.35">
      <c r="A103" s="12"/>
      <c r="B103" s="39" t="s">
        <v>23</v>
      </c>
      <c r="D103" s="24"/>
      <c r="F103" s="24"/>
      <c r="H103" s="24"/>
      <c r="J103" s="24"/>
      <c r="L103" s="24"/>
      <c r="N103" s="24"/>
      <c r="P103" s="24"/>
      <c r="R103" s="24"/>
    </row>
    <row r="104" spans="1:18" x14ac:dyDescent="0.35">
      <c r="A104" s="12"/>
      <c r="D104" s="24"/>
      <c r="F104" s="24"/>
      <c r="H104" s="24"/>
      <c r="J104" s="24"/>
      <c r="L104" s="24"/>
      <c r="N104" s="24"/>
      <c r="P104" s="24"/>
      <c r="R104" s="24"/>
    </row>
    <row r="105" spans="1:18" x14ac:dyDescent="0.35">
      <c r="D105" s="24"/>
      <c r="F105" s="24"/>
      <c r="H105" s="24"/>
      <c r="J105" s="24"/>
      <c r="L105" s="24"/>
      <c r="N105" s="24"/>
      <c r="P105" s="24"/>
      <c r="R105" s="24"/>
    </row>
  </sheetData>
  <pageMargins left="0.5" right="0.5" top="0.5" bottom="0.5" header="0.3" footer="0.3"/>
  <pageSetup scale="59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","414", " - ", "Starbucks UDP")</f>
        <v>Department 414 - Starbucks UDP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713745.36</v>
      </c>
      <c r="F10" s="8">
        <f>SUM(OSRRefF11x_0)</f>
        <v>778534.05999999994</v>
      </c>
      <c r="G10" s="8"/>
      <c r="H10" s="8">
        <f>SUM(OSRRefH11x_0)</f>
        <v>873735</v>
      </c>
      <c r="I10" s="8"/>
      <c r="J10" s="8">
        <f>SUM(OSRRefJ11x_0)</f>
        <v>788192.56</v>
      </c>
      <c r="K10" s="8"/>
      <c r="L10" s="8">
        <f>SUM(OSRRefL11x_0)</f>
        <v>797846.54</v>
      </c>
      <c r="M10" s="8"/>
      <c r="N10" s="8">
        <f>SUM(OSRRefN11x_0)</f>
        <v>591931.24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/>
    </row>
    <row r="12" spans="1:18" s="16" customFormat="1" hidden="1" outlineLevel="1" x14ac:dyDescent="0.35">
      <c r="B12" s="35" t="str">
        <f>CONCATENATE("          ", "4058", " - ", "TAXABLE SALES-FOOD")</f>
        <v xml:space="preserve">          4058 - TAXABLE SALES-FOOD</v>
      </c>
      <c r="D12" s="11">
        <f>-65572.24*-1</f>
        <v>65572.240000000005</v>
      </c>
      <c r="F12" s="11">
        <f>-56827.74*-1</f>
        <v>56827.74</v>
      </c>
      <c r="G12" s="3"/>
      <c r="H12" s="11">
        <f>-96320.96*-1</f>
        <v>96320.960000000006</v>
      </c>
      <c r="I12" s="3"/>
      <c r="J12" s="11">
        <f>--167154.32</f>
        <v>167154.32</v>
      </c>
      <c r="K12" s="3"/>
      <c r="L12" s="11">
        <f>--200045.36</f>
        <v>200045.36</v>
      </c>
      <c r="M12" s="3"/>
      <c r="N12" s="11">
        <f>--117077.57</f>
        <v>117077.57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0</v>
      </c>
      <c r="Q13" s="3"/>
      <c r="R13" s="11"/>
    </row>
    <row r="14" spans="1:18" s="16" customFormat="1" hidden="1" outlineLevel="1" x14ac:dyDescent="0.35">
      <c r="B14" s="35" t="str">
        <f>CONCATENATE("          ", "4158", " - ", "NON-TAXABLE SALES-FOOD")</f>
        <v xml:space="preserve">          4158 - NON-TAXABLE SALES-FOOD</v>
      </c>
      <c r="D14" s="11">
        <f>-648173.12*-1</f>
        <v>648173.12</v>
      </c>
      <c r="F14" s="11">
        <f>-721706.32*-1</f>
        <v>721706.32</v>
      </c>
      <c r="G14" s="3"/>
      <c r="H14" s="11">
        <f>-777414.04*-1</f>
        <v>777414.04</v>
      </c>
      <c r="I14" s="3"/>
      <c r="J14" s="11">
        <f>--621038.24</f>
        <v>621038.24</v>
      </c>
      <c r="K14" s="3"/>
      <c r="L14" s="11">
        <f>--597801.18</f>
        <v>597801.18000000005</v>
      </c>
      <c r="M14" s="3"/>
      <c r="N14" s="11">
        <f>--474853.67</f>
        <v>474853.67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231265.38999999998</v>
      </c>
      <c r="E16" s="8"/>
      <c r="F16" s="8">
        <f>SUM(OSRRefF14x_0)</f>
        <v>267468.40999999997</v>
      </c>
      <c r="G16" s="8"/>
      <c r="H16" s="8">
        <f>SUM(OSRRefH14x_0)</f>
        <v>290346.21000000002</v>
      </c>
      <c r="I16" s="8"/>
      <c r="J16" s="8">
        <f>SUM(OSRRefJ14x_0)</f>
        <v>284574.78999999998</v>
      </c>
      <c r="K16" s="8"/>
      <c r="L16" s="8">
        <f>SUM(OSRRefL14x_0)</f>
        <v>283992.83</v>
      </c>
      <c r="M16" s="8"/>
      <c r="N16" s="8">
        <f>SUM(OSRRefN14x_0)</f>
        <v>217798.36</v>
      </c>
      <c r="O16" s="8"/>
      <c r="P16" s="8">
        <f>SUM(OSRRefP14x_0)</f>
        <v>0</v>
      </c>
      <c r="Q16" s="8"/>
      <c r="R16" s="8">
        <f>SUM(OSRRefR14x_0)</f>
        <v>0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0</v>
      </c>
      <c r="Q17" s="3"/>
      <c r="R17" s="11"/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231064.06</v>
      </c>
      <c r="E18" s="16"/>
      <c r="F18" s="11">
        <v>267404.55</v>
      </c>
      <c r="G18" s="3"/>
      <c r="H18" s="11">
        <v>290346.21000000002</v>
      </c>
      <c r="I18" s="3"/>
      <c r="J18" s="11">
        <v>284574.78999999998</v>
      </c>
      <c r="K18" s="3"/>
      <c r="L18" s="11">
        <v>284442.83</v>
      </c>
      <c r="M18" s="3"/>
      <c r="N18" s="11">
        <v>202040.36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201.33</v>
      </c>
      <c r="E19" s="16"/>
      <c r="F19" s="11">
        <v>63.86</v>
      </c>
      <c r="G19" s="3"/>
      <c r="H19" s="11"/>
      <c r="I19" s="3"/>
      <c r="J19" s="11"/>
      <c r="K19" s="3"/>
      <c r="L19" s="11">
        <v>-450</v>
      </c>
      <c r="M19" s="3"/>
      <c r="N19" s="11">
        <v>15758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482479.97</v>
      </c>
      <c r="E21" s="12"/>
      <c r="F21" s="10">
        <f>+F10-F16</f>
        <v>511065.64999999997</v>
      </c>
      <c r="G21" s="5"/>
      <c r="H21" s="10">
        <f>+H10-H16</f>
        <v>583388.79</v>
      </c>
      <c r="I21" s="5"/>
      <c r="J21" s="10">
        <f>+J10-J16</f>
        <v>503617.77000000008</v>
      </c>
      <c r="K21" s="5"/>
      <c r="L21" s="10">
        <f>+L10-L16</f>
        <v>513853.71</v>
      </c>
      <c r="M21" s="5"/>
      <c r="N21" s="10">
        <f>+N10-N16</f>
        <v>374132.88</v>
      </c>
      <c r="O21" s="5"/>
      <c r="P21" s="10">
        <f>+P10-P16</f>
        <v>0</v>
      </c>
      <c r="Q21" s="5"/>
      <c r="R21" s="10">
        <f>+R10-R16</f>
        <v>0</v>
      </c>
    </row>
    <row r="22" spans="1:18" s="27" customFormat="1" x14ac:dyDescent="0.35">
      <c r="A22" s="18"/>
      <c r="B22" s="31"/>
      <c r="C22" s="18"/>
      <c r="D22" s="9">
        <f>IFERROR(D21/D10, 0)</f>
        <v>0.67598333669027277</v>
      </c>
      <c r="E22" s="13"/>
      <c r="F22" s="9">
        <f>IFERROR(F21/F10, 0)</f>
        <v>0.65644610333425879</v>
      </c>
      <c r="G22" s="26"/>
      <c r="H22" s="9">
        <f>IFERROR(H21/H10, 0)</f>
        <v>0.66769534240931183</v>
      </c>
      <c r="I22" s="26"/>
      <c r="J22" s="9">
        <f>IFERROR(J21/J10, 0)</f>
        <v>0.63895270719124786</v>
      </c>
      <c r="K22" s="26"/>
      <c r="L22" s="9">
        <f>IFERROR(L21/L10, 0)</f>
        <v>0.644050809570472</v>
      </c>
      <c r="M22" s="26"/>
      <c r="N22" s="9">
        <f>IFERROR(N21/N10, 0)</f>
        <v>0.63205462850718952</v>
      </c>
      <c r="O22" s="26"/>
      <c r="P22" s="9">
        <f>IFERROR(P21/P10, 0)</f>
        <v>0</v>
      </c>
      <c r="Q22" s="26"/>
      <c r="R22" s="9">
        <f>IFERROR(R21/R10, 0)</f>
        <v>0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325712.94999999995</v>
      </c>
      <c r="E24" s="19"/>
      <c r="F24" s="8">
        <f>SUM(OSRRefF21x_0)</f>
        <v>369611.78999999992</v>
      </c>
      <c r="G24" s="4"/>
      <c r="H24" s="8">
        <f>SUM(OSRRefH21x_0)</f>
        <v>401880.66000000009</v>
      </c>
      <c r="I24" s="4"/>
      <c r="J24" s="8">
        <f>SUM(OSRRefJ21x_0)</f>
        <v>414106.64</v>
      </c>
      <c r="K24" s="4"/>
      <c r="L24" s="8">
        <f>SUM(OSRRefL21x_0)</f>
        <v>425469.09</v>
      </c>
      <c r="M24" s="4"/>
      <c r="N24" s="8">
        <f>SUM(OSRRefN21x_0)</f>
        <v>332325.95</v>
      </c>
      <c r="O24" s="4"/>
      <c r="P24" s="8">
        <f>SUM(OSRRefP21x_0)</f>
        <v>22972</v>
      </c>
      <c r="Q24" s="4"/>
      <c r="R24" s="8">
        <f>SUM(OSRRefR21x_0)</f>
        <v>0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34703.25</v>
      </c>
      <c r="E25" s="19"/>
      <c r="F25" s="1">
        <f>SUM(OSRRefF21_0x_0)</f>
        <v>44584.78</v>
      </c>
      <c r="G25" s="4"/>
      <c r="H25" s="1">
        <f>SUM(OSRRefH21_0x_0)</f>
        <v>34945.660000000003</v>
      </c>
      <c r="I25" s="4"/>
      <c r="J25" s="1">
        <f>SUM(OSRRefJ21_0x_0)</f>
        <v>39521.1</v>
      </c>
      <c r="K25" s="4"/>
      <c r="L25" s="1">
        <f>SUM(OSRRefL21_0x_0)</f>
        <v>39451.85</v>
      </c>
      <c r="M25" s="4"/>
      <c r="N25" s="1">
        <f>SUM(OSRRefN21_0x_0)</f>
        <v>27827.83</v>
      </c>
      <c r="O25" s="4"/>
      <c r="P25" s="1">
        <f>SUM(OSRRefP21_0x_0)</f>
        <v>0</v>
      </c>
      <c r="Q25" s="4"/>
      <c r="R25" s="1">
        <f>SUM(OSRRefR21_0x_0)</f>
        <v>0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4789.6499999999996</v>
      </c>
      <c r="F26" s="2">
        <v>6782.62</v>
      </c>
      <c r="G26" s="3"/>
      <c r="H26" s="2">
        <v>7449.25</v>
      </c>
      <c r="I26" s="3"/>
      <c r="J26" s="2">
        <v>9837.56</v>
      </c>
      <c r="K26" s="3"/>
      <c r="L26" s="2">
        <v>7673.88</v>
      </c>
      <c r="M26" s="3"/>
      <c r="N26" s="2">
        <v>5995.86</v>
      </c>
      <c r="O26" s="3"/>
      <c r="P26" s="2">
        <v>0</v>
      </c>
      <c r="Q26" s="3"/>
      <c r="R26" s="2"/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3631.63</v>
      </c>
      <c r="F27" s="2">
        <v>6996.14</v>
      </c>
      <c r="G27" s="3"/>
      <c r="H27" s="2">
        <v>8077.43</v>
      </c>
      <c r="I27" s="3"/>
      <c r="J27" s="2">
        <v>7117.16</v>
      </c>
      <c r="K27" s="3"/>
      <c r="L27" s="2">
        <v>7918.71</v>
      </c>
      <c r="M27" s="3"/>
      <c r="N27" s="2">
        <v>5901.84</v>
      </c>
      <c r="O27" s="3"/>
      <c r="P27" s="2">
        <v>0</v>
      </c>
      <c r="Q27" s="3"/>
      <c r="R27" s="2"/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6313.02</v>
      </c>
      <c r="F28" s="2">
        <v>6846.84</v>
      </c>
      <c r="G28" s="3"/>
      <c r="H28" s="2">
        <v>7632.48</v>
      </c>
      <c r="I28" s="3"/>
      <c r="J28" s="2">
        <v>8168.95</v>
      </c>
      <c r="K28" s="3"/>
      <c r="L28" s="2">
        <v>7215.96</v>
      </c>
      <c r="M28" s="3"/>
      <c r="N28" s="2">
        <v>9111.33</v>
      </c>
      <c r="O28" s="3"/>
      <c r="P28" s="2">
        <v>0</v>
      </c>
      <c r="Q28" s="3"/>
      <c r="R28" s="2"/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1035.67</v>
      </c>
      <c r="F29" s="2">
        <v>1220.95</v>
      </c>
      <c r="G29" s="3"/>
      <c r="H29" s="2">
        <v>640.73</v>
      </c>
      <c r="I29" s="3"/>
      <c r="J29" s="2">
        <v>750.52</v>
      </c>
      <c r="K29" s="3"/>
      <c r="L29" s="2">
        <v>657.77</v>
      </c>
      <c r="M29" s="3"/>
      <c r="N29" s="2">
        <v>0</v>
      </c>
      <c r="O29" s="3"/>
      <c r="P29" s="2">
        <v>0</v>
      </c>
      <c r="Q29" s="3"/>
      <c r="R29" s="2"/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6036.51</v>
      </c>
      <c r="F30" s="2">
        <v>4894.84</v>
      </c>
      <c r="G30" s="3"/>
      <c r="H30" s="2">
        <v>5186.91</v>
      </c>
      <c r="I30" s="3"/>
      <c r="J30" s="2">
        <v>5385.89</v>
      </c>
      <c r="K30" s="3"/>
      <c r="L30" s="2">
        <v>6643.04</v>
      </c>
      <c r="M30" s="3"/>
      <c r="N30" s="2">
        <v>711.9</v>
      </c>
      <c r="O30" s="3"/>
      <c r="P30" s="2">
        <v>0</v>
      </c>
      <c r="Q30" s="3"/>
      <c r="R30" s="2"/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/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>
        <v>3701.23</v>
      </c>
      <c r="F32" s="2">
        <v>6620.12</v>
      </c>
      <c r="G32" s="3"/>
      <c r="H32" s="2">
        <v>2123.8000000000002</v>
      </c>
      <c r="I32" s="3"/>
      <c r="J32" s="2">
        <v>3649.1</v>
      </c>
      <c r="K32" s="3"/>
      <c r="L32" s="2">
        <v>2085.02</v>
      </c>
      <c r="M32" s="3"/>
      <c r="N32" s="2">
        <v>2037.11</v>
      </c>
      <c r="O32" s="3"/>
      <c r="P32" s="2">
        <v>0</v>
      </c>
      <c r="Q32" s="3"/>
      <c r="R32" s="2"/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>
        <v>2637.75</v>
      </c>
      <c r="F33" s="2">
        <v>9181.77</v>
      </c>
      <c r="G33" s="3"/>
      <c r="H33" s="2">
        <v>2517.84</v>
      </c>
      <c r="I33" s="3"/>
      <c r="J33" s="2">
        <v>3410.43</v>
      </c>
      <c r="K33" s="3"/>
      <c r="L33" s="2">
        <v>5488.82</v>
      </c>
      <c r="M33" s="3"/>
      <c r="N33" s="2">
        <v>2440.5100000000002</v>
      </c>
      <c r="O33" s="3"/>
      <c r="P33" s="2">
        <v>0</v>
      </c>
      <c r="Q33" s="3"/>
      <c r="R33" s="2"/>
    </row>
    <row r="34" spans="1:18" s="16" customFormat="1" hidden="1" outlineLevel="2" x14ac:dyDescent="0.35">
      <c r="B34" s="11" t="str">
        <f>CONCATENATE("          ", "6156", " - ", "EMPLOYEE MEALS")</f>
        <v xml:space="preserve">          6156 - EMPLOYEE MEALS</v>
      </c>
      <c r="D34" s="2">
        <v>6557.79</v>
      </c>
      <c r="F34" s="2">
        <v>2041.5</v>
      </c>
      <c r="G34" s="3"/>
      <c r="H34" s="2">
        <v>1317.22</v>
      </c>
      <c r="I34" s="3"/>
      <c r="J34" s="2">
        <v>1201.49</v>
      </c>
      <c r="K34" s="3"/>
      <c r="L34" s="2">
        <v>1768.65</v>
      </c>
      <c r="M34" s="3"/>
      <c r="N34" s="2">
        <v>1629.28</v>
      </c>
      <c r="O34" s="3"/>
      <c r="P34" s="2">
        <v>0</v>
      </c>
      <c r="Q34" s="3"/>
      <c r="R34" s="2"/>
    </row>
    <row r="35" spans="1:18" s="15" customFormat="1" outlineLevel="1" collapsed="1" x14ac:dyDescent="0.35">
      <c r="A35" s="7"/>
      <c r="B35" s="20" t="str">
        <f>CONCATENATE("     ","*Payroll                                          ")</f>
        <v xml:space="preserve">     *Payroll                                          </v>
      </c>
      <c r="C35" s="7"/>
      <c r="D35" s="1">
        <f>SUM(OSRRefD21_1x_0)</f>
        <v>160630.66</v>
      </c>
      <c r="E35" s="19"/>
      <c r="F35" s="1">
        <f>SUM(OSRRefF21_1x_0)</f>
        <v>188002.47999999998</v>
      </c>
      <c r="G35" s="4"/>
      <c r="H35" s="1">
        <f>SUM(OSRRefH21_1x_0)</f>
        <v>205876.82</v>
      </c>
      <c r="I35" s="4"/>
      <c r="J35" s="1">
        <f>SUM(OSRRefJ21_1x_0)</f>
        <v>224544.43000000002</v>
      </c>
      <c r="K35" s="4"/>
      <c r="L35" s="1">
        <f>SUM(OSRRefL21_1x_0)</f>
        <v>224058.71</v>
      </c>
      <c r="M35" s="4"/>
      <c r="N35" s="1">
        <f>SUM(OSRRefN21_1x_0)</f>
        <v>187328.10000000003</v>
      </c>
      <c r="O35" s="4"/>
      <c r="P35" s="1">
        <f>SUM(OSRRefP21_1x_0)</f>
        <v>0</v>
      </c>
      <c r="Q35" s="4"/>
      <c r="R35" s="1">
        <f>SUM(OSRRefR21_1x_0)</f>
        <v>0</v>
      </c>
    </row>
    <row r="36" spans="1:18" s="16" customFormat="1" hidden="1" outlineLevel="2" x14ac:dyDescent="0.35">
      <c r="B36" s="11" t="str">
        <f>CONCATENATE("          ", "6001", " - ", "ADMINISTRATIVE SALARIES")</f>
        <v xml:space="preserve">          6001 - ADMINISTRATIVE SALARIES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/>
    </row>
    <row r="37" spans="1:18" s="16" customFormat="1" hidden="1" outlineLevel="2" x14ac:dyDescent="0.35">
      <c r="B37" s="11" t="str">
        <f>CONCATENATE("          ", "6002", " - ", "STAFF SALARIES")</f>
        <v xml:space="preserve">          6002 - STAFF SALARIES</v>
      </c>
      <c r="D37" s="2">
        <v>42998.61</v>
      </c>
      <c r="F37" s="2">
        <v>50390</v>
      </c>
      <c r="G37" s="3"/>
      <c r="H37" s="2">
        <v>52280.54</v>
      </c>
      <c r="I37" s="3"/>
      <c r="J37" s="2">
        <v>37057.879999999997</v>
      </c>
      <c r="K37" s="3"/>
      <c r="L37" s="2">
        <v>49971.79</v>
      </c>
      <c r="M37" s="3"/>
      <c r="N37" s="2">
        <v>9754.9500000000007</v>
      </c>
      <c r="O37" s="3"/>
      <c r="P37" s="2">
        <v>0</v>
      </c>
      <c r="Q37" s="3"/>
      <c r="R37" s="2"/>
    </row>
    <row r="38" spans="1:18" s="16" customFormat="1" hidden="1" outlineLevel="2" x14ac:dyDescent="0.35">
      <c r="B38" s="11" t="str">
        <f>CONCATENATE("          ", "6003", " - ", "STAFF HOURLY-9 MONTH")</f>
        <v xml:space="preserve">          6003 - STAFF HOURLY-9 MONTH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/>
    </row>
    <row r="39" spans="1:18" s="16" customFormat="1" hidden="1" outlineLevel="2" x14ac:dyDescent="0.35">
      <c r="B39" s="11" t="str">
        <f>CONCATENATE("          ", "6004", " - ", "STAFF HOURLY")</f>
        <v xml:space="preserve">          6004 - STAFF HOURLY</v>
      </c>
      <c r="D39" s="2">
        <v>-741.62</v>
      </c>
      <c r="F39" s="2">
        <v>162.01</v>
      </c>
      <c r="G39" s="3"/>
      <c r="H39" s="2"/>
      <c r="I39" s="3"/>
      <c r="J39" s="2"/>
      <c r="K39" s="3"/>
      <c r="L39" s="2">
        <v>2382.8200000000002</v>
      </c>
      <c r="M39" s="3"/>
      <c r="N39" s="2">
        <v>53258.29</v>
      </c>
      <c r="O39" s="3"/>
      <c r="P39" s="2">
        <v>0</v>
      </c>
      <c r="Q39" s="3"/>
      <c r="R39" s="2"/>
    </row>
    <row r="40" spans="1:18" s="16" customFormat="1" hidden="1" outlineLevel="2" x14ac:dyDescent="0.35">
      <c r="B40" s="11" t="str">
        <f>CONCATENATE("          ", "6005", " - ", "TEMPORARY WAGES-HOURLY")</f>
        <v xml:space="preserve">          6005 - TEMPORARY WAGES-HOURLY</v>
      </c>
      <c r="D40" s="2">
        <v>2208</v>
      </c>
      <c r="F40" s="2">
        <v>14542.07</v>
      </c>
      <c r="G40" s="3"/>
      <c r="H40" s="2">
        <v>16966.77</v>
      </c>
      <c r="I40" s="3"/>
      <c r="J40" s="2">
        <v>38405.660000000003</v>
      </c>
      <c r="K40" s="3"/>
      <c r="L40" s="2">
        <v>14264.26</v>
      </c>
      <c r="M40" s="3"/>
      <c r="N40" s="2">
        <v>1997.5</v>
      </c>
      <c r="O40" s="3"/>
      <c r="P40" s="2">
        <v>0</v>
      </c>
      <c r="Q40" s="3"/>
      <c r="R40" s="2"/>
    </row>
    <row r="41" spans="1:18" s="16" customFormat="1" hidden="1" outlineLevel="2" x14ac:dyDescent="0.35">
      <c r="B41" s="11" t="str">
        <f>CONCATENATE("          ", "6006", " - ", "TEMPORARY PART TIME")</f>
        <v xml:space="preserve">          6006 - TEMPORARY PART TIME</v>
      </c>
      <c r="D41" s="2"/>
      <c r="F41" s="2"/>
      <c r="G41" s="3"/>
      <c r="H41" s="2">
        <v>3656.66</v>
      </c>
      <c r="I41" s="3"/>
      <c r="J41" s="2">
        <v>4116.6400000000003</v>
      </c>
      <c r="K41" s="3"/>
      <c r="L41" s="2"/>
      <c r="M41" s="3"/>
      <c r="N41" s="2">
        <v>29.25</v>
      </c>
      <c r="O41" s="3"/>
      <c r="P41" s="2">
        <v>0</v>
      </c>
      <c r="Q41" s="3"/>
      <c r="R41" s="2"/>
    </row>
    <row r="42" spans="1:18" s="16" customFormat="1" hidden="1" outlineLevel="2" x14ac:dyDescent="0.35">
      <c r="B42" s="11" t="str">
        <f>CONCATENATE("          ", "6007", " - ", "STUDENT HOURLY")</f>
        <v xml:space="preserve">          6007 - STUDENT HOURLY</v>
      </c>
      <c r="D42" s="2">
        <v>116165.67</v>
      </c>
      <c r="F42" s="2">
        <v>122908.4</v>
      </c>
      <c r="G42" s="3"/>
      <c r="H42" s="2">
        <v>133154.95000000001</v>
      </c>
      <c r="I42" s="3"/>
      <c r="J42" s="2">
        <v>139204.84</v>
      </c>
      <c r="K42" s="3"/>
      <c r="L42" s="2">
        <v>151591.59</v>
      </c>
      <c r="M42" s="3"/>
      <c r="N42" s="2">
        <v>121057.66</v>
      </c>
      <c r="O42" s="3"/>
      <c r="P42" s="2">
        <v>0</v>
      </c>
      <c r="Q42" s="3"/>
      <c r="R42" s="2"/>
    </row>
    <row r="43" spans="1:18" s="16" customFormat="1" hidden="1" outlineLevel="2" x14ac:dyDescent="0.35">
      <c r="B43" s="11" t="str">
        <f>CONCATENATE("          ", "6008", " - ", "STUDENT HOURLY-FICA EXEMPT")</f>
        <v xml:space="preserve">          6008 - STUDENT HOURLY-FICA EXEMPT</v>
      </c>
      <c r="D43" s="2"/>
      <c r="F43" s="2"/>
      <c r="G43" s="3"/>
      <c r="H43" s="2">
        <v>-182.1</v>
      </c>
      <c r="I43" s="3"/>
      <c r="J43" s="2">
        <v>5759.41</v>
      </c>
      <c r="K43" s="3"/>
      <c r="L43" s="2">
        <v>5848.25</v>
      </c>
      <c r="M43" s="3"/>
      <c r="N43" s="2">
        <v>1230.45</v>
      </c>
      <c r="O43" s="3"/>
      <c r="P43" s="2">
        <v>0</v>
      </c>
      <c r="Q43" s="3"/>
      <c r="R43" s="2"/>
    </row>
    <row r="44" spans="1:18" s="16" customFormat="1" hidden="1" outlineLevel="2" x14ac:dyDescent="0.35">
      <c r="B44" s="11" t="str">
        <f>CONCATENATE("          ", "6009", " - ", "TEMPORARY-SEASONAL")</f>
        <v xml:space="preserve">          6009 - TEMPORARY-SEASONAL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/>
    </row>
    <row r="45" spans="1:18" s="16" customFormat="1" hidden="1" outlineLevel="2" x14ac:dyDescent="0.35">
      <c r="B45" s="11" t="str">
        <f>CONCATENATE("          ", "6010", " - ", "GRATUITY")</f>
        <v xml:space="preserve">          6010 - GRATUITY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/>
    </row>
    <row r="46" spans="1:18" s="15" customFormat="1" outlineLevel="1" collapsed="1" x14ac:dyDescent="0.35">
      <c r="A46" s="7"/>
      <c r="B46" s="20" t="str">
        <f>CONCATENATE("     ","Advertising/Promo                                 ")</f>
        <v xml:space="preserve">     Advertising/Promo                                 </v>
      </c>
      <c r="C46" s="7"/>
      <c r="D46" s="1">
        <f>SUM(OSRRefD21_2x_0)</f>
        <v>795.16</v>
      </c>
      <c r="E46" s="19"/>
      <c r="F46" s="1">
        <f>SUM(OSRRefF21_2x_0)</f>
        <v>1049.3900000000001</v>
      </c>
      <c r="G46" s="4"/>
      <c r="H46" s="1">
        <f>SUM(OSRRefH21_2x_0)</f>
        <v>1804.44</v>
      </c>
      <c r="I46" s="4"/>
      <c r="J46" s="1">
        <f>SUM(OSRRefJ21_2x_0)</f>
        <v>2367.5100000000002</v>
      </c>
      <c r="K46" s="4"/>
      <c r="L46" s="1">
        <f>SUM(OSRRefL21_2x_0)</f>
        <v>2733.95</v>
      </c>
      <c r="M46" s="4"/>
      <c r="N46" s="1">
        <f>SUM(OSRRefN21_2x_0)</f>
        <v>830.37</v>
      </c>
      <c r="O46" s="4"/>
      <c r="P46" s="1">
        <f>SUM(OSRRefP21_2x_0)</f>
        <v>0</v>
      </c>
      <c r="Q46" s="4"/>
      <c r="R46" s="1">
        <f>SUM(OSRRefR21_2x_0)</f>
        <v>0</v>
      </c>
    </row>
    <row r="47" spans="1:18" s="16" customFormat="1" hidden="1" outlineLevel="2" x14ac:dyDescent="0.35">
      <c r="B47" s="11" t="str">
        <f>CONCATENATE("          ", "6362", " - ", "ADVERTISING EXPENSE")</f>
        <v xml:space="preserve">          6362 - ADVERTISING EXPENSE</v>
      </c>
      <c r="D47" s="2">
        <v>795.16</v>
      </c>
      <c r="F47" s="2">
        <v>1049.3900000000001</v>
      </c>
      <c r="G47" s="3"/>
      <c r="H47" s="2">
        <v>1804.44</v>
      </c>
      <c r="I47" s="3"/>
      <c r="J47" s="2">
        <v>2367.5100000000002</v>
      </c>
      <c r="K47" s="3"/>
      <c r="L47" s="2">
        <v>2733.95</v>
      </c>
      <c r="M47" s="3"/>
      <c r="N47" s="2">
        <v>830.37</v>
      </c>
      <c r="O47" s="3"/>
      <c r="P47" s="2">
        <v>0</v>
      </c>
      <c r="Q47" s="3"/>
      <c r="R47" s="2"/>
    </row>
    <row r="48" spans="1:18" s="15" customFormat="1" outlineLevel="1" collapsed="1" x14ac:dyDescent="0.35">
      <c r="A48" s="7"/>
      <c r="B48" s="20" t="str">
        <f>CONCATENATE("     ","Bad Debts/Over/Short                              ")</f>
        <v xml:space="preserve">     Bad Debts/Over/Short                              </v>
      </c>
      <c r="C48" s="7"/>
      <c r="D48" s="1">
        <f>SUM(OSRRefD21_3x_0)</f>
        <v>107.96</v>
      </c>
      <c r="E48" s="19"/>
      <c r="F48" s="1">
        <f>SUM(OSRRefF21_3x_0)</f>
        <v>3.7</v>
      </c>
      <c r="G48" s="4"/>
      <c r="H48" s="1">
        <f>SUM(OSRRefH21_3x_0)</f>
        <v>673.8</v>
      </c>
      <c r="I48" s="4"/>
      <c r="J48" s="1">
        <f>SUM(OSRRefJ21_3x_0)</f>
        <v>285.91000000000003</v>
      </c>
      <c r="K48" s="4"/>
      <c r="L48" s="1">
        <f>SUM(OSRRefL21_3x_0)</f>
        <v>2589.7199999999998</v>
      </c>
      <c r="M48" s="4"/>
      <c r="N48" s="1">
        <f>SUM(OSRRefN21_3x_0)</f>
        <v>125.23</v>
      </c>
      <c r="O48" s="4"/>
      <c r="P48" s="1">
        <f>SUM(OSRRefP21_3x_0)</f>
        <v>0</v>
      </c>
      <c r="Q48" s="4"/>
      <c r="R48" s="1">
        <f>SUM(OSRRefR21_3x_0)</f>
        <v>0</v>
      </c>
    </row>
    <row r="49" spans="1:18" s="16" customFormat="1" hidden="1" outlineLevel="2" x14ac:dyDescent="0.35">
      <c r="B49" s="11" t="str">
        <f>CONCATENATE("          ", "6272", " - ", "CASH (OVER/SHORT)")</f>
        <v xml:space="preserve">          6272 - CASH (OVER/SHORT)</v>
      </c>
      <c r="D49" s="2">
        <v>107.96</v>
      </c>
      <c r="F49" s="2">
        <v>3.7</v>
      </c>
      <c r="G49" s="3"/>
      <c r="H49" s="2">
        <v>673.8</v>
      </c>
      <c r="I49" s="3"/>
      <c r="J49" s="2">
        <v>285.91000000000003</v>
      </c>
      <c r="K49" s="3"/>
      <c r="L49" s="2">
        <v>2589.7199999999998</v>
      </c>
      <c r="M49" s="3"/>
      <c r="N49" s="2">
        <v>125.23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","Bank/card Fees                                    ")</f>
        <v xml:space="preserve">     Bank/card Fees                                    </v>
      </c>
      <c r="C50" s="7"/>
      <c r="D50" s="1">
        <f>SUM(OSRRefD21_4x_0)</f>
        <v>22368.35</v>
      </c>
      <c r="E50" s="19"/>
      <c r="F50" s="1">
        <f>SUM(OSRRefF21_4x_0)</f>
        <v>22672.49</v>
      </c>
      <c r="G50" s="4"/>
      <c r="H50" s="1">
        <f>SUM(OSRRefH21_4x_0)</f>
        <v>27961.65</v>
      </c>
      <c r="I50" s="4"/>
      <c r="J50" s="1">
        <f>SUM(OSRRefJ21_4x_0)</f>
        <v>27228.23</v>
      </c>
      <c r="K50" s="4"/>
      <c r="L50" s="1">
        <f>SUM(OSRRefL21_4x_0)</f>
        <v>27573.51</v>
      </c>
      <c r="M50" s="4"/>
      <c r="N50" s="1">
        <f>SUM(OSRRefN21_4x_0)</f>
        <v>18857.060000000001</v>
      </c>
      <c r="O50" s="4"/>
      <c r="P50" s="1">
        <f>SUM(OSRRefP21_4x_0)</f>
        <v>0</v>
      </c>
      <c r="Q50" s="4"/>
      <c r="R50" s="1">
        <f>SUM(OSRRefR21_4x_0)</f>
        <v>0</v>
      </c>
    </row>
    <row r="51" spans="1:18" s="16" customFormat="1" hidden="1" outlineLevel="2" x14ac:dyDescent="0.35">
      <c r="B51" s="11" t="str">
        <f>CONCATENATE("          ", "6381", " - ", "BANK/CREDIT CARD FEES")</f>
        <v xml:space="preserve">          6381 - BANK/CREDIT CARD FEES</v>
      </c>
      <c r="D51" s="2">
        <v>22368.35</v>
      </c>
      <c r="F51" s="2">
        <v>22672.49</v>
      </c>
      <c r="G51" s="3"/>
      <c r="H51" s="2">
        <v>27961.65</v>
      </c>
      <c r="I51" s="3"/>
      <c r="J51" s="2">
        <v>27228.23</v>
      </c>
      <c r="K51" s="3"/>
      <c r="L51" s="2">
        <v>27573.51</v>
      </c>
      <c r="M51" s="3"/>
      <c r="N51" s="2">
        <v>18857.060000000001</v>
      </c>
      <c r="O51" s="3"/>
      <c r="P51" s="2">
        <v>0</v>
      </c>
      <c r="Q51" s="3"/>
      <c r="R51" s="2"/>
    </row>
    <row r="52" spans="1:18" s="15" customFormat="1" outlineLevel="1" collapsed="1" x14ac:dyDescent="0.35">
      <c r="A52" s="7"/>
      <c r="B52" s="20" t="str">
        <f>CONCATENATE("     ","Depreciation                                      ")</f>
        <v xml:space="preserve">     Depreciation                                      </v>
      </c>
      <c r="C52" s="7"/>
      <c r="D52" s="1">
        <f>SUM(OSRRefD21_5x_0)</f>
        <v>6710.5</v>
      </c>
      <c r="E52" s="19"/>
      <c r="F52" s="1">
        <f>SUM(OSRRefF21_5x_0)</f>
        <v>9219.0300000000007</v>
      </c>
      <c r="G52" s="4"/>
      <c r="H52" s="1">
        <f>SUM(OSRRefH21_5x_0)</f>
        <v>17088.490000000002</v>
      </c>
      <c r="I52" s="4"/>
      <c r="J52" s="1">
        <f>SUM(OSRRefJ21_5x_0)</f>
        <v>15297.28</v>
      </c>
      <c r="K52" s="4"/>
      <c r="L52" s="1">
        <f>SUM(OSRRefL21_5x_0)</f>
        <v>15770.99</v>
      </c>
      <c r="M52" s="4"/>
      <c r="N52" s="1">
        <f>SUM(OSRRefN21_5x_0)</f>
        <v>22529.94</v>
      </c>
      <c r="O52" s="4"/>
      <c r="P52" s="1">
        <f>SUM(OSRRefP21_5x_0)</f>
        <v>22972</v>
      </c>
      <c r="Q52" s="4"/>
      <c r="R52" s="1">
        <f>SUM(OSRRefR21_5x_0)</f>
        <v>0</v>
      </c>
    </row>
    <row r="53" spans="1:18" s="16" customFormat="1" hidden="1" outlineLevel="2" x14ac:dyDescent="0.35">
      <c r="B53" s="11" t="str">
        <f>CONCATENATE("          ", "6322", " - ", "EQUIPMENT DEPRECIATION EXPENSE")</f>
        <v xml:space="preserve">          6322 - EQUIPMENT DEPRECIATION EXPENSE</v>
      </c>
      <c r="D53" s="2">
        <v>6710.5</v>
      </c>
      <c r="F53" s="2">
        <v>9219.0300000000007</v>
      </c>
      <c r="G53" s="3"/>
      <c r="H53" s="2">
        <v>17088.490000000002</v>
      </c>
      <c r="I53" s="3"/>
      <c r="J53" s="2">
        <v>15297.28</v>
      </c>
      <c r="K53" s="3"/>
      <c r="L53" s="2">
        <v>15770.99</v>
      </c>
      <c r="M53" s="3"/>
      <c r="N53" s="2">
        <v>22529.94</v>
      </c>
      <c r="O53" s="3"/>
      <c r="P53" s="2">
        <v>22972</v>
      </c>
      <c r="Q53" s="3"/>
      <c r="R53" s="2"/>
    </row>
    <row r="54" spans="1:18" s="15" customFormat="1" outlineLevel="1" collapsed="1" x14ac:dyDescent="0.35">
      <c r="A54" s="7"/>
      <c r="B54" s="20" t="str">
        <f>CONCATENATE("     ","Donations                                         ")</f>
        <v xml:space="preserve">     Donations                                         </v>
      </c>
      <c r="C54" s="7"/>
      <c r="D54" s="1">
        <f>SUM(OSRRefD21_6x_0)</f>
        <v>0</v>
      </c>
      <c r="E54" s="19"/>
      <c r="F54" s="1">
        <f>SUM(OSRRefF21_6x_0)</f>
        <v>0</v>
      </c>
      <c r="G54" s="4"/>
      <c r="H54" s="1">
        <f>SUM(OSRRefH21_6x_0)</f>
        <v>0</v>
      </c>
      <c r="I54" s="4"/>
      <c r="J54" s="1">
        <f>SUM(OSRRefJ21_6x_0)</f>
        <v>150</v>
      </c>
      <c r="K54" s="4"/>
      <c r="L54" s="1">
        <f>SUM(OSRRefL21_6x_0)</f>
        <v>0</v>
      </c>
      <c r="M54" s="4"/>
      <c r="N54" s="1">
        <f>SUM(OSRRefN21_6x_0)</f>
        <v>0</v>
      </c>
      <c r="O54" s="4"/>
      <c r="P54" s="1">
        <f>SUM(OSRRefP21_6x_0)</f>
        <v>0</v>
      </c>
      <c r="Q54" s="4"/>
      <c r="R54" s="1">
        <f>SUM(OSRRefR21_6x_0)</f>
        <v>0</v>
      </c>
    </row>
    <row r="55" spans="1:18" s="16" customFormat="1" hidden="1" outlineLevel="2" x14ac:dyDescent="0.35">
      <c r="B55" s="11" t="str">
        <f>CONCATENATE("          ", "6399", " - ", "DONATION-ON CAMPUS")</f>
        <v xml:space="preserve">          6399 - DONATION-ON CAMPUS</v>
      </c>
      <c r="D55" s="2"/>
      <c r="F55" s="2"/>
      <c r="G55" s="3"/>
      <c r="H55" s="2"/>
      <c r="I55" s="3"/>
      <c r="J55" s="2">
        <v>150</v>
      </c>
      <c r="K55" s="3"/>
      <c r="L55" s="2"/>
      <c r="M55" s="3"/>
      <c r="N55" s="2"/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","Employees' Appreciation                           ")</f>
        <v xml:space="preserve">     Employees' Appreciation                           </v>
      </c>
      <c r="C56" s="7"/>
      <c r="D56" s="1">
        <f>SUM(OSRRefD21_7x_0)</f>
        <v>29.84</v>
      </c>
      <c r="E56" s="19"/>
      <c r="F56" s="1">
        <f>SUM(OSRRefF21_7x_0)</f>
        <v>144.93</v>
      </c>
      <c r="G56" s="4"/>
      <c r="H56" s="1">
        <f>SUM(OSRRefH21_7x_0)</f>
        <v>201.6</v>
      </c>
      <c r="I56" s="4"/>
      <c r="J56" s="1">
        <f>SUM(OSRRefJ21_7x_0)</f>
        <v>140.13999999999999</v>
      </c>
      <c r="K56" s="4"/>
      <c r="L56" s="1">
        <f>SUM(OSRRefL21_7x_0)</f>
        <v>284.08999999999997</v>
      </c>
      <c r="M56" s="4"/>
      <c r="N56" s="1">
        <f>SUM(OSRRefN21_7x_0)</f>
        <v>236.02</v>
      </c>
      <c r="O56" s="4"/>
      <c r="P56" s="1">
        <f>SUM(OSRRefP21_7x_0)</f>
        <v>0</v>
      </c>
      <c r="Q56" s="4"/>
      <c r="R56" s="1">
        <f>SUM(OSRRefR21_7x_0)</f>
        <v>0</v>
      </c>
    </row>
    <row r="57" spans="1:18" s="16" customFormat="1" hidden="1" outlineLevel="2" x14ac:dyDescent="0.35">
      <c r="B57" s="11" t="str">
        <f>CONCATENATE("          ", "6277", " - ", "EMPLOYEE APPRECIATION")</f>
        <v xml:space="preserve">          6277 - EMPLOYEE APPRECIATION</v>
      </c>
      <c r="D57" s="2">
        <v>29.84</v>
      </c>
      <c r="F57" s="2">
        <v>144.93</v>
      </c>
      <c r="G57" s="3"/>
      <c r="H57" s="2">
        <v>201.6</v>
      </c>
      <c r="I57" s="3"/>
      <c r="J57" s="2">
        <v>140.13999999999999</v>
      </c>
      <c r="K57" s="3"/>
      <c r="L57" s="2">
        <v>284.08999999999997</v>
      </c>
      <c r="M57" s="3"/>
      <c r="N57" s="2">
        <v>236.02</v>
      </c>
      <c r="O57" s="3"/>
      <c r="P57" s="2">
        <v>0</v>
      </c>
      <c r="Q57" s="3"/>
      <c r="R57" s="2"/>
    </row>
    <row r="58" spans="1:18" s="15" customFormat="1" outlineLevel="1" collapsed="1" x14ac:dyDescent="0.35">
      <c r="A58" s="7"/>
      <c r="B58" s="20" t="str">
        <f>CONCATENATE("     ","Equipment Rental                                  ")</f>
        <v xml:space="preserve">     Equipment Rental                                  </v>
      </c>
      <c r="C58" s="7"/>
      <c r="D58" s="1">
        <f>SUM(OSRRefD21_8x_0)</f>
        <v>395.45</v>
      </c>
      <c r="E58" s="19"/>
      <c r="F58" s="1">
        <f>SUM(OSRRefF21_8x_0)</f>
        <v>1500.85</v>
      </c>
      <c r="G58" s="4"/>
      <c r="H58" s="1">
        <f>SUM(OSRRefH21_8x_0)</f>
        <v>1269.95</v>
      </c>
      <c r="I58" s="4"/>
      <c r="J58" s="1">
        <f>SUM(OSRRefJ21_8x_0)</f>
        <v>1294.17</v>
      </c>
      <c r="K58" s="4"/>
      <c r="L58" s="1">
        <f>SUM(OSRRefL21_8x_0)</f>
        <v>1426.92</v>
      </c>
      <c r="M58" s="4"/>
      <c r="N58" s="1">
        <f>SUM(OSRRefN21_8x_0)</f>
        <v>1191.5999999999999</v>
      </c>
      <c r="O58" s="4"/>
      <c r="P58" s="1">
        <f>SUM(OSRRefP21_8x_0)</f>
        <v>0</v>
      </c>
      <c r="Q58" s="4"/>
      <c r="R58" s="1">
        <f>SUM(OSRRefR21_8x_0)</f>
        <v>0</v>
      </c>
    </row>
    <row r="59" spans="1:18" s="16" customFormat="1" hidden="1" outlineLevel="2" x14ac:dyDescent="0.35">
      <c r="B59" s="11" t="str">
        <f>CONCATENATE("          ", "6351", " - ", "EQUIPMENT RENTAL")</f>
        <v xml:space="preserve">          6351 - EQUIPMENT RENTAL</v>
      </c>
      <c r="D59" s="2">
        <v>395.45</v>
      </c>
      <c r="F59" s="2">
        <v>1500.85</v>
      </c>
      <c r="G59" s="3"/>
      <c r="H59" s="2">
        <v>1269.95</v>
      </c>
      <c r="I59" s="3"/>
      <c r="J59" s="2">
        <v>1294.17</v>
      </c>
      <c r="K59" s="3"/>
      <c r="L59" s="2">
        <v>1426.92</v>
      </c>
      <c r="M59" s="3"/>
      <c r="N59" s="2">
        <v>1191.5999999999999</v>
      </c>
      <c r="O59" s="3"/>
      <c r="P59" s="2"/>
      <c r="Q59" s="3"/>
      <c r="R59" s="2"/>
    </row>
    <row r="60" spans="1:18" s="15" customFormat="1" outlineLevel="1" collapsed="1" x14ac:dyDescent="0.35">
      <c r="A60" s="7"/>
      <c r="B60" s="20" t="str">
        <f>CONCATENATE("     ","General                                           ")</f>
        <v xml:space="preserve">     General                                           </v>
      </c>
      <c r="C60" s="7"/>
      <c r="D60" s="1">
        <f>SUM(OSRRefD21_9x_0)</f>
        <v>9241.5</v>
      </c>
      <c r="E60" s="19"/>
      <c r="F60" s="1">
        <f>SUM(OSRRefF21_9x_0)</f>
        <v>11811.82</v>
      </c>
      <c r="G60" s="4"/>
      <c r="H60" s="1">
        <f>SUM(OSRRefH21_9x_0)</f>
        <v>13126.84</v>
      </c>
      <c r="I60" s="4"/>
      <c r="J60" s="1">
        <f>SUM(OSRRefJ21_9x_0)</f>
        <v>14170.09</v>
      </c>
      <c r="K60" s="4"/>
      <c r="L60" s="1">
        <f>SUM(OSRRefL21_9x_0)</f>
        <v>12570.93</v>
      </c>
      <c r="M60" s="4"/>
      <c r="N60" s="1">
        <f>SUM(OSRRefN21_9x_0)</f>
        <v>9129.7800000000007</v>
      </c>
      <c r="O60" s="4"/>
      <c r="P60" s="1">
        <f>SUM(OSRRefP21_9x_0)</f>
        <v>0</v>
      </c>
      <c r="Q60" s="4"/>
      <c r="R60" s="1">
        <f>SUM(OSRRefR21_9x_0)</f>
        <v>0</v>
      </c>
    </row>
    <row r="61" spans="1:18" s="16" customFormat="1" hidden="1" outlineLevel="2" x14ac:dyDescent="0.35">
      <c r="B61" s="11" t="str">
        <f>CONCATENATE("          ", "6279", " - ", "GENERAL EXPENSE")</f>
        <v xml:space="preserve">          6279 - GENERAL EXPENSE</v>
      </c>
      <c r="D61" s="2">
        <v>9241.5</v>
      </c>
      <c r="F61" s="2">
        <v>11811.82</v>
      </c>
      <c r="G61" s="3"/>
      <c r="H61" s="2">
        <v>13126.84</v>
      </c>
      <c r="I61" s="3"/>
      <c r="J61" s="2">
        <v>14170.09</v>
      </c>
      <c r="K61" s="3"/>
      <c r="L61" s="2">
        <v>12570.93</v>
      </c>
      <c r="M61" s="3"/>
      <c r="N61" s="2">
        <v>9129.7800000000007</v>
      </c>
      <c r="O61" s="3"/>
      <c r="P61" s="2">
        <v>0</v>
      </c>
      <c r="Q61" s="3"/>
      <c r="R61" s="2"/>
    </row>
    <row r="62" spans="1:18" s="15" customFormat="1" outlineLevel="1" collapsed="1" x14ac:dyDescent="0.35">
      <c r="A62" s="7"/>
      <c r="B62" s="20" t="str">
        <f>CONCATENATE("     ","Repair and Maintenance                            ")</f>
        <v xml:space="preserve">     Repair and Maintenance                            </v>
      </c>
      <c r="C62" s="7"/>
      <c r="D62" s="1">
        <f>SUM(OSRRefD21_10x_0)</f>
        <v>11186.54</v>
      </c>
      <c r="E62" s="19"/>
      <c r="F62" s="1">
        <f>SUM(OSRRefF21_10x_0)</f>
        <v>9776.07</v>
      </c>
      <c r="G62" s="4"/>
      <c r="H62" s="1">
        <f>SUM(OSRRefH21_10x_0)</f>
        <v>9743.33</v>
      </c>
      <c r="I62" s="4"/>
      <c r="J62" s="1">
        <f>SUM(OSRRefJ21_10x_0)</f>
        <v>7904.5199999999995</v>
      </c>
      <c r="K62" s="4"/>
      <c r="L62" s="1">
        <f>SUM(OSRRefL21_10x_0)</f>
        <v>13826.57</v>
      </c>
      <c r="M62" s="4"/>
      <c r="N62" s="1">
        <f>SUM(OSRRefN21_10x_0)</f>
        <v>7706.76</v>
      </c>
      <c r="O62" s="4"/>
      <c r="P62" s="1">
        <f>SUM(OSRRefP21_10x_0)</f>
        <v>0</v>
      </c>
      <c r="Q62" s="4"/>
      <c r="R62" s="1">
        <f>SUM(OSRRefR21_10x_0)</f>
        <v>0</v>
      </c>
    </row>
    <row r="63" spans="1:18" s="16" customFormat="1" hidden="1" outlineLevel="2" x14ac:dyDescent="0.35">
      <c r="B63" s="11" t="str">
        <f>CONCATENATE("          ", "6373", " - ", "MAINTENANCE CONTRACTS")</f>
        <v xml:space="preserve">          6373 - MAINTENANCE CONTRACTS</v>
      </c>
      <c r="D63" s="2">
        <v>1876.93</v>
      </c>
      <c r="F63" s="2">
        <v>773.92</v>
      </c>
      <c r="G63" s="3"/>
      <c r="H63" s="2">
        <v>178.05</v>
      </c>
      <c r="I63" s="3"/>
      <c r="J63" s="2">
        <v>675.24</v>
      </c>
      <c r="K63" s="3"/>
      <c r="L63" s="2">
        <v>791.96</v>
      </c>
      <c r="M63" s="3"/>
      <c r="N63" s="2">
        <v>499.55</v>
      </c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"6375", " - ", "OUTSIDE REPAIRS &amp; MAINTENANCE")</f>
        <v xml:space="preserve">          6375 - OUTSIDE REPAIRS &amp; MAINTENANCE</v>
      </c>
      <c r="D64" s="2">
        <v>9309.61</v>
      </c>
      <c r="F64" s="2">
        <v>9002.15</v>
      </c>
      <c r="G64" s="3"/>
      <c r="H64" s="2">
        <v>9565.2800000000007</v>
      </c>
      <c r="I64" s="3"/>
      <c r="J64" s="2">
        <v>7229.28</v>
      </c>
      <c r="K64" s="3"/>
      <c r="L64" s="2">
        <v>13034.61</v>
      </c>
      <c r="M64" s="3"/>
      <c r="N64" s="2">
        <v>7207.21</v>
      </c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","Royalty &amp; Commissions                             ")</f>
        <v xml:space="preserve">     Royalty &amp; Commissions                             </v>
      </c>
      <c r="C65" s="7"/>
      <c r="D65" s="1">
        <f>SUM(OSRRefD21_11x_0)</f>
        <v>57099.68</v>
      </c>
      <c r="E65" s="19"/>
      <c r="F65" s="1">
        <f>SUM(OSRRefF21_11x_0)</f>
        <v>62282.8</v>
      </c>
      <c r="G65" s="4"/>
      <c r="H65" s="1">
        <f>SUM(OSRRefH21_11x_0)</f>
        <v>69897.679999999993</v>
      </c>
      <c r="I65" s="4"/>
      <c r="J65" s="1">
        <f>SUM(OSRRefJ21_11x_0)</f>
        <v>62933.04</v>
      </c>
      <c r="K65" s="4"/>
      <c r="L65" s="1">
        <f>SUM(OSRRefL21_11x_0)</f>
        <v>63753.279999999999</v>
      </c>
      <c r="M65" s="4"/>
      <c r="N65" s="1">
        <f>SUM(OSRRefN21_11x_0)</f>
        <v>44134.64</v>
      </c>
      <c r="O65" s="4"/>
      <c r="P65" s="1">
        <f>SUM(OSRRefP21_11x_0)</f>
        <v>0</v>
      </c>
      <c r="Q65" s="4"/>
      <c r="R65" s="1">
        <f>SUM(OSRRefR21_11x_0)</f>
        <v>0</v>
      </c>
    </row>
    <row r="66" spans="1:18" s="16" customFormat="1" hidden="1" outlineLevel="2" x14ac:dyDescent="0.35">
      <c r="B66" s="11" t="str">
        <f>CONCATENATE("          ", "6259", " - ", "ROYALTY &amp; COMMISSIONS")</f>
        <v xml:space="preserve">          6259 - ROYALTY &amp; COMMISSIONS</v>
      </c>
      <c r="D66" s="2">
        <v>57099.68</v>
      </c>
      <c r="F66" s="2">
        <v>62282.8</v>
      </c>
      <c r="G66" s="3"/>
      <c r="H66" s="2">
        <v>69897.679999999993</v>
      </c>
      <c r="I66" s="3"/>
      <c r="J66" s="2">
        <v>62933.04</v>
      </c>
      <c r="K66" s="3"/>
      <c r="L66" s="2">
        <v>63753.279999999999</v>
      </c>
      <c r="M66" s="3"/>
      <c r="N66" s="2">
        <v>44134.64</v>
      </c>
      <c r="O66" s="3"/>
      <c r="P66" s="2">
        <v>0</v>
      </c>
      <c r="Q66" s="3"/>
      <c r="R66" s="2"/>
    </row>
    <row r="67" spans="1:18" s="15" customFormat="1" outlineLevel="1" collapsed="1" x14ac:dyDescent="0.35">
      <c r="A67" s="7"/>
      <c r="B67" s="20" t="str">
        <f>CONCATENATE("     ","Services                                          ")</f>
        <v xml:space="preserve">     Services                                          </v>
      </c>
      <c r="C67" s="7"/>
      <c r="D67" s="1">
        <f>SUM(OSRRefD21_12x_0)</f>
        <v>293.02</v>
      </c>
      <c r="E67" s="19"/>
      <c r="F67" s="1">
        <f>SUM(OSRRefF21_12x_0)</f>
        <v>0</v>
      </c>
      <c r="G67" s="4"/>
      <c r="H67" s="1">
        <f>SUM(OSRRefH21_12x_0)</f>
        <v>1541.78</v>
      </c>
      <c r="I67" s="4"/>
      <c r="J67" s="1">
        <f>SUM(OSRRefJ21_12x_0)</f>
        <v>1735.65</v>
      </c>
      <c r="K67" s="4"/>
      <c r="L67" s="1">
        <f>SUM(OSRRefL21_12x_0)</f>
        <v>652.25</v>
      </c>
      <c r="M67" s="4"/>
      <c r="N67" s="1">
        <f>SUM(OSRRefN21_12x_0)</f>
        <v>508.6</v>
      </c>
      <c r="O67" s="4"/>
      <c r="P67" s="1">
        <f>SUM(OSRRefP21_12x_0)</f>
        <v>0</v>
      </c>
      <c r="Q67" s="4"/>
      <c r="R67" s="1">
        <f>SUM(OSRRefR21_12x_0)</f>
        <v>0</v>
      </c>
    </row>
    <row r="68" spans="1:18" s="16" customFormat="1" hidden="1" outlineLevel="2" x14ac:dyDescent="0.35">
      <c r="B68" s="11" t="str">
        <f>CONCATENATE("          ", "6284", " - ", "TRASH REMOVAL EXPENSE")</f>
        <v xml:space="preserve">          6284 - TRASH REMOVAL EXPENSE</v>
      </c>
      <c r="D68" s="2"/>
      <c r="F68" s="2"/>
      <c r="G68" s="3"/>
      <c r="H68" s="2"/>
      <c r="I68" s="3"/>
      <c r="J68" s="2"/>
      <c r="K68" s="3"/>
      <c r="L68" s="2"/>
      <c r="M68" s="3"/>
      <c r="N68" s="2"/>
      <c r="O68" s="3"/>
      <c r="P68" s="2"/>
      <c r="Q68" s="3"/>
      <c r="R68" s="2">
        <v>0</v>
      </c>
    </row>
    <row r="69" spans="1:18" s="16" customFormat="1" hidden="1" outlineLevel="2" x14ac:dyDescent="0.35">
      <c r="B69" s="11" t="str">
        <f>CONCATENATE("          ", "6285", " - ", "JANITORIAL SERVICES")</f>
        <v xml:space="preserve">          6285 - JANITORIAL SERVICES</v>
      </c>
      <c r="D69" s="2">
        <v>285</v>
      </c>
      <c r="F69" s="2"/>
      <c r="G69" s="3"/>
      <c r="H69" s="2"/>
      <c r="I69" s="3"/>
      <c r="J69" s="2"/>
      <c r="K69" s="3"/>
      <c r="L69" s="2"/>
      <c r="M69" s="3"/>
      <c r="N69" s="2"/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"6286", " - ", "LAUNDRY EXPENSE")</f>
        <v xml:space="preserve">          6286 - LAUNDRY EXPENSE</v>
      </c>
      <c r="D70" s="2">
        <v>8.02</v>
      </c>
      <c r="F70" s="2"/>
      <c r="G70" s="3"/>
      <c r="H70" s="2">
        <v>1541.78</v>
      </c>
      <c r="I70" s="3"/>
      <c r="J70" s="2">
        <v>1735.65</v>
      </c>
      <c r="K70" s="3"/>
      <c r="L70" s="2">
        <v>652.25</v>
      </c>
      <c r="M70" s="3"/>
      <c r="N70" s="2">
        <v>508.6</v>
      </c>
      <c r="O70" s="3"/>
      <c r="P70" s="2">
        <v>0</v>
      </c>
      <c r="Q70" s="3"/>
      <c r="R70" s="2"/>
    </row>
    <row r="71" spans="1:18" s="15" customFormat="1" outlineLevel="1" collapsed="1" x14ac:dyDescent="0.35">
      <c r="A71" s="7"/>
      <c r="B71" s="20" t="str">
        <f>CONCATENATE("     ","Subscriptions &amp; Dues                              ")</f>
        <v xml:space="preserve">     Subscriptions &amp; Dues                              </v>
      </c>
      <c r="C71" s="7"/>
      <c r="D71" s="1">
        <f>SUM(OSRRefD21_13x_0)</f>
        <v>150.85</v>
      </c>
      <c r="E71" s="19"/>
      <c r="F71" s="1">
        <f>SUM(OSRRefF21_13x_0)</f>
        <v>181.04</v>
      </c>
      <c r="G71" s="4"/>
      <c r="H71" s="1">
        <f>SUM(OSRRefH21_13x_0)</f>
        <v>248.82</v>
      </c>
      <c r="I71" s="4"/>
      <c r="J71" s="1">
        <f>SUM(OSRRefJ21_13x_0)</f>
        <v>183.36</v>
      </c>
      <c r="K71" s="4"/>
      <c r="L71" s="1">
        <f>SUM(OSRRefL21_13x_0)</f>
        <v>122.72</v>
      </c>
      <c r="M71" s="4"/>
      <c r="N71" s="1">
        <f>SUM(OSRRefN21_13x_0)</f>
        <v>122.72</v>
      </c>
      <c r="O71" s="4"/>
      <c r="P71" s="1">
        <f>SUM(OSRRefP21_13x_0)</f>
        <v>0</v>
      </c>
      <c r="Q71" s="4"/>
      <c r="R71" s="1">
        <f>SUM(OSRRefR21_13x_0)</f>
        <v>0</v>
      </c>
    </row>
    <row r="72" spans="1:18" s="16" customFormat="1" hidden="1" outlineLevel="2" x14ac:dyDescent="0.35">
      <c r="B72" s="11" t="str">
        <f>CONCATENATE("          ", "6275", " - ", "SUBSCRIPTIONS")</f>
        <v xml:space="preserve">          6275 - SUBSCRIPTIONS</v>
      </c>
      <c r="D72" s="2">
        <v>150.85</v>
      </c>
      <c r="F72" s="2">
        <v>181.04</v>
      </c>
      <c r="G72" s="3"/>
      <c r="H72" s="2">
        <v>248.82</v>
      </c>
      <c r="I72" s="3"/>
      <c r="J72" s="2">
        <v>183.36</v>
      </c>
      <c r="K72" s="3"/>
      <c r="L72" s="2">
        <v>122.72</v>
      </c>
      <c r="M72" s="3"/>
      <c r="N72" s="2">
        <v>122.72</v>
      </c>
      <c r="O72" s="3"/>
      <c r="P72" s="2">
        <v>0</v>
      </c>
      <c r="Q72" s="3"/>
      <c r="R72" s="2"/>
    </row>
    <row r="73" spans="1:18" s="15" customFormat="1" outlineLevel="1" collapsed="1" x14ac:dyDescent="0.35">
      <c r="A73" s="7"/>
      <c r="B73" s="20" t="str">
        <f>CONCATENATE("     ","Supplies                                          ")</f>
        <v xml:space="preserve">     Supplies                                          </v>
      </c>
      <c r="C73" s="7"/>
      <c r="D73" s="1">
        <f>SUM(OSRRefD21_14x_0)</f>
        <v>21708.940000000002</v>
      </c>
      <c r="E73" s="19"/>
      <c r="F73" s="1">
        <f>SUM(OSRRefF21_14x_0)</f>
        <v>17487.170000000002</v>
      </c>
      <c r="G73" s="4"/>
      <c r="H73" s="1">
        <f>SUM(OSRRefH21_14x_0)</f>
        <v>16655.599999999999</v>
      </c>
      <c r="I73" s="4"/>
      <c r="J73" s="1">
        <f>SUM(OSRRefJ21_14x_0)</f>
        <v>15432.38</v>
      </c>
      <c r="K73" s="4"/>
      <c r="L73" s="1">
        <f>SUM(OSRRefL21_14x_0)</f>
        <v>19859.09</v>
      </c>
      <c r="M73" s="4"/>
      <c r="N73" s="1">
        <f>SUM(OSRRefN21_14x_0)</f>
        <v>11646.3</v>
      </c>
      <c r="O73" s="4"/>
      <c r="P73" s="1">
        <f>SUM(OSRRefP21_14x_0)</f>
        <v>0</v>
      </c>
      <c r="Q73" s="4"/>
      <c r="R73" s="1">
        <f>SUM(OSRRefR21_14x_0)</f>
        <v>0</v>
      </c>
    </row>
    <row r="74" spans="1:18" s="16" customFormat="1" hidden="1" outlineLevel="2" x14ac:dyDescent="0.35">
      <c r="B74" s="11" t="str">
        <f>CONCATENATE("          ", "6234", " - ", "EXPENDABLE SUPPLIES &amp; EQUIPMEN")</f>
        <v xml:space="preserve">          6234 - EXPENDABLE SUPPLIES &amp; EQUIPMEN</v>
      </c>
      <c r="D74" s="2">
        <v>4946.91</v>
      </c>
      <c r="F74" s="2"/>
      <c r="G74" s="3"/>
      <c r="H74" s="2">
        <v>1874.8</v>
      </c>
      <c r="I74" s="3"/>
      <c r="J74" s="2"/>
      <c r="K74" s="3"/>
      <c r="L74" s="2"/>
      <c r="M74" s="3"/>
      <c r="N74" s="2"/>
      <c r="O74" s="3"/>
      <c r="P74" s="2"/>
      <c r="Q74" s="3"/>
      <c r="R74" s="2"/>
    </row>
    <row r="75" spans="1:18" s="16" customFormat="1" hidden="1" outlineLevel="2" x14ac:dyDescent="0.35">
      <c r="B75" s="11" t="str">
        <f>CONCATENATE("          ", "6235", " - ", "COVID-19 EXPENSES")</f>
        <v xml:space="preserve">          6235 - COVID-19 EXPENSES</v>
      </c>
      <c r="D75" s="2"/>
      <c r="F75" s="2"/>
      <c r="G75" s="3"/>
      <c r="H75" s="2"/>
      <c r="I75" s="3"/>
      <c r="J75" s="2"/>
      <c r="K75" s="3"/>
      <c r="L75" s="2"/>
      <c r="M75" s="3"/>
      <c r="N75" s="2"/>
      <c r="O75" s="3"/>
      <c r="P75" s="2">
        <v>0</v>
      </c>
      <c r="Q75" s="3"/>
      <c r="R75" s="2"/>
    </row>
    <row r="76" spans="1:18" s="16" customFormat="1" hidden="1" outlineLevel="2" x14ac:dyDescent="0.35">
      <c r="B76" s="11" t="str">
        <f>CONCATENATE("          ", "6237", " - ", "JANITORIAL SUPPLIES")</f>
        <v xml:space="preserve">          6237 - JANITORIAL SUPPLIES</v>
      </c>
      <c r="D76" s="2"/>
      <c r="F76" s="2">
        <v>366.55</v>
      </c>
      <c r="G76" s="3"/>
      <c r="H76" s="2">
        <v>17.03</v>
      </c>
      <c r="I76" s="3"/>
      <c r="J76" s="2">
        <v>154.63</v>
      </c>
      <c r="K76" s="3"/>
      <c r="L76" s="2">
        <v>1100.67</v>
      </c>
      <c r="M76" s="3"/>
      <c r="N76" s="2">
        <v>315.58999999999997</v>
      </c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"6239", " - ", "KITCHEN SUPPLIES")</f>
        <v xml:space="preserve">          6239 - KITCHEN SUPPLIES</v>
      </c>
      <c r="D77" s="2">
        <v>266.91000000000003</v>
      </c>
      <c r="F77" s="2">
        <v>4428.34</v>
      </c>
      <c r="G77" s="3"/>
      <c r="H77" s="2">
        <v>1077.6199999999999</v>
      </c>
      <c r="I77" s="3"/>
      <c r="J77" s="2">
        <v>914.18</v>
      </c>
      <c r="K77" s="3"/>
      <c r="L77" s="2">
        <v>10575.25</v>
      </c>
      <c r="M77" s="3"/>
      <c r="N77" s="2">
        <v>2024.76</v>
      </c>
      <c r="O77" s="3"/>
      <c r="P77" s="2"/>
      <c r="Q77" s="3"/>
      <c r="R77" s="2"/>
    </row>
    <row r="78" spans="1:18" s="16" customFormat="1" hidden="1" outlineLevel="2" x14ac:dyDescent="0.35">
      <c r="B78" s="11" t="str">
        <f>CONCATENATE("          ", "6241", " - ", "OFFICE EXPENSE")</f>
        <v xml:space="preserve">          6241 - OFFICE EXPENSE</v>
      </c>
      <c r="D78" s="2">
        <v>231.18</v>
      </c>
      <c r="F78" s="2">
        <v>1509.62</v>
      </c>
      <c r="G78" s="3"/>
      <c r="H78" s="2">
        <v>484.98</v>
      </c>
      <c r="I78" s="3"/>
      <c r="J78" s="2">
        <v>1372.34</v>
      </c>
      <c r="K78" s="3"/>
      <c r="L78" s="2">
        <v>595.09</v>
      </c>
      <c r="M78" s="3"/>
      <c r="N78" s="2">
        <v>1499.6</v>
      </c>
      <c r="O78" s="3"/>
      <c r="P78" s="2">
        <v>0</v>
      </c>
      <c r="Q78" s="3"/>
      <c r="R78" s="2"/>
    </row>
    <row r="79" spans="1:18" s="16" customFormat="1" hidden="1" outlineLevel="2" x14ac:dyDescent="0.35">
      <c r="B79" s="11" t="str">
        <f>CONCATENATE("          ", "6243", " - ", "PAPER SUPPLIES")</f>
        <v xml:space="preserve">          6243 - PAPER SUPPLIES</v>
      </c>
      <c r="D79" s="2">
        <v>7624.58</v>
      </c>
      <c r="F79" s="2">
        <v>8478.74</v>
      </c>
      <c r="G79" s="3"/>
      <c r="H79" s="2">
        <v>12031.71</v>
      </c>
      <c r="I79" s="3"/>
      <c r="J79" s="2">
        <v>11998.72</v>
      </c>
      <c r="K79" s="3"/>
      <c r="L79" s="2">
        <v>4568.83</v>
      </c>
      <c r="M79" s="3"/>
      <c r="N79" s="2">
        <v>3812.89</v>
      </c>
      <c r="O79" s="3"/>
      <c r="P79" s="2"/>
      <c r="Q79" s="3"/>
      <c r="R79" s="2"/>
    </row>
    <row r="80" spans="1:18" s="16" customFormat="1" hidden="1" outlineLevel="2" x14ac:dyDescent="0.35">
      <c r="B80" s="11" t="str">
        <f>CONCATENATE("          ", "6245", " - ", "PRINTING")</f>
        <v xml:space="preserve">          6245 - PRINTING</v>
      </c>
      <c r="D80" s="2"/>
      <c r="F80" s="2">
        <v>535.66999999999996</v>
      </c>
      <c r="G80" s="3"/>
      <c r="H80" s="2"/>
      <c r="I80" s="3"/>
      <c r="J80" s="2">
        <v>6.04</v>
      </c>
      <c r="K80" s="3"/>
      <c r="L80" s="2"/>
      <c r="M80" s="3"/>
      <c r="N80" s="2">
        <v>181.92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"6247", " - ", "STORE SUPPLIES")</f>
        <v xml:space="preserve">          6247 - STORE SUPPLIES</v>
      </c>
      <c r="D81" s="2">
        <v>8639.36</v>
      </c>
      <c r="F81" s="2">
        <v>2073.42</v>
      </c>
      <c r="G81" s="3"/>
      <c r="H81" s="2">
        <v>886.25</v>
      </c>
      <c r="I81" s="3"/>
      <c r="J81" s="2">
        <v>386.84</v>
      </c>
      <c r="K81" s="3"/>
      <c r="L81" s="2">
        <v>2531.87</v>
      </c>
      <c r="M81" s="3"/>
      <c r="N81" s="2">
        <v>3638.57</v>
      </c>
      <c r="O81" s="3"/>
      <c r="P81" s="2">
        <v>0</v>
      </c>
      <c r="Q81" s="3"/>
      <c r="R81" s="2"/>
    </row>
    <row r="82" spans="1:18" s="16" customFormat="1" hidden="1" outlineLevel="2" x14ac:dyDescent="0.35">
      <c r="B82" s="11" t="str">
        <f>CONCATENATE("          ", "6248", " - ", "UNIFORMS")</f>
        <v xml:space="preserve">          6248 - UNIFORMS</v>
      </c>
      <c r="D82" s="2"/>
      <c r="F82" s="2">
        <v>94.83</v>
      </c>
      <c r="G82" s="3"/>
      <c r="H82" s="2">
        <v>283.20999999999998</v>
      </c>
      <c r="I82" s="3"/>
      <c r="J82" s="2">
        <v>599.63</v>
      </c>
      <c r="K82" s="3"/>
      <c r="L82" s="2">
        <v>487.38</v>
      </c>
      <c r="M82" s="3"/>
      <c r="N82" s="2">
        <v>172.97</v>
      </c>
      <c r="O82" s="3"/>
      <c r="P82" s="2"/>
      <c r="Q82" s="3"/>
      <c r="R82" s="2"/>
    </row>
    <row r="83" spans="1:18" s="15" customFormat="1" outlineLevel="1" collapsed="1" x14ac:dyDescent="0.35">
      <c r="A83" s="7"/>
      <c r="B83" s="20" t="str">
        <f>CONCATENATE("     ","Telephone/Data Lines                              ")</f>
        <v xml:space="preserve">     Telephone/Data Lines                              </v>
      </c>
      <c r="C83" s="7"/>
      <c r="D83" s="1">
        <f>SUM(OSRRefD21_15x_0)</f>
        <v>-35</v>
      </c>
      <c r="E83" s="19"/>
      <c r="F83" s="1">
        <f>SUM(OSRRefF21_15x_0)</f>
        <v>428.44</v>
      </c>
      <c r="G83" s="4"/>
      <c r="H83" s="1">
        <f>SUM(OSRRefH21_15x_0)</f>
        <v>589.20000000000005</v>
      </c>
      <c r="I83" s="4"/>
      <c r="J83" s="1">
        <f>SUM(OSRRefJ21_15x_0)</f>
        <v>648.83000000000004</v>
      </c>
      <c r="K83" s="4"/>
      <c r="L83" s="1">
        <f>SUM(OSRRefL21_15x_0)</f>
        <v>600</v>
      </c>
      <c r="M83" s="4"/>
      <c r="N83" s="1">
        <f>SUM(OSRRefN21_15x_0)</f>
        <v>55</v>
      </c>
      <c r="O83" s="4"/>
      <c r="P83" s="1">
        <f>SUM(OSRRefP21_15x_0)</f>
        <v>0</v>
      </c>
      <c r="Q83" s="4"/>
      <c r="R83" s="1">
        <f>SUM(OSRRefR21_15x_0)</f>
        <v>0</v>
      </c>
    </row>
    <row r="84" spans="1:18" s="16" customFormat="1" hidden="1" outlineLevel="2" x14ac:dyDescent="0.35">
      <c r="B84" s="11" t="str">
        <f>CONCATENATE("          ", "6309", " - ", "TELEPHONE")</f>
        <v xml:space="preserve">          6309 - TELEPHONE</v>
      </c>
      <c r="D84" s="2">
        <v>-35</v>
      </c>
      <c r="F84" s="2">
        <v>428.44</v>
      </c>
      <c r="G84" s="3"/>
      <c r="H84" s="2">
        <v>589.20000000000005</v>
      </c>
      <c r="I84" s="3"/>
      <c r="J84" s="2">
        <v>648.83000000000004</v>
      </c>
      <c r="K84" s="3"/>
      <c r="L84" s="2">
        <v>600</v>
      </c>
      <c r="M84" s="3"/>
      <c r="N84" s="2">
        <v>55</v>
      </c>
      <c r="O84" s="3"/>
      <c r="P84" s="2">
        <v>0</v>
      </c>
      <c r="Q84" s="3"/>
      <c r="R84" s="2"/>
    </row>
    <row r="85" spans="1:18" s="15" customFormat="1" outlineLevel="1" collapsed="1" x14ac:dyDescent="0.35">
      <c r="A85" s="7"/>
      <c r="B85" s="20" t="str">
        <f>CONCATENATE("     ","Training                                          ")</f>
        <v xml:space="preserve">     Training                                          </v>
      </c>
      <c r="C85" s="7"/>
      <c r="D85" s="1">
        <f>SUM(OSRRefD21_16x_0)</f>
        <v>326.25</v>
      </c>
      <c r="E85" s="19"/>
      <c r="F85" s="1">
        <f>SUM(OSRRefF21_16x_0)</f>
        <v>466.8</v>
      </c>
      <c r="G85" s="4"/>
      <c r="H85" s="1">
        <f>SUM(OSRRefH21_16x_0)</f>
        <v>255</v>
      </c>
      <c r="I85" s="4"/>
      <c r="J85" s="1">
        <f>SUM(OSRRefJ21_16x_0)</f>
        <v>270</v>
      </c>
      <c r="K85" s="4"/>
      <c r="L85" s="1">
        <f>SUM(OSRRefL21_16x_0)</f>
        <v>194.51</v>
      </c>
      <c r="M85" s="4"/>
      <c r="N85" s="1">
        <f>SUM(OSRRefN21_16x_0)</f>
        <v>96</v>
      </c>
      <c r="O85" s="4"/>
      <c r="P85" s="1">
        <f>SUM(OSRRefP21_16x_0)</f>
        <v>0</v>
      </c>
      <c r="Q85" s="4"/>
      <c r="R85" s="1">
        <f>SUM(OSRRefR21_16x_0)</f>
        <v>0</v>
      </c>
    </row>
    <row r="86" spans="1:18" s="16" customFormat="1" hidden="1" outlineLevel="2" x14ac:dyDescent="0.35">
      <c r="B86" s="11" t="str">
        <f>CONCATENATE("          ", "6376", " - ", "TRAINING")</f>
        <v xml:space="preserve">          6376 - TRAINING</v>
      </c>
      <c r="D86" s="2">
        <v>326.25</v>
      </c>
      <c r="F86" s="2">
        <v>466.8</v>
      </c>
      <c r="G86" s="3"/>
      <c r="H86" s="2">
        <v>255</v>
      </c>
      <c r="I86" s="3"/>
      <c r="J86" s="2">
        <v>270</v>
      </c>
      <c r="K86" s="3"/>
      <c r="L86" s="2">
        <v>194.51</v>
      </c>
      <c r="M86" s="3"/>
      <c r="N86" s="2">
        <v>96</v>
      </c>
      <c r="O86" s="3"/>
      <c r="P86" s="2">
        <v>0</v>
      </c>
      <c r="Q86" s="3"/>
      <c r="R86" s="2"/>
    </row>
    <row r="87" spans="1:18" s="15" customFormat="1" outlineLevel="1" collapsed="1" x14ac:dyDescent="0.35">
      <c r="A87" s="7"/>
      <c r="B87" s="20" t="str">
        <f>CONCATENATE("     ","Travel                                            ")</f>
        <v xml:space="preserve">     Travel                                            </v>
      </c>
      <c r="C87" s="7"/>
      <c r="D87" s="1">
        <f>SUM(OSRRefD21_17x_0)</f>
        <v>0</v>
      </c>
      <c r="E87" s="19"/>
      <c r="F87" s="1">
        <f>SUM(OSRRefF21_17x_0)</f>
        <v>0</v>
      </c>
      <c r="G87" s="4"/>
      <c r="H87" s="1">
        <f>SUM(OSRRefH21_17x_0)</f>
        <v>0</v>
      </c>
      <c r="I87" s="4"/>
      <c r="J87" s="1">
        <f>SUM(OSRRefJ21_17x_0)</f>
        <v>0</v>
      </c>
      <c r="K87" s="4"/>
      <c r="L87" s="1">
        <f>SUM(OSRRefL21_17x_0)</f>
        <v>0</v>
      </c>
      <c r="M87" s="4"/>
      <c r="N87" s="1">
        <f>SUM(OSRRefN21_17x_0)</f>
        <v>0</v>
      </c>
      <c r="O87" s="4"/>
      <c r="P87" s="1">
        <f>SUM(OSRRefP21_17x_0)</f>
        <v>0</v>
      </c>
      <c r="Q87" s="4"/>
      <c r="R87" s="1">
        <f>SUM(OSRRefR21_17x_0)</f>
        <v>0</v>
      </c>
    </row>
    <row r="88" spans="1:18" s="16" customFormat="1" hidden="1" outlineLevel="2" x14ac:dyDescent="0.35">
      <c r="B88" s="11" t="str">
        <f>CONCATENATE("          ", "6292", " - ", "TRAVEL/CONFERENCE")</f>
        <v xml:space="preserve">          6292 - TRAVEL/CONFERENCE</v>
      </c>
      <c r="D88" s="2"/>
      <c r="F88" s="2"/>
      <c r="G88" s="3"/>
      <c r="H88" s="2"/>
      <c r="I88" s="3"/>
      <c r="J88" s="2"/>
      <c r="K88" s="3"/>
      <c r="L88" s="2"/>
      <c r="M88" s="3"/>
      <c r="N88" s="2"/>
      <c r="O88" s="3"/>
      <c r="P88" s="2">
        <v>0</v>
      </c>
      <c r="Q88" s="3"/>
      <c r="R88" s="2"/>
    </row>
    <row r="89" spans="1:18" x14ac:dyDescent="0.35">
      <c r="A89" s="12"/>
      <c r="B89" s="12"/>
      <c r="C89" s="12"/>
      <c r="D89" s="1"/>
      <c r="F89" s="1"/>
      <c r="H89" s="1"/>
      <c r="J89" s="1"/>
      <c r="L89" s="1"/>
      <c r="N89" s="1"/>
      <c r="P89" s="1"/>
      <c r="R89" s="1"/>
    </row>
    <row r="90" spans="1:18" s="7" customFormat="1" x14ac:dyDescent="0.35">
      <c r="A90" s="36"/>
      <c r="B90" s="34" t="s">
        <v>295</v>
      </c>
      <c r="D90" s="6">
        <f>SUM(0)</f>
        <v>0</v>
      </c>
      <c r="E90" s="12"/>
      <c r="F90" s="6">
        <f>SUM(0)</f>
        <v>0</v>
      </c>
      <c r="G90" s="5"/>
      <c r="H90" s="6">
        <f>SUM(0)</f>
        <v>0</v>
      </c>
      <c r="I90" s="5"/>
      <c r="J90" s="6">
        <f>SUM(0)</f>
        <v>0</v>
      </c>
      <c r="K90" s="5"/>
      <c r="L90" s="6">
        <f>SUM(0)</f>
        <v>0</v>
      </c>
      <c r="M90" s="5"/>
      <c r="N90" s="6">
        <f>SUM(0)</f>
        <v>0</v>
      </c>
      <c r="O90" s="5"/>
      <c r="P90" s="6">
        <f>SUM(0)</f>
        <v>0</v>
      </c>
      <c r="Q90" s="5"/>
      <c r="R90" s="6">
        <f>SUM(0)</f>
        <v>0</v>
      </c>
    </row>
    <row r="91" spans="1:18" x14ac:dyDescent="0.35">
      <c r="A91" s="12"/>
      <c r="B91" s="7"/>
      <c r="C91" s="7"/>
      <c r="D91" s="6"/>
      <c r="F91" s="6"/>
      <c r="H91" s="6"/>
      <c r="J91" s="6"/>
      <c r="L91" s="6"/>
      <c r="N91" s="6"/>
      <c r="P91" s="6"/>
      <c r="R91" s="6"/>
    </row>
    <row r="92" spans="1:18" s="15" customFormat="1" x14ac:dyDescent="0.35">
      <c r="A92" s="7"/>
      <c r="B92" s="22" t="s">
        <v>279</v>
      </c>
      <c r="C92" s="22"/>
      <c r="D92" s="10">
        <f>+D21-D24+D90</f>
        <v>156767.02000000002</v>
      </c>
      <c r="E92" s="12"/>
      <c r="F92" s="10">
        <f>+F21-F24+F90</f>
        <v>141453.86000000004</v>
      </c>
      <c r="G92" s="5"/>
      <c r="H92" s="10">
        <f>+H21-H24+H90</f>
        <v>181508.12999999995</v>
      </c>
      <c r="I92" s="5"/>
      <c r="J92" s="10">
        <f>+J21-J24+J90</f>
        <v>89511.130000000063</v>
      </c>
      <c r="K92" s="5"/>
      <c r="L92" s="10">
        <f>+L21-L24+L90</f>
        <v>88384.62</v>
      </c>
      <c r="M92" s="5"/>
      <c r="N92" s="10">
        <f>+N21-N24+N90</f>
        <v>41806.929999999993</v>
      </c>
      <c r="O92" s="5"/>
      <c r="P92" s="10">
        <f>+P21-P24+P90</f>
        <v>-22972</v>
      </c>
      <c r="Q92" s="5"/>
      <c r="R92" s="10">
        <f>+R21-R24+R90</f>
        <v>0</v>
      </c>
    </row>
    <row r="93" spans="1:18" s="27" customFormat="1" x14ac:dyDescent="0.35">
      <c r="A93" s="18"/>
      <c r="B93" s="31"/>
      <c r="C93" s="18"/>
      <c r="D93" s="9">
        <f>IFERROR(D92/D10, 0)</f>
        <v>0.21963998476991853</v>
      </c>
      <c r="E93" s="18"/>
      <c r="F93" s="9">
        <f>IFERROR(F92/F10, 0)</f>
        <v>0.18169257745769024</v>
      </c>
      <c r="G93" s="14"/>
      <c r="H93" s="9">
        <f>IFERROR(H92/H10, 0)</f>
        <v>0.20773819293035067</v>
      </c>
      <c r="I93" s="14"/>
      <c r="J93" s="9">
        <f>IFERROR(J92/J10, 0)</f>
        <v>0.11356505318954045</v>
      </c>
      <c r="K93" s="14"/>
      <c r="L93" s="9">
        <f>IFERROR(L92/L10, 0)</f>
        <v>0.11077897260794035</v>
      </c>
      <c r="M93" s="14"/>
      <c r="N93" s="9">
        <f>IFERROR(N92/N10, 0)</f>
        <v>7.0628017537982951E-2</v>
      </c>
      <c r="O93" s="14"/>
      <c r="P93" s="9">
        <f>IFERROR(P92/P10, 0)</f>
        <v>0</v>
      </c>
      <c r="Q93" s="14"/>
      <c r="R93" s="9">
        <f>IFERROR(R92/R10, 0)</f>
        <v>0</v>
      </c>
    </row>
    <row r="94" spans="1:18" s="27" customFormat="1" x14ac:dyDescent="0.35">
      <c r="A94" s="18"/>
      <c r="B94" s="31"/>
      <c r="C94" s="18"/>
      <c r="D94" s="13"/>
      <c r="E94" s="18"/>
      <c r="F94" s="13"/>
      <c r="G94" s="14"/>
      <c r="H94" s="13"/>
      <c r="I94" s="14"/>
      <c r="J94" s="13"/>
      <c r="K94" s="14"/>
      <c r="L94" s="13"/>
      <c r="M94" s="14"/>
      <c r="N94" s="13"/>
      <c r="O94" s="14"/>
      <c r="P94" s="13"/>
      <c r="Q94" s="14"/>
      <c r="R94" s="13"/>
    </row>
    <row r="95" spans="1:18" s="15" customFormat="1" x14ac:dyDescent="0.35">
      <c r="A95" s="37"/>
      <c r="B95" s="7" t="s">
        <v>127</v>
      </c>
      <c r="C95" s="7"/>
      <c r="D95" s="6">
        <v>155102.26</v>
      </c>
      <c r="E95" s="12"/>
      <c r="F95" s="6">
        <v>110829.72</v>
      </c>
      <c r="G95" s="5"/>
      <c r="H95" s="6">
        <v>116823.4</v>
      </c>
      <c r="I95" s="5"/>
      <c r="J95" s="6">
        <v>105786.06</v>
      </c>
      <c r="K95" s="5"/>
      <c r="L95" s="6">
        <v>56868.18</v>
      </c>
      <c r="M95" s="5"/>
      <c r="N95" s="6">
        <v>89631.78</v>
      </c>
      <c r="O95" s="5"/>
      <c r="P95" s="6"/>
      <c r="Q95" s="5"/>
      <c r="R95" s="6"/>
    </row>
    <row r="96" spans="1:18" x14ac:dyDescent="0.35">
      <c r="A96" s="12"/>
      <c r="B96" s="7"/>
      <c r="C96" s="7"/>
      <c r="D96" s="6"/>
      <c r="F96" s="6"/>
      <c r="H96" s="6"/>
      <c r="J96" s="6"/>
      <c r="L96" s="6"/>
      <c r="N96" s="6"/>
      <c r="P96" s="6"/>
      <c r="R96" s="6"/>
    </row>
    <row r="97" spans="1:18" s="15" customFormat="1" x14ac:dyDescent="0.35">
      <c r="A97" s="7"/>
      <c r="B97" s="22" t="s">
        <v>126</v>
      </c>
      <c r="C97" s="22"/>
      <c r="D97" s="10">
        <f>+D92-D95</f>
        <v>1664.7600000000093</v>
      </c>
      <c r="E97" s="12"/>
      <c r="F97" s="10">
        <f>+F92-F95</f>
        <v>30624.140000000043</v>
      </c>
      <c r="G97" s="5"/>
      <c r="H97" s="10">
        <f>+H92-H95</f>
        <v>64684.729999999952</v>
      </c>
      <c r="I97" s="5"/>
      <c r="J97" s="10">
        <f>+J92-J95</f>
        <v>-16274.929999999935</v>
      </c>
      <c r="K97" s="5"/>
      <c r="L97" s="10">
        <f>+L92-L95</f>
        <v>31516.439999999995</v>
      </c>
      <c r="M97" s="5"/>
      <c r="N97" s="10">
        <f>+N92-N95</f>
        <v>-47824.850000000006</v>
      </c>
      <c r="O97" s="5"/>
      <c r="P97" s="10">
        <f>+P92-P95</f>
        <v>-22972</v>
      </c>
      <c r="Q97" s="5"/>
      <c r="R97" s="10">
        <f>+R92-R95</f>
        <v>0</v>
      </c>
    </row>
    <row r="98" spans="1:18" s="27" customFormat="1" x14ac:dyDescent="0.35">
      <c r="A98" s="18"/>
      <c r="B98" s="18"/>
      <c r="C98" s="18"/>
      <c r="D98" s="9">
        <f>IFERROR(D97/D10, 0)</f>
        <v>2.3324284728099801E-3</v>
      </c>
      <c r="E98" s="18"/>
      <c r="F98" s="9">
        <f>IFERROR(F97/F10, 0)</f>
        <v>3.9335645764810911E-2</v>
      </c>
      <c r="G98" s="14"/>
      <c r="H98" s="9">
        <f>IFERROR(H97/H10, 0)</f>
        <v>7.4032435463841959E-2</v>
      </c>
      <c r="I98" s="14"/>
      <c r="J98" s="9">
        <f>IFERROR(J97/J10, 0)</f>
        <v>-2.0648418706210491E-2</v>
      </c>
      <c r="K98" s="14"/>
      <c r="L98" s="9">
        <f>IFERROR(L97/L10, 0)</f>
        <v>3.950188215392899E-2</v>
      </c>
      <c r="M98" s="14"/>
      <c r="N98" s="9">
        <f>IFERROR(N97/N10, 0)</f>
        <v>-8.0794603778641602E-2</v>
      </c>
      <c r="O98" s="14"/>
      <c r="P98" s="9">
        <f>IFERROR(P97/P10, 0)</f>
        <v>0</v>
      </c>
      <c r="Q98" s="14"/>
      <c r="R98" s="9">
        <f>IFERROR(R97/R10, 0)</f>
        <v>0</v>
      </c>
    </row>
    <row r="99" spans="1:18" s="27" customFormat="1" x14ac:dyDescent="0.35">
      <c r="A99" s="18"/>
      <c r="B99" s="18"/>
      <c r="C99" s="18"/>
      <c r="D99" s="13"/>
      <c r="E99" s="18"/>
      <c r="F99" s="13"/>
      <c r="G99" s="14"/>
      <c r="H99" s="13"/>
      <c r="I99" s="14"/>
      <c r="J99" s="13"/>
      <c r="K99" s="14"/>
      <c r="L99" s="13"/>
      <c r="M99" s="14"/>
      <c r="N99" s="13"/>
      <c r="O99" s="14"/>
      <c r="P99" s="13"/>
      <c r="Q99" s="14"/>
      <c r="R99" s="13"/>
    </row>
    <row r="100" spans="1:18" x14ac:dyDescent="0.35">
      <c r="A100" s="12"/>
      <c r="B100" s="12"/>
      <c r="C100" s="12"/>
      <c r="D100" s="6"/>
      <c r="F100" s="6"/>
      <c r="H100" s="6"/>
      <c r="J100" s="6"/>
      <c r="L100" s="6"/>
      <c r="N100" s="6"/>
      <c r="P100" s="6"/>
      <c r="R100" s="6"/>
    </row>
    <row r="101" spans="1:18" s="15" customFormat="1" x14ac:dyDescent="0.35">
      <c r="A101" s="7"/>
      <c r="B101" s="22" t="s">
        <v>296</v>
      </c>
      <c r="C101" s="22"/>
      <c r="D101" s="10">
        <f>SUM(D97:D100)</f>
        <v>1664.7623324284821</v>
      </c>
      <c r="E101" s="12"/>
      <c r="F101" s="10">
        <f>SUM(F97:F100)</f>
        <v>30624.179335645807</v>
      </c>
      <c r="G101" s="5"/>
      <c r="H101" s="10">
        <f>SUM(H97:H100)</f>
        <v>64684.804032435415</v>
      </c>
      <c r="I101" s="5"/>
      <c r="J101" s="10">
        <f>SUM(J97:J100)</f>
        <v>-16274.95064841864</v>
      </c>
      <c r="K101" s="5"/>
      <c r="L101" s="10">
        <f>SUM(L97:L100)</f>
        <v>31516.47950188215</v>
      </c>
      <c r="M101" s="5"/>
      <c r="N101" s="10">
        <f>SUM(N97:N100)</f>
        <v>-47824.930794603788</v>
      </c>
      <c r="O101" s="5"/>
      <c r="P101" s="10">
        <f>SUM(P97:P100)</f>
        <v>-22972</v>
      </c>
      <c r="Q101" s="5"/>
      <c r="R101" s="10">
        <f>SUM(R97:R100)</f>
        <v>0</v>
      </c>
    </row>
    <row r="102" spans="1:18" s="27" customFormat="1" x14ac:dyDescent="0.35">
      <c r="A102" s="18"/>
      <c r="B102" s="41"/>
      <c r="C102" s="18"/>
      <c r="D102" s="9">
        <f>IFERROR(D101/D10, 0)</f>
        <v>2.3324317406819739E-3</v>
      </c>
      <c r="E102" s="18"/>
      <c r="F102" s="9">
        <f>IFERROR(F101/F10, 0)</f>
        <v>3.933569629008371E-2</v>
      </c>
      <c r="G102" s="14"/>
      <c r="H102" s="9">
        <f>IFERROR(H101/H10, 0)</f>
        <v>7.4032520194836443E-2</v>
      </c>
      <c r="I102" s="14"/>
      <c r="J102" s="9">
        <f>IFERROR(J101/J10, 0)</f>
        <v>-2.064844490338584E-2</v>
      </c>
      <c r="K102" s="14"/>
      <c r="L102" s="9">
        <f>IFERROR(L101/L10, 0)</f>
        <v>3.950193166455563E-2</v>
      </c>
      <c r="M102" s="14"/>
      <c r="N102" s="9">
        <f>IFERROR(N101/N10, 0)</f>
        <v>-8.0794740271866353E-2</v>
      </c>
      <c r="O102" s="14"/>
      <c r="P102" s="9">
        <f>IFERROR(P101/P10, 0)</f>
        <v>0</v>
      </c>
      <c r="Q102" s="14"/>
      <c r="R102" s="9">
        <f>IFERROR(R101/R10, 0)</f>
        <v>0</v>
      </c>
    </row>
    <row r="103" spans="1:18" x14ac:dyDescent="0.35">
      <c r="A103" s="12"/>
      <c r="B103" s="40">
        <v>44319.883572604165</v>
      </c>
      <c r="D103" s="24"/>
      <c r="F103" s="24"/>
      <c r="H103" s="24"/>
      <c r="J103" s="24"/>
      <c r="L103" s="24"/>
      <c r="N103" s="24"/>
      <c r="P103" s="24"/>
      <c r="R103" s="24"/>
    </row>
    <row r="104" spans="1:18" x14ac:dyDescent="0.35">
      <c r="A104" s="12"/>
      <c r="B104" s="39" t="s">
        <v>23</v>
      </c>
      <c r="D104" s="24"/>
      <c r="F104" s="24"/>
      <c r="H104" s="24"/>
      <c r="J104" s="24"/>
      <c r="L104" s="24"/>
      <c r="N104" s="24"/>
      <c r="P104" s="24"/>
      <c r="R104" s="24"/>
    </row>
    <row r="105" spans="1:18" x14ac:dyDescent="0.35">
      <c r="A105" s="12"/>
      <c r="D105" s="24"/>
      <c r="F105" s="24"/>
      <c r="H105" s="24"/>
      <c r="J105" s="24"/>
      <c r="L105" s="24"/>
      <c r="N105" s="24"/>
      <c r="P105" s="24"/>
      <c r="R105" s="24"/>
    </row>
    <row r="106" spans="1:18" x14ac:dyDescent="0.35">
      <c r="D106" s="24"/>
      <c r="F106" s="24"/>
      <c r="H106" s="24"/>
      <c r="J106" s="24"/>
      <c r="L106" s="24"/>
      <c r="N106" s="24"/>
      <c r="P106" s="24"/>
      <c r="R106" s="24"/>
    </row>
  </sheetData>
  <pageMargins left="0.5" right="0.5" top="0.5" bottom="0.5" header="0.3" footer="0.3"/>
  <pageSetup scale="59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2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","415", " - ", "Outpost")</f>
        <v>Department 415 - Outpost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769502.03</v>
      </c>
      <c r="F10" s="8">
        <f>SUM(OSRRefF11x_0)</f>
        <v>764348.62</v>
      </c>
      <c r="G10" s="8"/>
      <c r="H10" s="8">
        <f>SUM(OSRRefH11x_0)</f>
        <v>852011.22</v>
      </c>
      <c r="I10" s="8"/>
      <c r="J10" s="8">
        <f>SUM(OSRRefJ11x_0)</f>
        <v>911441.34</v>
      </c>
      <c r="K10" s="8"/>
      <c r="L10" s="8">
        <f>SUM(OSRRefL11x_0)</f>
        <v>919772.05999999994</v>
      </c>
      <c r="M10" s="8"/>
      <c r="N10" s="8">
        <f>SUM(OSRRefN11x_0)</f>
        <v>651784.93999999994</v>
      </c>
      <c r="O10" s="8"/>
      <c r="P10" s="8">
        <f>SUM(OSRRefP11x_0)</f>
        <v>233685</v>
      </c>
      <c r="Q10" s="8"/>
      <c r="R10" s="8">
        <f>SUM(OSRRefR11x_0)</f>
        <v>673950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72679</v>
      </c>
      <c r="Q11" s="3"/>
      <c r="R11" s="11">
        <v>209616</v>
      </c>
    </row>
    <row r="12" spans="1:18" s="16" customFormat="1" hidden="1" outlineLevel="1" x14ac:dyDescent="0.35">
      <c r="B12" s="35" t="str">
        <f>CONCATENATE("          ", "4051", " - ", "TAXABLE SALES-FOOD")</f>
        <v xml:space="preserve">          4051 - TAXABLE SALES-FOOD</v>
      </c>
      <c r="D12" s="11">
        <f>-145408.35*-1</f>
        <v>145408.35</v>
      </c>
      <c r="F12" s="11">
        <f>-203301.33*-1</f>
        <v>203301.33</v>
      </c>
      <c r="G12" s="3"/>
      <c r="H12" s="11">
        <f>-307335.79*-1</f>
        <v>307335.78999999998</v>
      </c>
      <c r="I12" s="3"/>
      <c r="J12" s="11">
        <f>--330304.13</f>
        <v>330304.13</v>
      </c>
      <c r="K12" s="3"/>
      <c r="L12" s="11">
        <f>--301396.61</f>
        <v>301396.61</v>
      </c>
      <c r="M12" s="3"/>
      <c r="N12" s="11">
        <f>--203771.51</f>
        <v>203771.51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161006</v>
      </c>
      <c r="Q13" s="3"/>
      <c r="R13" s="11">
        <v>464334</v>
      </c>
    </row>
    <row r="14" spans="1:18" s="16" customFormat="1" hidden="1" outlineLevel="1" x14ac:dyDescent="0.35">
      <c r="B14" s="35" t="str">
        <f>CONCATENATE("          ", "4151", " - ", "NON-TAXABLE SALES-FOOD")</f>
        <v xml:space="preserve">          4151 - NON-TAXABLE SALES-FOOD</v>
      </c>
      <c r="D14" s="11">
        <f>-624093.68*-1</f>
        <v>624093.68000000005</v>
      </c>
      <c r="F14" s="11">
        <f>-561047.29*-1</f>
        <v>561047.29</v>
      </c>
      <c r="G14" s="3"/>
      <c r="H14" s="11">
        <f>-544675.43*-1</f>
        <v>544675.43000000005</v>
      </c>
      <c r="I14" s="3"/>
      <c r="J14" s="11">
        <f>--581137.21</f>
        <v>581137.21</v>
      </c>
      <c r="K14" s="3"/>
      <c r="L14" s="11">
        <f>--618375.45</f>
        <v>618375.44999999995</v>
      </c>
      <c r="M14" s="3"/>
      <c r="N14" s="11">
        <f>--448013.43</f>
        <v>448013.43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254994.64</v>
      </c>
      <c r="E16" s="8"/>
      <c r="F16" s="8">
        <f>SUM(OSRRefF14x_0)</f>
        <v>246428.4</v>
      </c>
      <c r="G16" s="8"/>
      <c r="H16" s="8">
        <f>SUM(OSRRefH14x_0)</f>
        <v>279290.48</v>
      </c>
      <c r="I16" s="8"/>
      <c r="J16" s="8">
        <f>SUM(OSRRefJ14x_0)</f>
        <v>307057.09999999998</v>
      </c>
      <c r="K16" s="8"/>
      <c r="L16" s="8">
        <f>SUM(OSRRefL14x_0)</f>
        <v>290475.7</v>
      </c>
      <c r="M16" s="8"/>
      <c r="N16" s="8">
        <f>SUM(OSRRefN14x_0)</f>
        <v>220251.98</v>
      </c>
      <c r="O16" s="8"/>
      <c r="P16" s="8">
        <f>SUM(OSRRefP14x_0)</f>
        <v>73448</v>
      </c>
      <c r="Q16" s="8"/>
      <c r="R16" s="8">
        <f>SUM(OSRRefR14x_0)</f>
        <v>215377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73448</v>
      </c>
      <c r="Q17" s="3"/>
      <c r="R17" s="11">
        <v>215377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254994.64</v>
      </c>
      <c r="E18" s="16"/>
      <c r="F18" s="11">
        <v>246428.4</v>
      </c>
      <c r="G18" s="3"/>
      <c r="H18" s="11">
        <v>278916.43</v>
      </c>
      <c r="I18" s="3"/>
      <c r="J18" s="11">
        <v>307057.09999999998</v>
      </c>
      <c r="K18" s="3"/>
      <c r="L18" s="11">
        <v>290943.7</v>
      </c>
      <c r="M18" s="3"/>
      <c r="N18" s="11">
        <v>214473.98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/>
      <c r="E19" s="16"/>
      <c r="F19" s="11"/>
      <c r="G19" s="3"/>
      <c r="H19" s="11">
        <v>374.05</v>
      </c>
      <c r="I19" s="3"/>
      <c r="J19" s="11"/>
      <c r="K19" s="3"/>
      <c r="L19" s="11">
        <v>-468</v>
      </c>
      <c r="M19" s="3"/>
      <c r="N19" s="11">
        <v>5778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514507.39</v>
      </c>
      <c r="E21" s="12"/>
      <c r="F21" s="10">
        <f>+F10-F16</f>
        <v>517920.22</v>
      </c>
      <c r="G21" s="5"/>
      <c r="H21" s="10">
        <f>+H10-H16</f>
        <v>572720.74</v>
      </c>
      <c r="I21" s="5"/>
      <c r="J21" s="10">
        <f>+J10-J16</f>
        <v>604384.24</v>
      </c>
      <c r="K21" s="5"/>
      <c r="L21" s="10">
        <f>+L10-L16</f>
        <v>629296.35999999987</v>
      </c>
      <c r="M21" s="5"/>
      <c r="N21" s="10">
        <f>+N10-N16</f>
        <v>431532.95999999996</v>
      </c>
      <c r="O21" s="5"/>
      <c r="P21" s="10">
        <f>+P10-P16</f>
        <v>160237</v>
      </c>
      <c r="Q21" s="5"/>
      <c r="R21" s="10">
        <f>+R10-R16</f>
        <v>458573</v>
      </c>
    </row>
    <row r="22" spans="1:18" s="27" customFormat="1" x14ac:dyDescent="0.35">
      <c r="A22" s="18"/>
      <c r="B22" s="31"/>
      <c r="C22" s="18"/>
      <c r="D22" s="9">
        <f>IFERROR(D21/D10, 0)</f>
        <v>0.66862382416327093</v>
      </c>
      <c r="E22" s="13"/>
      <c r="F22" s="9">
        <f>IFERROR(F21/F10, 0)</f>
        <v>0.67759685364513378</v>
      </c>
      <c r="G22" s="26"/>
      <c r="H22" s="9">
        <f>IFERROR(H21/H10, 0)</f>
        <v>0.67219858912186625</v>
      </c>
      <c r="I22" s="26"/>
      <c r="J22" s="9">
        <f>IFERROR(J21/J10, 0)</f>
        <v>0.66310821495105765</v>
      </c>
      <c r="K22" s="26"/>
      <c r="L22" s="9">
        <f>IFERROR(L21/L10, 0)</f>
        <v>0.68418729744845685</v>
      </c>
      <c r="M22" s="26"/>
      <c r="N22" s="9">
        <f>IFERROR(N21/N10, 0)</f>
        <v>0.66207875254067694</v>
      </c>
      <c r="O22" s="26"/>
      <c r="P22" s="9">
        <f>IFERROR(P21/P10, 0)</f>
        <v>0.68569655733145041</v>
      </c>
      <c r="Q22" s="26"/>
      <c r="R22" s="9">
        <f>IFERROR(R21/R10, 0)</f>
        <v>0.68042584761480818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695128.94</v>
      </c>
      <c r="E24" s="19"/>
      <c r="F24" s="8">
        <f>SUM(OSRRefF21x_0)</f>
        <v>698610.83</v>
      </c>
      <c r="G24" s="4"/>
      <c r="H24" s="8">
        <f>SUM(OSRRefH21x_0)</f>
        <v>709204.61999999988</v>
      </c>
      <c r="I24" s="4"/>
      <c r="J24" s="8">
        <f>SUM(OSRRefJ21x_0)</f>
        <v>781387.75000000023</v>
      </c>
      <c r="K24" s="4"/>
      <c r="L24" s="8">
        <f>SUM(OSRRefL21x_0)</f>
        <v>792476.2899999998</v>
      </c>
      <c r="M24" s="4"/>
      <c r="N24" s="8">
        <f>SUM(OSRRefN21x_0)</f>
        <v>748397.76000000013</v>
      </c>
      <c r="O24" s="4"/>
      <c r="P24" s="8">
        <f>SUM(OSRRefP21x_0)</f>
        <v>669321.67845838459</v>
      </c>
      <c r="Q24" s="4"/>
      <c r="R24" s="8">
        <f>SUM(OSRRefR21x_0)</f>
        <v>698392.78880830365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83124.06</v>
      </c>
      <c r="E25" s="19"/>
      <c r="F25" s="1">
        <f>SUM(OSRRefF21_0x_0)</f>
        <v>79884.48000000001</v>
      </c>
      <c r="G25" s="4"/>
      <c r="H25" s="1">
        <f>SUM(OSRRefH21_0x_0)</f>
        <v>70974.11</v>
      </c>
      <c r="I25" s="4"/>
      <c r="J25" s="1">
        <f>SUM(OSRRefJ21_0x_0)</f>
        <v>90290.24000000002</v>
      </c>
      <c r="K25" s="4"/>
      <c r="L25" s="1">
        <f>SUM(OSRRefL21_0x_0)</f>
        <v>90493.290000000008</v>
      </c>
      <c r="M25" s="4"/>
      <c r="N25" s="1">
        <f>SUM(OSRRefN21_0x_0)</f>
        <v>89133.300000000017</v>
      </c>
      <c r="O25" s="4"/>
      <c r="P25" s="1">
        <f>SUM(OSRRefP21_0x_0)</f>
        <v>74078.812858384597</v>
      </c>
      <c r="Q25" s="4"/>
      <c r="R25" s="1">
        <f>SUM(OSRRefR21_0x_0)</f>
        <v>78186.793768303702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11946.84</v>
      </c>
      <c r="F26" s="2">
        <v>11402.77</v>
      </c>
      <c r="G26" s="3"/>
      <c r="H26" s="2">
        <v>14664.64</v>
      </c>
      <c r="I26" s="3"/>
      <c r="J26" s="2">
        <v>16580.5</v>
      </c>
      <c r="K26" s="3"/>
      <c r="L26" s="2">
        <v>16024.23</v>
      </c>
      <c r="M26" s="3"/>
      <c r="N26" s="2">
        <v>14083.42</v>
      </c>
      <c r="O26" s="3"/>
      <c r="P26" s="2">
        <v>8483.2050930000005</v>
      </c>
      <c r="Q26" s="3"/>
      <c r="R26" s="2">
        <v>10993.670202996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4229.43</v>
      </c>
      <c r="F27" s="2">
        <v>7242.13</v>
      </c>
      <c r="G27" s="3"/>
      <c r="H27" s="2">
        <v>10073.4</v>
      </c>
      <c r="I27" s="3"/>
      <c r="J27" s="2">
        <v>8265.19</v>
      </c>
      <c r="K27" s="3"/>
      <c r="L27" s="2">
        <v>9287.89</v>
      </c>
      <c r="M27" s="3"/>
      <c r="N27" s="2">
        <v>8055.46</v>
      </c>
      <c r="O27" s="3"/>
      <c r="P27" s="2">
        <v>7602.6873779999996</v>
      </c>
      <c r="Q27" s="3"/>
      <c r="R27" s="2">
        <v>7866.4506900300003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40937.43</v>
      </c>
      <c r="F28" s="2">
        <v>38715.980000000003</v>
      </c>
      <c r="G28" s="3"/>
      <c r="H28" s="2">
        <v>36914.199999999997</v>
      </c>
      <c r="I28" s="3"/>
      <c r="J28" s="2">
        <v>39369.120000000003</v>
      </c>
      <c r="K28" s="3"/>
      <c r="L28" s="2">
        <v>37589.17</v>
      </c>
      <c r="M28" s="3"/>
      <c r="N28" s="2">
        <v>38508.720000000001</v>
      </c>
      <c r="O28" s="3"/>
      <c r="P28" s="2">
        <v>39134.884615384603</v>
      </c>
      <c r="Q28" s="3"/>
      <c r="R28" s="2">
        <v>43706.907692307701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1205.5899999999999</v>
      </c>
      <c r="F29" s="2">
        <v>1262.8900000000001</v>
      </c>
      <c r="G29" s="3"/>
      <c r="H29" s="2">
        <v>798.75</v>
      </c>
      <c r="I29" s="3"/>
      <c r="J29" s="2">
        <v>873.29</v>
      </c>
      <c r="K29" s="3"/>
      <c r="L29" s="2">
        <v>770.87</v>
      </c>
      <c r="M29" s="3"/>
      <c r="N29" s="2">
        <v>0</v>
      </c>
      <c r="O29" s="3"/>
      <c r="P29" s="2">
        <v>460.76893200000001</v>
      </c>
      <c r="Q29" s="3"/>
      <c r="R29" s="2">
        <v>435.87193796999998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8304.41</v>
      </c>
      <c r="F30" s="2">
        <v>4915.3500000000004</v>
      </c>
      <c r="G30" s="3"/>
      <c r="H30" s="2">
        <v>9076.9699999999993</v>
      </c>
      <c r="I30" s="3"/>
      <c r="J30" s="2">
        <v>6722.92</v>
      </c>
      <c r="K30" s="3"/>
      <c r="L30" s="2">
        <v>6183.04</v>
      </c>
      <c r="M30" s="3"/>
      <c r="N30" s="2">
        <v>6682.96</v>
      </c>
      <c r="O30" s="3"/>
      <c r="P30" s="2">
        <v>5644.3124399999997</v>
      </c>
      <c r="Q30" s="3"/>
      <c r="R30" s="2">
        <v>5687.4560600000004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"6117", " - ", "RETIREMENT STAFF HOURLY")</f>
        <v xml:space="preserve">          6117 - RETIREMENT STAFF HOURLY</v>
      </c>
      <c r="D32" s="2"/>
      <c r="F32" s="2"/>
      <c r="G32" s="3"/>
      <c r="H32" s="2"/>
      <c r="I32" s="3"/>
      <c r="J32" s="2">
        <v>33.32</v>
      </c>
      <c r="K32" s="3"/>
      <c r="L32" s="2"/>
      <c r="M32" s="3"/>
      <c r="N32" s="2"/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"6118", " - ", "VACATION")</f>
        <v xml:space="preserve">          6118 - VACATION</v>
      </c>
      <c r="D33" s="2">
        <v>6865.58</v>
      </c>
      <c r="F33" s="2">
        <v>7192.45</v>
      </c>
      <c r="G33" s="3"/>
      <c r="H33" s="2">
        <v>8291.16</v>
      </c>
      <c r="I33" s="3"/>
      <c r="J33" s="2">
        <v>9131.68</v>
      </c>
      <c r="K33" s="3"/>
      <c r="L33" s="2">
        <v>9659.27</v>
      </c>
      <c r="M33" s="3"/>
      <c r="N33" s="2">
        <v>9445.0300000000007</v>
      </c>
      <c r="O33" s="3"/>
      <c r="P33" s="2">
        <v>5311.7070000000003</v>
      </c>
      <c r="Q33" s="3"/>
      <c r="R33" s="2">
        <v>3078.6423960000002</v>
      </c>
    </row>
    <row r="34" spans="1:18" s="16" customFormat="1" hidden="1" outlineLevel="2" x14ac:dyDescent="0.35">
      <c r="B34" s="11" t="str">
        <f>CONCATENATE("          ", "6119", " - ", "SICK LEAVE")</f>
        <v xml:space="preserve">          6119 - SICK LEAVE</v>
      </c>
      <c r="D34" s="2">
        <v>4855.66</v>
      </c>
      <c r="F34" s="2">
        <v>5592.31</v>
      </c>
      <c r="G34" s="3"/>
      <c r="H34" s="2">
        <v>-12278.7</v>
      </c>
      <c r="I34" s="3"/>
      <c r="J34" s="2">
        <v>5805.2</v>
      </c>
      <c r="K34" s="3"/>
      <c r="L34" s="2">
        <v>7700.63</v>
      </c>
      <c r="M34" s="3"/>
      <c r="N34" s="2">
        <v>9126.6299999999992</v>
      </c>
      <c r="O34" s="3"/>
      <c r="P34" s="2">
        <v>7441.2474000000002</v>
      </c>
      <c r="Q34" s="3"/>
      <c r="R34" s="2">
        <v>3101.794789</v>
      </c>
    </row>
    <row r="35" spans="1:18" s="16" customFormat="1" hidden="1" outlineLevel="2" x14ac:dyDescent="0.35">
      <c r="B35" s="11" t="str">
        <f>CONCATENATE("          ", "6156", " - ", "EMPLOYEE MEALS")</f>
        <v xml:space="preserve">          6156 - EMPLOYEE MEALS</v>
      </c>
      <c r="D35" s="2">
        <v>4779.12</v>
      </c>
      <c r="F35" s="2">
        <v>3560.6</v>
      </c>
      <c r="G35" s="3"/>
      <c r="H35" s="2">
        <v>3433.69</v>
      </c>
      <c r="I35" s="3"/>
      <c r="J35" s="2">
        <v>3509.02</v>
      </c>
      <c r="K35" s="3"/>
      <c r="L35" s="2">
        <v>3278.19</v>
      </c>
      <c r="M35" s="3"/>
      <c r="N35" s="2">
        <v>3231.08</v>
      </c>
      <c r="O35" s="3"/>
      <c r="P35" s="2"/>
      <c r="Q35" s="3"/>
      <c r="R35" s="2">
        <v>3316</v>
      </c>
    </row>
    <row r="36" spans="1:18" s="15" customFormat="1" outlineLevel="1" collapsed="1" x14ac:dyDescent="0.35">
      <c r="A36" s="7"/>
      <c r="B36" s="20" t="str">
        <f>CONCATENATE("     ","*Payroll                                          ")</f>
        <v xml:space="preserve">     *Payroll                                          </v>
      </c>
      <c r="C36" s="7"/>
      <c r="D36" s="1">
        <f>SUM(OSRRefD21_1x_0)</f>
        <v>185821.87</v>
      </c>
      <c r="E36" s="19"/>
      <c r="F36" s="1">
        <f>SUM(OSRRefF21_1x_0)</f>
        <v>190968.04</v>
      </c>
      <c r="G36" s="4"/>
      <c r="H36" s="1">
        <f>SUM(OSRRefH21_1x_0)</f>
        <v>247418.01</v>
      </c>
      <c r="I36" s="4"/>
      <c r="J36" s="1">
        <f>SUM(OSRRefJ21_1x_0)</f>
        <v>270369.08</v>
      </c>
      <c r="K36" s="4"/>
      <c r="L36" s="1">
        <f>SUM(OSRRefL21_1x_0)</f>
        <v>274308.62</v>
      </c>
      <c r="M36" s="4"/>
      <c r="N36" s="1">
        <f>SUM(OSRRefN21_1x_0)</f>
        <v>235600.61</v>
      </c>
      <c r="O36" s="4"/>
      <c r="P36" s="1">
        <f>SUM(OSRRefP21_1x_0)</f>
        <v>164465.86559999999</v>
      </c>
      <c r="Q36" s="4"/>
      <c r="R36" s="1">
        <f>SUM(OSRRefR21_1x_0)</f>
        <v>202426.99504000001</v>
      </c>
    </row>
    <row r="37" spans="1:18" s="16" customFormat="1" hidden="1" outlineLevel="2" x14ac:dyDescent="0.35">
      <c r="B37" s="11" t="str">
        <f>CONCATENATE("          ", "6001", " - ", "ADMINISTRATIVE SALARIES")</f>
        <v xml:space="preserve">          6001 - ADMINISTRATIVE SALARIES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"6002", " - ", "STAFF SALARIES")</f>
        <v xml:space="preserve">          6002 - STAFF SALARIES</v>
      </c>
      <c r="D38" s="2">
        <v>56623.07</v>
      </c>
      <c r="F38" s="2">
        <v>50369.23</v>
      </c>
      <c r="G38" s="3"/>
      <c r="H38" s="2">
        <v>98404.5</v>
      </c>
      <c r="I38" s="3"/>
      <c r="J38" s="2">
        <v>64753.56</v>
      </c>
      <c r="K38" s="3"/>
      <c r="L38" s="2">
        <v>61535.67</v>
      </c>
      <c r="M38" s="3"/>
      <c r="N38" s="2">
        <v>57401.88</v>
      </c>
      <c r="O38" s="3"/>
      <c r="P38" s="2">
        <v>59068.385999999999</v>
      </c>
      <c r="Q38" s="3"/>
      <c r="R38" s="2">
        <v>62826.549500000001</v>
      </c>
    </row>
    <row r="39" spans="1:18" s="16" customFormat="1" hidden="1" outlineLevel="2" x14ac:dyDescent="0.35">
      <c r="B39" s="11" t="str">
        <f>CONCATENATE("          ", "6003", " - ", "STAFF HOURLY-9 MONTH")</f>
        <v xml:space="preserve">          6003 - STAFF HOURLY-9 MONTH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"6004", " - ", "STAFF HOURLY")</f>
        <v xml:space="preserve">          6004 - STAFF HOURLY</v>
      </c>
      <c r="D40" s="2">
        <v>25166.57</v>
      </c>
      <c r="F40" s="2">
        <v>41279.379999999997</v>
      </c>
      <c r="G40" s="3"/>
      <c r="H40" s="2">
        <v>3112</v>
      </c>
      <c r="I40" s="3"/>
      <c r="J40" s="2">
        <v>29340.400000000001</v>
      </c>
      <c r="K40" s="3"/>
      <c r="L40" s="2">
        <v>38267.120000000003</v>
      </c>
      <c r="M40" s="3"/>
      <c r="N40" s="2">
        <v>30886.32</v>
      </c>
      <c r="O40" s="3"/>
      <c r="P40" s="2">
        <v>36542.339999999997</v>
      </c>
      <c r="Q40" s="3"/>
      <c r="R40" s="2">
        <v>74416.793040000004</v>
      </c>
    </row>
    <row r="41" spans="1:18" s="16" customFormat="1" hidden="1" outlineLevel="2" x14ac:dyDescent="0.35">
      <c r="B41" s="11" t="str">
        <f>CONCATENATE("          ", "6005", " - ", "TEMPORARY WAGES-HOURLY")</f>
        <v xml:space="preserve">          6005 - TEMPORARY WAGES-HOURLY</v>
      </c>
      <c r="D41" s="2">
        <v>54378.95</v>
      </c>
      <c r="F41" s="2">
        <v>36728.14</v>
      </c>
      <c r="G41" s="3"/>
      <c r="H41" s="2">
        <v>71623.899999999994</v>
      </c>
      <c r="I41" s="3"/>
      <c r="J41" s="2">
        <v>84099.13</v>
      </c>
      <c r="K41" s="3"/>
      <c r="L41" s="2">
        <v>83511.14</v>
      </c>
      <c r="M41" s="3"/>
      <c r="N41" s="2">
        <v>71622.42</v>
      </c>
      <c r="O41" s="3"/>
      <c r="P41" s="2">
        <v>36362.196000000004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"6006", " - ", "TEMPORARY PART TIME")</f>
        <v xml:space="preserve">          6006 - TEMPORARY PART TIME</v>
      </c>
      <c r="D42" s="2"/>
      <c r="F42" s="2"/>
      <c r="G42" s="3"/>
      <c r="H42" s="2">
        <v>28.13</v>
      </c>
      <c r="I42" s="3"/>
      <c r="J42" s="2">
        <v>3752.07</v>
      </c>
      <c r="K42" s="3"/>
      <c r="L42" s="2">
        <v>616.69000000000005</v>
      </c>
      <c r="M42" s="3"/>
      <c r="N42" s="2">
        <v>200.5</v>
      </c>
      <c r="O42" s="3"/>
      <c r="P42" s="2">
        <v>0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"6007", " - ", "STUDENT HOURLY")</f>
        <v xml:space="preserve">          6007 - STUDENT HOURLY</v>
      </c>
      <c r="D43" s="2">
        <v>49621.78</v>
      </c>
      <c r="F43" s="2">
        <v>62220.04</v>
      </c>
      <c r="G43" s="3"/>
      <c r="H43" s="2">
        <v>71948.850000000006</v>
      </c>
      <c r="I43" s="3"/>
      <c r="J43" s="2">
        <v>83656.53</v>
      </c>
      <c r="K43" s="3"/>
      <c r="L43" s="2">
        <v>86776.8</v>
      </c>
      <c r="M43" s="3"/>
      <c r="N43" s="2">
        <v>73786.490000000005</v>
      </c>
      <c r="O43" s="3"/>
      <c r="P43" s="2">
        <v>4475.5411999999997</v>
      </c>
      <c r="Q43" s="3"/>
      <c r="R43" s="2">
        <v>1277.3599999999999</v>
      </c>
    </row>
    <row r="44" spans="1:18" s="16" customFormat="1" hidden="1" outlineLevel="2" x14ac:dyDescent="0.35">
      <c r="B44" s="11" t="str">
        <f>CONCATENATE("          ", "6008", " - ", "STUDENT HOURLY-FICA EXEMPT")</f>
        <v xml:space="preserve">          6008 - STUDENT HOURLY-FICA EXEMPT</v>
      </c>
      <c r="D44" s="2">
        <v>31.5</v>
      </c>
      <c r="F44" s="2">
        <v>371.25</v>
      </c>
      <c r="G44" s="3"/>
      <c r="H44" s="2">
        <v>2300.63</v>
      </c>
      <c r="I44" s="3"/>
      <c r="J44" s="2">
        <v>4767.3900000000003</v>
      </c>
      <c r="K44" s="3"/>
      <c r="L44" s="2">
        <v>3601.2</v>
      </c>
      <c r="M44" s="3"/>
      <c r="N44" s="2">
        <v>1703</v>
      </c>
      <c r="O44" s="3"/>
      <c r="P44" s="2">
        <v>28017.402399999999</v>
      </c>
      <c r="Q44" s="3"/>
      <c r="R44" s="2">
        <v>63906.292500000003</v>
      </c>
    </row>
    <row r="45" spans="1:18" s="16" customFormat="1" hidden="1" outlineLevel="2" x14ac:dyDescent="0.35">
      <c r="B45" s="11" t="str">
        <f>CONCATENATE("          ", "6009", " - ", "TEMPORARY-SEASONAL")</f>
        <v xml:space="preserve">          6009 - TEMPORARY-SEASONAL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6" customFormat="1" hidden="1" outlineLevel="2" x14ac:dyDescent="0.35">
      <c r="B46" s="11" t="str">
        <f>CONCATENATE("          ", "6010", " - ", "GRATUITY")</f>
        <v xml:space="preserve">          6010 - GRATUITY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>
        <v>0</v>
      </c>
    </row>
    <row r="47" spans="1:18" s="15" customFormat="1" outlineLevel="1" collapsed="1" x14ac:dyDescent="0.35">
      <c r="A47" s="7"/>
      <c r="B47" s="20" t="str">
        <f>CONCATENATE("     ","Advertising/Promo                                 ")</f>
        <v xml:space="preserve">     Advertising/Promo                                 </v>
      </c>
      <c r="C47" s="7"/>
      <c r="D47" s="1">
        <f>SUM(OSRRefD21_2x_0)</f>
        <v>1784.07</v>
      </c>
      <c r="E47" s="19"/>
      <c r="F47" s="1">
        <f>SUM(OSRRefF21_2x_0)</f>
        <v>3274.81</v>
      </c>
      <c r="G47" s="4"/>
      <c r="H47" s="1">
        <f>SUM(OSRRefH21_2x_0)</f>
        <v>2160.5100000000002</v>
      </c>
      <c r="I47" s="4"/>
      <c r="J47" s="1">
        <f>SUM(OSRRefJ21_2x_0)</f>
        <v>6141.22</v>
      </c>
      <c r="K47" s="4"/>
      <c r="L47" s="1">
        <f>SUM(OSRRefL21_2x_0)</f>
        <v>6859.28</v>
      </c>
      <c r="M47" s="4"/>
      <c r="N47" s="1">
        <f>SUM(OSRRefN21_2x_0)</f>
        <v>6418.96</v>
      </c>
      <c r="O47" s="4"/>
      <c r="P47" s="1">
        <f>SUM(OSRRefP21_2x_0)</f>
        <v>6479</v>
      </c>
      <c r="Q47" s="4"/>
      <c r="R47" s="1">
        <f>SUM(OSRRefR21_2x_0)</f>
        <v>0</v>
      </c>
    </row>
    <row r="48" spans="1:18" s="16" customFormat="1" hidden="1" outlineLevel="2" x14ac:dyDescent="0.35">
      <c r="B48" s="11" t="str">
        <f>CONCATENATE("          ", "6362", " - ", "ADVERTISING EXPENSE")</f>
        <v xml:space="preserve">          6362 - ADVERTISING EXPENSE</v>
      </c>
      <c r="D48" s="2">
        <v>1784.07</v>
      </c>
      <c r="F48" s="2">
        <v>3274.81</v>
      </c>
      <c r="G48" s="3"/>
      <c r="H48" s="2">
        <v>2160.5100000000002</v>
      </c>
      <c r="I48" s="3"/>
      <c r="J48" s="2">
        <v>6141.22</v>
      </c>
      <c r="K48" s="3"/>
      <c r="L48" s="2">
        <v>6859.28</v>
      </c>
      <c r="M48" s="3"/>
      <c r="N48" s="2">
        <v>6418.96</v>
      </c>
      <c r="O48" s="3"/>
      <c r="P48" s="2">
        <v>6479</v>
      </c>
      <c r="Q48" s="3"/>
      <c r="R48" s="2"/>
    </row>
    <row r="49" spans="1:18" s="15" customFormat="1" outlineLevel="1" collapsed="1" x14ac:dyDescent="0.35">
      <c r="A49" s="7"/>
      <c r="B49" s="20" t="str">
        <f>CONCATENATE("     ","Bad Debts/Over/Short                              ")</f>
        <v xml:space="preserve">     Bad Debts/Over/Short                              </v>
      </c>
      <c r="C49" s="7"/>
      <c r="D49" s="1">
        <f>SUM(OSRRefD21_3x_0)</f>
        <v>138.16</v>
      </c>
      <c r="E49" s="19"/>
      <c r="F49" s="1">
        <f>SUM(OSRRefF21_3x_0)</f>
        <v>-278.77</v>
      </c>
      <c r="G49" s="4"/>
      <c r="H49" s="1">
        <f>SUM(OSRRefH21_3x_0)</f>
        <v>101.67</v>
      </c>
      <c r="I49" s="4"/>
      <c r="J49" s="1">
        <f>SUM(OSRRefJ21_3x_0)</f>
        <v>37.130000000000003</v>
      </c>
      <c r="K49" s="4"/>
      <c r="L49" s="1">
        <f>SUM(OSRRefL21_3x_0)</f>
        <v>1213.48</v>
      </c>
      <c r="M49" s="4"/>
      <c r="N49" s="1">
        <f>SUM(OSRRefN21_3x_0)</f>
        <v>-37.450000000000003</v>
      </c>
      <c r="O49" s="4"/>
      <c r="P49" s="1">
        <f>SUM(OSRRefP21_3x_0)</f>
        <v>90</v>
      </c>
      <c r="Q49" s="4"/>
      <c r="R49" s="1">
        <f>SUM(OSRRefR21_3x_0)</f>
        <v>80</v>
      </c>
    </row>
    <row r="50" spans="1:18" s="16" customFormat="1" hidden="1" outlineLevel="2" x14ac:dyDescent="0.35">
      <c r="B50" s="11" t="str">
        <f>CONCATENATE("          ", "6272", " - ", "CASH (OVER/SHORT)")</f>
        <v xml:space="preserve">          6272 - CASH (OVER/SHORT)</v>
      </c>
      <c r="D50" s="2">
        <v>138.16</v>
      </c>
      <c r="F50" s="2">
        <v>-278.77</v>
      </c>
      <c r="G50" s="3"/>
      <c r="H50" s="2">
        <v>101.67</v>
      </c>
      <c r="I50" s="3"/>
      <c r="J50" s="2">
        <v>37.130000000000003</v>
      </c>
      <c r="K50" s="3"/>
      <c r="L50" s="2">
        <v>1213.48</v>
      </c>
      <c r="M50" s="3"/>
      <c r="N50" s="2">
        <v>-37.450000000000003</v>
      </c>
      <c r="O50" s="3"/>
      <c r="P50" s="2">
        <v>90</v>
      </c>
      <c r="Q50" s="3"/>
      <c r="R50" s="2">
        <v>80</v>
      </c>
    </row>
    <row r="51" spans="1:18" s="15" customFormat="1" outlineLevel="1" collapsed="1" x14ac:dyDescent="0.35">
      <c r="A51" s="7"/>
      <c r="B51" s="20" t="str">
        <f>CONCATENATE("     ","Bank/card Fees                                    ")</f>
        <v xml:space="preserve">     Bank/card Fees                                    </v>
      </c>
      <c r="C51" s="7"/>
      <c r="D51" s="1">
        <f>SUM(OSRRefD21_4x_0)</f>
        <v>29301.27</v>
      </c>
      <c r="E51" s="19"/>
      <c r="F51" s="1">
        <f>SUM(OSRRefF21_4x_0)</f>
        <v>26505.360000000001</v>
      </c>
      <c r="G51" s="4"/>
      <c r="H51" s="1">
        <f>SUM(OSRRefH21_4x_0)</f>
        <v>34698.82</v>
      </c>
      <c r="I51" s="4"/>
      <c r="J51" s="1">
        <f>SUM(OSRRefJ21_4x_0)</f>
        <v>37417.51</v>
      </c>
      <c r="K51" s="4"/>
      <c r="L51" s="1">
        <f>SUM(OSRRefL21_4x_0)</f>
        <v>39189.21</v>
      </c>
      <c r="M51" s="4"/>
      <c r="N51" s="1">
        <f>SUM(OSRRefN21_4x_0)</f>
        <v>27203.67</v>
      </c>
      <c r="O51" s="4"/>
      <c r="P51" s="1">
        <f>SUM(OSRRefP21_4x_0)</f>
        <v>28242</v>
      </c>
      <c r="Q51" s="4"/>
      <c r="R51" s="1">
        <f>SUM(OSRRefR21_4x_0)</f>
        <v>33798</v>
      </c>
    </row>
    <row r="52" spans="1:18" s="16" customFormat="1" hidden="1" outlineLevel="2" x14ac:dyDescent="0.35">
      <c r="B52" s="11" t="str">
        <f>CONCATENATE("          ", "6381", " - ", "BANK/CREDIT CARD FEES")</f>
        <v xml:space="preserve">          6381 - BANK/CREDIT CARD FEES</v>
      </c>
      <c r="D52" s="2">
        <v>29301.27</v>
      </c>
      <c r="F52" s="2">
        <v>26505.360000000001</v>
      </c>
      <c r="G52" s="3"/>
      <c r="H52" s="2">
        <v>34698.82</v>
      </c>
      <c r="I52" s="3"/>
      <c r="J52" s="2">
        <v>37417.51</v>
      </c>
      <c r="K52" s="3"/>
      <c r="L52" s="2">
        <v>39189.21</v>
      </c>
      <c r="M52" s="3"/>
      <c r="N52" s="2">
        <v>27203.67</v>
      </c>
      <c r="O52" s="3"/>
      <c r="P52" s="2">
        <v>28242</v>
      </c>
      <c r="Q52" s="3"/>
      <c r="R52" s="2">
        <v>33798</v>
      </c>
    </row>
    <row r="53" spans="1:18" s="15" customFormat="1" outlineLevel="1" collapsed="1" x14ac:dyDescent="0.35">
      <c r="A53" s="7"/>
      <c r="B53" s="20" t="str">
        <f>CONCATENATE("     ","Depreciation                                      ")</f>
        <v xml:space="preserve">     Depreciation                                      </v>
      </c>
      <c r="C53" s="7"/>
      <c r="D53" s="1">
        <f>SUM(OSRRefD21_5x_0)</f>
        <v>151267.60999999999</v>
      </c>
      <c r="E53" s="19"/>
      <c r="F53" s="1">
        <f>SUM(OSRRefF21_5x_0)</f>
        <v>150915.26</v>
      </c>
      <c r="G53" s="4"/>
      <c r="H53" s="1">
        <f>SUM(OSRRefH21_5x_0)</f>
        <v>123820.11</v>
      </c>
      <c r="I53" s="4"/>
      <c r="J53" s="1">
        <f>SUM(OSRRefJ21_5x_0)</f>
        <v>130760.28</v>
      </c>
      <c r="K53" s="4"/>
      <c r="L53" s="1">
        <f>SUM(OSRRefL21_5x_0)</f>
        <v>159202.73000000001</v>
      </c>
      <c r="M53" s="4"/>
      <c r="N53" s="1">
        <f>SUM(OSRRefN21_5x_0)</f>
        <v>161961.41999999998</v>
      </c>
      <c r="O53" s="4"/>
      <c r="P53" s="1">
        <f>SUM(OSRRefP21_5x_0)</f>
        <v>163788</v>
      </c>
      <c r="Q53" s="4"/>
      <c r="R53" s="1">
        <f>SUM(OSRRefR21_5x_0)</f>
        <v>166824</v>
      </c>
    </row>
    <row r="54" spans="1:18" s="16" customFormat="1" hidden="1" outlineLevel="2" x14ac:dyDescent="0.35">
      <c r="B54" s="11" t="str">
        <f>CONCATENATE("          ", "6321", " - ", "BUILDING DEPRECIATION")</f>
        <v xml:space="preserve">          6321 - BUILDING DEPRECIATION</v>
      </c>
      <c r="D54" s="2">
        <v>120921</v>
      </c>
      <c r="F54" s="2">
        <v>120921</v>
      </c>
      <c r="G54" s="3"/>
      <c r="H54" s="2">
        <v>120921</v>
      </c>
      <c r="I54" s="3"/>
      <c r="J54" s="2">
        <v>121456.71</v>
      </c>
      <c r="K54" s="3"/>
      <c r="L54" s="2">
        <v>127349.53</v>
      </c>
      <c r="M54" s="3"/>
      <c r="N54" s="2">
        <v>127334.33</v>
      </c>
      <c r="O54" s="3"/>
      <c r="P54" s="2"/>
      <c r="Q54" s="3"/>
      <c r="R54" s="2"/>
    </row>
    <row r="55" spans="1:18" s="16" customFormat="1" hidden="1" outlineLevel="2" x14ac:dyDescent="0.35">
      <c r="B55" s="11" t="str">
        <f>CONCATENATE("          ", "6322", " - ", "EQUIPMENT DEPRECIATION EXPENSE")</f>
        <v xml:space="preserve">          6322 - EQUIPMENT DEPRECIATION EXPENSE</v>
      </c>
      <c r="D55" s="2">
        <v>30346.61</v>
      </c>
      <c r="F55" s="2">
        <v>29994.26</v>
      </c>
      <c r="G55" s="3"/>
      <c r="H55" s="2">
        <v>2899.11</v>
      </c>
      <c r="I55" s="3"/>
      <c r="J55" s="2">
        <v>9303.57</v>
      </c>
      <c r="K55" s="3"/>
      <c r="L55" s="2">
        <v>31853.200000000001</v>
      </c>
      <c r="M55" s="3"/>
      <c r="N55" s="2">
        <v>34627.089999999997</v>
      </c>
      <c r="O55" s="3"/>
      <c r="P55" s="2">
        <v>163788</v>
      </c>
      <c r="Q55" s="3"/>
      <c r="R55" s="2">
        <v>166824</v>
      </c>
    </row>
    <row r="56" spans="1:18" s="15" customFormat="1" outlineLevel="1" collapsed="1" x14ac:dyDescent="0.35">
      <c r="A56" s="7"/>
      <c r="B56" s="20" t="str">
        <f>CONCATENATE("     ","Employees' Appreciation                           ")</f>
        <v xml:space="preserve">     Employees' Appreciation                           </v>
      </c>
      <c r="C56" s="7"/>
      <c r="D56" s="1">
        <f>SUM(OSRRefD21_6x_0)</f>
        <v>56</v>
      </c>
      <c r="E56" s="19"/>
      <c r="F56" s="1">
        <f>SUM(OSRRefF21_6x_0)</f>
        <v>137.55000000000001</v>
      </c>
      <c r="G56" s="4"/>
      <c r="H56" s="1">
        <f>SUM(OSRRefH21_6x_0)</f>
        <v>201.46</v>
      </c>
      <c r="I56" s="4"/>
      <c r="J56" s="1">
        <f>SUM(OSRRefJ21_6x_0)</f>
        <v>311.81</v>
      </c>
      <c r="K56" s="4"/>
      <c r="L56" s="1">
        <f>SUM(OSRRefL21_6x_0)</f>
        <v>313.64999999999998</v>
      </c>
      <c r="M56" s="4"/>
      <c r="N56" s="1">
        <f>SUM(OSRRefN21_6x_0)</f>
        <v>146.37</v>
      </c>
      <c r="O56" s="4"/>
      <c r="P56" s="1">
        <f>SUM(OSRRefP21_6x_0)</f>
        <v>200</v>
      </c>
      <c r="Q56" s="4"/>
      <c r="R56" s="1">
        <f>SUM(OSRRefR21_6x_0)</f>
        <v>100</v>
      </c>
    </row>
    <row r="57" spans="1:18" s="16" customFormat="1" hidden="1" outlineLevel="2" x14ac:dyDescent="0.35">
      <c r="B57" s="11" t="str">
        <f>CONCATENATE("          ", "6277", " - ", "EMPLOYEE APPRECIATION")</f>
        <v xml:space="preserve">          6277 - EMPLOYEE APPRECIATION</v>
      </c>
      <c r="D57" s="2">
        <v>56</v>
      </c>
      <c r="F57" s="2">
        <v>137.55000000000001</v>
      </c>
      <c r="G57" s="3"/>
      <c r="H57" s="2">
        <v>201.46</v>
      </c>
      <c r="I57" s="3"/>
      <c r="J57" s="2">
        <v>311.81</v>
      </c>
      <c r="K57" s="3"/>
      <c r="L57" s="2">
        <v>313.64999999999998</v>
      </c>
      <c r="M57" s="3"/>
      <c r="N57" s="2">
        <v>146.37</v>
      </c>
      <c r="O57" s="3"/>
      <c r="P57" s="2">
        <v>200</v>
      </c>
      <c r="Q57" s="3"/>
      <c r="R57" s="2">
        <v>100</v>
      </c>
    </row>
    <row r="58" spans="1:18" s="15" customFormat="1" outlineLevel="1" collapsed="1" x14ac:dyDescent="0.35">
      <c r="A58" s="7"/>
      <c r="B58" s="20" t="str">
        <f>CONCATENATE("     ","Equipment Rental                                  ")</f>
        <v xml:space="preserve">     Equipment Rental                                  </v>
      </c>
      <c r="C58" s="7"/>
      <c r="D58" s="1">
        <f>SUM(OSRRefD21_7x_0)</f>
        <v>2438.06</v>
      </c>
      <c r="E58" s="19"/>
      <c r="F58" s="1">
        <f>SUM(OSRRefF21_7x_0)</f>
        <v>2039.28</v>
      </c>
      <c r="G58" s="4"/>
      <c r="H58" s="1">
        <f>SUM(OSRRefH21_7x_0)</f>
        <v>1862.18</v>
      </c>
      <c r="I58" s="4"/>
      <c r="J58" s="1">
        <f>SUM(OSRRefJ21_7x_0)</f>
        <v>5212.21</v>
      </c>
      <c r="K58" s="4"/>
      <c r="L58" s="1">
        <f>SUM(OSRRefL21_7x_0)</f>
        <v>1481.46</v>
      </c>
      <c r="M58" s="4"/>
      <c r="N58" s="1">
        <f>SUM(OSRRefN21_7x_0)</f>
        <v>1082.9000000000001</v>
      </c>
      <c r="O58" s="4"/>
      <c r="P58" s="1">
        <f>SUM(OSRRefP21_7x_0)</f>
        <v>1445</v>
      </c>
      <c r="Q58" s="4"/>
      <c r="R58" s="1">
        <f>SUM(OSRRefR21_7x_0)</f>
        <v>3300</v>
      </c>
    </row>
    <row r="59" spans="1:18" s="16" customFormat="1" hidden="1" outlineLevel="2" x14ac:dyDescent="0.35">
      <c r="B59" s="11" t="str">
        <f>CONCATENATE("          ", "6351", " - ", "EQUIPMENT RENTAL")</f>
        <v xml:space="preserve">          6351 - EQUIPMENT RENTAL</v>
      </c>
      <c r="D59" s="2">
        <v>2438.06</v>
      </c>
      <c r="F59" s="2">
        <v>2039.28</v>
      </c>
      <c r="G59" s="3"/>
      <c r="H59" s="2">
        <v>1862.18</v>
      </c>
      <c r="I59" s="3"/>
      <c r="J59" s="2">
        <v>5212.21</v>
      </c>
      <c r="K59" s="3"/>
      <c r="L59" s="2">
        <v>1481.46</v>
      </c>
      <c r="M59" s="3"/>
      <c r="N59" s="2">
        <v>1082.9000000000001</v>
      </c>
      <c r="O59" s="3"/>
      <c r="P59" s="2">
        <v>1445</v>
      </c>
      <c r="Q59" s="3"/>
      <c r="R59" s="2">
        <v>3300</v>
      </c>
    </row>
    <row r="60" spans="1:18" s="15" customFormat="1" outlineLevel="1" collapsed="1" x14ac:dyDescent="0.35">
      <c r="A60" s="7"/>
      <c r="B60" s="20" t="str">
        <f>CONCATENATE("     ","General                                           ")</f>
        <v xml:space="preserve">     General                                           </v>
      </c>
      <c r="C60" s="7"/>
      <c r="D60" s="1">
        <f>SUM(OSRRefD21_8x_0)</f>
        <v>5484.8</v>
      </c>
      <c r="E60" s="19"/>
      <c r="F60" s="1">
        <f>SUM(OSRRefF21_8x_0)</f>
        <v>6148.39</v>
      </c>
      <c r="G60" s="4"/>
      <c r="H60" s="1">
        <f>SUM(OSRRefH21_8x_0)</f>
        <v>2597.94</v>
      </c>
      <c r="I60" s="4"/>
      <c r="J60" s="1">
        <f>SUM(OSRRefJ21_8x_0)</f>
        <v>1900.6</v>
      </c>
      <c r="K60" s="4"/>
      <c r="L60" s="1">
        <f>SUM(OSRRefL21_8x_0)</f>
        <v>2037.97</v>
      </c>
      <c r="M60" s="4"/>
      <c r="N60" s="1">
        <f>SUM(OSRRefN21_8x_0)</f>
        <v>1937.01</v>
      </c>
      <c r="O60" s="4"/>
      <c r="P60" s="1">
        <f>SUM(OSRRefP21_8x_0)</f>
        <v>1810</v>
      </c>
      <c r="Q60" s="4"/>
      <c r="R60" s="1">
        <f>SUM(OSRRefR21_8x_0)</f>
        <v>1790</v>
      </c>
    </row>
    <row r="61" spans="1:18" s="16" customFormat="1" hidden="1" outlineLevel="2" x14ac:dyDescent="0.35">
      <c r="B61" s="11" t="str">
        <f>CONCATENATE("          ", "6279", " - ", "GENERAL EXPENSE")</f>
        <v xml:space="preserve">          6279 - GENERAL EXPENSE</v>
      </c>
      <c r="D61" s="2">
        <v>5484.8</v>
      </c>
      <c r="F61" s="2">
        <v>6148.39</v>
      </c>
      <c r="G61" s="3"/>
      <c r="H61" s="2">
        <v>2597.94</v>
      </c>
      <c r="I61" s="3"/>
      <c r="J61" s="2">
        <v>1900.6</v>
      </c>
      <c r="K61" s="3"/>
      <c r="L61" s="2">
        <v>2037.97</v>
      </c>
      <c r="M61" s="3"/>
      <c r="N61" s="2">
        <v>1937.01</v>
      </c>
      <c r="O61" s="3"/>
      <c r="P61" s="2">
        <v>1810</v>
      </c>
      <c r="Q61" s="3"/>
      <c r="R61" s="2">
        <v>1790</v>
      </c>
    </row>
    <row r="62" spans="1:18" s="15" customFormat="1" outlineLevel="1" collapsed="1" x14ac:dyDescent="0.35">
      <c r="A62" s="7"/>
      <c r="B62" s="20" t="str">
        <f>CONCATENATE("     ","Insurance                                         ")</f>
        <v xml:space="preserve">     Insurance                                         </v>
      </c>
      <c r="C62" s="7"/>
      <c r="D62" s="1">
        <f>SUM(OSRRefD21_9x_0)</f>
        <v>5324.83</v>
      </c>
      <c r="E62" s="19"/>
      <c r="F62" s="1">
        <f>SUM(OSRRefF21_9x_0)</f>
        <v>6447</v>
      </c>
      <c r="G62" s="4"/>
      <c r="H62" s="1">
        <f>SUM(OSRRefH21_9x_0)</f>
        <v>5685.57</v>
      </c>
      <c r="I62" s="4"/>
      <c r="J62" s="1">
        <f>SUM(OSRRefJ21_9x_0)</f>
        <v>6354.11</v>
      </c>
      <c r="K62" s="4"/>
      <c r="L62" s="1">
        <f>SUM(OSRRefL21_9x_0)</f>
        <v>6171.95</v>
      </c>
      <c r="M62" s="4"/>
      <c r="N62" s="1">
        <f>SUM(OSRRefN21_9x_0)</f>
        <v>7695.36</v>
      </c>
      <c r="O62" s="4"/>
      <c r="P62" s="1">
        <f>SUM(OSRRefP21_9x_0)</f>
        <v>8460</v>
      </c>
      <c r="Q62" s="4"/>
      <c r="R62" s="1">
        <f>SUM(OSRRefR21_9x_0)</f>
        <v>10200</v>
      </c>
    </row>
    <row r="63" spans="1:18" s="16" customFormat="1" hidden="1" outlineLevel="2" x14ac:dyDescent="0.35">
      <c r="B63" s="11" t="str">
        <f>CONCATENATE("          ", "6314", " - ", "LIABILITY INSURANCE")</f>
        <v xml:space="preserve">          6314 - LIABILITY INSURANCE</v>
      </c>
      <c r="D63" s="2">
        <v>5324.83</v>
      </c>
      <c r="F63" s="2">
        <v>6447</v>
      </c>
      <c r="G63" s="3"/>
      <c r="H63" s="2">
        <v>5685.57</v>
      </c>
      <c r="I63" s="3"/>
      <c r="J63" s="2">
        <v>6354.11</v>
      </c>
      <c r="K63" s="3"/>
      <c r="L63" s="2">
        <v>6171.95</v>
      </c>
      <c r="M63" s="3"/>
      <c r="N63" s="2">
        <v>7695.36</v>
      </c>
      <c r="O63" s="3"/>
      <c r="P63" s="2">
        <v>8460</v>
      </c>
      <c r="Q63" s="3"/>
      <c r="R63" s="2">
        <v>10200</v>
      </c>
    </row>
    <row r="64" spans="1:18" s="15" customFormat="1" outlineLevel="1" collapsed="1" x14ac:dyDescent="0.35">
      <c r="A64" s="7"/>
      <c r="B64" s="20" t="str">
        <f>CONCATENATE("     ","Interest                                          ")</f>
        <v xml:space="preserve">     Interest                                          </v>
      </c>
      <c r="C64" s="7"/>
      <c r="D64" s="1">
        <f>SUM(OSRRefD21_10x_0)</f>
        <v>118860.89</v>
      </c>
      <c r="E64" s="19"/>
      <c r="F64" s="1">
        <f>SUM(OSRRefF21_10x_0)</f>
        <v>110653.33</v>
      </c>
      <c r="G64" s="4"/>
      <c r="H64" s="1">
        <f>SUM(OSRRefH21_10x_0)</f>
        <v>90889.8</v>
      </c>
      <c r="I64" s="4"/>
      <c r="J64" s="1">
        <f>SUM(OSRRefJ21_10x_0)</f>
        <v>86827.28</v>
      </c>
      <c r="K64" s="4"/>
      <c r="L64" s="1">
        <f>SUM(OSRRefL21_10x_0)</f>
        <v>85492.9</v>
      </c>
      <c r="M64" s="4"/>
      <c r="N64" s="1">
        <f>SUM(OSRRefN21_10x_0)</f>
        <v>82378.58</v>
      </c>
      <c r="O64" s="4"/>
      <c r="P64" s="1">
        <f>SUM(OSRRefP21_10x_0)</f>
        <v>89606</v>
      </c>
      <c r="Q64" s="4"/>
      <c r="R64" s="1">
        <f>SUM(OSRRefR21_10x_0)</f>
        <v>86494</v>
      </c>
    </row>
    <row r="65" spans="1:18" s="16" customFormat="1" hidden="1" outlineLevel="2" x14ac:dyDescent="0.35">
      <c r="B65" s="11" t="str">
        <f>CONCATENATE("          ", "6401", " - ", "INTEREST EXPENSE")</f>
        <v xml:space="preserve">          6401 - INTEREST EXPENSE</v>
      </c>
      <c r="D65" s="2">
        <v>118860.89</v>
      </c>
      <c r="F65" s="2">
        <v>110653.33</v>
      </c>
      <c r="G65" s="3"/>
      <c r="H65" s="2">
        <v>90889.8</v>
      </c>
      <c r="I65" s="3"/>
      <c r="J65" s="2">
        <v>86827.28</v>
      </c>
      <c r="K65" s="3"/>
      <c r="L65" s="2">
        <v>85492.9</v>
      </c>
      <c r="M65" s="3"/>
      <c r="N65" s="2">
        <v>82378.58</v>
      </c>
      <c r="O65" s="3"/>
      <c r="P65" s="2">
        <v>89606</v>
      </c>
      <c r="Q65" s="3"/>
      <c r="R65" s="2">
        <v>86494</v>
      </c>
    </row>
    <row r="66" spans="1:18" s="15" customFormat="1" outlineLevel="1" collapsed="1" x14ac:dyDescent="0.35">
      <c r="A66" s="7"/>
      <c r="B66" s="20" t="str">
        <f>CONCATENATE("     ","Repair and Maintenance                            ")</f>
        <v xml:space="preserve">     Repair and Maintenance                            </v>
      </c>
      <c r="C66" s="7"/>
      <c r="D66" s="1">
        <f>SUM(OSRRefD21_11x_0)</f>
        <v>21190.39</v>
      </c>
      <c r="E66" s="19"/>
      <c r="F66" s="1">
        <f>SUM(OSRRefF21_11x_0)</f>
        <v>14996.99</v>
      </c>
      <c r="G66" s="4"/>
      <c r="H66" s="1">
        <f>SUM(OSRRefH21_11x_0)</f>
        <v>20424.25</v>
      </c>
      <c r="I66" s="4"/>
      <c r="J66" s="1">
        <f>SUM(OSRRefJ21_11x_0)</f>
        <v>31101.82</v>
      </c>
      <c r="K66" s="4"/>
      <c r="L66" s="1">
        <f>SUM(OSRRefL21_11x_0)</f>
        <v>19408.489999999998</v>
      </c>
      <c r="M66" s="4"/>
      <c r="N66" s="1">
        <f>SUM(OSRRefN21_11x_0)</f>
        <v>24724.98</v>
      </c>
      <c r="O66" s="4"/>
      <c r="P66" s="1">
        <f>SUM(OSRRefP21_11x_0)</f>
        <v>24063</v>
      </c>
      <c r="Q66" s="4"/>
      <c r="R66" s="1">
        <f>SUM(OSRRefR21_11x_0)</f>
        <v>10686</v>
      </c>
    </row>
    <row r="67" spans="1:18" s="16" customFormat="1" hidden="1" outlineLevel="2" x14ac:dyDescent="0.35">
      <c r="B67" s="11" t="str">
        <f>CONCATENATE("          ", "6371", " - ", "COMPUTER SOFTWARE MAINTENANCE")</f>
        <v xml:space="preserve">          6371 - COMPUTER SOFTWARE MAINTENANCE</v>
      </c>
      <c r="D67" s="2">
        <v>0.16</v>
      </c>
      <c r="F67" s="2"/>
      <c r="G67" s="3"/>
      <c r="H67" s="2">
        <v>2700</v>
      </c>
      <c r="I67" s="3"/>
      <c r="J67" s="2">
        <v>2524.5</v>
      </c>
      <c r="K67" s="3"/>
      <c r="L67" s="2">
        <v>171.43</v>
      </c>
      <c r="M67" s="3"/>
      <c r="N67" s="2">
        <v>2623.84</v>
      </c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"6372", " - ", "COMPUTER HARDWARE MAINTENANCE")</f>
        <v xml:space="preserve">          6372 - COMPUTER HARDWARE MAINTENANCE</v>
      </c>
      <c r="D68" s="2"/>
      <c r="F68" s="2"/>
      <c r="G68" s="3"/>
      <c r="H68" s="2"/>
      <c r="I68" s="3"/>
      <c r="J68" s="2">
        <v>478.9</v>
      </c>
      <c r="K68" s="3"/>
      <c r="L68" s="2">
        <v>880.96</v>
      </c>
      <c r="M68" s="3"/>
      <c r="N68" s="2">
        <v>-0.01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"6373", " - ", "MAINTENANCE CONTRACTS")</f>
        <v xml:space="preserve">          6373 - MAINTENANCE CONTRACTS</v>
      </c>
      <c r="D69" s="2">
        <v>6869.36</v>
      </c>
      <c r="F69" s="2">
        <v>2527.7800000000002</v>
      </c>
      <c r="G69" s="3"/>
      <c r="H69" s="2">
        <v>150</v>
      </c>
      <c r="I69" s="3"/>
      <c r="J69" s="2">
        <v>1205.05</v>
      </c>
      <c r="K69" s="3"/>
      <c r="L69" s="2">
        <v>912.8</v>
      </c>
      <c r="M69" s="3"/>
      <c r="N69" s="2">
        <v>3985.78</v>
      </c>
      <c r="O69" s="3"/>
      <c r="P69" s="2">
        <v>3769</v>
      </c>
      <c r="Q69" s="3"/>
      <c r="R69" s="2">
        <v>3045</v>
      </c>
    </row>
    <row r="70" spans="1:18" s="16" customFormat="1" hidden="1" outlineLevel="2" x14ac:dyDescent="0.35">
      <c r="B70" s="11" t="str">
        <f>CONCATENATE("          ", "6375", " - ", "OUTSIDE REPAIRS &amp; MAINTENANCE")</f>
        <v xml:space="preserve">          6375 - OUTSIDE REPAIRS &amp; MAINTENANCE</v>
      </c>
      <c r="D70" s="2">
        <v>14320.87</v>
      </c>
      <c r="F70" s="2">
        <v>12469.21</v>
      </c>
      <c r="G70" s="3"/>
      <c r="H70" s="2">
        <v>17574.25</v>
      </c>
      <c r="I70" s="3"/>
      <c r="J70" s="2">
        <v>26893.37</v>
      </c>
      <c r="K70" s="3"/>
      <c r="L70" s="2">
        <v>17443.3</v>
      </c>
      <c r="M70" s="3"/>
      <c r="N70" s="2">
        <v>18115.37</v>
      </c>
      <c r="O70" s="3"/>
      <c r="P70" s="2">
        <v>20294</v>
      </c>
      <c r="Q70" s="3"/>
      <c r="R70" s="2">
        <v>7641</v>
      </c>
    </row>
    <row r="71" spans="1:18" s="15" customFormat="1" outlineLevel="1" collapsed="1" x14ac:dyDescent="0.35">
      <c r="A71" s="7"/>
      <c r="B71" s="20" t="str">
        <f>CONCATENATE("     ","Royalty &amp; Commissions                             ")</f>
        <v xml:space="preserve">     Royalty &amp; Commissions                             </v>
      </c>
      <c r="C71" s="7"/>
      <c r="D71" s="1">
        <f>SUM(OSRRefD21_12x_0)</f>
        <v>0</v>
      </c>
      <c r="E71" s="19"/>
      <c r="F71" s="1">
        <f>SUM(OSRRefF21_12x_0)</f>
        <v>0</v>
      </c>
      <c r="G71" s="4"/>
      <c r="H71" s="1">
        <f>SUM(OSRRefH21_12x_0)</f>
        <v>0</v>
      </c>
      <c r="I71" s="4"/>
      <c r="J71" s="1">
        <f>SUM(OSRRefJ21_12x_0)</f>
        <v>706.04</v>
      </c>
      <c r="K71" s="4"/>
      <c r="L71" s="1">
        <f>SUM(OSRRefL21_12x_0)</f>
        <v>0</v>
      </c>
      <c r="M71" s="4"/>
      <c r="N71" s="1">
        <f>SUM(OSRRefN21_12x_0)</f>
        <v>0</v>
      </c>
      <c r="O71" s="4"/>
      <c r="P71" s="1">
        <f>SUM(OSRRefP21_12x_0)</f>
        <v>0</v>
      </c>
      <c r="Q71" s="4"/>
      <c r="R71" s="1">
        <f>SUM(OSRRefR21_12x_0)</f>
        <v>0</v>
      </c>
    </row>
    <row r="72" spans="1:18" s="16" customFormat="1" hidden="1" outlineLevel="2" x14ac:dyDescent="0.35">
      <c r="B72" s="11" t="str">
        <f>CONCATENATE("          ", "6254", " - ", "ROYALTY &amp; COMMISSIONS")</f>
        <v xml:space="preserve">          6254 - ROYALTY &amp; COMMISSIONS</v>
      </c>
      <c r="D72" s="2"/>
      <c r="F72" s="2"/>
      <c r="G72" s="3"/>
      <c r="H72" s="2"/>
      <c r="I72" s="3"/>
      <c r="J72" s="2">
        <v>706.04</v>
      </c>
      <c r="K72" s="3"/>
      <c r="L72" s="2"/>
      <c r="M72" s="3"/>
      <c r="N72" s="2"/>
      <c r="O72" s="3"/>
      <c r="P72" s="2"/>
      <c r="Q72" s="3"/>
      <c r="R72" s="2"/>
    </row>
    <row r="73" spans="1:18" s="15" customFormat="1" outlineLevel="1" collapsed="1" x14ac:dyDescent="0.35">
      <c r="A73" s="7"/>
      <c r="B73" s="20" t="str">
        <f>CONCATENATE("     ","Services                                          ")</f>
        <v xml:space="preserve">     Services                                          </v>
      </c>
      <c r="C73" s="7"/>
      <c r="D73" s="1">
        <f>SUM(OSRRefD21_13x_0)</f>
        <v>41134.620000000003</v>
      </c>
      <c r="E73" s="19"/>
      <c r="F73" s="1">
        <f>SUM(OSRRefF21_13x_0)</f>
        <v>41713.180000000008</v>
      </c>
      <c r="G73" s="4"/>
      <c r="H73" s="1">
        <f>SUM(OSRRefH21_13x_0)</f>
        <v>41899.740000000005</v>
      </c>
      <c r="I73" s="4"/>
      <c r="J73" s="1">
        <f>SUM(OSRRefJ21_13x_0)</f>
        <v>47412.729999999996</v>
      </c>
      <c r="K73" s="4"/>
      <c r="L73" s="1">
        <f>SUM(OSRRefL21_13x_0)</f>
        <v>50389.21</v>
      </c>
      <c r="M73" s="4"/>
      <c r="N73" s="1">
        <f>SUM(OSRRefN21_13x_0)</f>
        <v>53552.85</v>
      </c>
      <c r="O73" s="4"/>
      <c r="P73" s="1">
        <f>SUM(OSRRefP21_13x_0)</f>
        <v>50526</v>
      </c>
      <c r="Q73" s="4"/>
      <c r="R73" s="1">
        <f>SUM(OSRRefR21_13x_0)</f>
        <v>58894</v>
      </c>
    </row>
    <row r="74" spans="1:18" s="16" customFormat="1" hidden="1" outlineLevel="2" x14ac:dyDescent="0.35">
      <c r="B74" s="11" t="str">
        <f>CONCATENATE("          ", "6282", " - ", "JANITORIAL/EXTERMINATOR EXPENS")</f>
        <v xml:space="preserve">          6282 - JANITORIAL/EXTERMINATOR EXPENS</v>
      </c>
      <c r="D74" s="2">
        <v>3405.96</v>
      </c>
      <c r="F74" s="2">
        <v>3562.05</v>
      </c>
      <c r="G74" s="3"/>
      <c r="H74" s="2">
        <v>3723.04</v>
      </c>
      <c r="I74" s="3"/>
      <c r="J74" s="2">
        <v>3849.4</v>
      </c>
      <c r="K74" s="3"/>
      <c r="L74" s="2">
        <v>3763.94</v>
      </c>
      <c r="M74" s="3"/>
      <c r="N74" s="2">
        <v>3942.48</v>
      </c>
      <c r="O74" s="3"/>
      <c r="P74" s="2">
        <v>3838</v>
      </c>
      <c r="Q74" s="3"/>
      <c r="R74" s="2">
        <v>3936</v>
      </c>
    </row>
    <row r="75" spans="1:18" s="16" customFormat="1" hidden="1" outlineLevel="2" x14ac:dyDescent="0.35">
      <c r="B75" s="11" t="str">
        <f>CONCATENATE("          ", "6283", " - ", "PLANT SERVICE")</f>
        <v xml:space="preserve">          6283 - PLANT SERVICE</v>
      </c>
      <c r="D75" s="2">
        <v>720</v>
      </c>
      <c r="F75" s="2">
        <v>672</v>
      </c>
      <c r="G75" s="3"/>
      <c r="H75" s="2">
        <v>672</v>
      </c>
      <c r="I75" s="3"/>
      <c r="J75" s="2">
        <v>616</v>
      </c>
      <c r="K75" s="3"/>
      <c r="L75" s="2">
        <v>677.55</v>
      </c>
      <c r="M75" s="3"/>
      <c r="N75" s="2">
        <v>553.95000000000005</v>
      </c>
      <c r="O75" s="3"/>
      <c r="P75" s="2">
        <v>310</v>
      </c>
      <c r="Q75" s="3"/>
      <c r="R75" s="2"/>
    </row>
    <row r="76" spans="1:18" s="16" customFormat="1" hidden="1" outlineLevel="2" x14ac:dyDescent="0.35">
      <c r="B76" s="11" t="str">
        <f>CONCATENATE("          ", "6284", " - ", "TRASH REMOVAL EXPENSE")</f>
        <v xml:space="preserve">          6284 - TRASH REMOVAL EXPENSE</v>
      </c>
      <c r="D76" s="2">
        <v>4314.2</v>
      </c>
      <c r="F76" s="2">
        <v>5084.8100000000004</v>
      </c>
      <c r="G76" s="3"/>
      <c r="H76" s="2">
        <v>3982.57</v>
      </c>
      <c r="I76" s="3"/>
      <c r="J76" s="2">
        <v>6978.4</v>
      </c>
      <c r="K76" s="3"/>
      <c r="L76" s="2">
        <v>7732.82</v>
      </c>
      <c r="M76" s="3"/>
      <c r="N76" s="2">
        <v>12973</v>
      </c>
      <c r="O76" s="3"/>
      <c r="P76" s="2">
        <v>8363</v>
      </c>
      <c r="Q76" s="3"/>
      <c r="R76" s="2">
        <v>12000</v>
      </c>
    </row>
    <row r="77" spans="1:18" s="16" customFormat="1" hidden="1" outlineLevel="2" x14ac:dyDescent="0.35">
      <c r="B77" s="11" t="str">
        <f>CONCATENATE("          ", "6285", " - ", "JANITORIAL SERVICES")</f>
        <v xml:space="preserve">          6285 - JANITORIAL SERVICES</v>
      </c>
      <c r="D77" s="2">
        <v>30112.27</v>
      </c>
      <c r="F77" s="2">
        <v>29677.77</v>
      </c>
      <c r="G77" s="3"/>
      <c r="H77" s="2">
        <v>31059.040000000001</v>
      </c>
      <c r="I77" s="3"/>
      <c r="J77" s="2">
        <v>32868.32</v>
      </c>
      <c r="K77" s="3"/>
      <c r="L77" s="2">
        <v>36349.01</v>
      </c>
      <c r="M77" s="3"/>
      <c r="N77" s="2">
        <v>34137</v>
      </c>
      <c r="O77" s="3"/>
      <c r="P77" s="2">
        <v>38015</v>
      </c>
      <c r="Q77" s="3"/>
      <c r="R77" s="2">
        <v>36492</v>
      </c>
    </row>
    <row r="78" spans="1:18" s="16" customFormat="1" hidden="1" outlineLevel="2" x14ac:dyDescent="0.35">
      <c r="B78" s="11" t="str">
        <f>CONCATENATE("          ", "6286", " - ", "LAUNDRY EXPENSE")</f>
        <v xml:space="preserve">          6286 - LAUNDRY EXPENSE</v>
      </c>
      <c r="D78" s="2">
        <v>2582.19</v>
      </c>
      <c r="F78" s="2">
        <v>2716.55</v>
      </c>
      <c r="G78" s="3"/>
      <c r="H78" s="2">
        <v>2463.09</v>
      </c>
      <c r="I78" s="3"/>
      <c r="J78" s="2">
        <v>3100.61</v>
      </c>
      <c r="K78" s="3"/>
      <c r="L78" s="2">
        <v>1865.89</v>
      </c>
      <c r="M78" s="3"/>
      <c r="N78" s="2">
        <v>1946.42</v>
      </c>
      <c r="O78" s="3"/>
      <c r="P78" s="2"/>
      <c r="Q78" s="3"/>
      <c r="R78" s="2">
        <v>6466</v>
      </c>
    </row>
    <row r="79" spans="1:18" s="15" customFormat="1" outlineLevel="1" collapsed="1" x14ac:dyDescent="0.35">
      <c r="A79" s="7"/>
      <c r="B79" s="20" t="str">
        <f>CONCATENATE("     ","Subscriptions &amp; Dues                              ")</f>
        <v xml:space="preserve">     Subscriptions &amp; Dues                              </v>
      </c>
      <c r="C79" s="7"/>
      <c r="D79" s="1">
        <f>SUM(OSRRefD21_14x_0)</f>
        <v>2600.7199999999998</v>
      </c>
      <c r="E79" s="19"/>
      <c r="F79" s="1">
        <f>SUM(OSRRefF21_14x_0)</f>
        <v>4047.52</v>
      </c>
      <c r="G79" s="4"/>
      <c r="H79" s="1">
        <f>SUM(OSRRefH21_14x_0)</f>
        <v>1886.47</v>
      </c>
      <c r="I79" s="4"/>
      <c r="J79" s="1">
        <f>SUM(OSRRefJ21_14x_0)</f>
        <v>2120.06</v>
      </c>
      <c r="K79" s="4"/>
      <c r="L79" s="1">
        <f>SUM(OSRRefL21_14x_0)</f>
        <v>3248.86</v>
      </c>
      <c r="M79" s="4"/>
      <c r="N79" s="1">
        <f>SUM(OSRRefN21_14x_0)</f>
        <v>2638.42</v>
      </c>
      <c r="O79" s="4"/>
      <c r="P79" s="1">
        <f>SUM(OSRRefP21_14x_0)</f>
        <v>2381</v>
      </c>
      <c r="Q79" s="4"/>
      <c r="R79" s="1">
        <f>SUM(OSRRefR21_14x_0)</f>
        <v>4560</v>
      </c>
    </row>
    <row r="80" spans="1:18" s="16" customFormat="1" hidden="1" outlineLevel="2" x14ac:dyDescent="0.35">
      <c r="B80" s="11" t="str">
        <f>CONCATENATE("          ", "6258", " - ", "MEMBERSHIP DUES")</f>
        <v xml:space="preserve">          6258 - MEMBERSHIP DUES</v>
      </c>
      <c r="D80" s="2"/>
      <c r="F80" s="2"/>
      <c r="G80" s="3"/>
      <c r="H80" s="2"/>
      <c r="I80" s="3"/>
      <c r="J80" s="2"/>
      <c r="K80" s="3"/>
      <c r="L80" s="2"/>
      <c r="M80" s="3"/>
      <c r="N80" s="2">
        <v>978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"6275", " - ", "SUBSCRIPTIONS")</f>
        <v xml:space="preserve">          6275 - SUBSCRIPTIONS</v>
      </c>
      <c r="D81" s="2">
        <v>2600.7199999999998</v>
      </c>
      <c r="F81" s="2">
        <v>4047.52</v>
      </c>
      <c r="G81" s="3"/>
      <c r="H81" s="2">
        <v>1886.47</v>
      </c>
      <c r="I81" s="3"/>
      <c r="J81" s="2">
        <v>2120.06</v>
      </c>
      <c r="K81" s="3"/>
      <c r="L81" s="2">
        <v>3248.86</v>
      </c>
      <c r="M81" s="3"/>
      <c r="N81" s="2">
        <v>1660.42</v>
      </c>
      <c r="O81" s="3"/>
      <c r="P81" s="2">
        <v>2381</v>
      </c>
      <c r="Q81" s="3"/>
      <c r="R81" s="2">
        <v>4560</v>
      </c>
    </row>
    <row r="82" spans="1:18" s="15" customFormat="1" outlineLevel="1" collapsed="1" x14ac:dyDescent="0.35">
      <c r="A82" s="7"/>
      <c r="B82" s="20" t="str">
        <f>CONCATENATE("     ","Supplies                                          ")</f>
        <v xml:space="preserve">     Supplies                                          </v>
      </c>
      <c r="C82" s="7"/>
      <c r="D82" s="1">
        <f>SUM(OSRRefD21_15x_0)</f>
        <v>14304.679999999998</v>
      </c>
      <c r="E82" s="19"/>
      <c r="F82" s="1">
        <f>SUM(OSRRefF21_15x_0)</f>
        <v>18417.800000000003</v>
      </c>
      <c r="G82" s="4"/>
      <c r="H82" s="1">
        <f>SUM(OSRRefH21_15x_0)</f>
        <v>27524.640000000003</v>
      </c>
      <c r="I82" s="4"/>
      <c r="J82" s="1">
        <f>SUM(OSRRefJ21_15x_0)</f>
        <v>41442.880000000005</v>
      </c>
      <c r="K82" s="4"/>
      <c r="L82" s="1">
        <f>SUM(OSRRefL21_15x_0)</f>
        <v>28574.070000000003</v>
      </c>
      <c r="M82" s="4"/>
      <c r="N82" s="1">
        <f>SUM(OSRRefN21_15x_0)</f>
        <v>21603.140000000003</v>
      </c>
      <c r="O82" s="4"/>
      <c r="P82" s="1">
        <f>SUM(OSRRefP21_15x_0)</f>
        <v>23825</v>
      </c>
      <c r="Q82" s="4"/>
      <c r="R82" s="1">
        <f>SUM(OSRRefR21_15x_0)</f>
        <v>9673</v>
      </c>
    </row>
    <row r="83" spans="1:18" s="16" customFormat="1" hidden="1" outlineLevel="2" x14ac:dyDescent="0.35">
      <c r="B83" s="11" t="str">
        <f>CONCATENATE("          ", "6234", " - ", "EXPENDABLE SUPPLIES &amp; EQUIPMEN")</f>
        <v xml:space="preserve">          6234 - EXPENDABLE SUPPLIES &amp; EQUIPMEN</v>
      </c>
      <c r="D83" s="2">
        <v>430.09</v>
      </c>
      <c r="F83" s="2"/>
      <c r="G83" s="3"/>
      <c r="H83" s="2"/>
      <c r="I83" s="3"/>
      <c r="J83" s="2">
        <v>497.04</v>
      </c>
      <c r="K83" s="3"/>
      <c r="L83" s="2">
        <v>1127.94</v>
      </c>
      <c r="M83" s="3"/>
      <c r="N83" s="2">
        <v>1090.83</v>
      </c>
      <c r="O83" s="3"/>
      <c r="P83" s="2">
        <v>1076</v>
      </c>
      <c r="Q83" s="3"/>
      <c r="R83" s="2"/>
    </row>
    <row r="84" spans="1:18" s="16" customFormat="1" hidden="1" outlineLevel="2" x14ac:dyDescent="0.35">
      <c r="B84" s="11" t="str">
        <f>CONCATENATE("          ", "6237", " - ", "JANITORIAL SUPPLIES")</f>
        <v xml:space="preserve">          6237 - JANITORIAL SUPPLIES</v>
      </c>
      <c r="D84" s="2">
        <v>1302.98</v>
      </c>
      <c r="F84" s="2">
        <v>2601.4499999999998</v>
      </c>
      <c r="G84" s="3"/>
      <c r="H84" s="2">
        <v>9430.9</v>
      </c>
      <c r="I84" s="3"/>
      <c r="J84" s="2">
        <v>9071.02</v>
      </c>
      <c r="K84" s="3"/>
      <c r="L84" s="2">
        <v>12530.82</v>
      </c>
      <c r="M84" s="3"/>
      <c r="N84" s="2">
        <v>8948.91</v>
      </c>
      <c r="O84" s="3"/>
      <c r="P84" s="2">
        <v>9899</v>
      </c>
      <c r="Q84" s="3"/>
      <c r="R84" s="2">
        <v>1503</v>
      </c>
    </row>
    <row r="85" spans="1:18" s="16" customFormat="1" hidden="1" outlineLevel="2" x14ac:dyDescent="0.35">
      <c r="B85" s="11" t="str">
        <f>CONCATENATE("          ", "6239", " - ", "KITCHEN SUPPLIES")</f>
        <v xml:space="preserve">          6239 - KITCHEN SUPPLIES</v>
      </c>
      <c r="D85" s="2">
        <v>713.15</v>
      </c>
      <c r="F85" s="2">
        <v>215.33</v>
      </c>
      <c r="G85" s="3"/>
      <c r="H85" s="2">
        <v>2717.94</v>
      </c>
      <c r="I85" s="3"/>
      <c r="J85" s="2">
        <v>4028.3</v>
      </c>
      <c r="K85" s="3"/>
      <c r="L85" s="2">
        <v>1767.9</v>
      </c>
      <c r="M85" s="3"/>
      <c r="N85" s="2">
        <v>425.78</v>
      </c>
      <c r="O85" s="3"/>
      <c r="P85" s="2">
        <v>543</v>
      </c>
      <c r="Q85" s="3"/>
      <c r="R85" s="2">
        <v>149</v>
      </c>
    </row>
    <row r="86" spans="1:18" s="16" customFormat="1" hidden="1" outlineLevel="2" x14ac:dyDescent="0.35">
      <c r="B86" s="11" t="str">
        <f>CONCATENATE("          ", "6241", " - ", "OFFICE EXPENSE")</f>
        <v xml:space="preserve">          6241 - OFFICE EXPENSE</v>
      </c>
      <c r="D86" s="2">
        <v>956.83</v>
      </c>
      <c r="F86" s="2">
        <v>2189.4699999999998</v>
      </c>
      <c r="G86" s="3"/>
      <c r="H86" s="2">
        <v>2343.9499999999998</v>
      </c>
      <c r="I86" s="3"/>
      <c r="J86" s="2">
        <v>7508.47</v>
      </c>
      <c r="K86" s="3"/>
      <c r="L86" s="2">
        <v>2814.78</v>
      </c>
      <c r="M86" s="3"/>
      <c r="N86" s="2">
        <v>5531.92</v>
      </c>
      <c r="O86" s="3"/>
      <c r="P86" s="2">
        <v>5562</v>
      </c>
      <c r="Q86" s="3"/>
      <c r="R86" s="2">
        <v>2827</v>
      </c>
    </row>
    <row r="87" spans="1:18" s="16" customFormat="1" hidden="1" outlineLevel="2" x14ac:dyDescent="0.35">
      <c r="B87" s="11" t="str">
        <f>CONCATENATE("          ", "6243", " - ", "PAPER SUPPLIES")</f>
        <v xml:space="preserve">          6243 - PAPER SUPPLIES</v>
      </c>
      <c r="D87" s="2">
        <v>9233.06</v>
      </c>
      <c r="F87" s="2">
        <v>10480.57</v>
      </c>
      <c r="G87" s="3"/>
      <c r="H87" s="2">
        <v>11855.98</v>
      </c>
      <c r="I87" s="3"/>
      <c r="J87" s="2">
        <v>12950.91</v>
      </c>
      <c r="K87" s="3"/>
      <c r="L87" s="2">
        <v>7598.63</v>
      </c>
      <c r="M87" s="3"/>
      <c r="N87" s="2">
        <v>5123.8</v>
      </c>
      <c r="O87" s="3"/>
      <c r="P87" s="2">
        <v>6319</v>
      </c>
      <c r="Q87" s="3"/>
      <c r="R87" s="2">
        <v>3283</v>
      </c>
    </row>
    <row r="88" spans="1:18" s="16" customFormat="1" hidden="1" outlineLevel="2" x14ac:dyDescent="0.35">
      <c r="B88" s="11" t="str">
        <f>CONCATENATE("          ", "6245", " - ", "PRINTING")</f>
        <v xml:space="preserve">          6245 - PRINTING</v>
      </c>
      <c r="D88" s="2"/>
      <c r="F88" s="2">
        <v>228.59</v>
      </c>
      <c r="G88" s="3"/>
      <c r="H88" s="2">
        <v>139.15</v>
      </c>
      <c r="I88" s="3"/>
      <c r="J88" s="2">
        <v>6.04</v>
      </c>
      <c r="K88" s="3"/>
      <c r="L88" s="2">
        <v>15.58</v>
      </c>
      <c r="M88" s="3"/>
      <c r="N88" s="2"/>
      <c r="O88" s="3"/>
      <c r="P88" s="2"/>
      <c r="Q88" s="3"/>
      <c r="R88" s="2"/>
    </row>
    <row r="89" spans="1:18" s="16" customFormat="1" hidden="1" outlineLevel="2" x14ac:dyDescent="0.35">
      <c r="B89" s="11" t="str">
        <f>CONCATENATE("          ", "6246", " - ", "REPLACEMENTS")</f>
        <v xml:space="preserve">          6246 - REPLACEMENTS</v>
      </c>
      <c r="D89" s="2"/>
      <c r="F89" s="2"/>
      <c r="G89" s="3"/>
      <c r="H89" s="2"/>
      <c r="I89" s="3"/>
      <c r="J89" s="2"/>
      <c r="K89" s="3"/>
      <c r="L89" s="2"/>
      <c r="M89" s="3"/>
      <c r="N89" s="2">
        <v>25.87</v>
      </c>
      <c r="O89" s="3"/>
      <c r="P89" s="2"/>
      <c r="Q89" s="3"/>
      <c r="R89" s="2"/>
    </row>
    <row r="90" spans="1:18" s="16" customFormat="1" hidden="1" outlineLevel="2" x14ac:dyDescent="0.35">
      <c r="B90" s="11" t="str">
        <f>CONCATENATE("          ", "6247", " - ", "STORE SUPPLIES")</f>
        <v xml:space="preserve">          6247 - STORE SUPPLIES</v>
      </c>
      <c r="D90" s="2">
        <v>538.76</v>
      </c>
      <c r="F90" s="2">
        <v>809.33</v>
      </c>
      <c r="G90" s="3"/>
      <c r="H90" s="2">
        <v>817.48</v>
      </c>
      <c r="I90" s="3"/>
      <c r="J90" s="2">
        <v>5756.7</v>
      </c>
      <c r="K90" s="3"/>
      <c r="L90" s="2">
        <v>1260.47</v>
      </c>
      <c r="M90" s="3"/>
      <c r="N90" s="2">
        <v>440.56</v>
      </c>
      <c r="O90" s="3"/>
      <c r="P90" s="2">
        <v>411</v>
      </c>
      <c r="Q90" s="3"/>
      <c r="R90" s="2">
        <v>411</v>
      </c>
    </row>
    <row r="91" spans="1:18" s="16" customFormat="1" hidden="1" outlineLevel="2" x14ac:dyDescent="0.35">
      <c r="B91" s="11" t="str">
        <f>CONCATENATE("          ", "6248", " - ", "UNIFORMS")</f>
        <v xml:space="preserve">          6248 - UNIFORMS</v>
      </c>
      <c r="D91" s="2">
        <v>1129.81</v>
      </c>
      <c r="F91" s="2">
        <v>1893.06</v>
      </c>
      <c r="G91" s="3"/>
      <c r="H91" s="2">
        <v>219.24</v>
      </c>
      <c r="I91" s="3"/>
      <c r="J91" s="2">
        <v>1624.4</v>
      </c>
      <c r="K91" s="3"/>
      <c r="L91" s="2">
        <v>1457.95</v>
      </c>
      <c r="M91" s="3"/>
      <c r="N91" s="2">
        <v>15.47</v>
      </c>
      <c r="O91" s="3"/>
      <c r="P91" s="2">
        <v>15</v>
      </c>
      <c r="Q91" s="3"/>
      <c r="R91" s="2">
        <v>1500</v>
      </c>
    </row>
    <row r="92" spans="1:18" s="15" customFormat="1" outlineLevel="1" collapsed="1" x14ac:dyDescent="0.35">
      <c r="A92" s="7"/>
      <c r="B92" s="20" t="str">
        <f>CONCATENATE("     ","Telephone/Data Lines                              ")</f>
        <v xml:space="preserve">     Telephone/Data Lines                              </v>
      </c>
      <c r="C92" s="7"/>
      <c r="D92" s="1">
        <f>SUM(OSRRefD21_16x_0)</f>
        <v>1453.98</v>
      </c>
      <c r="E92" s="19"/>
      <c r="F92" s="1">
        <f>SUM(OSRRefF21_16x_0)</f>
        <v>1703.14</v>
      </c>
      <c r="G92" s="4"/>
      <c r="H92" s="1">
        <f>SUM(OSRRefH21_16x_0)</f>
        <v>1424.15</v>
      </c>
      <c r="I92" s="4"/>
      <c r="J92" s="1">
        <f>SUM(OSRRefJ21_16x_0)</f>
        <v>1813.55</v>
      </c>
      <c r="K92" s="4"/>
      <c r="L92" s="1">
        <f>SUM(OSRRefL21_16x_0)</f>
        <v>1852.5</v>
      </c>
      <c r="M92" s="4"/>
      <c r="N92" s="1">
        <f>SUM(OSRRefN21_16x_0)</f>
        <v>1652.64</v>
      </c>
      <c r="O92" s="4"/>
      <c r="P92" s="1">
        <f>SUM(OSRRefP21_16x_0)</f>
        <v>2262</v>
      </c>
      <c r="Q92" s="4"/>
      <c r="R92" s="1">
        <f>SUM(OSRRefR21_16x_0)</f>
        <v>1620</v>
      </c>
    </row>
    <row r="93" spans="1:18" s="16" customFormat="1" hidden="1" outlineLevel="2" x14ac:dyDescent="0.35">
      <c r="B93" s="11" t="str">
        <f>CONCATENATE("          ", "6303", " - ", "DATA PHONE LINES")</f>
        <v xml:space="preserve">          6303 - DATA PHONE LINES</v>
      </c>
      <c r="D93" s="2"/>
      <c r="F93" s="2"/>
      <c r="G93" s="3"/>
      <c r="H93" s="2"/>
      <c r="I93" s="3"/>
      <c r="J93" s="2"/>
      <c r="K93" s="3"/>
      <c r="L93" s="2"/>
      <c r="M93" s="3"/>
      <c r="N93" s="2"/>
      <c r="O93" s="3"/>
      <c r="P93" s="2">
        <v>1662</v>
      </c>
      <c r="Q93" s="3"/>
      <c r="R93" s="2">
        <v>720</v>
      </c>
    </row>
    <row r="94" spans="1:18" s="16" customFormat="1" hidden="1" outlineLevel="2" x14ac:dyDescent="0.35">
      <c r="B94" s="11" t="str">
        <f>CONCATENATE("          ", "6309", " - ", "TELEPHONE")</f>
        <v xml:space="preserve">          6309 - TELEPHONE</v>
      </c>
      <c r="D94" s="2">
        <v>1453.98</v>
      </c>
      <c r="F94" s="2">
        <v>1703.14</v>
      </c>
      <c r="G94" s="3"/>
      <c r="H94" s="2">
        <v>1424.15</v>
      </c>
      <c r="I94" s="3"/>
      <c r="J94" s="2">
        <v>1813.55</v>
      </c>
      <c r="K94" s="3"/>
      <c r="L94" s="2">
        <v>1852.5</v>
      </c>
      <c r="M94" s="3"/>
      <c r="N94" s="2">
        <v>1652.64</v>
      </c>
      <c r="O94" s="3"/>
      <c r="P94" s="2">
        <v>600</v>
      </c>
      <c r="Q94" s="3"/>
      <c r="R94" s="2">
        <v>900</v>
      </c>
    </row>
    <row r="95" spans="1:18" s="15" customFormat="1" outlineLevel="1" collapsed="1" x14ac:dyDescent="0.35">
      <c r="A95" s="7"/>
      <c r="B95" s="20" t="str">
        <f>CONCATENATE("     ","Training                                          ")</f>
        <v xml:space="preserve">     Training                                          </v>
      </c>
      <c r="C95" s="7"/>
      <c r="D95" s="1">
        <f>SUM(OSRRefD21_17x_0)</f>
        <v>266.25</v>
      </c>
      <c r="E95" s="19"/>
      <c r="F95" s="1">
        <f>SUM(OSRRefF21_17x_0)</f>
        <v>150</v>
      </c>
      <c r="G95" s="4"/>
      <c r="H95" s="1">
        <f>SUM(OSRRefH21_17x_0)</f>
        <v>772.73</v>
      </c>
      <c r="I95" s="4"/>
      <c r="J95" s="1">
        <f>SUM(OSRRefJ21_17x_0)</f>
        <v>563.4</v>
      </c>
      <c r="K95" s="4"/>
      <c r="L95" s="1">
        <f>SUM(OSRRefL21_17x_0)</f>
        <v>237.83</v>
      </c>
      <c r="M95" s="4"/>
      <c r="N95" s="1">
        <f>SUM(OSRRefN21_17x_0)</f>
        <v>185</v>
      </c>
      <c r="O95" s="4"/>
      <c r="P95" s="1">
        <f>SUM(OSRRefP21_17x_0)</f>
        <v>0</v>
      </c>
      <c r="Q95" s="4"/>
      <c r="R95" s="1">
        <f>SUM(OSRRefR21_17x_0)</f>
        <v>760</v>
      </c>
    </row>
    <row r="96" spans="1:18" s="16" customFormat="1" hidden="1" outlineLevel="2" x14ac:dyDescent="0.35">
      <c r="B96" s="11" t="str">
        <f>CONCATENATE("          ", "6376", " - ", "TRAINING")</f>
        <v xml:space="preserve">          6376 - TRAINING</v>
      </c>
      <c r="D96" s="2">
        <v>266.25</v>
      </c>
      <c r="F96" s="2">
        <v>150</v>
      </c>
      <c r="G96" s="3"/>
      <c r="H96" s="2">
        <v>772.73</v>
      </c>
      <c r="I96" s="3"/>
      <c r="J96" s="2">
        <v>563.4</v>
      </c>
      <c r="K96" s="3"/>
      <c r="L96" s="2">
        <v>237.83</v>
      </c>
      <c r="M96" s="3"/>
      <c r="N96" s="2">
        <v>185</v>
      </c>
      <c r="O96" s="3"/>
      <c r="P96" s="2"/>
      <c r="Q96" s="3"/>
      <c r="R96" s="2">
        <v>760</v>
      </c>
    </row>
    <row r="97" spans="1:18" s="15" customFormat="1" outlineLevel="1" collapsed="1" x14ac:dyDescent="0.35">
      <c r="A97" s="7"/>
      <c r="B97" s="20" t="str">
        <f>CONCATENATE("     ","Travel                                            ")</f>
        <v xml:space="preserve">     Travel                                            </v>
      </c>
      <c r="C97" s="7"/>
      <c r="D97" s="1">
        <f>SUM(OSRRefD21_18x_0)</f>
        <v>0</v>
      </c>
      <c r="E97" s="19"/>
      <c r="F97" s="1">
        <f>SUM(OSRRefF21_18x_0)</f>
        <v>0</v>
      </c>
      <c r="G97" s="4"/>
      <c r="H97" s="1">
        <f>SUM(OSRRefH21_18x_0)</f>
        <v>2558.5700000000002</v>
      </c>
      <c r="I97" s="4"/>
      <c r="J97" s="1">
        <f>SUM(OSRRefJ21_18x_0)</f>
        <v>78.599999999999994</v>
      </c>
      <c r="K97" s="4"/>
      <c r="L97" s="1">
        <f>SUM(OSRRefL21_18x_0)</f>
        <v>6.79</v>
      </c>
      <c r="M97" s="4"/>
      <c r="N97" s="1">
        <f>SUM(OSRRefN21_18x_0)</f>
        <v>0</v>
      </c>
      <c r="O97" s="4"/>
      <c r="P97" s="1">
        <f>SUM(OSRRefP21_18x_0)</f>
        <v>0</v>
      </c>
      <c r="Q97" s="4"/>
      <c r="R97" s="1">
        <f>SUM(OSRRefR21_18x_0)</f>
        <v>0</v>
      </c>
    </row>
    <row r="98" spans="1:18" s="16" customFormat="1" hidden="1" outlineLevel="2" x14ac:dyDescent="0.35">
      <c r="B98" s="11" t="str">
        <f>CONCATENATE("          ", "6292", " - ", "TRAVEL/CONFERENCE")</f>
        <v xml:space="preserve">          6292 - TRAVEL/CONFERENCE</v>
      </c>
      <c r="D98" s="2"/>
      <c r="F98" s="2"/>
      <c r="G98" s="3"/>
      <c r="H98" s="2">
        <v>1733.97</v>
      </c>
      <c r="I98" s="3"/>
      <c r="J98" s="2"/>
      <c r="K98" s="3"/>
      <c r="L98" s="2">
        <v>6.79</v>
      </c>
      <c r="M98" s="3"/>
      <c r="N98" s="2"/>
      <c r="O98" s="3"/>
      <c r="P98" s="2">
        <v>0</v>
      </c>
      <c r="Q98" s="3"/>
      <c r="R98" s="2"/>
    </row>
    <row r="99" spans="1:18" s="16" customFormat="1" hidden="1" outlineLevel="2" x14ac:dyDescent="0.35">
      <c r="B99" s="11" t="str">
        <f>CONCATENATE("          ", "6294", " - ", "TRAVEL OPERATIONAL")</f>
        <v xml:space="preserve">          6294 - TRAVEL OPERATIONAL</v>
      </c>
      <c r="D99" s="2"/>
      <c r="F99" s="2"/>
      <c r="G99" s="3"/>
      <c r="H99" s="2">
        <v>824.6</v>
      </c>
      <c r="I99" s="3"/>
      <c r="J99" s="2">
        <v>78.599999999999994</v>
      </c>
      <c r="K99" s="3"/>
      <c r="L99" s="2"/>
      <c r="M99" s="3"/>
      <c r="N99" s="2"/>
      <c r="O99" s="3"/>
      <c r="P99" s="2">
        <v>0</v>
      </c>
      <c r="Q99" s="3"/>
      <c r="R99" s="2"/>
    </row>
    <row r="100" spans="1:18" s="15" customFormat="1" outlineLevel="1" collapsed="1" x14ac:dyDescent="0.35">
      <c r="A100" s="7"/>
      <c r="B100" s="20" t="str">
        <f>CONCATENATE("     ","Utilities                                         ")</f>
        <v xml:space="preserve">     Utilities                                         </v>
      </c>
      <c r="C100" s="7"/>
      <c r="D100" s="1">
        <f>SUM(OSRRefD21_19x_0)</f>
        <v>30576.68</v>
      </c>
      <c r="E100" s="19"/>
      <c r="F100" s="1">
        <f>SUM(OSRRefF21_19x_0)</f>
        <v>40887.47</v>
      </c>
      <c r="G100" s="4"/>
      <c r="H100" s="1">
        <f>SUM(OSRRefH21_19x_0)</f>
        <v>32303.89</v>
      </c>
      <c r="I100" s="4"/>
      <c r="J100" s="1">
        <f>SUM(OSRRefJ21_19x_0)</f>
        <v>20527.2</v>
      </c>
      <c r="K100" s="4"/>
      <c r="L100" s="1">
        <f>SUM(OSRRefL21_19x_0)</f>
        <v>21994</v>
      </c>
      <c r="M100" s="4"/>
      <c r="N100" s="1">
        <f>SUM(OSRRefN21_19x_0)</f>
        <v>30520</v>
      </c>
      <c r="O100" s="4"/>
      <c r="P100" s="1">
        <f>SUM(OSRRefP21_19x_0)</f>
        <v>27600</v>
      </c>
      <c r="Q100" s="4"/>
      <c r="R100" s="1">
        <f>SUM(OSRRefR21_19x_0)</f>
        <v>29000</v>
      </c>
    </row>
    <row r="101" spans="1:18" s="16" customFormat="1" hidden="1" outlineLevel="2" x14ac:dyDescent="0.35">
      <c r="B101" s="11" t="str">
        <f>CONCATENATE("          ", "6274", " - ", "UTILITIES")</f>
        <v xml:space="preserve">          6274 - UTILITIES</v>
      </c>
      <c r="D101" s="2">
        <v>30576.68</v>
      </c>
      <c r="F101" s="2">
        <v>40887.47</v>
      </c>
      <c r="G101" s="3"/>
      <c r="H101" s="2">
        <v>32303.89</v>
      </c>
      <c r="I101" s="3"/>
      <c r="J101" s="2">
        <v>20527.2</v>
      </c>
      <c r="K101" s="3"/>
      <c r="L101" s="2">
        <v>21994</v>
      </c>
      <c r="M101" s="3"/>
      <c r="N101" s="2">
        <v>30520</v>
      </c>
      <c r="O101" s="3"/>
      <c r="P101" s="2">
        <v>27600</v>
      </c>
      <c r="Q101" s="3"/>
      <c r="R101" s="2">
        <v>29000</v>
      </c>
    </row>
    <row r="102" spans="1:18" x14ac:dyDescent="0.35">
      <c r="A102" s="12"/>
      <c r="B102" s="12"/>
      <c r="C102" s="12"/>
      <c r="D102" s="1"/>
      <c r="F102" s="1"/>
      <c r="H102" s="1"/>
      <c r="J102" s="1"/>
      <c r="L102" s="1"/>
      <c r="N102" s="1"/>
      <c r="P102" s="1"/>
      <c r="R102" s="1"/>
    </row>
    <row r="103" spans="1:18" s="7" customFormat="1" collapsed="1" x14ac:dyDescent="0.35">
      <c r="A103" s="36"/>
      <c r="B103" s="34" t="s">
        <v>295</v>
      </c>
      <c r="D103" s="6">
        <f>SUM(OSRRefD24x_0)</f>
        <v>0</v>
      </c>
      <c r="E103" s="12"/>
      <c r="F103" s="6">
        <f>SUM(OSRRefF24x_0)</f>
        <v>0</v>
      </c>
      <c r="G103" s="5"/>
      <c r="H103" s="6">
        <f>SUM(OSRRefH24x_0)</f>
        <v>0</v>
      </c>
      <c r="I103" s="5"/>
      <c r="J103" s="6">
        <f>SUM(OSRRefJ24x_0)</f>
        <v>0</v>
      </c>
      <c r="K103" s="5"/>
      <c r="L103" s="6">
        <f>SUM(OSRRefL24x_0)</f>
        <v>0</v>
      </c>
      <c r="M103" s="5"/>
      <c r="N103" s="6">
        <f>SUM(OSRRefN24x_0)</f>
        <v>68.760000000000005</v>
      </c>
      <c r="O103" s="5"/>
      <c r="P103" s="6">
        <f>SUM(OSRRefP24x_0)</f>
        <v>0</v>
      </c>
      <c r="Q103" s="5"/>
      <c r="R103" s="6">
        <f>SUM(OSRRefR24x_0)</f>
        <v>0</v>
      </c>
    </row>
    <row r="104" spans="1:18" s="7" customFormat="1" hidden="1" outlineLevel="1" x14ac:dyDescent="0.35">
      <c r="A104" s="36"/>
      <c r="B104" s="11" t="str">
        <f>CONCATENATE("          ", "9150", " - ", "MISC. INCOME")</f>
        <v xml:space="preserve">          9150 - MISC. INCOME</v>
      </c>
      <c r="D104" s="11">
        <f>0</f>
        <v>0</v>
      </c>
      <c r="E104" s="16"/>
      <c r="F104" s="11">
        <f>0</f>
        <v>0</v>
      </c>
      <c r="G104" s="3"/>
      <c r="H104" s="11">
        <f>0</f>
        <v>0</v>
      </c>
      <c r="I104" s="3"/>
      <c r="J104" s="11">
        <f>0</f>
        <v>0</v>
      </c>
      <c r="K104" s="3"/>
      <c r="L104" s="11">
        <f>0</f>
        <v>0</v>
      </c>
      <c r="M104" s="3"/>
      <c r="N104" s="11">
        <f>--68.76</f>
        <v>68.760000000000005</v>
      </c>
      <c r="O104" s="3"/>
      <c r="P104" s="11"/>
      <c r="Q104" s="3"/>
      <c r="R104" s="11"/>
    </row>
    <row r="105" spans="1:18" x14ac:dyDescent="0.35">
      <c r="A105" s="12"/>
      <c r="B105" s="7"/>
      <c r="C105" s="7"/>
      <c r="D105" s="6"/>
      <c r="F105" s="6"/>
      <c r="H105" s="6"/>
      <c r="J105" s="6"/>
      <c r="L105" s="6"/>
      <c r="N105" s="6"/>
      <c r="P105" s="6"/>
      <c r="R105" s="6"/>
    </row>
    <row r="106" spans="1:18" s="15" customFormat="1" x14ac:dyDescent="0.35">
      <c r="A106" s="7"/>
      <c r="B106" s="22" t="s">
        <v>279</v>
      </c>
      <c r="C106" s="22"/>
      <c r="D106" s="10">
        <f>+D21-D24+D103</f>
        <v>-180621.54999999993</v>
      </c>
      <c r="E106" s="12"/>
      <c r="F106" s="10">
        <f>+F21-F24+F103</f>
        <v>-180690.61</v>
      </c>
      <c r="G106" s="5"/>
      <c r="H106" s="10">
        <f>+H21-H24+H103</f>
        <v>-136483.87999999989</v>
      </c>
      <c r="I106" s="5"/>
      <c r="J106" s="10">
        <f>+J21-J24+J103</f>
        <v>-177003.51000000024</v>
      </c>
      <c r="K106" s="5"/>
      <c r="L106" s="10">
        <f>+L21-L24+L103</f>
        <v>-163179.92999999993</v>
      </c>
      <c r="M106" s="5"/>
      <c r="N106" s="10">
        <f>+N21-N24+N103</f>
        <v>-316796.04000000015</v>
      </c>
      <c r="O106" s="5"/>
      <c r="P106" s="10">
        <f>+P21-P24+P103</f>
        <v>-509084.67845838459</v>
      </c>
      <c r="Q106" s="5"/>
      <c r="R106" s="10">
        <f>+R21-R24+R103</f>
        <v>-239819.78880830365</v>
      </c>
    </row>
    <row r="107" spans="1:18" s="27" customFormat="1" x14ac:dyDescent="0.35">
      <c r="A107" s="18"/>
      <c r="B107" s="31"/>
      <c r="C107" s="18"/>
      <c r="D107" s="9">
        <f>IFERROR(D106/D10, 0)</f>
        <v>-0.23472524172548306</v>
      </c>
      <c r="E107" s="18"/>
      <c r="F107" s="9">
        <f>IFERROR(F106/F10, 0)</f>
        <v>-0.23639816344536604</v>
      </c>
      <c r="G107" s="14"/>
      <c r="H107" s="9">
        <f>IFERROR(H106/H10, 0)</f>
        <v>-0.16019023787034153</v>
      </c>
      <c r="I107" s="14"/>
      <c r="J107" s="9">
        <f>IFERROR(J106/J10, 0)</f>
        <v>-0.1942017574054741</v>
      </c>
      <c r="K107" s="14"/>
      <c r="L107" s="9">
        <f>IFERROR(L106/L10, 0)</f>
        <v>-0.17741344523989991</v>
      </c>
      <c r="M107" s="14"/>
      <c r="N107" s="9">
        <f>IFERROR(N106/N10, 0)</f>
        <v>-0.48604381684547693</v>
      </c>
      <c r="O107" s="14"/>
      <c r="P107" s="9">
        <f>IFERROR(P106/P10, 0)</f>
        <v>-2.1785081561006678</v>
      </c>
      <c r="Q107" s="14"/>
      <c r="R107" s="9">
        <f>IFERROR(R106/R10, 0)</f>
        <v>-0.35584210818058259</v>
      </c>
    </row>
    <row r="108" spans="1:18" s="27" customFormat="1" x14ac:dyDescent="0.35">
      <c r="A108" s="18"/>
      <c r="B108" s="31"/>
      <c r="C108" s="18"/>
      <c r="D108" s="13"/>
      <c r="E108" s="18"/>
      <c r="F108" s="13"/>
      <c r="G108" s="14"/>
      <c r="H108" s="13"/>
      <c r="I108" s="14"/>
      <c r="J108" s="13"/>
      <c r="K108" s="14"/>
      <c r="L108" s="13"/>
      <c r="M108" s="14"/>
      <c r="N108" s="13"/>
      <c r="O108" s="14"/>
      <c r="P108" s="13"/>
      <c r="Q108" s="14"/>
      <c r="R108" s="13"/>
    </row>
    <row r="109" spans="1:18" s="15" customFormat="1" x14ac:dyDescent="0.35">
      <c r="A109" s="37"/>
      <c r="B109" s="7" t="s">
        <v>127</v>
      </c>
      <c r="C109" s="7"/>
      <c r="D109" s="6">
        <v>167218.62</v>
      </c>
      <c r="E109" s="12"/>
      <c r="F109" s="6">
        <v>108550.08</v>
      </c>
      <c r="G109" s="5"/>
      <c r="H109" s="6">
        <v>113918.8</v>
      </c>
      <c r="I109" s="5"/>
      <c r="J109" s="6">
        <v>122327.71</v>
      </c>
      <c r="K109" s="5"/>
      <c r="L109" s="6">
        <v>65558.679999999993</v>
      </c>
      <c r="M109" s="5"/>
      <c r="N109" s="6">
        <v>98694.98</v>
      </c>
      <c r="O109" s="5"/>
      <c r="P109" s="6">
        <v>39488</v>
      </c>
      <c r="Q109" s="5"/>
      <c r="R109" s="6">
        <v>76423</v>
      </c>
    </row>
    <row r="110" spans="1:18" x14ac:dyDescent="0.35">
      <c r="A110" s="12"/>
      <c r="B110" s="7"/>
      <c r="C110" s="7"/>
      <c r="D110" s="6"/>
      <c r="F110" s="6"/>
      <c r="H110" s="6"/>
      <c r="J110" s="6"/>
      <c r="L110" s="6"/>
      <c r="N110" s="6"/>
      <c r="P110" s="6"/>
      <c r="R110" s="6"/>
    </row>
    <row r="111" spans="1:18" s="15" customFormat="1" x14ac:dyDescent="0.35">
      <c r="A111" s="7"/>
      <c r="B111" s="22" t="s">
        <v>126</v>
      </c>
      <c r="C111" s="22"/>
      <c r="D111" s="10">
        <f>+D106-D109</f>
        <v>-347840.16999999993</v>
      </c>
      <c r="E111" s="12"/>
      <c r="F111" s="10">
        <f>+F106-F109</f>
        <v>-289240.69</v>
      </c>
      <c r="G111" s="5"/>
      <c r="H111" s="10">
        <f>+H106-H109</f>
        <v>-250402.67999999988</v>
      </c>
      <c r="I111" s="5"/>
      <c r="J111" s="10">
        <f>+J106-J109</f>
        <v>-299331.22000000026</v>
      </c>
      <c r="K111" s="5"/>
      <c r="L111" s="10">
        <f>+L106-L109</f>
        <v>-228738.60999999993</v>
      </c>
      <c r="M111" s="5"/>
      <c r="N111" s="10">
        <f>+N106-N109</f>
        <v>-415491.02000000014</v>
      </c>
      <c r="O111" s="5"/>
      <c r="P111" s="10">
        <f>+P106-P109</f>
        <v>-548572.67845838459</v>
      </c>
      <c r="Q111" s="5"/>
      <c r="R111" s="10">
        <f>+R106-R109</f>
        <v>-316242.78880830365</v>
      </c>
    </row>
    <row r="112" spans="1:18" s="27" customFormat="1" x14ac:dyDescent="0.35">
      <c r="A112" s="18"/>
      <c r="B112" s="18"/>
      <c r="C112" s="18"/>
      <c r="D112" s="9">
        <f>IFERROR(D111/D10, 0)</f>
        <v>-0.45203281659958705</v>
      </c>
      <c r="E112" s="18"/>
      <c r="F112" s="9">
        <f>IFERROR(F111/F10, 0)</f>
        <v>-0.37841461661826509</v>
      </c>
      <c r="G112" s="14"/>
      <c r="H112" s="9">
        <f>IFERROR(H111/H10, 0)</f>
        <v>-0.29389598883451312</v>
      </c>
      <c r="I112" s="14"/>
      <c r="J112" s="9">
        <f>IFERROR(J111/J10, 0)</f>
        <v>-0.32841523295399383</v>
      </c>
      <c r="K112" s="14"/>
      <c r="L112" s="9">
        <f>IFERROR(L111/L10, 0)</f>
        <v>-0.24869053969741148</v>
      </c>
      <c r="M112" s="14"/>
      <c r="N112" s="9">
        <f>IFERROR(N111/N10, 0)</f>
        <v>-0.63746643179573947</v>
      </c>
      <c r="O112" s="14"/>
      <c r="P112" s="9">
        <f>IFERROR(P111/P10, 0)</f>
        <v>-2.3474877654037898</v>
      </c>
      <c r="Q112" s="14"/>
      <c r="R112" s="9">
        <f>IFERROR(R111/R10, 0)</f>
        <v>-0.46923776067705864</v>
      </c>
    </row>
    <row r="113" spans="1:18" s="27" customFormat="1" x14ac:dyDescent="0.35">
      <c r="A113" s="18"/>
      <c r="B113" s="18"/>
      <c r="C113" s="18"/>
      <c r="D113" s="13"/>
      <c r="E113" s="18"/>
      <c r="F113" s="13"/>
      <c r="G113" s="14"/>
      <c r="H113" s="13"/>
      <c r="I113" s="14"/>
      <c r="J113" s="13"/>
      <c r="K113" s="14"/>
      <c r="L113" s="13"/>
      <c r="M113" s="14"/>
      <c r="N113" s="13"/>
      <c r="O113" s="14"/>
      <c r="P113" s="13"/>
      <c r="Q113" s="14"/>
      <c r="R113" s="13"/>
    </row>
    <row r="114" spans="1:18" x14ac:dyDescent="0.35">
      <c r="A114" s="12"/>
      <c r="B114" s="12"/>
      <c r="C114" s="12"/>
      <c r="D114" s="6"/>
      <c r="F114" s="6"/>
      <c r="H114" s="6"/>
      <c r="J114" s="6"/>
      <c r="L114" s="6"/>
      <c r="N114" s="6"/>
      <c r="P114" s="6"/>
      <c r="R114" s="6"/>
    </row>
    <row r="115" spans="1:18" s="15" customFormat="1" x14ac:dyDescent="0.35">
      <c r="A115" s="7"/>
      <c r="B115" s="22" t="s">
        <v>296</v>
      </c>
      <c r="C115" s="22"/>
      <c r="D115" s="10">
        <f>SUM(D111:D114)</f>
        <v>-347840.62203281652</v>
      </c>
      <c r="E115" s="12"/>
      <c r="F115" s="10">
        <f>SUM(F111:F114)</f>
        <v>-289241.06841461663</v>
      </c>
      <c r="G115" s="5"/>
      <c r="H115" s="10">
        <f>SUM(H111:H114)</f>
        <v>-250402.97389598872</v>
      </c>
      <c r="I115" s="5"/>
      <c r="J115" s="10">
        <f>SUM(J111:J114)</f>
        <v>-299331.54841523321</v>
      </c>
      <c r="K115" s="5"/>
      <c r="L115" s="10">
        <f>SUM(L111:L114)</f>
        <v>-228738.85869053964</v>
      </c>
      <c r="M115" s="5"/>
      <c r="N115" s="10">
        <f>SUM(N111:N114)</f>
        <v>-415491.65746643191</v>
      </c>
      <c r="O115" s="5"/>
      <c r="P115" s="10">
        <f>SUM(P111:P114)</f>
        <v>-548575.02594614995</v>
      </c>
      <c r="Q115" s="5"/>
      <c r="R115" s="10">
        <f>SUM(R111:R114)</f>
        <v>-316243.25804606435</v>
      </c>
    </row>
    <row r="116" spans="1:18" s="27" customFormat="1" x14ac:dyDescent="0.35">
      <c r="A116" s="18"/>
      <c r="B116" s="41"/>
      <c r="C116" s="18"/>
      <c r="D116" s="9">
        <f>IFERROR(D115/D10, 0)</f>
        <v>-0.45203340403509595</v>
      </c>
      <c r="E116" s="18"/>
      <c r="F116" s="9">
        <f>IFERROR(F115/F10, 0)</f>
        <v>-0.37841511169944497</v>
      </c>
      <c r="G116" s="14"/>
      <c r="H116" s="9">
        <f>IFERROR(H115/H10, 0)</f>
        <v>-0.29389633377831426</v>
      </c>
      <c r="I116" s="14"/>
      <c r="J116" s="9">
        <f>IFERROR(J115/J10, 0)</f>
        <v>-0.32841559327913877</v>
      </c>
      <c r="K116" s="14"/>
      <c r="L116" s="9">
        <f>IFERROR(L115/L10, 0)</f>
        <v>-0.2486908100802058</v>
      </c>
      <c r="M116" s="14"/>
      <c r="N116" s="9">
        <f>IFERROR(N115/N10, 0)</f>
        <v>-0.6374674098275912</v>
      </c>
      <c r="O116" s="14"/>
      <c r="P116" s="9">
        <f>IFERROR(P115/P10, 0)</f>
        <v>-2.3474978109256046</v>
      </c>
      <c r="Q116" s="14"/>
      <c r="R116" s="9">
        <f>IFERROR(R115/R10, 0)</f>
        <v>-0.4692384569271672</v>
      </c>
    </row>
    <row r="117" spans="1:18" x14ac:dyDescent="0.35">
      <c r="A117" s="12"/>
      <c r="B117" s="40">
        <v>44319.883572604165</v>
      </c>
      <c r="D117" s="24"/>
      <c r="F117" s="24"/>
      <c r="H117" s="24"/>
      <c r="J117" s="24"/>
      <c r="L117" s="24"/>
      <c r="N117" s="24"/>
      <c r="P117" s="24"/>
      <c r="R117" s="24"/>
    </row>
    <row r="118" spans="1:18" x14ac:dyDescent="0.35">
      <c r="A118" s="12"/>
      <c r="B118" s="39" t="s">
        <v>23</v>
      </c>
      <c r="D118" s="24"/>
      <c r="F118" s="24"/>
      <c r="H118" s="24"/>
      <c r="J118" s="24"/>
      <c r="L118" s="24"/>
      <c r="N118" s="24"/>
      <c r="P118" s="24"/>
      <c r="R118" s="24"/>
    </row>
    <row r="119" spans="1:18" x14ac:dyDescent="0.35">
      <c r="A119" s="12"/>
      <c r="D119" s="24"/>
      <c r="F119" s="24"/>
      <c r="H119" s="24"/>
      <c r="J119" s="24"/>
      <c r="L119" s="24"/>
      <c r="N119" s="24"/>
      <c r="P119" s="24"/>
      <c r="R119" s="24"/>
    </row>
    <row r="120" spans="1:18" x14ac:dyDescent="0.35">
      <c r="D120" s="24"/>
      <c r="F120" s="24"/>
      <c r="H120" s="24"/>
      <c r="J120" s="24"/>
      <c r="L120" s="24"/>
      <c r="N120" s="24"/>
      <c r="P120" s="24"/>
      <c r="R120" s="24"/>
    </row>
  </sheetData>
  <pageMargins left="0.5" right="0.5" top="0.5" bottom="0.5" header="0.3" footer="0.3"/>
  <pageSetup scale="5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R123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">
        <v>138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0</v>
      </c>
      <c r="F10" s="8">
        <f>SUM(OSRRefF11x_0)</f>
        <v>0</v>
      </c>
      <c r="G10" s="8"/>
      <c r="H10" s="8">
        <f>SUM(OSRRefH11x_0)</f>
        <v>0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"4100", " - ", "NON-TAXABLE SALES")</f>
        <v xml:space="preserve">          4100 - NON-TAXABLE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/>
    </row>
    <row r="12" spans="1:18" s="12" customFormat="1" x14ac:dyDescent="0.35">
      <c r="B12" s="7"/>
      <c r="D12" s="6"/>
      <c r="F12" s="6"/>
      <c r="G12" s="5"/>
      <c r="H12" s="6"/>
      <c r="I12" s="5"/>
      <c r="J12" s="6"/>
      <c r="K12" s="5"/>
      <c r="L12" s="6"/>
      <c r="M12" s="5"/>
      <c r="N12" s="6"/>
      <c r="O12" s="5"/>
      <c r="P12" s="6"/>
      <c r="Q12" s="5"/>
      <c r="R12" s="6"/>
    </row>
    <row r="13" spans="1:18" s="12" customFormat="1" x14ac:dyDescent="0.35">
      <c r="B13" s="7" t="s">
        <v>278</v>
      </c>
      <c r="D13" s="8">
        <f>SUM(0)</f>
        <v>0</v>
      </c>
      <c r="E13" s="8"/>
      <c r="F13" s="8">
        <f>SUM(0)</f>
        <v>0</v>
      </c>
      <c r="G13" s="8"/>
      <c r="H13" s="8">
        <f>SUM(0)</f>
        <v>0</v>
      </c>
      <c r="I13" s="8"/>
      <c r="J13" s="8">
        <f>SUM(0)</f>
        <v>0</v>
      </c>
      <c r="K13" s="8"/>
      <c r="L13" s="8">
        <f>SUM(0)</f>
        <v>0</v>
      </c>
      <c r="M13" s="8"/>
      <c r="N13" s="8">
        <f>SUM(0)</f>
        <v>0</v>
      </c>
      <c r="O13" s="8"/>
      <c r="P13" s="8">
        <f>SUM(0)</f>
        <v>0</v>
      </c>
      <c r="Q13" s="8"/>
      <c r="R13" s="8">
        <f>SUM(0)</f>
        <v>0</v>
      </c>
    </row>
    <row r="14" spans="1:18" x14ac:dyDescent="0.35">
      <c r="A14" s="12"/>
      <c r="B14" s="7"/>
      <c r="C14" s="7"/>
      <c r="D14" s="6"/>
      <c r="F14" s="6"/>
      <c r="H14" s="6"/>
      <c r="J14" s="6"/>
      <c r="L14" s="6"/>
      <c r="N14" s="6"/>
      <c r="P14" s="6"/>
      <c r="R14" s="6"/>
    </row>
    <row r="15" spans="1:18" s="15" customFormat="1" x14ac:dyDescent="0.35">
      <c r="A15" s="7"/>
      <c r="B15" s="22" t="s">
        <v>107</v>
      </c>
      <c r="C15" s="22"/>
      <c r="D15" s="10">
        <f>+D10-D13</f>
        <v>0</v>
      </c>
      <c r="E15" s="12"/>
      <c r="F15" s="10">
        <f>+F10-F13</f>
        <v>0</v>
      </c>
      <c r="G15" s="5"/>
      <c r="H15" s="10">
        <f>+H10-H13</f>
        <v>0</v>
      </c>
      <c r="I15" s="5"/>
      <c r="J15" s="10">
        <f>+J10-J13</f>
        <v>0</v>
      </c>
      <c r="K15" s="5"/>
      <c r="L15" s="10">
        <f>+L10-L13</f>
        <v>0</v>
      </c>
      <c r="M15" s="5"/>
      <c r="N15" s="10">
        <f>+N10-N13</f>
        <v>0</v>
      </c>
      <c r="O15" s="5"/>
      <c r="P15" s="10">
        <f>+P10-P13</f>
        <v>0</v>
      </c>
      <c r="Q15" s="5"/>
      <c r="R15" s="10">
        <f>+R10-R13</f>
        <v>0</v>
      </c>
    </row>
    <row r="16" spans="1:18" s="27" customFormat="1" x14ac:dyDescent="0.35">
      <c r="A16" s="18"/>
      <c r="B16" s="31"/>
      <c r="C16" s="18"/>
      <c r="D16" s="9">
        <f>IFERROR(D15/D10, 0)</f>
        <v>0</v>
      </c>
      <c r="E16" s="13"/>
      <c r="F16" s="9">
        <f>IFERROR(F15/F10, 0)</f>
        <v>0</v>
      </c>
      <c r="G16" s="26"/>
      <c r="H16" s="9">
        <f>IFERROR(H15/H10, 0)</f>
        <v>0</v>
      </c>
      <c r="I16" s="26"/>
      <c r="J16" s="9">
        <f>IFERROR(J15/J10, 0)</f>
        <v>0</v>
      </c>
      <c r="K16" s="26"/>
      <c r="L16" s="9">
        <f>IFERROR(L15/L10, 0)</f>
        <v>0</v>
      </c>
      <c r="M16" s="26"/>
      <c r="N16" s="9">
        <f>IFERROR(N15/N10, 0)</f>
        <v>0</v>
      </c>
      <c r="O16" s="26"/>
      <c r="P16" s="9">
        <f>IFERROR(P15/P10, 0)</f>
        <v>0</v>
      </c>
      <c r="Q16" s="26"/>
      <c r="R16" s="9">
        <f>IFERROR(R15/R10, 0)</f>
        <v>0</v>
      </c>
    </row>
    <row r="17" spans="1:18" s="27" customFormat="1" x14ac:dyDescent="0.35">
      <c r="A17" s="18"/>
      <c r="B17" s="31"/>
      <c r="C17" s="18"/>
      <c r="D17" s="13"/>
      <c r="E17" s="13"/>
      <c r="F17" s="13"/>
      <c r="G17" s="26"/>
      <c r="H17" s="13"/>
      <c r="I17" s="26"/>
      <c r="J17" s="13"/>
      <c r="K17" s="26"/>
      <c r="L17" s="13"/>
      <c r="M17" s="26"/>
      <c r="N17" s="13"/>
      <c r="O17" s="26"/>
      <c r="P17" s="13"/>
      <c r="Q17" s="26"/>
      <c r="R17" s="13"/>
    </row>
    <row r="18" spans="1:18" s="15" customFormat="1" x14ac:dyDescent="0.35">
      <c r="A18" s="7"/>
      <c r="B18" s="34" t="s">
        <v>314</v>
      </c>
      <c r="C18" s="7"/>
      <c r="D18" s="8">
        <f>SUM(OSRRefD21x_0)</f>
        <v>7564593.1299999999</v>
      </c>
      <c r="E18" s="19"/>
      <c r="F18" s="8">
        <f>SUM(OSRRefF21x_0)</f>
        <v>5215449.2299999977</v>
      </c>
      <c r="G18" s="4"/>
      <c r="H18" s="8">
        <f>SUM(OSRRefH21x_0)</f>
        <v>4852240.22</v>
      </c>
      <c r="I18" s="4"/>
      <c r="J18" s="8">
        <f>SUM(OSRRefJ21x_0)</f>
        <v>4724774.7500000028</v>
      </c>
      <c r="K18" s="4"/>
      <c r="L18" s="8">
        <f>SUM(OSRRefL21x_0)</f>
        <v>2547288.4900000007</v>
      </c>
      <c r="M18" s="4"/>
      <c r="N18" s="8">
        <f>SUM(OSRRefN21x_0)</f>
        <v>4336174.9600000009</v>
      </c>
      <c r="O18" s="4"/>
      <c r="P18" s="8">
        <f>SUM(OSRRefP21x_0)</f>
        <v>2862485.303304615</v>
      </c>
      <c r="Q18" s="4"/>
      <c r="R18" s="8">
        <f>SUM(OSRRefR21x_0)</f>
        <v>2640336.0192823811</v>
      </c>
    </row>
    <row r="19" spans="1:18" s="15" customFormat="1" outlineLevel="1" collapsed="1" x14ac:dyDescent="0.35">
      <c r="A19" s="7"/>
      <c r="B19" s="20" t="str">
        <f>CONCATENATE("     ","*Benefits                                         ")</f>
        <v xml:space="preserve">     *Benefits                                         </v>
      </c>
      <c r="C19" s="7"/>
      <c r="D19" s="1">
        <f>SUM(OSRRefD21_0x_0)</f>
        <v>4957441.24</v>
      </c>
      <c r="E19" s="19"/>
      <c r="F19" s="1">
        <f>SUM(OSRRefF21_0x_0)</f>
        <v>2387753.4499999997</v>
      </c>
      <c r="G19" s="4"/>
      <c r="H19" s="1">
        <f>SUM(OSRRefH21_0x_0)</f>
        <v>1853865.72</v>
      </c>
      <c r="I19" s="4"/>
      <c r="J19" s="1">
        <f>SUM(OSRRefJ21_0x_0)</f>
        <v>1846494.21</v>
      </c>
      <c r="K19" s="4"/>
      <c r="L19" s="1">
        <f>SUM(OSRRefL21_0x_0)</f>
        <v>-577928.51</v>
      </c>
      <c r="M19" s="4"/>
      <c r="N19" s="1">
        <f>SUM(OSRRefN21_0x_0)</f>
        <v>1648724.6099999999</v>
      </c>
      <c r="O19" s="4"/>
      <c r="P19" s="1">
        <f>SUM(OSRRefP21_0x_0)</f>
        <v>582894.38022769208</v>
      </c>
      <c r="Q19" s="4"/>
      <c r="R19" s="1">
        <f>SUM(OSRRefR21_0x_0)</f>
        <v>593368.66747930483</v>
      </c>
    </row>
    <row r="20" spans="1:18" s="16" customFormat="1" hidden="1" outlineLevel="2" x14ac:dyDescent="0.35">
      <c r="B20" s="11" t="str">
        <f>CONCATENATE("          ", "6111", " - ", "F.I.C.A.")</f>
        <v xml:space="preserve">          6111 - F.I.C.A.</v>
      </c>
      <c r="D20" s="2">
        <v>96364.73</v>
      </c>
      <c r="F20" s="2">
        <v>108015.4</v>
      </c>
      <c r="G20" s="3"/>
      <c r="H20" s="2">
        <v>107867.31</v>
      </c>
      <c r="I20" s="3"/>
      <c r="J20" s="2">
        <v>112829.41</v>
      </c>
      <c r="K20" s="3"/>
      <c r="L20" s="2">
        <v>121125.53</v>
      </c>
      <c r="M20" s="3"/>
      <c r="N20" s="2">
        <v>112892.49</v>
      </c>
      <c r="O20" s="3"/>
      <c r="P20" s="2">
        <v>93110.401107692407</v>
      </c>
      <c r="Q20" s="3"/>
      <c r="R20" s="2">
        <v>96522.283655427702</v>
      </c>
    </row>
    <row r="21" spans="1:18" s="16" customFormat="1" hidden="1" outlineLevel="2" x14ac:dyDescent="0.35">
      <c r="B21" s="11" t="str">
        <f>CONCATENATE("          ", "6112", " - ", "COMPENSATION INSURANCE")</f>
        <v xml:space="preserve">          6112 - COMPENSATION INSURANCE</v>
      </c>
      <c r="D21" s="2">
        <v>66435.820000000007</v>
      </c>
      <c r="F21" s="2">
        <v>41283.4</v>
      </c>
      <c r="G21" s="3"/>
      <c r="H21" s="2">
        <v>8915.93</v>
      </c>
      <c r="I21" s="3"/>
      <c r="J21" s="2">
        <v>5739</v>
      </c>
      <c r="K21" s="3"/>
      <c r="L21" s="2">
        <v>7157.49</v>
      </c>
      <c r="M21" s="3"/>
      <c r="N21" s="2">
        <v>8259.33</v>
      </c>
      <c r="O21" s="3"/>
      <c r="P21" s="2">
        <v>7996.3920553846201</v>
      </c>
      <c r="Q21" s="3"/>
      <c r="R21" s="2">
        <v>7956.7594485538502</v>
      </c>
    </row>
    <row r="22" spans="1:18" s="16" customFormat="1" hidden="1" outlineLevel="2" x14ac:dyDescent="0.35">
      <c r="B22" s="11" t="str">
        <f>CONCATENATE("          ", "6113", " - ", "GROUP INSURANCE")</f>
        <v xml:space="preserve">          6113 - GROUP INSURANCE</v>
      </c>
      <c r="D22" s="2">
        <v>225811.94</v>
      </c>
      <c r="F22" s="2">
        <v>251848.56</v>
      </c>
      <c r="G22" s="3"/>
      <c r="H22" s="2">
        <v>267090.65999999997</v>
      </c>
      <c r="I22" s="3"/>
      <c r="J22" s="2">
        <v>313885.33</v>
      </c>
      <c r="K22" s="3"/>
      <c r="L22" s="2">
        <v>313529.71999999997</v>
      </c>
      <c r="M22" s="3"/>
      <c r="N22" s="2">
        <v>275749.84999999998</v>
      </c>
      <c r="O22" s="3"/>
      <c r="P22" s="2">
        <v>255187.69230769199</v>
      </c>
      <c r="Q22" s="3"/>
      <c r="R22" s="2">
        <v>284248</v>
      </c>
    </row>
    <row r="23" spans="1:18" s="16" customFormat="1" hidden="1" outlineLevel="2" x14ac:dyDescent="0.35">
      <c r="B23" s="11" t="str">
        <f>CONCATENATE("          ", "6114", " - ", "STATE UNEMPLOYMENT INSURANCE")</f>
        <v xml:space="preserve">          6114 - STATE UNEMPLOYMENT INSURANCE</v>
      </c>
      <c r="D23" s="2">
        <v>-6759.98</v>
      </c>
      <c r="F23" s="2">
        <v>10135.77</v>
      </c>
      <c r="G23" s="3"/>
      <c r="H23" s="2">
        <v>4728.8500000000004</v>
      </c>
      <c r="I23" s="3"/>
      <c r="J23" s="2">
        <v>4870.3999999999996</v>
      </c>
      <c r="K23" s="3"/>
      <c r="L23" s="2">
        <v>4765.53</v>
      </c>
      <c r="M23" s="3"/>
      <c r="N23" s="2">
        <v>0</v>
      </c>
      <c r="O23" s="3"/>
      <c r="P23" s="2">
        <v>3492.2916799999998</v>
      </c>
      <c r="Q23" s="3"/>
      <c r="R23" s="2">
        <v>2909.9670522461502</v>
      </c>
    </row>
    <row r="24" spans="1:18" s="16" customFormat="1" hidden="1" outlineLevel="2" x14ac:dyDescent="0.35">
      <c r="B24" s="11" t="str">
        <f>CONCATENATE("          ", "6115", " - ", "P.E.R.S.")</f>
        <v xml:space="preserve">          6115 - P.E.R.S.</v>
      </c>
      <c r="D24" s="2">
        <v>4169264.78</v>
      </c>
      <c r="F24" s="2">
        <v>389327.83</v>
      </c>
      <c r="G24" s="3"/>
      <c r="H24" s="2">
        <v>1375396.44</v>
      </c>
      <c r="I24" s="3"/>
      <c r="J24" s="2">
        <v>1265300.8899999999</v>
      </c>
      <c r="K24" s="3"/>
      <c r="L24" s="2">
        <v>265106.96999999997</v>
      </c>
      <c r="M24" s="3"/>
      <c r="N24" s="2">
        <v>925085.05</v>
      </c>
      <c r="O24" s="3"/>
      <c r="P24" s="2">
        <v>77984.138461538503</v>
      </c>
      <c r="Q24" s="3"/>
      <c r="R24" s="2">
        <v>79719.754738461605</v>
      </c>
    </row>
    <row r="25" spans="1:18" s="16" customFormat="1" hidden="1" outlineLevel="2" x14ac:dyDescent="0.35">
      <c r="B25" s="11" t="str">
        <f>CONCATENATE("          ", "6116", " - ", "EDUCATIONAL BENEFITS")</f>
        <v xml:space="preserve">          6116 - EDUCATIONAL BENEFITS</v>
      </c>
      <c r="D25" s="2">
        <v>14850</v>
      </c>
      <c r="F25" s="2">
        <v>1648</v>
      </c>
      <c r="G25" s="3"/>
      <c r="H25" s="2">
        <v>1139.4000000000001</v>
      </c>
      <c r="I25" s="3"/>
      <c r="J25" s="2">
        <v>5525.5</v>
      </c>
      <c r="K25" s="3"/>
      <c r="L25" s="2">
        <v>2451.4</v>
      </c>
      <c r="M25" s="3"/>
      <c r="N25" s="2">
        <v>5814.88</v>
      </c>
      <c r="O25" s="3"/>
      <c r="P25" s="2">
        <v>3600</v>
      </c>
      <c r="Q25" s="3"/>
      <c r="R25" s="2">
        <v>5000</v>
      </c>
    </row>
    <row r="26" spans="1:18" s="16" customFormat="1" hidden="1" outlineLevel="2" x14ac:dyDescent="0.35">
      <c r="B26" s="11" t="str">
        <f>CONCATENATE("          ", "6117", " - ", "RETIREMENT STAFF HOURLY")</f>
        <v xml:space="preserve">          6117 - RETIREMENT STAFF HOURLY</v>
      </c>
      <c r="D26" s="2">
        <v>4306.82</v>
      </c>
      <c r="F26" s="2">
        <v>5315.16</v>
      </c>
      <c r="G26" s="3"/>
      <c r="H26" s="2">
        <v>4146.54</v>
      </c>
      <c r="I26" s="3"/>
      <c r="J26" s="2">
        <v>3013.51</v>
      </c>
      <c r="K26" s="3"/>
      <c r="L26" s="2">
        <v>4840.91</v>
      </c>
      <c r="M26" s="3"/>
      <c r="N26" s="2">
        <v>10118.870000000001</v>
      </c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"6118", " - ", "VACATION")</f>
        <v xml:space="preserve">          6118 - VACATION</v>
      </c>
      <c r="D27" s="2">
        <v>88348.45</v>
      </c>
      <c r="F27" s="2">
        <v>96692.13</v>
      </c>
      <c r="G27" s="3"/>
      <c r="H27" s="2">
        <v>86004.85</v>
      </c>
      <c r="I27" s="3"/>
      <c r="J27" s="2">
        <v>104541.22</v>
      </c>
      <c r="K27" s="3"/>
      <c r="L27" s="2">
        <v>112221.31</v>
      </c>
      <c r="M27" s="3"/>
      <c r="N27" s="2">
        <v>98550.01</v>
      </c>
      <c r="O27" s="3"/>
      <c r="P27" s="2">
        <v>62567.615384615397</v>
      </c>
      <c r="Q27" s="3"/>
      <c r="R27" s="2">
        <v>55591.983735384703</v>
      </c>
    </row>
    <row r="28" spans="1:18" s="16" customFormat="1" hidden="1" outlineLevel="2" x14ac:dyDescent="0.35">
      <c r="B28" s="11" t="str">
        <f>CONCATENATE("          ", "6119", " - ", "SICK LEAVE")</f>
        <v xml:space="preserve">          6119 - SICK LEAVE</v>
      </c>
      <c r="D28" s="2">
        <v>56736.93</v>
      </c>
      <c r="F28" s="2">
        <v>58839.08</v>
      </c>
      <c r="G28" s="3"/>
      <c r="H28" s="2">
        <v>58470.02</v>
      </c>
      <c r="I28" s="3"/>
      <c r="J28" s="2">
        <v>55629.87</v>
      </c>
      <c r="K28" s="3"/>
      <c r="L28" s="2">
        <v>64536.86</v>
      </c>
      <c r="M28" s="3"/>
      <c r="N28" s="2">
        <v>40659.72</v>
      </c>
      <c r="O28" s="3"/>
      <c r="P28" s="2">
        <v>51310.849230769199</v>
      </c>
      <c r="Q28" s="3"/>
      <c r="R28" s="2">
        <v>47619.918849230802</v>
      </c>
    </row>
    <row r="29" spans="1:18" s="16" customFormat="1" hidden="1" outlineLevel="2" x14ac:dyDescent="0.35">
      <c r="B29" s="11" t="str">
        <f>CONCATENATE("          ", "6120", " - ", "RETIREES HEALTH INSURANCE")</f>
        <v xml:space="preserve">          6120 - RETIREES HEALTH INSURANCE</v>
      </c>
      <c r="D29" s="2">
        <v>214456.78</v>
      </c>
      <c r="F29" s="2">
        <v>1397878.3</v>
      </c>
      <c r="G29" s="3"/>
      <c r="H29" s="2">
        <v>-86440.21</v>
      </c>
      <c r="I29" s="3"/>
      <c r="J29" s="2">
        <v>-51694.43</v>
      </c>
      <c r="K29" s="3"/>
      <c r="L29" s="2">
        <v>-1503756.3</v>
      </c>
      <c r="M29" s="3"/>
      <c r="N29" s="2">
        <v>148985.03</v>
      </c>
      <c r="O29" s="3"/>
      <c r="P29" s="2">
        <v>0</v>
      </c>
      <c r="Q29" s="3"/>
      <c r="R29" s="2">
        <v>-15000</v>
      </c>
    </row>
    <row r="30" spans="1:18" s="16" customFormat="1" hidden="1" outlineLevel="2" x14ac:dyDescent="0.35">
      <c r="B30" s="11" t="str">
        <f>CONCATENATE("          ", "6156", " - ", "EMPLOYEE MEALS")</f>
        <v xml:space="preserve">          6156 - EMPLOYEE MEALS</v>
      </c>
      <c r="D30" s="2">
        <v>27624.97</v>
      </c>
      <c r="F30" s="2">
        <v>26769.82</v>
      </c>
      <c r="G30" s="3"/>
      <c r="H30" s="2">
        <v>26545.93</v>
      </c>
      <c r="I30" s="3"/>
      <c r="J30" s="2">
        <v>26853.51</v>
      </c>
      <c r="K30" s="3"/>
      <c r="L30" s="2">
        <v>30092.07</v>
      </c>
      <c r="M30" s="3"/>
      <c r="N30" s="2">
        <v>22609.38</v>
      </c>
      <c r="O30" s="3"/>
      <c r="P30" s="2">
        <v>27645</v>
      </c>
      <c r="Q30" s="3"/>
      <c r="R30" s="2">
        <v>28800</v>
      </c>
    </row>
    <row r="31" spans="1:18" s="15" customFormat="1" outlineLevel="1" collapsed="1" x14ac:dyDescent="0.35">
      <c r="A31" s="7"/>
      <c r="B31" s="20" t="str">
        <f>CONCATENATE("     ","*Payroll                                          ")</f>
        <v xml:space="preserve">     *Payroll                                          </v>
      </c>
      <c r="C31" s="7"/>
      <c r="D31" s="1">
        <f>SUM(OSRRefD21_1x_0)</f>
        <v>1539217.8599999999</v>
      </c>
      <c r="E31" s="19"/>
      <c r="F31" s="1">
        <f>SUM(OSRRefF21_1x_0)</f>
        <v>1784696.52</v>
      </c>
      <c r="G31" s="4"/>
      <c r="H31" s="1">
        <f>SUM(OSRRefH21_1x_0)</f>
        <v>1817895.96</v>
      </c>
      <c r="I31" s="4"/>
      <c r="J31" s="1">
        <f>SUM(OSRRefJ21_1x_0)</f>
        <v>1717101.81</v>
      </c>
      <c r="K31" s="4"/>
      <c r="L31" s="1">
        <f>SUM(OSRRefL21_1x_0)</f>
        <v>1849559.44</v>
      </c>
      <c r="M31" s="4"/>
      <c r="N31" s="1">
        <f>SUM(OSRRefN21_1x_0)</f>
        <v>1515617.82</v>
      </c>
      <c r="O31" s="4"/>
      <c r="P31" s="1">
        <f>SUM(OSRRefP21_1x_0)</f>
        <v>1235588.923076923</v>
      </c>
      <c r="Q31" s="4"/>
      <c r="R31" s="1">
        <f>SUM(OSRRefR21_1x_0)</f>
        <v>1267774.351803076</v>
      </c>
    </row>
    <row r="32" spans="1:18" s="16" customFormat="1" hidden="1" outlineLevel="2" x14ac:dyDescent="0.35">
      <c r="B32" s="11" t="str">
        <f>CONCATENATE("          ", "6001", " - ", "ADMINISTRATIVE SALARIES")</f>
        <v xml:space="preserve">          6001 - ADMINISTRATIVE SALARIES</v>
      </c>
      <c r="D32" s="2">
        <v>412820.46</v>
      </c>
      <c r="F32" s="2">
        <v>415846.09</v>
      </c>
      <c r="G32" s="3"/>
      <c r="H32" s="2">
        <v>417360.18</v>
      </c>
      <c r="I32" s="3"/>
      <c r="J32" s="2">
        <v>447909.49</v>
      </c>
      <c r="K32" s="3"/>
      <c r="L32" s="2">
        <v>458777.33</v>
      </c>
      <c r="M32" s="3"/>
      <c r="N32" s="2">
        <v>299345.38</v>
      </c>
      <c r="O32" s="3"/>
      <c r="P32" s="2">
        <v>380226.92307692301</v>
      </c>
      <c r="Q32" s="3"/>
      <c r="R32" s="2">
        <v>389228.63692307699</v>
      </c>
    </row>
    <row r="33" spans="1:18" s="16" customFormat="1" hidden="1" outlineLevel="2" x14ac:dyDescent="0.35">
      <c r="B33" s="11" t="str">
        <f>CONCATENATE("          ", "6002", " - ", "STAFF SALARIES")</f>
        <v xml:space="preserve">          6002 - STAFF SALARIES</v>
      </c>
      <c r="D33" s="2">
        <v>568325.47</v>
      </c>
      <c r="F33" s="2">
        <v>650678.6</v>
      </c>
      <c r="G33" s="3"/>
      <c r="H33" s="2">
        <v>642171.14</v>
      </c>
      <c r="I33" s="3"/>
      <c r="J33" s="2">
        <v>565570.65</v>
      </c>
      <c r="K33" s="3"/>
      <c r="L33" s="2">
        <v>567634.41</v>
      </c>
      <c r="M33" s="3"/>
      <c r="N33" s="2">
        <v>561045.28</v>
      </c>
      <c r="O33" s="3"/>
      <c r="P33" s="2">
        <v>443900</v>
      </c>
      <c r="Q33" s="3"/>
      <c r="R33" s="2">
        <v>457179.91999999899</v>
      </c>
    </row>
    <row r="34" spans="1:18" s="16" customFormat="1" hidden="1" outlineLevel="2" x14ac:dyDescent="0.35">
      <c r="B34" s="11" t="str">
        <f>CONCATENATE("          ", "6003", " - ", "STAFF HOURLY-9 MONTH")</f>
        <v xml:space="preserve">          6003 - STAFF HOURLY-9 MONTH</v>
      </c>
      <c r="D34" s="2"/>
      <c r="F34" s="2"/>
      <c r="G34" s="3"/>
      <c r="H34" s="2"/>
      <c r="I34" s="3"/>
      <c r="J34" s="2"/>
      <c r="K34" s="3"/>
      <c r="L34" s="2"/>
      <c r="M34" s="3"/>
      <c r="N34" s="2"/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"6004", " - ", "STAFF HOURLY")</f>
        <v xml:space="preserve">          6004 - STAFF HOURLY</v>
      </c>
      <c r="D35" s="2">
        <v>246215.43</v>
      </c>
      <c r="F35" s="2">
        <v>49302.33</v>
      </c>
      <c r="G35" s="3"/>
      <c r="H35" s="2">
        <v>5068.13</v>
      </c>
      <c r="I35" s="3"/>
      <c r="J35" s="2">
        <v>134756.48000000001</v>
      </c>
      <c r="K35" s="3"/>
      <c r="L35" s="2">
        <v>239121.2</v>
      </c>
      <c r="M35" s="3"/>
      <c r="N35" s="2">
        <v>255605.1</v>
      </c>
      <c r="O35" s="3"/>
      <c r="P35" s="2">
        <v>270493.2</v>
      </c>
      <c r="Q35" s="3"/>
      <c r="R35" s="2">
        <v>312546.59487999999</v>
      </c>
    </row>
    <row r="36" spans="1:18" s="16" customFormat="1" hidden="1" outlineLevel="2" x14ac:dyDescent="0.35">
      <c r="B36" s="11" t="str">
        <f>CONCATENATE("          ", "6005", " - ", "TEMPORARY WAGES-HOURLY")</f>
        <v xml:space="preserve">          6005 - TEMPORARY WAGES-HOURLY</v>
      </c>
      <c r="D36" s="2">
        <v>107614.01</v>
      </c>
      <c r="F36" s="2">
        <v>161834.99</v>
      </c>
      <c r="G36" s="3"/>
      <c r="H36" s="2">
        <v>157257.23000000001</v>
      </c>
      <c r="I36" s="3"/>
      <c r="J36" s="2">
        <v>62847.63</v>
      </c>
      <c r="K36" s="3"/>
      <c r="L36" s="2">
        <v>98225.72</v>
      </c>
      <c r="M36" s="3"/>
      <c r="N36" s="2">
        <v>114072.61</v>
      </c>
      <c r="O36" s="3"/>
      <c r="P36" s="2">
        <v>101036</v>
      </c>
      <c r="Q36" s="3"/>
      <c r="R36" s="2">
        <v>50440</v>
      </c>
    </row>
    <row r="37" spans="1:18" s="16" customFormat="1" hidden="1" outlineLevel="2" x14ac:dyDescent="0.35">
      <c r="B37" s="11" t="str">
        <f>CONCATENATE("          ", "6006", " - ", "TEMPORARY PART TIME")</f>
        <v xml:space="preserve">          6006 - TEMPORARY PART TIME</v>
      </c>
      <c r="D37" s="2">
        <v>15747.73</v>
      </c>
      <c r="F37" s="2">
        <v>32232.61</v>
      </c>
      <c r="G37" s="3"/>
      <c r="H37" s="2">
        <v>19658.07</v>
      </c>
      <c r="I37" s="3"/>
      <c r="J37" s="2">
        <v>15063.69</v>
      </c>
      <c r="K37" s="3"/>
      <c r="L37" s="2">
        <v>21192.81</v>
      </c>
      <c r="M37" s="3"/>
      <c r="N37" s="2">
        <v>2361.4299999999998</v>
      </c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"6007", " - ", "STUDENT HOURLY")</f>
        <v xml:space="preserve">          6007 - STUDENT HOURLY</v>
      </c>
      <c r="D38" s="2">
        <v>174614.85</v>
      </c>
      <c r="F38" s="2">
        <v>468644.49</v>
      </c>
      <c r="G38" s="3"/>
      <c r="H38" s="2">
        <v>576381.21</v>
      </c>
      <c r="I38" s="3"/>
      <c r="J38" s="2">
        <v>490953.87</v>
      </c>
      <c r="K38" s="3"/>
      <c r="L38" s="2">
        <v>460589.97</v>
      </c>
      <c r="M38" s="3"/>
      <c r="N38" s="2">
        <v>262823.01</v>
      </c>
      <c r="O38" s="3"/>
      <c r="P38" s="2">
        <v>14747</v>
      </c>
      <c r="Q38" s="3"/>
      <c r="R38" s="2">
        <v>11915.2</v>
      </c>
    </row>
    <row r="39" spans="1:18" s="16" customFormat="1" hidden="1" outlineLevel="2" x14ac:dyDescent="0.35">
      <c r="B39" s="11" t="str">
        <f>CONCATENATE("          ", "6008", " - ", "STUDENT HOURLY-FICA EXEMPT")</f>
        <v xml:space="preserve">          6008 - STUDENT HOURLY-FICA EXEMPT</v>
      </c>
      <c r="D39" s="2">
        <v>13879.91</v>
      </c>
      <c r="F39" s="2">
        <v>6157.41</v>
      </c>
      <c r="G39" s="3"/>
      <c r="H39" s="2"/>
      <c r="I39" s="3"/>
      <c r="J39" s="2"/>
      <c r="K39" s="3"/>
      <c r="L39" s="2">
        <v>4018</v>
      </c>
      <c r="M39" s="3"/>
      <c r="N39" s="2">
        <v>20365.009999999998</v>
      </c>
      <c r="O39" s="3"/>
      <c r="P39" s="2">
        <v>25185.8</v>
      </c>
      <c r="Q39" s="3"/>
      <c r="R39" s="2">
        <v>46464</v>
      </c>
    </row>
    <row r="40" spans="1:18" s="16" customFormat="1" hidden="1" outlineLevel="2" x14ac:dyDescent="0.35">
      <c r="B40" s="11" t="str">
        <f>CONCATENATE("          ", "6009", " - ", "TEMPORARY-SEASONAL")</f>
        <v xml:space="preserve">          6009 - TEMPORARY-SEASONAL</v>
      </c>
      <c r="D40" s="2"/>
      <c r="F40" s="2"/>
      <c r="G40" s="3"/>
      <c r="H40" s="2"/>
      <c r="I40" s="3"/>
      <c r="J40" s="2"/>
      <c r="K40" s="3"/>
      <c r="L40" s="2"/>
      <c r="M40" s="3"/>
      <c r="N40" s="2"/>
      <c r="O40" s="3"/>
      <c r="P40" s="2">
        <v>0</v>
      </c>
      <c r="Q40" s="3"/>
      <c r="R40" s="2">
        <v>0</v>
      </c>
    </row>
    <row r="41" spans="1:18" s="16" customFormat="1" hidden="1" outlineLevel="2" x14ac:dyDescent="0.35">
      <c r="B41" s="11" t="str">
        <f>CONCATENATE("          ", "6010", " - ", "GRATUITY")</f>
        <v xml:space="preserve">          6010 - GRATUITY</v>
      </c>
      <c r="D41" s="2"/>
      <c r="F41" s="2"/>
      <c r="G41" s="3"/>
      <c r="H41" s="2"/>
      <c r="I41" s="3"/>
      <c r="J41" s="2"/>
      <c r="K41" s="3"/>
      <c r="L41" s="2"/>
      <c r="M41" s="3"/>
      <c r="N41" s="2"/>
      <c r="O41" s="3"/>
      <c r="P41" s="2">
        <v>0</v>
      </c>
      <c r="Q41" s="3"/>
      <c r="R41" s="2">
        <v>0</v>
      </c>
    </row>
    <row r="42" spans="1:18" s="15" customFormat="1" outlineLevel="1" collapsed="1" x14ac:dyDescent="0.35">
      <c r="A42" s="7"/>
      <c r="B42" s="20" t="str">
        <f>CONCATENATE("     ","Advertising/Promo                                 ")</f>
        <v xml:space="preserve">     Advertising/Promo                                 </v>
      </c>
      <c r="C42" s="7"/>
      <c r="D42" s="1">
        <f>SUM(OSRRefD21_2x_0)</f>
        <v>-31431.39</v>
      </c>
      <c r="E42" s="19"/>
      <c r="F42" s="1">
        <f>SUM(OSRRefF21_2x_0)</f>
        <v>-25315.94</v>
      </c>
      <c r="G42" s="4"/>
      <c r="H42" s="1">
        <f>SUM(OSRRefH21_2x_0)</f>
        <v>-7979.18</v>
      </c>
      <c r="I42" s="4"/>
      <c r="J42" s="1">
        <f>SUM(OSRRefJ21_2x_0)</f>
        <v>-28253.59</v>
      </c>
      <c r="K42" s="4"/>
      <c r="L42" s="1">
        <f>SUM(OSRRefL21_2x_0)</f>
        <v>-31574.21</v>
      </c>
      <c r="M42" s="4"/>
      <c r="N42" s="1">
        <f>SUM(OSRRefN21_2x_0)</f>
        <v>-31034.71</v>
      </c>
      <c r="O42" s="4"/>
      <c r="P42" s="1">
        <f>SUM(OSRRefP21_2x_0)</f>
        <v>109100</v>
      </c>
      <c r="Q42" s="4"/>
      <c r="R42" s="1">
        <f>SUM(OSRRefR21_2x_0)</f>
        <v>9400</v>
      </c>
    </row>
    <row r="43" spans="1:18" s="16" customFormat="1" hidden="1" outlineLevel="2" x14ac:dyDescent="0.35">
      <c r="B43" s="11" t="str">
        <f>CONCATENATE("          ", "6362", " - ", "ADVERTISING EXPENSE")</f>
        <v xml:space="preserve">          6362 - ADVERTISING EXPENSE</v>
      </c>
      <c r="D43" s="2">
        <v>-31431.39</v>
      </c>
      <c r="F43" s="2">
        <v>-25315.94</v>
      </c>
      <c r="G43" s="3"/>
      <c r="H43" s="2">
        <v>-7979.18</v>
      </c>
      <c r="I43" s="3"/>
      <c r="J43" s="2">
        <v>-28253.59</v>
      </c>
      <c r="K43" s="3"/>
      <c r="L43" s="2">
        <v>-31574.21</v>
      </c>
      <c r="M43" s="3"/>
      <c r="N43" s="2">
        <v>-31034.71</v>
      </c>
      <c r="O43" s="3"/>
      <c r="P43" s="2">
        <v>109100</v>
      </c>
      <c r="Q43" s="3"/>
      <c r="R43" s="2">
        <v>9400</v>
      </c>
    </row>
    <row r="44" spans="1:18" s="15" customFormat="1" outlineLevel="1" collapsed="1" x14ac:dyDescent="0.35">
      <c r="A44" s="7"/>
      <c r="B44" s="20" t="str">
        <f>CONCATENATE("     ","Bad Debts/Over/Short                              ")</f>
        <v xml:space="preserve">     Bad Debts/Over/Short                              </v>
      </c>
      <c r="C44" s="7"/>
      <c r="D44" s="1">
        <f>SUM(OSRRefD21_3x_0)</f>
        <v>0</v>
      </c>
      <c r="E44" s="19"/>
      <c r="F44" s="1">
        <f>SUM(OSRRefF21_3x_0)</f>
        <v>0</v>
      </c>
      <c r="G44" s="4"/>
      <c r="H44" s="1">
        <f>SUM(OSRRefH21_3x_0)</f>
        <v>0</v>
      </c>
      <c r="I44" s="4"/>
      <c r="J44" s="1">
        <f>SUM(OSRRefJ21_3x_0)</f>
        <v>3745.51</v>
      </c>
      <c r="K44" s="4"/>
      <c r="L44" s="1">
        <f>SUM(OSRRefL21_3x_0)</f>
        <v>0</v>
      </c>
      <c r="M44" s="4"/>
      <c r="N44" s="1">
        <f>SUM(OSRRefN21_3x_0)</f>
        <v>0</v>
      </c>
      <c r="O44" s="4"/>
      <c r="P44" s="1">
        <f>SUM(OSRRefP21_3x_0)</f>
        <v>0</v>
      </c>
      <c r="Q44" s="4"/>
      <c r="R44" s="1">
        <f>SUM(OSRRefR21_3x_0)</f>
        <v>0</v>
      </c>
    </row>
    <row r="45" spans="1:18" s="16" customFormat="1" hidden="1" outlineLevel="2" x14ac:dyDescent="0.35">
      <c r="B45" s="11" t="str">
        <f>CONCATENATE("          ", "6342", " - ", "BAD DEBT")</f>
        <v xml:space="preserve">          6342 - BAD DEBT</v>
      </c>
      <c r="D45" s="2"/>
      <c r="F45" s="2"/>
      <c r="G45" s="3"/>
      <c r="H45" s="2"/>
      <c r="I45" s="3"/>
      <c r="J45" s="2">
        <v>3745.51</v>
      </c>
      <c r="K45" s="3"/>
      <c r="L45" s="2"/>
      <c r="M45" s="3"/>
      <c r="N45" s="2"/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","Bank/card Fees                                    ")</f>
        <v xml:space="preserve">     Bank/card Fees                                    </v>
      </c>
      <c r="C46" s="7"/>
      <c r="D46" s="1">
        <f>SUM(OSRRefD21_4x_0)</f>
        <v>51587.8</v>
      </c>
      <c r="E46" s="19"/>
      <c r="F46" s="1">
        <f>SUM(OSRRefF21_4x_0)</f>
        <v>32192.9</v>
      </c>
      <c r="G46" s="4"/>
      <c r="H46" s="1">
        <f>SUM(OSRRefH21_4x_0)</f>
        <v>79861.91</v>
      </c>
      <c r="I46" s="4"/>
      <c r="J46" s="1">
        <f>SUM(OSRRefJ21_4x_0)</f>
        <v>73786.12</v>
      </c>
      <c r="K46" s="4"/>
      <c r="L46" s="1">
        <f>SUM(OSRRefL21_4x_0)</f>
        <v>74769.13</v>
      </c>
      <c r="M46" s="4"/>
      <c r="N46" s="1">
        <f>SUM(OSRRefN21_4x_0)</f>
        <v>53963.34</v>
      </c>
      <c r="O46" s="4"/>
      <c r="P46" s="1">
        <f>SUM(OSRRefP21_4x_0)</f>
        <v>72000</v>
      </c>
      <c r="Q46" s="4"/>
      <c r="R46" s="1">
        <f>SUM(OSRRefR21_4x_0)</f>
        <v>44000</v>
      </c>
    </row>
    <row r="47" spans="1:18" s="16" customFormat="1" hidden="1" outlineLevel="2" x14ac:dyDescent="0.35">
      <c r="B47" s="11" t="str">
        <f>CONCATENATE("          ", "6381", " - ", "BANK/CREDIT CARD FEES")</f>
        <v xml:space="preserve">          6381 - BANK/CREDIT CARD FEES</v>
      </c>
      <c r="D47" s="2">
        <v>51587.8</v>
      </c>
      <c r="F47" s="2">
        <v>32192.9</v>
      </c>
      <c r="G47" s="3"/>
      <c r="H47" s="2">
        <v>79861.91</v>
      </c>
      <c r="I47" s="3"/>
      <c r="J47" s="2">
        <v>73786.12</v>
      </c>
      <c r="K47" s="3"/>
      <c r="L47" s="2">
        <v>74769.13</v>
      </c>
      <c r="M47" s="3"/>
      <c r="N47" s="2">
        <v>53963.34</v>
      </c>
      <c r="O47" s="3"/>
      <c r="P47" s="2">
        <v>72000</v>
      </c>
      <c r="Q47" s="3"/>
      <c r="R47" s="2">
        <v>44000</v>
      </c>
    </row>
    <row r="48" spans="1:18" s="15" customFormat="1" outlineLevel="1" collapsed="1" x14ac:dyDescent="0.35">
      <c r="A48" s="7"/>
      <c r="B48" s="20" t="str">
        <f>CONCATENATE("     ","Board                                             ")</f>
        <v xml:space="preserve">     Board                                             </v>
      </c>
      <c r="C48" s="7"/>
      <c r="D48" s="1">
        <f>SUM(OSRRefD21_5x_0)</f>
        <v>64372.15</v>
      </c>
      <c r="E48" s="19"/>
      <c r="F48" s="1">
        <f>SUM(OSRRefF21_5x_0)</f>
        <v>55321.7</v>
      </c>
      <c r="G48" s="4"/>
      <c r="H48" s="1">
        <f>SUM(OSRRefH21_5x_0)</f>
        <v>32511.69</v>
      </c>
      <c r="I48" s="4"/>
      <c r="J48" s="1">
        <f>SUM(OSRRefJ21_5x_0)</f>
        <v>53641.72</v>
      </c>
      <c r="K48" s="4"/>
      <c r="L48" s="1">
        <f>SUM(OSRRefL21_5x_0)</f>
        <v>76024.350000000006</v>
      </c>
      <c r="M48" s="4"/>
      <c r="N48" s="1">
        <f>SUM(OSRRefN21_5x_0)</f>
        <v>42435.31</v>
      </c>
      <c r="O48" s="4"/>
      <c r="P48" s="1">
        <f>SUM(OSRRefP21_5x_0)</f>
        <v>45744</v>
      </c>
      <c r="Q48" s="4"/>
      <c r="R48" s="1">
        <f>SUM(OSRRefR21_5x_0)</f>
        <v>21096</v>
      </c>
    </row>
    <row r="49" spans="1:18" s="16" customFormat="1" hidden="1" outlineLevel="2" x14ac:dyDescent="0.35">
      <c r="B49" s="11" t="str">
        <f>CONCATENATE("          ", "6397", " - ", "BOARD EXPENSES")</f>
        <v xml:space="preserve">          6397 - BOARD EXPENSES</v>
      </c>
      <c r="D49" s="2">
        <v>64372.15</v>
      </c>
      <c r="F49" s="2">
        <v>55321.7</v>
      </c>
      <c r="G49" s="3"/>
      <c r="H49" s="2">
        <v>32511.69</v>
      </c>
      <c r="I49" s="3"/>
      <c r="J49" s="2">
        <v>53641.72</v>
      </c>
      <c r="K49" s="3"/>
      <c r="L49" s="2">
        <v>76024.350000000006</v>
      </c>
      <c r="M49" s="3"/>
      <c r="N49" s="2">
        <v>42435.31</v>
      </c>
      <c r="O49" s="3"/>
      <c r="P49" s="2">
        <v>45744</v>
      </c>
      <c r="Q49" s="3"/>
      <c r="R49" s="2">
        <v>21096</v>
      </c>
    </row>
    <row r="50" spans="1:18" s="15" customFormat="1" outlineLevel="1" collapsed="1" x14ac:dyDescent="0.35">
      <c r="A50" s="7"/>
      <c r="B50" s="20" t="str">
        <f>CONCATENATE("     ","Depreciation                                      ")</f>
        <v xml:space="preserve">     Depreciation                                      </v>
      </c>
      <c r="C50" s="7"/>
      <c r="D50" s="1">
        <f>SUM(OSRRefD21_6x_0)</f>
        <v>79151.75</v>
      </c>
      <c r="E50" s="19"/>
      <c r="F50" s="1">
        <f>SUM(OSRRefF21_6x_0)</f>
        <v>87275.3</v>
      </c>
      <c r="G50" s="4"/>
      <c r="H50" s="1">
        <f>SUM(OSRRefH21_6x_0)</f>
        <v>93114.67</v>
      </c>
      <c r="I50" s="4"/>
      <c r="J50" s="1">
        <f>SUM(OSRRefJ21_6x_0)</f>
        <v>105936.54</v>
      </c>
      <c r="K50" s="4"/>
      <c r="L50" s="1">
        <f>SUM(OSRRefL21_6x_0)</f>
        <v>122153.87999999999</v>
      </c>
      <c r="M50" s="4"/>
      <c r="N50" s="1">
        <f>SUM(OSRRefN21_6x_0)</f>
        <v>100576.16</v>
      </c>
      <c r="O50" s="4"/>
      <c r="P50" s="1">
        <f>SUM(OSRRefP21_6x_0)</f>
        <v>80078</v>
      </c>
      <c r="Q50" s="4"/>
      <c r="R50" s="1">
        <f>SUM(OSRRefR21_6x_0)</f>
        <v>49857</v>
      </c>
    </row>
    <row r="51" spans="1:18" s="16" customFormat="1" hidden="1" outlineLevel="2" x14ac:dyDescent="0.35">
      <c r="B51" s="11" t="str">
        <f>CONCATENATE("          ", "6322", " - ", "EQUIPMENT DEPRECIATION EXPENSE")</f>
        <v xml:space="preserve">          6322 - EQUIPMENT DEPRECIATION EXPENSE</v>
      </c>
      <c r="D51" s="2">
        <v>75237.33</v>
      </c>
      <c r="F51" s="2">
        <v>83410.820000000007</v>
      </c>
      <c r="G51" s="3"/>
      <c r="H51" s="2">
        <v>89250.19</v>
      </c>
      <c r="I51" s="3"/>
      <c r="J51" s="2">
        <v>102072.06</v>
      </c>
      <c r="K51" s="3"/>
      <c r="L51" s="2">
        <v>118289.45</v>
      </c>
      <c r="M51" s="3"/>
      <c r="N51" s="2">
        <v>100576.16</v>
      </c>
      <c r="O51" s="3"/>
      <c r="P51" s="2">
        <v>79978</v>
      </c>
      <c r="Q51" s="3"/>
      <c r="R51" s="2">
        <v>43857</v>
      </c>
    </row>
    <row r="52" spans="1:18" s="16" customFormat="1" hidden="1" outlineLevel="2" x14ac:dyDescent="0.35">
      <c r="B52" s="11" t="str">
        <f>CONCATENATE("          ", "6324", " - ", "FURNITURE + FIXT DEPRECIATION")</f>
        <v xml:space="preserve">          6324 - FURNITURE + FIXT DEPRECIATION</v>
      </c>
      <c r="D52" s="2">
        <v>3914.42</v>
      </c>
      <c r="F52" s="2">
        <v>3864.48</v>
      </c>
      <c r="G52" s="3"/>
      <c r="H52" s="2">
        <v>3864.48</v>
      </c>
      <c r="I52" s="3"/>
      <c r="J52" s="2">
        <v>3864.48</v>
      </c>
      <c r="K52" s="3"/>
      <c r="L52" s="2">
        <v>3864.43</v>
      </c>
      <c r="M52" s="3"/>
      <c r="N52" s="2"/>
      <c r="O52" s="3"/>
      <c r="P52" s="2">
        <v>100</v>
      </c>
      <c r="Q52" s="3"/>
      <c r="R52" s="2">
        <v>6000</v>
      </c>
    </row>
    <row r="53" spans="1:18" s="15" customFormat="1" outlineLevel="1" collapsed="1" x14ac:dyDescent="0.35">
      <c r="A53" s="7"/>
      <c r="B53" s="20" t="str">
        <f>CONCATENATE("     ","Donations                                         ")</f>
        <v xml:space="preserve">     Donations                                         </v>
      </c>
      <c r="C53" s="7"/>
      <c r="D53" s="1">
        <f>SUM(OSRRefD21_7x_0)</f>
        <v>193770.23</v>
      </c>
      <c r="E53" s="19"/>
      <c r="F53" s="1">
        <f>SUM(OSRRefF21_7x_0)</f>
        <v>194092.31</v>
      </c>
      <c r="G53" s="4"/>
      <c r="H53" s="1">
        <f>SUM(OSRRefH21_7x_0)</f>
        <v>179270.34</v>
      </c>
      <c r="I53" s="4"/>
      <c r="J53" s="1">
        <f>SUM(OSRRefJ21_7x_0)</f>
        <v>153460.95000000001</v>
      </c>
      <c r="K53" s="4"/>
      <c r="L53" s="1">
        <f>SUM(OSRRefL21_7x_0)</f>
        <v>163322.4</v>
      </c>
      <c r="M53" s="4"/>
      <c r="N53" s="1">
        <f>SUM(OSRRefN21_7x_0)</f>
        <v>247986.19</v>
      </c>
      <c r="O53" s="4"/>
      <c r="P53" s="1">
        <f>SUM(OSRRefP21_7x_0)</f>
        <v>46750</v>
      </c>
      <c r="Q53" s="4"/>
      <c r="R53" s="1">
        <f>SUM(OSRRefR21_7x_0)</f>
        <v>64250</v>
      </c>
    </row>
    <row r="54" spans="1:18" s="16" customFormat="1" hidden="1" outlineLevel="2" x14ac:dyDescent="0.35">
      <c r="B54" s="11" t="str">
        <f>CONCATENATE("          ", "6395", " - ", "DONATION-OFF CAMPUS")</f>
        <v xml:space="preserve">          6395 - DONATION-OFF CAMPUS</v>
      </c>
      <c r="D54" s="2">
        <v>1000</v>
      </c>
      <c r="F54" s="2">
        <v>1000</v>
      </c>
      <c r="G54" s="3"/>
      <c r="H54" s="2">
        <v>1000</v>
      </c>
      <c r="I54" s="3"/>
      <c r="J54" s="2">
        <v>354.6</v>
      </c>
      <c r="K54" s="3"/>
      <c r="L54" s="2"/>
      <c r="M54" s="3"/>
      <c r="N54" s="2"/>
      <c r="O54" s="3"/>
      <c r="P54" s="2">
        <v>1500</v>
      </c>
      <c r="Q54" s="3"/>
      <c r="R54" s="2"/>
    </row>
    <row r="55" spans="1:18" s="16" customFormat="1" hidden="1" outlineLevel="2" x14ac:dyDescent="0.35">
      <c r="B55" s="11" t="str">
        <f>CONCATENATE("          ", "6399", " - ", "DONATION-ON CAMPUS")</f>
        <v xml:space="preserve">          6399 - DONATION-ON CAMPUS</v>
      </c>
      <c r="D55" s="2">
        <v>192770.23</v>
      </c>
      <c r="F55" s="2">
        <v>193092.31</v>
      </c>
      <c r="G55" s="3"/>
      <c r="H55" s="2">
        <v>178270.34</v>
      </c>
      <c r="I55" s="3"/>
      <c r="J55" s="2">
        <v>153106.35</v>
      </c>
      <c r="K55" s="3"/>
      <c r="L55" s="2">
        <v>163322.4</v>
      </c>
      <c r="M55" s="3"/>
      <c r="N55" s="2">
        <v>247986.19</v>
      </c>
      <c r="O55" s="3"/>
      <c r="P55" s="2">
        <v>45250</v>
      </c>
      <c r="Q55" s="3"/>
      <c r="R55" s="2">
        <v>64250</v>
      </c>
    </row>
    <row r="56" spans="1:18" s="15" customFormat="1" outlineLevel="1" collapsed="1" x14ac:dyDescent="0.35">
      <c r="A56" s="7"/>
      <c r="B56" s="20" t="str">
        <f>CONCATENATE("     ","Employees' Appreciation                           ")</f>
        <v xml:space="preserve">     Employees' Appreciation                           </v>
      </c>
      <c r="C56" s="7"/>
      <c r="D56" s="1">
        <f>SUM(OSRRefD21_8x_0)</f>
        <v>56536.06</v>
      </c>
      <c r="E56" s="19"/>
      <c r="F56" s="1">
        <f>SUM(OSRRefF21_8x_0)</f>
        <v>51674.05</v>
      </c>
      <c r="G56" s="4"/>
      <c r="H56" s="1">
        <f>SUM(OSRRefH21_8x_0)</f>
        <v>47918.23</v>
      </c>
      <c r="I56" s="4"/>
      <c r="J56" s="1">
        <f>SUM(OSRRefJ21_8x_0)</f>
        <v>60610.2</v>
      </c>
      <c r="K56" s="4"/>
      <c r="L56" s="1">
        <f>SUM(OSRRefL21_8x_0)</f>
        <v>62760.54</v>
      </c>
      <c r="M56" s="4"/>
      <c r="N56" s="1">
        <f>SUM(OSRRefN21_8x_0)</f>
        <v>29556.05</v>
      </c>
      <c r="O56" s="4"/>
      <c r="P56" s="1">
        <f>SUM(OSRRefP21_8x_0)</f>
        <v>16050</v>
      </c>
      <c r="Q56" s="4"/>
      <c r="R56" s="1">
        <f>SUM(OSRRefR21_8x_0)</f>
        <v>21000</v>
      </c>
    </row>
    <row r="57" spans="1:18" s="16" customFormat="1" hidden="1" outlineLevel="2" x14ac:dyDescent="0.35">
      <c r="B57" s="11" t="str">
        <f>CONCATENATE("          ", "6277", " - ", "EMPLOYEE APPRECIATION")</f>
        <v xml:space="preserve">          6277 - EMPLOYEE APPRECIATION</v>
      </c>
      <c r="D57" s="2">
        <v>56536.06</v>
      </c>
      <c r="F57" s="2">
        <v>51674.05</v>
      </c>
      <c r="G57" s="3"/>
      <c r="H57" s="2">
        <v>47918.23</v>
      </c>
      <c r="I57" s="3"/>
      <c r="J57" s="2">
        <v>60610.2</v>
      </c>
      <c r="K57" s="3"/>
      <c r="L57" s="2">
        <v>62760.54</v>
      </c>
      <c r="M57" s="3"/>
      <c r="N57" s="2">
        <v>29556.05</v>
      </c>
      <c r="O57" s="3"/>
      <c r="P57" s="2">
        <v>16050</v>
      </c>
      <c r="Q57" s="3"/>
      <c r="R57" s="2">
        <v>21000</v>
      </c>
    </row>
    <row r="58" spans="1:18" s="15" customFormat="1" outlineLevel="1" collapsed="1" x14ac:dyDescent="0.35">
      <c r="A58" s="7"/>
      <c r="B58" s="20" t="str">
        <f>CONCATENATE("     ","Equipment Rental                                  ")</f>
        <v xml:space="preserve">     Equipment Rental                                  </v>
      </c>
      <c r="C58" s="7"/>
      <c r="D58" s="1">
        <f>SUM(OSRRefD21_9x_0)</f>
        <v>5187.51</v>
      </c>
      <c r="E58" s="19"/>
      <c r="F58" s="1">
        <f>SUM(OSRRefF21_9x_0)</f>
        <v>5187.79</v>
      </c>
      <c r="G58" s="4"/>
      <c r="H58" s="1">
        <f>SUM(OSRRefH21_9x_0)</f>
        <v>4404.57</v>
      </c>
      <c r="I58" s="4"/>
      <c r="J58" s="1">
        <f>SUM(OSRRefJ21_9x_0)</f>
        <v>3600.88</v>
      </c>
      <c r="K58" s="4"/>
      <c r="L58" s="1">
        <f>SUM(OSRRefL21_9x_0)</f>
        <v>3602.88</v>
      </c>
      <c r="M58" s="4"/>
      <c r="N58" s="1">
        <f>SUM(OSRRefN21_9x_0)</f>
        <v>2781.54</v>
      </c>
      <c r="O58" s="4"/>
      <c r="P58" s="1">
        <f>SUM(OSRRefP21_9x_0)</f>
        <v>3416</v>
      </c>
      <c r="Q58" s="4"/>
      <c r="R58" s="1">
        <f>SUM(OSRRefR21_9x_0)</f>
        <v>3408</v>
      </c>
    </row>
    <row r="59" spans="1:18" s="16" customFormat="1" hidden="1" outlineLevel="2" x14ac:dyDescent="0.35">
      <c r="B59" s="11" t="str">
        <f>CONCATENATE("          ", "6351", " - ", "EQUIPMENT RENTAL")</f>
        <v xml:space="preserve">          6351 - EQUIPMENT RENTAL</v>
      </c>
      <c r="D59" s="2">
        <v>5187.51</v>
      </c>
      <c r="F59" s="2">
        <v>5187.79</v>
      </c>
      <c r="G59" s="3"/>
      <c r="H59" s="2">
        <v>4404.57</v>
      </c>
      <c r="I59" s="3"/>
      <c r="J59" s="2">
        <v>3600.88</v>
      </c>
      <c r="K59" s="3"/>
      <c r="L59" s="2">
        <v>3602.88</v>
      </c>
      <c r="M59" s="3"/>
      <c r="N59" s="2">
        <v>2781.54</v>
      </c>
      <c r="O59" s="3"/>
      <c r="P59" s="2">
        <v>3416</v>
      </c>
      <c r="Q59" s="3"/>
      <c r="R59" s="2">
        <v>3408</v>
      </c>
    </row>
    <row r="60" spans="1:18" s="15" customFormat="1" outlineLevel="1" collapsed="1" x14ac:dyDescent="0.35">
      <c r="A60" s="7"/>
      <c r="B60" s="20" t="str">
        <f>CONCATENATE("     ","Freight out/Postage                               ")</f>
        <v xml:space="preserve">     Freight out/Postage                               </v>
      </c>
      <c r="C60" s="7"/>
      <c r="D60" s="1">
        <f>SUM(OSRRefD21_10x_0)</f>
        <v>3679.92</v>
      </c>
      <c r="E60" s="19"/>
      <c r="F60" s="1">
        <f>SUM(OSRRefF21_10x_0)</f>
        <v>3651.98</v>
      </c>
      <c r="G60" s="4"/>
      <c r="H60" s="1">
        <f>SUM(OSRRefH21_10x_0)</f>
        <v>3584.6000000000004</v>
      </c>
      <c r="I60" s="4"/>
      <c r="J60" s="1">
        <f>SUM(OSRRefJ21_10x_0)</f>
        <v>3224.47</v>
      </c>
      <c r="K60" s="4"/>
      <c r="L60" s="1">
        <f>SUM(OSRRefL21_10x_0)</f>
        <v>3293.54</v>
      </c>
      <c r="M60" s="4"/>
      <c r="N60" s="1">
        <f>SUM(OSRRefN21_10x_0)</f>
        <v>2658.96</v>
      </c>
      <c r="O60" s="4"/>
      <c r="P60" s="1">
        <f>SUM(OSRRefP21_10x_0)</f>
        <v>2380</v>
      </c>
      <c r="Q60" s="4"/>
      <c r="R60" s="1">
        <f>SUM(OSRRefR21_10x_0)</f>
        <v>2705</v>
      </c>
    </row>
    <row r="61" spans="1:18" s="16" customFormat="1" hidden="1" outlineLevel="2" x14ac:dyDescent="0.35">
      <c r="B61" s="11" t="str">
        <f>CONCATENATE("          ", "6305", " - ", "FREIGHT OUT")</f>
        <v xml:space="preserve">          6305 - FREIGHT OUT</v>
      </c>
      <c r="D61" s="2">
        <v>32.75</v>
      </c>
      <c r="F61" s="2">
        <v>26.19</v>
      </c>
      <c r="G61" s="3"/>
      <c r="H61" s="2">
        <v>18.32</v>
      </c>
      <c r="I61" s="3"/>
      <c r="J61" s="2">
        <v>12.75</v>
      </c>
      <c r="K61" s="3"/>
      <c r="L61" s="2"/>
      <c r="M61" s="3"/>
      <c r="N61" s="2"/>
      <c r="O61" s="3"/>
      <c r="P61" s="2"/>
      <c r="Q61" s="3"/>
      <c r="R61" s="2"/>
    </row>
    <row r="62" spans="1:18" s="16" customFormat="1" hidden="1" outlineLevel="2" x14ac:dyDescent="0.35">
      <c r="B62" s="11" t="str">
        <f>CONCATENATE("          ", "6307", " - ", "POSTAGE")</f>
        <v xml:space="preserve">          6307 - POSTAGE</v>
      </c>
      <c r="D62" s="2">
        <v>3647.17</v>
      </c>
      <c r="F62" s="2">
        <v>3625.79</v>
      </c>
      <c r="G62" s="3"/>
      <c r="H62" s="2">
        <v>3566.28</v>
      </c>
      <c r="I62" s="3"/>
      <c r="J62" s="2">
        <v>3211.72</v>
      </c>
      <c r="K62" s="3"/>
      <c r="L62" s="2">
        <v>3293.54</v>
      </c>
      <c r="M62" s="3"/>
      <c r="N62" s="2">
        <v>2658.96</v>
      </c>
      <c r="O62" s="3"/>
      <c r="P62" s="2">
        <v>2380</v>
      </c>
      <c r="Q62" s="3"/>
      <c r="R62" s="2">
        <v>2705</v>
      </c>
    </row>
    <row r="63" spans="1:18" s="15" customFormat="1" outlineLevel="1" collapsed="1" x14ac:dyDescent="0.35">
      <c r="A63" s="7"/>
      <c r="B63" s="20" t="str">
        <f>CONCATENATE("     ","General                                           ")</f>
        <v xml:space="preserve">     General                                           </v>
      </c>
      <c r="C63" s="7"/>
      <c r="D63" s="1">
        <f>SUM(OSRRefD21_11x_0)</f>
        <v>17394.990000000002</v>
      </c>
      <c r="E63" s="19"/>
      <c r="F63" s="1">
        <f>SUM(OSRRefF21_11x_0)</f>
        <v>-2892.17</v>
      </c>
      <c r="G63" s="4"/>
      <c r="H63" s="1">
        <f>SUM(OSRRefH21_11x_0)</f>
        <v>2471.58</v>
      </c>
      <c r="I63" s="4"/>
      <c r="J63" s="1">
        <f>SUM(OSRRefJ21_11x_0)</f>
        <v>470.63</v>
      </c>
      <c r="K63" s="4"/>
      <c r="L63" s="1">
        <f>SUM(OSRRefL21_11x_0)</f>
        <v>27561.48</v>
      </c>
      <c r="M63" s="4"/>
      <c r="N63" s="1">
        <f>SUM(OSRRefN21_11x_0)</f>
        <v>14318.01</v>
      </c>
      <c r="O63" s="4"/>
      <c r="P63" s="1">
        <f>SUM(OSRRefP21_11x_0)</f>
        <v>6750</v>
      </c>
      <c r="Q63" s="4"/>
      <c r="R63" s="1">
        <f>SUM(OSRRefR21_11x_0)</f>
        <v>-750</v>
      </c>
    </row>
    <row r="64" spans="1:18" s="16" customFormat="1" hidden="1" outlineLevel="2" x14ac:dyDescent="0.35">
      <c r="B64" s="11" t="str">
        <f>CONCATENATE("          ", "6279", " - ", "GENERAL EXPENSE")</f>
        <v xml:space="preserve">          6279 - GENERAL EXPENSE</v>
      </c>
      <c r="D64" s="2">
        <v>17394.990000000002</v>
      </c>
      <c r="F64" s="2">
        <v>-2918.51</v>
      </c>
      <c r="G64" s="3"/>
      <c r="H64" s="2">
        <v>2471.58</v>
      </c>
      <c r="I64" s="3"/>
      <c r="J64" s="2">
        <v>470.63</v>
      </c>
      <c r="K64" s="3"/>
      <c r="L64" s="2">
        <v>27561.48</v>
      </c>
      <c r="M64" s="3"/>
      <c r="N64" s="2">
        <v>14318.01</v>
      </c>
      <c r="O64" s="3"/>
      <c r="P64" s="2">
        <v>6750</v>
      </c>
      <c r="Q64" s="3"/>
      <c r="R64" s="2">
        <v>-750</v>
      </c>
    </row>
    <row r="65" spans="1:18" s="16" customFormat="1" hidden="1" outlineLevel="2" x14ac:dyDescent="0.35">
      <c r="B65" s="11" t="str">
        <f>CONCATENATE("          ", "9023", " - ", "LOSS ON SALE/DISPOSAL OF FIXED")</f>
        <v xml:space="preserve">          9023 - LOSS ON SALE/DISPOSAL OF FIXED</v>
      </c>
      <c r="D65" s="2"/>
      <c r="F65" s="2">
        <v>26.34</v>
      </c>
      <c r="G65" s="3"/>
      <c r="H65" s="2"/>
      <c r="I65" s="3"/>
      <c r="J65" s="2"/>
      <c r="K65" s="3"/>
      <c r="L65" s="2"/>
      <c r="M65" s="3"/>
      <c r="N65" s="2"/>
      <c r="O65" s="3"/>
      <c r="P65" s="2"/>
      <c r="Q65" s="3"/>
      <c r="R65" s="2"/>
    </row>
    <row r="66" spans="1:18" s="15" customFormat="1" outlineLevel="1" collapsed="1" x14ac:dyDescent="0.35">
      <c r="A66" s="7"/>
      <c r="B66" s="20" t="str">
        <f>CONCATENATE("     ","Insurance                                         ")</f>
        <v xml:space="preserve">     Insurance                                         </v>
      </c>
      <c r="C66" s="7"/>
      <c r="D66" s="1">
        <f>SUM(OSRRefD21_12x_0)</f>
        <v>3216.59</v>
      </c>
      <c r="E66" s="19"/>
      <c r="F66" s="1">
        <f>SUM(OSRRefF21_12x_0)</f>
        <v>3797.32</v>
      </c>
      <c r="G66" s="4"/>
      <c r="H66" s="1">
        <f>SUM(OSRRefH21_12x_0)</f>
        <v>3844.2</v>
      </c>
      <c r="I66" s="4"/>
      <c r="J66" s="1">
        <f>SUM(OSRRefJ21_12x_0)</f>
        <v>4254.67</v>
      </c>
      <c r="K66" s="4"/>
      <c r="L66" s="1">
        <f>SUM(OSRRefL21_12x_0)</f>
        <v>4142.92</v>
      </c>
      <c r="M66" s="4"/>
      <c r="N66" s="1">
        <f>SUM(OSRRefN21_12x_0)</f>
        <v>5078.04</v>
      </c>
      <c r="O66" s="4"/>
      <c r="P66" s="1">
        <f>SUM(OSRRefP21_12x_0)</f>
        <v>6503</v>
      </c>
      <c r="Q66" s="4"/>
      <c r="R66" s="1">
        <f>SUM(OSRRefR21_12x_0)</f>
        <v>6360</v>
      </c>
    </row>
    <row r="67" spans="1:18" s="16" customFormat="1" hidden="1" outlineLevel="2" x14ac:dyDescent="0.35">
      <c r="B67" s="11" t="str">
        <f>CONCATENATE("          ", "6312", " - ", "FIRE &amp; THEFT INSURANCE")</f>
        <v xml:space="preserve">          6312 - FIRE &amp; THEFT INSURANCE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>
        <v>780</v>
      </c>
      <c r="Q67" s="3"/>
      <c r="R67" s="2"/>
    </row>
    <row r="68" spans="1:18" s="16" customFormat="1" hidden="1" outlineLevel="2" x14ac:dyDescent="0.35">
      <c r="B68" s="11" t="str">
        <f>CONCATENATE("          ", "6314", " - ", "LIABILITY INSURANCE")</f>
        <v xml:space="preserve">          6314 - LIABILITY INSURANCE</v>
      </c>
      <c r="D68" s="2">
        <v>3216.59</v>
      </c>
      <c r="F68" s="2">
        <v>3797.32</v>
      </c>
      <c r="G68" s="3"/>
      <c r="H68" s="2">
        <v>3844.2</v>
      </c>
      <c r="I68" s="3"/>
      <c r="J68" s="2">
        <v>4254.67</v>
      </c>
      <c r="K68" s="3"/>
      <c r="L68" s="2">
        <v>4142.92</v>
      </c>
      <c r="M68" s="3"/>
      <c r="N68" s="2">
        <v>5078.04</v>
      </c>
      <c r="O68" s="3"/>
      <c r="P68" s="2">
        <v>5723</v>
      </c>
      <c r="Q68" s="3"/>
      <c r="R68" s="2">
        <v>6360</v>
      </c>
    </row>
    <row r="69" spans="1:18" s="15" customFormat="1" outlineLevel="1" collapsed="1" x14ac:dyDescent="0.35">
      <c r="A69" s="7"/>
      <c r="B69" s="20" t="str">
        <f>CONCATENATE("     ","Interest                                          ")</f>
        <v xml:space="preserve">     Interest                                          </v>
      </c>
      <c r="C69" s="7"/>
      <c r="D69" s="1">
        <f>SUM(OSRRefD21_13x_0)</f>
        <v>0</v>
      </c>
      <c r="E69" s="19"/>
      <c r="F69" s="1">
        <f>SUM(OSRRefF21_13x_0)</f>
        <v>0</v>
      </c>
      <c r="G69" s="4"/>
      <c r="H69" s="1">
        <f>SUM(OSRRefH21_13x_0)</f>
        <v>11.07</v>
      </c>
      <c r="I69" s="4"/>
      <c r="J69" s="1">
        <f>SUM(OSRRefJ21_13x_0)</f>
        <v>0</v>
      </c>
      <c r="K69" s="4"/>
      <c r="L69" s="1">
        <f>SUM(OSRRefL21_13x_0)</f>
        <v>0</v>
      </c>
      <c r="M69" s="4"/>
      <c r="N69" s="1">
        <f>SUM(OSRRefN21_13x_0)</f>
        <v>0</v>
      </c>
      <c r="O69" s="4"/>
      <c r="P69" s="1">
        <f>SUM(OSRRefP21_13x_0)</f>
        <v>0</v>
      </c>
      <c r="Q69" s="4"/>
      <c r="R69" s="1">
        <f>SUM(OSRRefR21_13x_0)</f>
        <v>0</v>
      </c>
    </row>
    <row r="70" spans="1:18" s="16" customFormat="1" hidden="1" outlineLevel="2" x14ac:dyDescent="0.35">
      <c r="B70" s="11" t="str">
        <f>CONCATENATE("          ", "6401", " - ", "INTEREST EXPENSE")</f>
        <v xml:space="preserve">          6401 - INTEREST EXPENSE</v>
      </c>
      <c r="D70" s="2"/>
      <c r="F70" s="2"/>
      <c r="G70" s="3"/>
      <c r="H70" s="2">
        <v>11.07</v>
      </c>
      <c r="I70" s="3"/>
      <c r="J70" s="2"/>
      <c r="K70" s="3"/>
      <c r="L70" s="2"/>
      <c r="M70" s="3"/>
      <c r="N70" s="2"/>
      <c r="O70" s="3"/>
      <c r="P70" s="2"/>
      <c r="Q70" s="3"/>
      <c r="R70" s="2"/>
    </row>
    <row r="71" spans="1:18" s="15" customFormat="1" outlineLevel="1" collapsed="1" x14ac:dyDescent="0.35">
      <c r="A71" s="7"/>
      <c r="B71" s="20" t="str">
        <f>CONCATENATE("     ","Professional Services                             ")</f>
        <v xml:space="preserve">     Professional Services                             </v>
      </c>
      <c r="C71" s="7"/>
      <c r="D71" s="1">
        <f>SUM(OSRRefD21_14x_0)</f>
        <v>261691.05</v>
      </c>
      <c r="E71" s="19"/>
      <c r="F71" s="1">
        <f>SUM(OSRRefF21_14x_0)</f>
        <v>220522.76</v>
      </c>
      <c r="G71" s="4"/>
      <c r="H71" s="1">
        <f>SUM(OSRRefH21_14x_0)</f>
        <v>145057.26</v>
      </c>
      <c r="I71" s="4"/>
      <c r="J71" s="1">
        <f>SUM(OSRRefJ21_14x_0)</f>
        <v>187465.97</v>
      </c>
      <c r="K71" s="4"/>
      <c r="L71" s="1">
        <f>SUM(OSRRefL21_14x_0)</f>
        <v>197140.99000000002</v>
      </c>
      <c r="M71" s="4"/>
      <c r="N71" s="1">
        <f>SUM(OSRRefN21_14x_0)</f>
        <v>202586.25999999998</v>
      </c>
      <c r="O71" s="4"/>
      <c r="P71" s="1">
        <f>SUM(OSRRefP21_14x_0)</f>
        <v>169500</v>
      </c>
      <c r="Q71" s="4"/>
      <c r="R71" s="1">
        <f>SUM(OSRRefR21_14x_0)</f>
        <v>151500</v>
      </c>
    </row>
    <row r="72" spans="1:18" s="16" customFormat="1" hidden="1" outlineLevel="2" x14ac:dyDescent="0.35">
      <c r="B72" s="11" t="str">
        <f>CONCATENATE("          ", "6331", " - ", "INDIRECT COSTS-AUXILIARY ORGAN")</f>
        <v xml:space="preserve">          6331 - INDIRECT COSTS-AUXILIARY ORGAN</v>
      </c>
      <c r="D72" s="2">
        <v>83532</v>
      </c>
      <c r="F72" s="2">
        <v>80775</v>
      </c>
      <c r="G72" s="3"/>
      <c r="H72" s="2">
        <v>83653</v>
      </c>
      <c r="I72" s="3"/>
      <c r="J72" s="2">
        <v>88660</v>
      </c>
      <c r="K72" s="3"/>
      <c r="L72" s="2">
        <v>90326</v>
      </c>
      <c r="M72" s="3"/>
      <c r="N72" s="2">
        <v>91723</v>
      </c>
      <c r="O72" s="3"/>
      <c r="P72" s="2">
        <v>103000</v>
      </c>
      <c r="Q72" s="3"/>
      <c r="R72" s="2">
        <v>103000</v>
      </c>
    </row>
    <row r="73" spans="1:18" s="16" customFormat="1" hidden="1" outlineLevel="2" x14ac:dyDescent="0.35">
      <c r="B73" s="11" t="str">
        <f>CONCATENATE("          ", "6332", " - ", "CONSULTANT FEES")</f>
        <v xml:space="preserve">          6332 - CONSULTANT FEES</v>
      </c>
      <c r="D73" s="2">
        <v>5000</v>
      </c>
      <c r="F73" s="2">
        <v>10250</v>
      </c>
      <c r="G73" s="3"/>
      <c r="H73" s="2">
        <v>38449.26</v>
      </c>
      <c r="I73" s="3"/>
      <c r="J73" s="2">
        <v>76535</v>
      </c>
      <c r="K73" s="3"/>
      <c r="L73" s="2">
        <v>82812.5</v>
      </c>
      <c r="M73" s="3"/>
      <c r="N73" s="2">
        <v>36894.74</v>
      </c>
      <c r="O73" s="3"/>
      <c r="P73" s="2">
        <v>31000</v>
      </c>
      <c r="Q73" s="3"/>
      <c r="R73" s="2">
        <v>19000</v>
      </c>
    </row>
    <row r="74" spans="1:18" s="16" customFormat="1" hidden="1" outlineLevel="2" x14ac:dyDescent="0.35">
      <c r="B74" s="11" t="str">
        <f>CONCATENATE("          ", "6334", " - ", "LEGAL COUNCIL EXPENSE")</f>
        <v xml:space="preserve">          6334 - LEGAL COUNCIL EXPENSE</v>
      </c>
      <c r="D74" s="2">
        <v>38269.75</v>
      </c>
      <c r="F74" s="2">
        <v>6400</v>
      </c>
      <c r="G74" s="3"/>
      <c r="H74" s="2">
        <v>2555</v>
      </c>
      <c r="I74" s="3"/>
      <c r="J74" s="2">
        <v>1500</v>
      </c>
      <c r="K74" s="3"/>
      <c r="L74" s="2">
        <v>7162.79</v>
      </c>
      <c r="M74" s="3"/>
      <c r="N74" s="2">
        <v>39770</v>
      </c>
      <c r="O74" s="3"/>
      <c r="P74" s="2">
        <v>15500</v>
      </c>
      <c r="Q74" s="3"/>
      <c r="R74" s="2">
        <v>14500</v>
      </c>
    </row>
    <row r="75" spans="1:18" s="16" customFormat="1" hidden="1" outlineLevel="2" x14ac:dyDescent="0.35">
      <c r="B75" s="11" t="str">
        <f>CONCATENATE("          ", "6336", " - ", "PROFESSIONAL SERVICES")</f>
        <v xml:space="preserve">          6336 - PROFESSIONAL SERVICES</v>
      </c>
      <c r="D75" s="2">
        <v>134889.29999999999</v>
      </c>
      <c r="F75" s="2">
        <v>123097.76</v>
      </c>
      <c r="G75" s="3"/>
      <c r="H75" s="2">
        <v>20400</v>
      </c>
      <c r="I75" s="3"/>
      <c r="J75" s="2">
        <v>20770.97</v>
      </c>
      <c r="K75" s="3"/>
      <c r="L75" s="2">
        <v>16839.7</v>
      </c>
      <c r="M75" s="3"/>
      <c r="N75" s="2">
        <v>34198.519999999997</v>
      </c>
      <c r="O75" s="3"/>
      <c r="P75" s="2">
        <v>20000</v>
      </c>
      <c r="Q75" s="3"/>
      <c r="R75" s="2">
        <v>15000</v>
      </c>
    </row>
    <row r="76" spans="1:18" s="15" customFormat="1" outlineLevel="1" collapsed="1" x14ac:dyDescent="0.35">
      <c r="A76" s="7"/>
      <c r="B76" s="20" t="str">
        <f>CONCATENATE("     ","Repair and Maintenance                            ")</f>
        <v xml:space="preserve">     Repair and Maintenance                            </v>
      </c>
      <c r="C76" s="7"/>
      <c r="D76" s="1">
        <f>SUM(OSRRefD21_15x_0)</f>
        <v>198673.97</v>
      </c>
      <c r="E76" s="19"/>
      <c r="F76" s="1">
        <f>SUM(OSRRefF21_15x_0)</f>
        <v>227413.63000000003</v>
      </c>
      <c r="G76" s="4"/>
      <c r="H76" s="1">
        <f>SUM(OSRRefH21_15x_0)</f>
        <v>429446.24</v>
      </c>
      <c r="I76" s="4"/>
      <c r="J76" s="1">
        <f>SUM(OSRRefJ21_15x_0)</f>
        <v>353929.85000000003</v>
      </c>
      <c r="K76" s="4"/>
      <c r="L76" s="1">
        <f>SUM(OSRRefL21_15x_0)</f>
        <v>361677.23</v>
      </c>
      <c r="M76" s="4"/>
      <c r="N76" s="1">
        <f>SUM(OSRRefN21_15x_0)</f>
        <v>354241.67000000004</v>
      </c>
      <c r="O76" s="4"/>
      <c r="P76" s="1">
        <f>SUM(OSRRefP21_15x_0)</f>
        <v>342818</v>
      </c>
      <c r="Q76" s="4"/>
      <c r="R76" s="1">
        <f>SUM(OSRRefR21_15x_0)</f>
        <v>308284</v>
      </c>
    </row>
    <row r="77" spans="1:18" s="16" customFormat="1" hidden="1" outlineLevel="2" x14ac:dyDescent="0.35">
      <c r="B77" s="11" t="str">
        <f>CONCATENATE("          ", "6371", " - ", "COMPUTER SOFTWARE MAINTENANCE")</f>
        <v xml:space="preserve">          6371 - COMPUTER SOFTWARE MAINTENANCE</v>
      </c>
      <c r="D77" s="2">
        <v>29929.31</v>
      </c>
      <c r="F77" s="2">
        <v>63789.25</v>
      </c>
      <c r="G77" s="3"/>
      <c r="H77" s="2">
        <v>213877.55</v>
      </c>
      <c r="I77" s="3"/>
      <c r="J77" s="2">
        <v>213284.42</v>
      </c>
      <c r="K77" s="3"/>
      <c r="L77" s="2">
        <v>185284.91</v>
      </c>
      <c r="M77" s="3"/>
      <c r="N77" s="2">
        <v>183745.69</v>
      </c>
      <c r="O77" s="3"/>
      <c r="P77" s="2">
        <v>133040</v>
      </c>
      <c r="Q77" s="3"/>
      <c r="R77" s="2">
        <v>149200</v>
      </c>
    </row>
    <row r="78" spans="1:18" s="16" customFormat="1" hidden="1" outlineLevel="2" x14ac:dyDescent="0.35">
      <c r="B78" s="11" t="str">
        <f>CONCATENATE("          ", "6372", " - ", "COMPUTER HARDWARE MAINTENANCE")</f>
        <v xml:space="preserve">          6372 - COMPUTER HARDWARE MAINTENANCE</v>
      </c>
      <c r="D78" s="2"/>
      <c r="F78" s="2">
        <v>1533.14</v>
      </c>
      <c r="G78" s="3"/>
      <c r="H78" s="2"/>
      <c r="I78" s="3"/>
      <c r="J78" s="2"/>
      <c r="K78" s="3"/>
      <c r="L78" s="2">
        <v>321.92</v>
      </c>
      <c r="M78" s="3"/>
      <c r="N78" s="2"/>
      <c r="O78" s="3"/>
      <c r="P78" s="2">
        <v>21800</v>
      </c>
      <c r="Q78" s="3"/>
      <c r="R78" s="2">
        <v>3000</v>
      </c>
    </row>
    <row r="79" spans="1:18" s="16" customFormat="1" hidden="1" outlineLevel="2" x14ac:dyDescent="0.35">
      <c r="B79" s="11" t="str">
        <f>CONCATENATE("          ", "6373", " - ", "MAINTENANCE CONTRACTS")</f>
        <v xml:space="preserve">          6373 - MAINTENANCE CONTRACTS</v>
      </c>
      <c r="D79" s="2">
        <v>166114.23999999999</v>
      </c>
      <c r="F79" s="2">
        <v>159487.14000000001</v>
      </c>
      <c r="G79" s="3"/>
      <c r="H79" s="2">
        <v>202038.49</v>
      </c>
      <c r="I79" s="3"/>
      <c r="J79" s="2">
        <v>139648.38</v>
      </c>
      <c r="K79" s="3"/>
      <c r="L79" s="2">
        <v>167214.16</v>
      </c>
      <c r="M79" s="3"/>
      <c r="N79" s="2">
        <v>166846.89000000001</v>
      </c>
      <c r="O79" s="3"/>
      <c r="P79" s="2">
        <v>187978</v>
      </c>
      <c r="Q79" s="3"/>
      <c r="R79" s="2">
        <v>154284</v>
      </c>
    </row>
    <row r="80" spans="1:18" s="16" customFormat="1" hidden="1" outlineLevel="2" x14ac:dyDescent="0.35">
      <c r="B80" s="11" t="str">
        <f>CONCATENATE("          ", "6375", " - ", "OUTSIDE REPAIRS &amp; MAINTENANCE")</f>
        <v xml:space="preserve">          6375 - OUTSIDE REPAIRS &amp; MAINTENANCE</v>
      </c>
      <c r="D80" s="2">
        <v>2630.42</v>
      </c>
      <c r="F80" s="2">
        <v>2604.1</v>
      </c>
      <c r="G80" s="3"/>
      <c r="H80" s="2">
        <v>13530.2</v>
      </c>
      <c r="I80" s="3"/>
      <c r="J80" s="2">
        <v>997.05</v>
      </c>
      <c r="K80" s="3"/>
      <c r="L80" s="2">
        <v>8856.24</v>
      </c>
      <c r="M80" s="3"/>
      <c r="N80" s="2">
        <v>3649.09</v>
      </c>
      <c r="O80" s="3"/>
      <c r="P80" s="2"/>
      <c r="Q80" s="3"/>
      <c r="R80" s="2">
        <v>1800</v>
      </c>
    </row>
    <row r="81" spans="1:18" s="15" customFormat="1" outlineLevel="1" collapsed="1" x14ac:dyDescent="0.35">
      <c r="A81" s="7"/>
      <c r="B81" s="20" t="str">
        <f>CONCATENATE("     ","Services                                          ")</f>
        <v xml:space="preserve">     Services                                          </v>
      </c>
      <c r="C81" s="7"/>
      <c r="D81" s="1">
        <f>SUM(OSRRefD21_16x_0)</f>
        <v>6839.49</v>
      </c>
      <c r="E81" s="19"/>
      <c r="F81" s="1">
        <f>SUM(OSRRefF21_16x_0)</f>
        <v>5134.43</v>
      </c>
      <c r="G81" s="4"/>
      <c r="H81" s="1">
        <f>SUM(OSRRefH21_16x_0)</f>
        <v>5858.37</v>
      </c>
      <c r="I81" s="4"/>
      <c r="J81" s="1">
        <f>SUM(OSRRefJ21_16x_0)</f>
        <v>7562.11</v>
      </c>
      <c r="K81" s="4"/>
      <c r="L81" s="1">
        <f>SUM(OSRRefL21_16x_0)</f>
        <v>9258.31</v>
      </c>
      <c r="M81" s="4"/>
      <c r="N81" s="1">
        <f>SUM(OSRRefN21_16x_0)</f>
        <v>11051.39</v>
      </c>
      <c r="O81" s="4"/>
      <c r="P81" s="1">
        <f>SUM(OSRRefP21_16x_0)</f>
        <v>6300</v>
      </c>
      <c r="Q81" s="4"/>
      <c r="R81" s="1">
        <f>SUM(OSRRefR21_16x_0)</f>
        <v>7800</v>
      </c>
    </row>
    <row r="82" spans="1:18" s="16" customFormat="1" hidden="1" outlineLevel="2" x14ac:dyDescent="0.35">
      <c r="B82" s="11" t="str">
        <f>CONCATENATE("          ", "6281", " - ", "STORAGE FEE")</f>
        <v xml:space="preserve">          6281 - STORAGE FEE</v>
      </c>
      <c r="D82" s="2">
        <v>5155.7299999999996</v>
      </c>
      <c r="F82" s="2">
        <v>4666.83</v>
      </c>
      <c r="G82" s="3"/>
      <c r="H82" s="2">
        <v>5112.75</v>
      </c>
      <c r="I82" s="3"/>
      <c r="J82" s="2">
        <v>7280.78</v>
      </c>
      <c r="K82" s="3"/>
      <c r="L82" s="2">
        <v>9160.09</v>
      </c>
      <c r="M82" s="3"/>
      <c r="N82" s="2">
        <v>10967.41</v>
      </c>
      <c r="O82" s="3"/>
      <c r="P82" s="2">
        <v>6000</v>
      </c>
      <c r="Q82" s="3"/>
      <c r="R82" s="2">
        <v>7500</v>
      </c>
    </row>
    <row r="83" spans="1:18" s="16" customFormat="1" hidden="1" outlineLevel="2" x14ac:dyDescent="0.35">
      <c r="B83" s="11" t="str">
        <f>CONCATENATE("          ", "6286", " - ", "LAUNDRY EXPENSE")</f>
        <v xml:space="preserve">          6286 - LAUNDRY EXPENSE</v>
      </c>
      <c r="D83" s="2">
        <v>1683.76</v>
      </c>
      <c r="F83" s="2">
        <v>467.6</v>
      </c>
      <c r="G83" s="3"/>
      <c r="H83" s="2">
        <v>745.62</v>
      </c>
      <c r="I83" s="3"/>
      <c r="J83" s="2">
        <v>281.33</v>
      </c>
      <c r="K83" s="3"/>
      <c r="L83" s="2">
        <v>98.22</v>
      </c>
      <c r="M83" s="3"/>
      <c r="N83" s="2">
        <v>83.98</v>
      </c>
      <c r="O83" s="3"/>
      <c r="P83" s="2">
        <v>300</v>
      </c>
      <c r="Q83" s="3"/>
      <c r="R83" s="2">
        <v>300</v>
      </c>
    </row>
    <row r="84" spans="1:18" s="15" customFormat="1" outlineLevel="1" collapsed="1" x14ac:dyDescent="0.35">
      <c r="A84" s="7"/>
      <c r="B84" s="20" t="str">
        <f>CONCATENATE("     ","Subscriptions &amp; Dues                              ")</f>
        <v xml:space="preserve">     Subscriptions &amp; Dues                              </v>
      </c>
      <c r="C84" s="7"/>
      <c r="D84" s="1">
        <f>SUM(OSRRefD21_17x_0)</f>
        <v>9152</v>
      </c>
      <c r="E84" s="19"/>
      <c r="F84" s="1">
        <f>SUM(OSRRefF21_17x_0)</f>
        <v>9192.5</v>
      </c>
      <c r="G84" s="4"/>
      <c r="H84" s="1">
        <f>SUM(OSRRefH21_17x_0)</f>
        <v>8165</v>
      </c>
      <c r="I84" s="4"/>
      <c r="J84" s="1">
        <f>SUM(OSRRefJ21_17x_0)</f>
        <v>8449</v>
      </c>
      <c r="K84" s="4"/>
      <c r="L84" s="1">
        <f>SUM(OSRRefL21_17x_0)</f>
        <v>11965</v>
      </c>
      <c r="M84" s="4"/>
      <c r="N84" s="1">
        <f>SUM(OSRRefN21_17x_0)</f>
        <v>7864</v>
      </c>
      <c r="O84" s="4"/>
      <c r="P84" s="1">
        <f>SUM(OSRRefP21_17x_0)</f>
        <v>12307</v>
      </c>
      <c r="Q84" s="4"/>
      <c r="R84" s="1">
        <f>SUM(OSRRefR21_17x_0)</f>
        <v>10273</v>
      </c>
    </row>
    <row r="85" spans="1:18" s="16" customFormat="1" hidden="1" outlineLevel="2" x14ac:dyDescent="0.35">
      <c r="B85" s="11" t="str">
        <f>CONCATENATE("          ", "6258", " - ", "MEMBERSHIP DUES")</f>
        <v xml:space="preserve">          6258 - MEMBERSHIP DUES</v>
      </c>
      <c r="D85" s="2">
        <v>8957</v>
      </c>
      <c r="F85" s="2">
        <v>8984</v>
      </c>
      <c r="G85" s="3"/>
      <c r="H85" s="2">
        <v>8165</v>
      </c>
      <c r="I85" s="3"/>
      <c r="J85" s="2">
        <v>8449</v>
      </c>
      <c r="K85" s="3"/>
      <c r="L85" s="2">
        <v>10069</v>
      </c>
      <c r="M85" s="3"/>
      <c r="N85" s="2">
        <v>7864</v>
      </c>
      <c r="O85" s="3"/>
      <c r="P85" s="2">
        <v>11107</v>
      </c>
      <c r="Q85" s="3"/>
      <c r="R85" s="2">
        <v>9673</v>
      </c>
    </row>
    <row r="86" spans="1:18" s="16" customFormat="1" hidden="1" outlineLevel="2" x14ac:dyDescent="0.35">
      <c r="B86" s="11" t="str">
        <f>CONCATENATE("          ", "6275", " - ", "SUBSCRIPTIONS")</f>
        <v xml:space="preserve">          6275 - SUBSCRIPTIONS</v>
      </c>
      <c r="D86" s="2">
        <v>195</v>
      </c>
      <c r="F86" s="2">
        <v>208.5</v>
      </c>
      <c r="G86" s="3"/>
      <c r="H86" s="2"/>
      <c r="I86" s="3"/>
      <c r="J86" s="2"/>
      <c r="K86" s="3"/>
      <c r="L86" s="2">
        <v>1896</v>
      </c>
      <c r="M86" s="3"/>
      <c r="N86" s="2"/>
      <c r="O86" s="3"/>
      <c r="P86" s="2">
        <v>1200</v>
      </c>
      <c r="Q86" s="3"/>
      <c r="R86" s="2">
        <v>600</v>
      </c>
    </row>
    <row r="87" spans="1:18" s="15" customFormat="1" outlineLevel="1" collapsed="1" x14ac:dyDescent="0.35">
      <c r="A87" s="7"/>
      <c r="B87" s="20" t="str">
        <f>CONCATENATE("     ","Supplies                                          ")</f>
        <v xml:space="preserve">     Supplies                                          </v>
      </c>
      <c r="C87" s="7"/>
      <c r="D87" s="1">
        <f>SUM(OSRRefD21_18x_0)</f>
        <v>46851.4</v>
      </c>
      <c r="E87" s="19"/>
      <c r="F87" s="1">
        <f>SUM(OSRRefF21_18x_0)</f>
        <v>76495.259999999995</v>
      </c>
      <c r="G87" s="4"/>
      <c r="H87" s="1">
        <f>SUM(OSRRefH21_18x_0)</f>
        <v>47328.52</v>
      </c>
      <c r="I87" s="4"/>
      <c r="J87" s="1">
        <f>SUM(OSRRefJ21_18x_0)</f>
        <v>76469.98</v>
      </c>
      <c r="K87" s="4"/>
      <c r="L87" s="1">
        <f>SUM(OSRRefL21_18x_0)</f>
        <v>106269.26</v>
      </c>
      <c r="M87" s="4"/>
      <c r="N87" s="1">
        <f>SUM(OSRRefN21_18x_0)</f>
        <v>65426.86</v>
      </c>
      <c r="O87" s="4"/>
      <c r="P87" s="1">
        <f>SUM(OSRRefP21_18x_0)</f>
        <v>72084</v>
      </c>
      <c r="Q87" s="4"/>
      <c r="R87" s="1">
        <f>SUM(OSRRefR21_18x_0)</f>
        <v>38400</v>
      </c>
    </row>
    <row r="88" spans="1:18" s="16" customFormat="1" hidden="1" outlineLevel="2" x14ac:dyDescent="0.35">
      <c r="B88" s="11" t="str">
        <f>CONCATENATE("          ", "6234", " - ", "EXPENDABLE SUPPLIES &amp; EQUIPMEN")</f>
        <v xml:space="preserve">          6234 - EXPENDABLE SUPPLIES &amp; EQUIPMEN</v>
      </c>
      <c r="D88" s="2">
        <v>3546.25</v>
      </c>
      <c r="F88" s="2">
        <v>16404.39</v>
      </c>
      <c r="G88" s="3"/>
      <c r="H88" s="2">
        <v>8564.61</v>
      </c>
      <c r="I88" s="3"/>
      <c r="J88" s="2">
        <v>2328.69</v>
      </c>
      <c r="K88" s="3"/>
      <c r="L88" s="2">
        <v>5754.18</v>
      </c>
      <c r="M88" s="3"/>
      <c r="N88" s="2">
        <v>1223.6099999999999</v>
      </c>
      <c r="O88" s="3"/>
      <c r="P88" s="2">
        <v>21584</v>
      </c>
      <c r="Q88" s="3"/>
      <c r="R88" s="2">
        <v>1500</v>
      </c>
    </row>
    <row r="89" spans="1:18" s="16" customFormat="1" hidden="1" outlineLevel="2" x14ac:dyDescent="0.35">
      <c r="B89" s="11" t="str">
        <f>CONCATENATE("          ", "6235", " - ", "COVID-19 EXPENSES")</f>
        <v xml:space="preserve">          6235 - COVID-19 EXPENSES</v>
      </c>
      <c r="D89" s="2"/>
      <c r="F89" s="2"/>
      <c r="G89" s="3"/>
      <c r="H89" s="2"/>
      <c r="I89" s="3"/>
      <c r="J89" s="2"/>
      <c r="K89" s="3"/>
      <c r="L89" s="2"/>
      <c r="M89" s="3"/>
      <c r="N89" s="2">
        <v>6770.84</v>
      </c>
      <c r="O89" s="3"/>
      <c r="P89" s="2">
        <v>7000</v>
      </c>
      <c r="Q89" s="3"/>
      <c r="R89" s="2"/>
    </row>
    <row r="90" spans="1:18" s="16" customFormat="1" hidden="1" outlineLevel="2" x14ac:dyDescent="0.35">
      <c r="B90" s="11" t="str">
        <f>CONCATENATE("          ", "6241", " - ", "OFFICE EXPENSE")</f>
        <v xml:space="preserve">          6241 - OFFICE EXPENSE</v>
      </c>
      <c r="D90" s="2">
        <v>37405.910000000003</v>
      </c>
      <c r="F90" s="2">
        <v>54306.89</v>
      </c>
      <c r="G90" s="3"/>
      <c r="H90" s="2">
        <v>27745.599999999999</v>
      </c>
      <c r="I90" s="3"/>
      <c r="J90" s="2">
        <v>66438.2</v>
      </c>
      <c r="K90" s="3"/>
      <c r="L90" s="2">
        <v>94177.19</v>
      </c>
      <c r="M90" s="3"/>
      <c r="N90" s="2">
        <v>52152.87</v>
      </c>
      <c r="O90" s="3"/>
      <c r="P90" s="2">
        <v>33500</v>
      </c>
      <c r="Q90" s="3"/>
      <c r="R90" s="2">
        <v>26900</v>
      </c>
    </row>
    <row r="91" spans="1:18" s="16" customFormat="1" hidden="1" outlineLevel="2" x14ac:dyDescent="0.35">
      <c r="B91" s="11" t="str">
        <f>CONCATENATE("          ", "6244", " - ", "SAFETY SUPPLY EXPENSE")</f>
        <v xml:space="preserve">          6244 - SAFETY SUPPLY EXPENSE</v>
      </c>
      <c r="D91" s="2">
        <v>3408.33</v>
      </c>
      <c r="F91" s="2">
        <v>3998.81</v>
      </c>
      <c r="G91" s="3"/>
      <c r="H91" s="2">
        <v>2926.94</v>
      </c>
      <c r="I91" s="3"/>
      <c r="J91" s="2">
        <v>3153.36</v>
      </c>
      <c r="K91" s="3"/>
      <c r="L91" s="2">
        <v>3662.48</v>
      </c>
      <c r="M91" s="3"/>
      <c r="N91" s="2">
        <v>2034.69</v>
      </c>
      <c r="O91" s="3"/>
      <c r="P91" s="2">
        <v>5000</v>
      </c>
      <c r="Q91" s="3"/>
      <c r="R91" s="2">
        <v>5000</v>
      </c>
    </row>
    <row r="92" spans="1:18" s="16" customFormat="1" hidden="1" outlineLevel="2" x14ac:dyDescent="0.35">
      <c r="B92" s="11" t="str">
        <f>CONCATENATE("          ", "6245", " - ", "PRINTING")</f>
        <v xml:space="preserve">          6245 - PRINTING</v>
      </c>
      <c r="D92" s="2">
        <v>2221.67</v>
      </c>
      <c r="F92" s="2">
        <v>1785.17</v>
      </c>
      <c r="G92" s="3"/>
      <c r="H92" s="2">
        <v>8038.63</v>
      </c>
      <c r="I92" s="3"/>
      <c r="J92" s="2">
        <v>4549.7299999999996</v>
      </c>
      <c r="K92" s="3"/>
      <c r="L92" s="2">
        <v>2675.41</v>
      </c>
      <c r="M92" s="3"/>
      <c r="N92" s="2">
        <v>3244.85</v>
      </c>
      <c r="O92" s="3"/>
      <c r="P92" s="2"/>
      <c r="Q92" s="3"/>
      <c r="R92" s="2"/>
    </row>
    <row r="93" spans="1:18" s="16" customFormat="1" hidden="1" outlineLevel="2" x14ac:dyDescent="0.35">
      <c r="B93" s="11" t="str">
        <f>CONCATENATE("          ", "6247", " - ", "STORE SUPPLIES")</f>
        <v xml:space="preserve">          6247 - STORE SUPPLIES</v>
      </c>
      <c r="D93" s="2"/>
      <c r="F93" s="2"/>
      <c r="G93" s="3"/>
      <c r="H93" s="2"/>
      <c r="I93" s="3"/>
      <c r="J93" s="2"/>
      <c r="K93" s="3"/>
      <c r="L93" s="2"/>
      <c r="M93" s="3"/>
      <c r="N93" s="2"/>
      <c r="O93" s="3"/>
      <c r="P93" s="2">
        <v>5000</v>
      </c>
      <c r="Q93" s="3"/>
      <c r="R93" s="2">
        <v>5000</v>
      </c>
    </row>
    <row r="94" spans="1:18" s="16" customFormat="1" hidden="1" outlineLevel="2" x14ac:dyDescent="0.35">
      <c r="B94" s="11" t="str">
        <f>CONCATENATE("          ", "6248", " - ", "UNIFORMS")</f>
        <v xml:space="preserve">          6248 - UNIFORMS</v>
      </c>
      <c r="D94" s="2">
        <v>269.24</v>
      </c>
      <c r="F94" s="2"/>
      <c r="G94" s="3"/>
      <c r="H94" s="2">
        <v>52.74</v>
      </c>
      <c r="I94" s="3"/>
      <c r="J94" s="2"/>
      <c r="K94" s="3"/>
      <c r="L94" s="2"/>
      <c r="M94" s="3"/>
      <c r="N94" s="2"/>
      <c r="O94" s="3"/>
      <c r="P94" s="2"/>
      <c r="Q94" s="3"/>
      <c r="R94" s="2"/>
    </row>
    <row r="95" spans="1:18" s="15" customFormat="1" outlineLevel="1" collapsed="1" x14ac:dyDescent="0.35">
      <c r="A95" s="7"/>
      <c r="B95" s="20" t="str">
        <f>CONCATENATE("     ","Telephone/Data Lines                              ")</f>
        <v xml:space="preserve">     Telephone/Data Lines                              </v>
      </c>
      <c r="C95" s="7"/>
      <c r="D95" s="1">
        <f>SUM(OSRRefD21_19x_0)</f>
        <v>37742.339999999997</v>
      </c>
      <c r="E95" s="19"/>
      <c r="F95" s="1">
        <f>SUM(OSRRefF21_19x_0)</f>
        <v>33008.71</v>
      </c>
      <c r="G95" s="4"/>
      <c r="H95" s="1">
        <f>SUM(OSRRefH21_19x_0)</f>
        <v>33177.24</v>
      </c>
      <c r="I95" s="4"/>
      <c r="J95" s="1">
        <f>SUM(OSRRefJ21_19x_0)</f>
        <v>27551.399999999998</v>
      </c>
      <c r="K95" s="4"/>
      <c r="L95" s="1">
        <f>SUM(OSRRefL21_19x_0)</f>
        <v>27469.67</v>
      </c>
      <c r="M95" s="4"/>
      <c r="N95" s="1">
        <f>SUM(OSRRefN21_19x_0)</f>
        <v>28842.639999999999</v>
      </c>
      <c r="O95" s="4"/>
      <c r="P95" s="1">
        <f>SUM(OSRRefP21_19x_0)</f>
        <v>19620</v>
      </c>
      <c r="Q95" s="4"/>
      <c r="R95" s="1">
        <f>SUM(OSRRefR21_19x_0)</f>
        <v>21840</v>
      </c>
    </row>
    <row r="96" spans="1:18" s="16" customFormat="1" hidden="1" outlineLevel="2" x14ac:dyDescent="0.35">
      <c r="B96" s="11" t="str">
        <f>CONCATENATE("          ", "6303", " - ", "DATA PHONE LINES")</f>
        <v xml:space="preserve">          6303 - DATA PHONE LINES</v>
      </c>
      <c r="D96" s="2">
        <v>5091.45</v>
      </c>
      <c r="F96" s="2">
        <v>4198.96</v>
      </c>
      <c r="G96" s="3"/>
      <c r="H96" s="2">
        <v>2870.43</v>
      </c>
      <c r="I96" s="3"/>
      <c r="J96" s="2">
        <v>2243.0300000000002</v>
      </c>
      <c r="K96" s="3"/>
      <c r="L96" s="2">
        <v>2118.17</v>
      </c>
      <c r="M96" s="3"/>
      <c r="N96" s="2">
        <v>1889.95</v>
      </c>
      <c r="O96" s="3"/>
      <c r="P96" s="2">
        <v>5820</v>
      </c>
      <c r="Q96" s="3"/>
      <c r="R96" s="2">
        <v>3012</v>
      </c>
    </row>
    <row r="97" spans="1:18" s="16" customFormat="1" hidden="1" outlineLevel="2" x14ac:dyDescent="0.35">
      <c r="B97" s="11" t="str">
        <f>CONCATENATE("          ", "6309", " - ", "TELEPHONE")</f>
        <v xml:space="preserve">          6309 - TELEPHONE</v>
      </c>
      <c r="D97" s="2">
        <v>32650.89</v>
      </c>
      <c r="F97" s="2">
        <v>28809.75</v>
      </c>
      <c r="G97" s="3"/>
      <c r="H97" s="2">
        <v>30306.81</v>
      </c>
      <c r="I97" s="3"/>
      <c r="J97" s="2">
        <v>25308.37</v>
      </c>
      <c r="K97" s="3"/>
      <c r="L97" s="2">
        <v>25351.5</v>
      </c>
      <c r="M97" s="3"/>
      <c r="N97" s="2">
        <v>26952.69</v>
      </c>
      <c r="O97" s="3"/>
      <c r="P97" s="2">
        <v>13800</v>
      </c>
      <c r="Q97" s="3"/>
      <c r="R97" s="2">
        <v>18828</v>
      </c>
    </row>
    <row r="98" spans="1:18" s="15" customFormat="1" outlineLevel="1" collapsed="1" x14ac:dyDescent="0.35">
      <c r="A98" s="7"/>
      <c r="B98" s="20" t="str">
        <f>CONCATENATE("     ","Training                                          ")</f>
        <v xml:space="preserve">     Training                                          </v>
      </c>
      <c r="C98" s="7"/>
      <c r="D98" s="1">
        <f>SUM(OSRRefD21_20x_0)</f>
        <v>43487.76</v>
      </c>
      <c r="E98" s="19"/>
      <c r="F98" s="1">
        <f>SUM(OSRRefF21_20x_0)</f>
        <v>41430.449999999997</v>
      </c>
      <c r="G98" s="4"/>
      <c r="H98" s="1">
        <f>SUM(OSRRefH21_20x_0)</f>
        <v>52220.49</v>
      </c>
      <c r="I98" s="4"/>
      <c r="J98" s="1">
        <f>SUM(OSRRefJ21_20x_0)</f>
        <v>42640.84</v>
      </c>
      <c r="K98" s="4"/>
      <c r="L98" s="1">
        <f>SUM(OSRRefL21_20x_0)</f>
        <v>31702.639999999999</v>
      </c>
      <c r="M98" s="4"/>
      <c r="N98" s="1">
        <f>SUM(OSRRefN21_20x_0)</f>
        <v>20640.37</v>
      </c>
      <c r="O98" s="4"/>
      <c r="P98" s="1">
        <f>SUM(OSRRefP21_20x_0)</f>
        <v>21502</v>
      </c>
      <c r="Q98" s="4"/>
      <c r="R98" s="1">
        <f>SUM(OSRRefR21_20x_0)</f>
        <v>12050</v>
      </c>
    </row>
    <row r="99" spans="1:18" s="16" customFormat="1" hidden="1" outlineLevel="2" x14ac:dyDescent="0.35">
      <c r="B99" s="11" t="str">
        <f>CONCATENATE("          ", "6376", " - ", "TRAINING")</f>
        <v xml:space="preserve">          6376 - TRAINING</v>
      </c>
      <c r="D99" s="2">
        <v>43487.76</v>
      </c>
      <c r="F99" s="2">
        <v>41430.449999999997</v>
      </c>
      <c r="G99" s="3"/>
      <c r="H99" s="2">
        <v>52220.49</v>
      </c>
      <c r="I99" s="3"/>
      <c r="J99" s="2">
        <v>42640.84</v>
      </c>
      <c r="K99" s="3"/>
      <c r="L99" s="2">
        <v>31702.639999999999</v>
      </c>
      <c r="M99" s="3"/>
      <c r="N99" s="2">
        <v>20640.37</v>
      </c>
      <c r="O99" s="3"/>
      <c r="P99" s="2">
        <v>21502</v>
      </c>
      <c r="Q99" s="3"/>
      <c r="R99" s="2">
        <v>12050</v>
      </c>
    </row>
    <row r="100" spans="1:18" s="15" customFormat="1" outlineLevel="1" collapsed="1" x14ac:dyDescent="0.35">
      <c r="A100" s="7"/>
      <c r="B100" s="20" t="str">
        <f>CONCATENATE("     ","Travel                                            ")</f>
        <v xml:space="preserve">     Travel                                            </v>
      </c>
      <c r="C100" s="7"/>
      <c r="D100" s="1">
        <f>SUM(OSRRefD21_21x_0)</f>
        <v>20030.41</v>
      </c>
      <c r="E100" s="19"/>
      <c r="F100" s="1">
        <f>SUM(OSRRefF21_21x_0)</f>
        <v>24816.28</v>
      </c>
      <c r="G100" s="4"/>
      <c r="H100" s="1">
        <f>SUM(OSRRefH21_21x_0)</f>
        <v>20211.739999999998</v>
      </c>
      <c r="I100" s="4"/>
      <c r="J100" s="1">
        <f>SUM(OSRRefJ21_21x_0)</f>
        <v>22631.48</v>
      </c>
      <c r="K100" s="4"/>
      <c r="L100" s="1">
        <f>SUM(OSRRefL21_21x_0)</f>
        <v>24117.550000000003</v>
      </c>
      <c r="M100" s="4"/>
      <c r="N100" s="1">
        <f>SUM(OSRRefN21_21x_0)</f>
        <v>12860.449999999999</v>
      </c>
      <c r="O100" s="4"/>
      <c r="P100" s="1">
        <f>SUM(OSRRefP21_21x_0)</f>
        <v>11100</v>
      </c>
      <c r="Q100" s="4"/>
      <c r="R100" s="1">
        <f>SUM(OSRRefR21_21x_0)</f>
        <v>7720</v>
      </c>
    </row>
    <row r="101" spans="1:18" s="16" customFormat="1" hidden="1" outlineLevel="2" x14ac:dyDescent="0.35">
      <c r="B101" s="11" t="str">
        <f>CONCATENATE("          ", "6292", " - ", "TRAVEL/CONFERENCE")</f>
        <v xml:space="preserve">          6292 - TRAVEL/CONFERENCE</v>
      </c>
      <c r="D101" s="2">
        <v>17712.509999999998</v>
      </c>
      <c r="F101" s="2">
        <v>23689.43</v>
      </c>
      <c r="G101" s="3"/>
      <c r="H101" s="2">
        <v>18003.009999999998</v>
      </c>
      <c r="I101" s="3"/>
      <c r="J101" s="2">
        <v>22631.48</v>
      </c>
      <c r="K101" s="3"/>
      <c r="L101" s="2">
        <v>22739.49</v>
      </c>
      <c r="M101" s="3"/>
      <c r="N101" s="2">
        <v>12836.55</v>
      </c>
      <c r="O101" s="3"/>
      <c r="P101" s="2">
        <v>7500</v>
      </c>
      <c r="Q101" s="3"/>
      <c r="R101" s="2">
        <v>6220</v>
      </c>
    </row>
    <row r="102" spans="1:18" s="16" customFormat="1" hidden="1" outlineLevel="2" x14ac:dyDescent="0.35">
      <c r="B102" s="11" t="str">
        <f>CONCATENATE("          ", "6294", " - ", "TRAVEL OPERATIONAL")</f>
        <v xml:space="preserve">          6294 - TRAVEL OPERATIONAL</v>
      </c>
      <c r="D102" s="2">
        <v>2317.9</v>
      </c>
      <c r="F102" s="2">
        <v>1126.8499999999999</v>
      </c>
      <c r="G102" s="3"/>
      <c r="H102" s="2">
        <v>2208.73</v>
      </c>
      <c r="I102" s="3"/>
      <c r="J102" s="2"/>
      <c r="K102" s="3"/>
      <c r="L102" s="2">
        <v>1378.06</v>
      </c>
      <c r="M102" s="3"/>
      <c r="N102" s="2">
        <v>23.9</v>
      </c>
      <c r="O102" s="3"/>
      <c r="P102" s="2">
        <v>3600</v>
      </c>
      <c r="Q102" s="3"/>
      <c r="R102" s="2">
        <v>1500</v>
      </c>
    </row>
    <row r="103" spans="1:18" x14ac:dyDescent="0.35">
      <c r="A103" s="12"/>
      <c r="B103" s="12"/>
      <c r="C103" s="12"/>
      <c r="D103" s="1"/>
      <c r="F103" s="1"/>
      <c r="H103" s="1"/>
      <c r="J103" s="1"/>
      <c r="L103" s="1"/>
      <c r="N103" s="1"/>
      <c r="P103" s="1"/>
      <c r="R103" s="1"/>
    </row>
    <row r="104" spans="1:18" s="7" customFormat="1" collapsed="1" x14ac:dyDescent="0.35">
      <c r="A104" s="36"/>
      <c r="B104" s="34" t="s">
        <v>295</v>
      </c>
      <c r="D104" s="6">
        <f>SUM(OSRRefD24x_0)</f>
        <v>0</v>
      </c>
      <c r="E104" s="12"/>
      <c r="F104" s="6">
        <f>SUM(OSRRefF24x_0)</f>
        <v>0</v>
      </c>
      <c r="G104" s="5"/>
      <c r="H104" s="6">
        <f>SUM(OSRRefH24x_0)</f>
        <v>0</v>
      </c>
      <c r="I104" s="5"/>
      <c r="J104" s="6">
        <f>SUM(OSRRefJ24x_0)</f>
        <v>0</v>
      </c>
      <c r="K104" s="5"/>
      <c r="L104" s="6">
        <f>SUM(OSRRefL24x_0)</f>
        <v>0</v>
      </c>
      <c r="M104" s="5"/>
      <c r="N104" s="6">
        <f>SUM(OSRRefN24x_0)</f>
        <v>0</v>
      </c>
      <c r="O104" s="5"/>
      <c r="P104" s="6">
        <f>SUM(OSRRefP24x_0)</f>
        <v>0</v>
      </c>
      <c r="Q104" s="5"/>
      <c r="R104" s="6">
        <f>SUM(OSRRefR24x_0)</f>
        <v>0</v>
      </c>
    </row>
    <row r="105" spans="1:18" s="7" customFormat="1" hidden="1" outlineLevel="1" x14ac:dyDescent="0.35">
      <c r="A105" s="36"/>
      <c r="B105" s="11" t="str">
        <f>CONCATENATE("          ", "9150", " - ", "MISC. INCOME")</f>
        <v xml:space="preserve">          9150 - MISC. INCOME</v>
      </c>
      <c r="D105" s="11">
        <f t="shared" ref="D105:D107" si="0">0</f>
        <v>0</v>
      </c>
      <c r="E105" s="16"/>
      <c r="F105" s="11">
        <f t="shared" ref="F105:F107" si="1">0</f>
        <v>0</v>
      </c>
      <c r="G105" s="3"/>
      <c r="H105" s="11">
        <f t="shared" ref="H105:H107" si="2">0</f>
        <v>0</v>
      </c>
      <c r="I105" s="3"/>
      <c r="J105" s="11">
        <f t="shared" ref="J105:J107" si="3">0</f>
        <v>0</v>
      </c>
      <c r="K105" s="3"/>
      <c r="L105" s="11">
        <f t="shared" ref="L105:L107" si="4">0</f>
        <v>0</v>
      </c>
      <c r="M105" s="3"/>
      <c r="N105" s="11">
        <f t="shared" ref="N105:N107" si="5">0</f>
        <v>0</v>
      </c>
      <c r="O105" s="3"/>
      <c r="P105" s="11">
        <v>0</v>
      </c>
      <c r="Q105" s="3"/>
      <c r="R105" s="11"/>
    </row>
    <row r="106" spans="1:18" s="7" customFormat="1" hidden="1" outlineLevel="1" x14ac:dyDescent="0.35">
      <c r="A106" s="36"/>
      <c r="B106" s="11" t="str">
        <f>CONCATENATE("          ", "9151", " - ", "MISC. INCOME")</f>
        <v xml:space="preserve">          9151 - MISC. INCOME</v>
      </c>
      <c r="D106" s="11">
        <f t="shared" si="0"/>
        <v>0</v>
      </c>
      <c r="E106" s="16"/>
      <c r="F106" s="11">
        <f t="shared" si="1"/>
        <v>0</v>
      </c>
      <c r="G106" s="3"/>
      <c r="H106" s="11">
        <f t="shared" si="2"/>
        <v>0</v>
      </c>
      <c r="I106" s="3"/>
      <c r="J106" s="11">
        <f t="shared" si="3"/>
        <v>0</v>
      </c>
      <c r="K106" s="3"/>
      <c r="L106" s="11">
        <f t="shared" si="4"/>
        <v>0</v>
      </c>
      <c r="M106" s="3"/>
      <c r="N106" s="11">
        <f t="shared" si="5"/>
        <v>0</v>
      </c>
      <c r="O106" s="3"/>
      <c r="P106" s="11">
        <v>0</v>
      </c>
      <c r="Q106" s="3"/>
      <c r="R106" s="11"/>
    </row>
    <row r="107" spans="1:18" s="7" customFormat="1" hidden="1" outlineLevel="1" x14ac:dyDescent="0.35">
      <c r="A107" s="36"/>
      <c r="B107" s="11" t="str">
        <f>CONCATENATE("          ", "9160", " - ", "MISC. INCOME")</f>
        <v xml:space="preserve">          9160 - MISC. INCOME</v>
      </c>
      <c r="D107" s="11">
        <f t="shared" si="0"/>
        <v>0</v>
      </c>
      <c r="E107" s="16"/>
      <c r="F107" s="11">
        <f t="shared" si="1"/>
        <v>0</v>
      </c>
      <c r="G107" s="3"/>
      <c r="H107" s="11">
        <f t="shared" si="2"/>
        <v>0</v>
      </c>
      <c r="I107" s="3"/>
      <c r="J107" s="11">
        <f t="shared" si="3"/>
        <v>0</v>
      </c>
      <c r="K107" s="3"/>
      <c r="L107" s="11">
        <f t="shared" si="4"/>
        <v>0</v>
      </c>
      <c r="M107" s="3"/>
      <c r="N107" s="11">
        <f t="shared" si="5"/>
        <v>0</v>
      </c>
      <c r="O107" s="3"/>
      <c r="P107" s="11">
        <v>0</v>
      </c>
      <c r="Q107" s="3"/>
      <c r="R107" s="11"/>
    </row>
    <row r="108" spans="1:18" x14ac:dyDescent="0.35">
      <c r="A108" s="12"/>
      <c r="B108" s="7"/>
      <c r="C108" s="7"/>
      <c r="D108" s="6"/>
      <c r="F108" s="6"/>
      <c r="H108" s="6"/>
      <c r="J108" s="6"/>
      <c r="L108" s="6"/>
      <c r="N108" s="6"/>
      <c r="P108" s="6"/>
      <c r="R108" s="6"/>
    </row>
    <row r="109" spans="1:18" s="15" customFormat="1" x14ac:dyDescent="0.35">
      <c r="A109" s="7"/>
      <c r="B109" s="22" t="s">
        <v>279</v>
      </c>
      <c r="C109" s="22"/>
      <c r="D109" s="10">
        <f>+D15-D18+D104</f>
        <v>-7564593.1299999999</v>
      </c>
      <c r="E109" s="12"/>
      <c r="F109" s="10">
        <f>+F15-F18+F104</f>
        <v>-5215449.2299999977</v>
      </c>
      <c r="G109" s="5"/>
      <c r="H109" s="10">
        <f>+H15-H18+H104</f>
        <v>-4852240.22</v>
      </c>
      <c r="I109" s="5"/>
      <c r="J109" s="10">
        <f>+J15-J18+J104</f>
        <v>-4724774.7500000028</v>
      </c>
      <c r="K109" s="5"/>
      <c r="L109" s="10">
        <f>+L15-L18+L104</f>
        <v>-2547288.4900000007</v>
      </c>
      <c r="M109" s="5"/>
      <c r="N109" s="10">
        <f>+N15-N18+N104</f>
        <v>-4336174.9600000009</v>
      </c>
      <c r="O109" s="5"/>
      <c r="P109" s="10">
        <f>+P15-P18+P104</f>
        <v>-2862485.303304615</v>
      </c>
      <c r="Q109" s="5"/>
      <c r="R109" s="10">
        <f>+R15-R18+R104</f>
        <v>-2640336.0192823811</v>
      </c>
    </row>
    <row r="110" spans="1:18" s="27" customFormat="1" x14ac:dyDescent="0.35">
      <c r="A110" s="18"/>
      <c r="B110" s="31"/>
      <c r="C110" s="18"/>
      <c r="D110" s="9">
        <f>IFERROR(D109/D10, 0)</f>
        <v>0</v>
      </c>
      <c r="E110" s="18"/>
      <c r="F110" s="9">
        <f>IFERROR(F109/F10, 0)</f>
        <v>0</v>
      </c>
      <c r="G110" s="14"/>
      <c r="H110" s="9">
        <f>IFERROR(H109/H10, 0)</f>
        <v>0</v>
      </c>
      <c r="I110" s="14"/>
      <c r="J110" s="9">
        <f>IFERROR(J109/J10, 0)</f>
        <v>0</v>
      </c>
      <c r="K110" s="14"/>
      <c r="L110" s="9">
        <f>IFERROR(L109/L10, 0)</f>
        <v>0</v>
      </c>
      <c r="M110" s="14"/>
      <c r="N110" s="9">
        <f>IFERROR(N109/N10, 0)</f>
        <v>0</v>
      </c>
      <c r="O110" s="14"/>
      <c r="P110" s="9">
        <f>IFERROR(P109/P10, 0)</f>
        <v>0</v>
      </c>
      <c r="Q110" s="14"/>
      <c r="R110" s="9">
        <f>IFERROR(R109/R10, 0)</f>
        <v>0</v>
      </c>
    </row>
    <row r="111" spans="1:18" s="27" customFormat="1" x14ac:dyDescent="0.35">
      <c r="A111" s="18"/>
      <c r="B111" s="31"/>
      <c r="C111" s="18"/>
      <c r="D111" s="13"/>
      <c r="E111" s="18"/>
      <c r="F111" s="13"/>
      <c r="G111" s="14"/>
      <c r="H111" s="13"/>
      <c r="I111" s="14"/>
      <c r="J111" s="13"/>
      <c r="K111" s="14"/>
      <c r="L111" s="13"/>
      <c r="M111" s="14"/>
      <c r="N111" s="13"/>
      <c r="O111" s="14"/>
      <c r="P111" s="13"/>
      <c r="Q111" s="14"/>
      <c r="R111" s="13"/>
    </row>
    <row r="112" spans="1:18" s="15" customFormat="1" x14ac:dyDescent="0.35">
      <c r="A112" s="37"/>
      <c r="B112" s="7" t="s">
        <v>127</v>
      </c>
      <c r="C112" s="7"/>
      <c r="D112" s="6"/>
      <c r="E112" s="12"/>
      <c r="F112" s="6"/>
      <c r="G112" s="5"/>
      <c r="H112" s="6"/>
      <c r="I112" s="5"/>
      <c r="J112" s="6"/>
      <c r="K112" s="5"/>
      <c r="L112" s="6"/>
      <c r="M112" s="5"/>
      <c r="N112" s="6"/>
      <c r="O112" s="5"/>
      <c r="P112" s="6"/>
      <c r="Q112" s="5"/>
      <c r="R112" s="6"/>
    </row>
    <row r="113" spans="1:18" x14ac:dyDescent="0.35">
      <c r="A113" s="12"/>
      <c r="B113" s="7"/>
      <c r="C113" s="7"/>
      <c r="D113" s="6"/>
      <c r="F113" s="6"/>
      <c r="H113" s="6"/>
      <c r="J113" s="6"/>
      <c r="L113" s="6"/>
      <c r="N113" s="6"/>
      <c r="P113" s="6"/>
      <c r="R113" s="6"/>
    </row>
    <row r="114" spans="1:18" s="15" customFormat="1" x14ac:dyDescent="0.35">
      <c r="A114" s="7"/>
      <c r="B114" s="22" t="s">
        <v>126</v>
      </c>
      <c r="C114" s="22"/>
      <c r="D114" s="10">
        <f>+D109-D112</f>
        <v>-7564593.1299999999</v>
      </c>
      <c r="E114" s="12"/>
      <c r="F114" s="10">
        <f>+F109-F112</f>
        <v>-5215449.2299999977</v>
      </c>
      <c r="G114" s="5"/>
      <c r="H114" s="10">
        <f>+H109-H112</f>
        <v>-4852240.22</v>
      </c>
      <c r="I114" s="5"/>
      <c r="J114" s="10">
        <f>+J109-J112</f>
        <v>-4724774.7500000028</v>
      </c>
      <c r="K114" s="5"/>
      <c r="L114" s="10">
        <f>+L109-L112</f>
        <v>-2547288.4900000007</v>
      </c>
      <c r="M114" s="5"/>
      <c r="N114" s="10">
        <f>+N109-N112</f>
        <v>-4336174.9600000009</v>
      </c>
      <c r="O114" s="5"/>
      <c r="P114" s="10">
        <f>+P109-P112</f>
        <v>-2862485.303304615</v>
      </c>
      <c r="Q114" s="5"/>
      <c r="R114" s="10">
        <f>+R109-R112</f>
        <v>-2640336.0192823811</v>
      </c>
    </row>
    <row r="115" spans="1:18" s="27" customFormat="1" x14ac:dyDescent="0.35">
      <c r="A115" s="18"/>
      <c r="B115" s="18"/>
      <c r="C115" s="18"/>
      <c r="D115" s="9">
        <f>IFERROR(D114/D10, 0)</f>
        <v>0</v>
      </c>
      <c r="E115" s="18"/>
      <c r="F115" s="9">
        <f>IFERROR(F114/F10, 0)</f>
        <v>0</v>
      </c>
      <c r="G115" s="14"/>
      <c r="H115" s="9">
        <f>IFERROR(H114/H10, 0)</f>
        <v>0</v>
      </c>
      <c r="I115" s="14"/>
      <c r="J115" s="9">
        <f>IFERROR(J114/J10, 0)</f>
        <v>0</v>
      </c>
      <c r="K115" s="14"/>
      <c r="L115" s="9">
        <f>IFERROR(L114/L10, 0)</f>
        <v>0</v>
      </c>
      <c r="M115" s="14"/>
      <c r="N115" s="9">
        <f>IFERROR(N114/N10, 0)</f>
        <v>0</v>
      </c>
      <c r="O115" s="14"/>
      <c r="P115" s="9">
        <f>IFERROR(P114/P10, 0)</f>
        <v>0</v>
      </c>
      <c r="Q115" s="14"/>
      <c r="R115" s="9">
        <f>IFERROR(R114/R10, 0)</f>
        <v>0</v>
      </c>
    </row>
    <row r="116" spans="1:18" s="27" customFormat="1" x14ac:dyDescent="0.35">
      <c r="A116" s="18"/>
      <c r="B116" s="18"/>
      <c r="C116" s="18"/>
      <c r="D116" s="13"/>
      <c r="E116" s="18"/>
      <c r="F116" s="13"/>
      <c r="G116" s="14"/>
      <c r="H116" s="13"/>
      <c r="I116" s="14"/>
      <c r="J116" s="13"/>
      <c r="K116" s="14"/>
      <c r="L116" s="13"/>
      <c r="M116" s="14"/>
      <c r="N116" s="13"/>
      <c r="O116" s="14"/>
      <c r="P116" s="13"/>
      <c r="Q116" s="14"/>
      <c r="R116" s="13"/>
    </row>
    <row r="117" spans="1:18" x14ac:dyDescent="0.35">
      <c r="A117" s="12"/>
      <c r="B117" s="12"/>
      <c r="C117" s="12"/>
      <c r="D117" s="6"/>
      <c r="F117" s="6"/>
      <c r="H117" s="6"/>
      <c r="J117" s="6"/>
      <c r="L117" s="6"/>
      <c r="N117" s="6"/>
      <c r="P117" s="6"/>
      <c r="R117" s="6"/>
    </row>
    <row r="118" spans="1:18" s="15" customFormat="1" x14ac:dyDescent="0.35">
      <c r="A118" s="7"/>
      <c r="B118" s="22" t="s">
        <v>296</v>
      </c>
      <c r="C118" s="22"/>
      <c r="D118" s="10">
        <f>SUM(D114:D117)</f>
        <v>-7564593.1299999999</v>
      </c>
      <c r="E118" s="12"/>
      <c r="F118" s="10">
        <f>SUM(F114:F117)</f>
        <v>-5215449.2299999977</v>
      </c>
      <c r="G118" s="5"/>
      <c r="H118" s="10">
        <f>SUM(H114:H117)</f>
        <v>-4852240.22</v>
      </c>
      <c r="I118" s="5"/>
      <c r="J118" s="10">
        <f>SUM(J114:J117)</f>
        <v>-4724774.7500000028</v>
      </c>
      <c r="K118" s="5"/>
      <c r="L118" s="10">
        <f>SUM(L114:L117)</f>
        <v>-2547288.4900000007</v>
      </c>
      <c r="M118" s="5"/>
      <c r="N118" s="10">
        <f>SUM(N114:N117)</f>
        <v>-4336174.9600000009</v>
      </c>
      <c r="O118" s="5"/>
      <c r="P118" s="10">
        <f>SUM(P114:P117)</f>
        <v>-2862485.303304615</v>
      </c>
      <c r="Q118" s="5"/>
      <c r="R118" s="10">
        <f>SUM(R114:R117)</f>
        <v>-2640336.0192823811</v>
      </c>
    </row>
    <row r="119" spans="1:18" s="27" customFormat="1" x14ac:dyDescent="0.35">
      <c r="A119" s="18"/>
      <c r="B119" s="41"/>
      <c r="C119" s="18"/>
      <c r="D119" s="9">
        <f>IFERROR(D118/D10, 0)</f>
        <v>0</v>
      </c>
      <c r="E119" s="18"/>
      <c r="F119" s="9">
        <f>IFERROR(F118/F10, 0)</f>
        <v>0</v>
      </c>
      <c r="G119" s="14"/>
      <c r="H119" s="9">
        <f>IFERROR(H118/H10, 0)</f>
        <v>0</v>
      </c>
      <c r="I119" s="14"/>
      <c r="J119" s="9">
        <f>IFERROR(J118/J10, 0)</f>
        <v>0</v>
      </c>
      <c r="K119" s="14"/>
      <c r="L119" s="9">
        <f>IFERROR(L118/L10, 0)</f>
        <v>0</v>
      </c>
      <c r="M119" s="14"/>
      <c r="N119" s="9">
        <f>IFERROR(N118/N10, 0)</f>
        <v>0</v>
      </c>
      <c r="O119" s="14"/>
      <c r="P119" s="9">
        <f>IFERROR(P118/P10, 0)</f>
        <v>0</v>
      </c>
      <c r="Q119" s="14"/>
      <c r="R119" s="9">
        <f>IFERROR(R118/R10, 0)</f>
        <v>0</v>
      </c>
    </row>
    <row r="120" spans="1:18" x14ac:dyDescent="0.35">
      <c r="A120" s="12"/>
      <c r="B120" s="40">
        <v>44319.883371840275</v>
      </c>
      <c r="D120" s="24"/>
      <c r="F120" s="24"/>
      <c r="H120" s="24"/>
      <c r="J120" s="24"/>
      <c r="L120" s="24"/>
      <c r="N120" s="24"/>
      <c r="P120" s="24"/>
      <c r="R120" s="24"/>
    </row>
    <row r="121" spans="1:18" x14ac:dyDescent="0.35">
      <c r="A121" s="12"/>
      <c r="B121" s="39" t="s">
        <v>23</v>
      </c>
      <c r="D121" s="24"/>
      <c r="F121" s="24"/>
      <c r="H121" s="24"/>
      <c r="J121" s="24"/>
      <c r="L121" s="24"/>
      <c r="N121" s="24"/>
      <c r="P121" s="24"/>
      <c r="R121" s="24"/>
    </row>
    <row r="122" spans="1:18" x14ac:dyDescent="0.35">
      <c r="A122" s="12"/>
      <c r="D122" s="24"/>
      <c r="F122" s="24"/>
      <c r="H122" s="24"/>
      <c r="J122" s="24"/>
      <c r="L122" s="24"/>
      <c r="N122" s="24"/>
      <c r="P122" s="24"/>
      <c r="R122" s="24"/>
    </row>
    <row r="123" spans="1:18" x14ac:dyDescent="0.35">
      <c r="D123" s="24"/>
      <c r="F123" s="24"/>
      <c r="H123" s="24"/>
      <c r="J123" s="24"/>
      <c r="L123" s="24"/>
      <c r="N123" s="24"/>
      <c r="P123" s="24"/>
      <c r="R123" s="24"/>
    </row>
  </sheetData>
  <pageMargins left="0.5" right="0.5" top="0.5" bottom="0.5" header="0.3" footer="0.3"/>
  <pageSetup scale="59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21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","418", " - ", "Nugget")</f>
        <v>Department 418 - Nugget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1271749.42</v>
      </c>
      <c r="F10" s="8">
        <f>SUM(OSRRefF11x_0)</f>
        <v>1403628.65</v>
      </c>
      <c r="G10" s="8"/>
      <c r="H10" s="8">
        <f>SUM(OSRRefH11x_0)</f>
        <v>1572550.63</v>
      </c>
      <c r="I10" s="8"/>
      <c r="J10" s="8">
        <f>SUM(OSRRefJ11x_0)</f>
        <v>1470778.81</v>
      </c>
      <c r="K10" s="8"/>
      <c r="L10" s="8">
        <f>SUM(OSRRefL11x_0)</f>
        <v>1539899.77</v>
      </c>
      <c r="M10" s="8"/>
      <c r="N10" s="8">
        <f>SUM(OSRRefN11x_0)</f>
        <v>1068795.77</v>
      </c>
      <c r="O10" s="8"/>
      <c r="P10" s="8">
        <f>SUM(OSRRefP11x_0)</f>
        <v>0</v>
      </c>
      <c r="Q10" s="8"/>
      <c r="R10" s="8">
        <f>SUM(OSRRefR11x_0)</f>
        <v>965192</v>
      </c>
    </row>
    <row r="11" spans="1:18" s="16" customFormat="1" hidden="1" outlineLevel="1" x14ac:dyDescent="0.35">
      <c r="B11" s="35" t="str">
        <f>CONCATENATE("          ", "4000", " - ", "TAXABLE SALES")</f>
        <v xml:space="preserve">          4000 - TAXABLE SALES</v>
      </c>
      <c r="D11" s="11">
        <f>0*-1</f>
        <v>0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>
        <v>0</v>
      </c>
      <c r="Q11" s="3"/>
      <c r="R11" s="11">
        <v>557356</v>
      </c>
    </row>
    <row r="12" spans="1:18" s="16" customFormat="1" hidden="1" outlineLevel="1" x14ac:dyDescent="0.35">
      <c r="B12" s="35" t="str">
        <f>CONCATENATE("          ", "4055", " - ", "TAXABLE SALES-FOOD")</f>
        <v xml:space="preserve">          4055 - TAXABLE SALES-FOOD</v>
      </c>
      <c r="D12" s="11">
        <f>-386552.16*-1</f>
        <v>386552.16</v>
      </c>
      <c r="F12" s="11">
        <f>-520707.08*-1</f>
        <v>520707.08</v>
      </c>
      <c r="G12" s="3"/>
      <c r="H12" s="11">
        <f>-590507.97*-1</f>
        <v>590507.97</v>
      </c>
      <c r="I12" s="3"/>
      <c r="J12" s="11">
        <f>--591812.35</f>
        <v>591812.35</v>
      </c>
      <c r="K12" s="3"/>
      <c r="L12" s="11">
        <f>--625909.88</f>
        <v>625909.88</v>
      </c>
      <c r="M12" s="3"/>
      <c r="N12" s="11">
        <f>--381406.04</f>
        <v>381406.04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>0*-1</f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0</v>
      </c>
      <c r="Q13" s="3"/>
      <c r="R13" s="11">
        <v>407836</v>
      </c>
    </row>
    <row r="14" spans="1:18" s="16" customFormat="1" hidden="1" outlineLevel="1" x14ac:dyDescent="0.35">
      <c r="B14" s="35" t="str">
        <f>CONCATENATE("          ", "4155", " - ", "NON-TAXABLE SALES-FOOD")</f>
        <v xml:space="preserve">          4155 - NON-TAXABLE SALES-FOOD</v>
      </c>
      <c r="D14" s="11">
        <f>-885197.26*-1</f>
        <v>885197.26</v>
      </c>
      <c r="F14" s="11">
        <f>-882921.57*-1</f>
        <v>882921.57</v>
      </c>
      <c r="G14" s="3"/>
      <c r="H14" s="11">
        <f>-982042.66*-1</f>
        <v>982042.66</v>
      </c>
      <c r="I14" s="3"/>
      <c r="J14" s="11">
        <f>--878966.46</f>
        <v>878966.46</v>
      </c>
      <c r="K14" s="3"/>
      <c r="L14" s="11">
        <f>--913989.89</f>
        <v>913989.89</v>
      </c>
      <c r="M14" s="3"/>
      <c r="N14" s="11">
        <f>--687389.73</f>
        <v>687389.73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439286.70999999996</v>
      </c>
      <c r="E16" s="8"/>
      <c r="F16" s="8">
        <f>SUM(OSRRefF14x_0)</f>
        <v>471573.35</v>
      </c>
      <c r="G16" s="8"/>
      <c r="H16" s="8">
        <f>SUM(OSRRefH14x_0)</f>
        <v>493278.75</v>
      </c>
      <c r="I16" s="8"/>
      <c r="J16" s="8">
        <f>SUM(OSRRefJ14x_0)</f>
        <v>464346.24</v>
      </c>
      <c r="K16" s="8"/>
      <c r="L16" s="8">
        <f>SUM(OSRRefL14x_0)</f>
        <v>473924.22</v>
      </c>
      <c r="M16" s="8"/>
      <c r="N16" s="8">
        <f>SUM(OSRRefN14x_0)</f>
        <v>371630.07</v>
      </c>
      <c r="O16" s="8"/>
      <c r="P16" s="8">
        <f>SUM(OSRRefP14x_0)</f>
        <v>0</v>
      </c>
      <c r="Q16" s="8"/>
      <c r="R16" s="8">
        <f>SUM(OSRRefR14x_0)</f>
        <v>328039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0</v>
      </c>
      <c r="Q17" s="3"/>
      <c r="R17" s="11">
        <v>328039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439003.74</v>
      </c>
      <c r="E18" s="16"/>
      <c r="F18" s="11">
        <v>472633.35</v>
      </c>
      <c r="G18" s="3"/>
      <c r="H18" s="11">
        <v>495792.75</v>
      </c>
      <c r="I18" s="3"/>
      <c r="J18" s="11">
        <v>464346.24</v>
      </c>
      <c r="K18" s="3"/>
      <c r="L18" s="11">
        <v>475070.22</v>
      </c>
      <c r="M18" s="3"/>
      <c r="N18" s="11">
        <v>360936.4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282.97000000000003</v>
      </c>
      <c r="E19" s="16"/>
      <c r="F19" s="11">
        <v>-1060</v>
      </c>
      <c r="G19" s="3"/>
      <c r="H19" s="11">
        <v>-2514</v>
      </c>
      <c r="I19" s="3"/>
      <c r="J19" s="11"/>
      <c r="K19" s="3"/>
      <c r="L19" s="11">
        <v>-1146</v>
      </c>
      <c r="M19" s="3"/>
      <c r="N19" s="11">
        <v>10693.67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832462.71</v>
      </c>
      <c r="E21" s="12"/>
      <c r="F21" s="10">
        <f>+F10-F16</f>
        <v>932055.29999999993</v>
      </c>
      <c r="G21" s="5"/>
      <c r="H21" s="10">
        <f>+H10-H16</f>
        <v>1079271.8799999999</v>
      </c>
      <c r="I21" s="5"/>
      <c r="J21" s="10">
        <f>+J10-J16</f>
        <v>1006432.5700000001</v>
      </c>
      <c r="K21" s="5"/>
      <c r="L21" s="10">
        <f>+L10-L16</f>
        <v>1065975.55</v>
      </c>
      <c r="M21" s="5"/>
      <c r="N21" s="10">
        <f>+N10-N16</f>
        <v>697165.7</v>
      </c>
      <c r="O21" s="5"/>
      <c r="P21" s="10">
        <f>+P10-P16</f>
        <v>0</v>
      </c>
      <c r="Q21" s="5"/>
      <c r="R21" s="10">
        <f>+R10-R16</f>
        <v>637153</v>
      </c>
    </row>
    <row r="22" spans="1:18" s="27" customFormat="1" x14ac:dyDescent="0.35">
      <c r="A22" s="18"/>
      <c r="B22" s="31"/>
      <c r="C22" s="18"/>
      <c r="D22" s="9">
        <f>IFERROR(D21/D10, 0)</f>
        <v>0.65458076639028462</v>
      </c>
      <c r="E22" s="13"/>
      <c r="F22" s="9">
        <f>IFERROR(F21/F10, 0)</f>
        <v>0.66403268414334515</v>
      </c>
      <c r="G22" s="26"/>
      <c r="H22" s="9">
        <f>IFERROR(H21/H10, 0)</f>
        <v>0.68631932060591272</v>
      </c>
      <c r="I22" s="26"/>
      <c r="J22" s="9">
        <f>IFERROR(J21/J10, 0)</f>
        <v>0.68428547049844979</v>
      </c>
      <c r="K22" s="26"/>
      <c r="L22" s="9">
        <f>IFERROR(L21/L10, 0)</f>
        <v>0.69223696942301638</v>
      </c>
      <c r="M22" s="26"/>
      <c r="N22" s="9">
        <f>IFERROR(N21/N10, 0)</f>
        <v>0.65229084879331056</v>
      </c>
      <c r="O22" s="26"/>
      <c r="P22" s="9">
        <f>IFERROR(P21/P10, 0)</f>
        <v>0</v>
      </c>
      <c r="Q22" s="26"/>
      <c r="R22" s="9">
        <f>IFERROR(R21/R10, 0)</f>
        <v>0.66013083407239181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580895.69999999995</v>
      </c>
      <c r="E24" s="19"/>
      <c r="F24" s="8">
        <f>SUM(OSRRefF21x_0)</f>
        <v>647479.31999999983</v>
      </c>
      <c r="G24" s="4"/>
      <c r="H24" s="8">
        <f>SUM(OSRRefH21x_0)</f>
        <v>666986.04000000015</v>
      </c>
      <c r="I24" s="4"/>
      <c r="J24" s="8">
        <f>SUM(OSRRefJ21x_0)</f>
        <v>700118.56</v>
      </c>
      <c r="K24" s="4"/>
      <c r="L24" s="8">
        <f>SUM(OSRRefL21x_0)</f>
        <v>715901.29999999981</v>
      </c>
      <c r="M24" s="4"/>
      <c r="N24" s="8">
        <f>SUM(OSRRefN21x_0)</f>
        <v>613821.81999999995</v>
      </c>
      <c r="O24" s="4"/>
      <c r="P24" s="8">
        <f>SUM(OSRRefP21x_0)</f>
        <v>84039</v>
      </c>
      <c r="Q24" s="4"/>
      <c r="R24" s="8">
        <f>SUM(OSRRefR21x_0)</f>
        <v>573764.79940551391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70246.599999999991</v>
      </c>
      <c r="E25" s="19"/>
      <c r="F25" s="1">
        <f>SUM(OSRRefF21_0x_0)</f>
        <v>89547.56</v>
      </c>
      <c r="G25" s="4"/>
      <c r="H25" s="1">
        <f>SUM(OSRRefH21_0x_0)</f>
        <v>80748.91</v>
      </c>
      <c r="I25" s="4"/>
      <c r="J25" s="1">
        <f>SUM(OSRRefJ21_0x_0)</f>
        <v>100952.22</v>
      </c>
      <c r="K25" s="4"/>
      <c r="L25" s="1">
        <f>SUM(OSRRefL21_0x_0)</f>
        <v>103607.42000000001</v>
      </c>
      <c r="M25" s="4"/>
      <c r="N25" s="1">
        <f>SUM(OSRRefN21_0x_0)</f>
        <v>92443.250000000015</v>
      </c>
      <c r="O25" s="4"/>
      <c r="P25" s="1">
        <f>SUM(OSRRefP21_0x_0)</f>
        <v>0</v>
      </c>
      <c r="Q25" s="4"/>
      <c r="R25" s="1">
        <f>SUM(OSRRefR21_0x_0)</f>
        <v>118817.3120055139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15486.87</v>
      </c>
      <c r="F26" s="2">
        <v>19078.5</v>
      </c>
      <c r="G26" s="3"/>
      <c r="H26" s="2">
        <v>18673.740000000002</v>
      </c>
      <c r="I26" s="3"/>
      <c r="J26" s="2">
        <v>18488.72</v>
      </c>
      <c r="K26" s="3"/>
      <c r="L26" s="2">
        <v>17920.71</v>
      </c>
      <c r="M26" s="3"/>
      <c r="N26" s="2">
        <v>19003.47</v>
      </c>
      <c r="O26" s="3"/>
      <c r="P26" s="2">
        <v>0</v>
      </c>
      <c r="Q26" s="3"/>
      <c r="R26" s="2">
        <v>11594.579079360001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6591.67</v>
      </c>
      <c r="F27" s="2">
        <v>12997.55</v>
      </c>
      <c r="G27" s="3"/>
      <c r="H27" s="2">
        <v>14932.75</v>
      </c>
      <c r="I27" s="3"/>
      <c r="J27" s="2">
        <v>11236.88</v>
      </c>
      <c r="K27" s="3"/>
      <c r="L27" s="2">
        <v>12968.86</v>
      </c>
      <c r="M27" s="3"/>
      <c r="N27" s="2">
        <v>10598.72</v>
      </c>
      <c r="O27" s="3"/>
      <c r="P27" s="2">
        <v>0</v>
      </c>
      <c r="Q27" s="3"/>
      <c r="R27" s="2">
        <v>9639.9639948000004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22858.9</v>
      </c>
      <c r="F28" s="2">
        <v>27219.9</v>
      </c>
      <c r="G28" s="3"/>
      <c r="H28" s="2">
        <v>24998.880000000001</v>
      </c>
      <c r="I28" s="3"/>
      <c r="J28" s="2">
        <v>45455.12</v>
      </c>
      <c r="K28" s="3"/>
      <c r="L28" s="2">
        <v>45297.09</v>
      </c>
      <c r="M28" s="3"/>
      <c r="N28" s="2">
        <v>49586.97</v>
      </c>
      <c r="O28" s="3"/>
      <c r="P28" s="2">
        <v>0</v>
      </c>
      <c r="Q28" s="3"/>
      <c r="R28" s="2">
        <v>66742.903846153902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1877.34</v>
      </c>
      <c r="F29" s="2">
        <v>2266.5300000000002</v>
      </c>
      <c r="G29" s="3"/>
      <c r="H29" s="2">
        <v>1185.01</v>
      </c>
      <c r="I29" s="3"/>
      <c r="J29" s="2">
        <v>1185.3</v>
      </c>
      <c r="K29" s="3"/>
      <c r="L29" s="2">
        <v>1073.2</v>
      </c>
      <c r="M29" s="3"/>
      <c r="N29" s="2">
        <v>0</v>
      </c>
      <c r="O29" s="3"/>
      <c r="P29" s="2">
        <v>0</v>
      </c>
      <c r="Q29" s="3"/>
      <c r="R29" s="2">
        <v>534.14048519999994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7467.45</v>
      </c>
      <c r="F30" s="2">
        <v>7540.14</v>
      </c>
      <c r="G30" s="3"/>
      <c r="H30" s="2">
        <v>6612.99</v>
      </c>
      <c r="I30" s="3"/>
      <c r="J30" s="2">
        <v>6940.05</v>
      </c>
      <c r="K30" s="3"/>
      <c r="L30" s="2">
        <v>7048.21</v>
      </c>
      <c r="M30" s="3"/>
      <c r="N30" s="2">
        <v>5982.07</v>
      </c>
      <c r="O30" s="3"/>
      <c r="P30" s="2">
        <v>0</v>
      </c>
      <c r="Q30" s="3"/>
      <c r="R30" s="2">
        <v>2760.6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>
        <v>6786.06</v>
      </c>
      <c r="F32" s="2">
        <v>8785.81</v>
      </c>
      <c r="G32" s="3"/>
      <c r="H32" s="2">
        <v>6109.54</v>
      </c>
      <c r="I32" s="3"/>
      <c r="J32" s="2">
        <v>5662.67</v>
      </c>
      <c r="K32" s="3"/>
      <c r="L32" s="2">
        <v>6673.33</v>
      </c>
      <c r="M32" s="3"/>
      <c r="N32" s="2">
        <v>6518.73</v>
      </c>
      <c r="O32" s="3"/>
      <c r="P32" s="2">
        <v>0</v>
      </c>
      <c r="Q32" s="3"/>
      <c r="R32" s="2">
        <v>4131.8193600000004</v>
      </c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>
        <v>5635.53</v>
      </c>
      <c r="F33" s="2">
        <v>6727.78</v>
      </c>
      <c r="G33" s="3"/>
      <c r="H33" s="2">
        <v>3397.43</v>
      </c>
      <c r="I33" s="3"/>
      <c r="J33" s="2">
        <v>6788.62</v>
      </c>
      <c r="K33" s="3"/>
      <c r="L33" s="2">
        <v>7445.92</v>
      </c>
      <c r="M33" s="3"/>
      <c r="N33" s="2">
        <v>-3729.23</v>
      </c>
      <c r="O33" s="3"/>
      <c r="P33" s="2">
        <v>0</v>
      </c>
      <c r="Q33" s="3"/>
      <c r="R33" s="2">
        <v>6253.3052399999997</v>
      </c>
    </row>
    <row r="34" spans="1:18" s="16" customFormat="1" hidden="1" outlineLevel="2" x14ac:dyDescent="0.35">
      <c r="B34" s="11" t="str">
        <f>CONCATENATE("          ", "6156", " - ", "EMPLOYEE MEALS")</f>
        <v xml:space="preserve">          6156 - EMPLOYEE MEALS</v>
      </c>
      <c r="D34" s="2">
        <v>3542.78</v>
      </c>
      <c r="F34" s="2">
        <v>4931.3500000000004</v>
      </c>
      <c r="G34" s="3"/>
      <c r="H34" s="2">
        <v>4838.57</v>
      </c>
      <c r="I34" s="3"/>
      <c r="J34" s="2">
        <v>5194.8599999999997</v>
      </c>
      <c r="K34" s="3"/>
      <c r="L34" s="2">
        <v>5180.1000000000004</v>
      </c>
      <c r="M34" s="3"/>
      <c r="N34" s="2">
        <v>4482.5200000000004</v>
      </c>
      <c r="O34" s="3"/>
      <c r="P34" s="2"/>
      <c r="Q34" s="3"/>
      <c r="R34" s="2">
        <v>17160</v>
      </c>
    </row>
    <row r="35" spans="1:18" s="15" customFormat="1" outlineLevel="1" collapsed="1" x14ac:dyDescent="0.35">
      <c r="A35" s="7"/>
      <c r="B35" s="20" t="str">
        <f>CONCATENATE("     ","*Payroll                                          ")</f>
        <v xml:space="preserve">     *Payroll                                          </v>
      </c>
      <c r="C35" s="7"/>
      <c r="D35" s="1">
        <f>SUM(OSRRefD21_1x_0)</f>
        <v>297549.74</v>
      </c>
      <c r="E35" s="19"/>
      <c r="F35" s="1">
        <f>SUM(OSRRefF21_1x_0)</f>
        <v>348729.74999999994</v>
      </c>
      <c r="G35" s="4"/>
      <c r="H35" s="1">
        <f>SUM(OSRRefH21_1x_0)</f>
        <v>358260.36</v>
      </c>
      <c r="I35" s="4"/>
      <c r="J35" s="1">
        <f>SUM(OSRRefJ21_1x_0)</f>
        <v>365646.65</v>
      </c>
      <c r="K35" s="4"/>
      <c r="L35" s="1">
        <f>SUM(OSRRefL21_1x_0)</f>
        <v>379586.98</v>
      </c>
      <c r="M35" s="4"/>
      <c r="N35" s="1">
        <f>SUM(OSRRefN21_1x_0)</f>
        <v>322528.69</v>
      </c>
      <c r="O35" s="4"/>
      <c r="P35" s="1">
        <f>SUM(OSRRefP21_1x_0)</f>
        <v>0</v>
      </c>
      <c r="Q35" s="4"/>
      <c r="R35" s="1">
        <f>SUM(OSRRefR21_1x_0)</f>
        <v>243967.48740000001</v>
      </c>
    </row>
    <row r="36" spans="1:18" s="16" customFormat="1" hidden="1" outlineLevel="2" x14ac:dyDescent="0.35">
      <c r="B36" s="11" t="str">
        <f>CONCATENATE("          ", "6001", " - ", "ADMINISTRATIVE SALARIES")</f>
        <v xml:space="preserve">          6001 - ADMINISTRATIVE SALARIES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"6002", " - ", "STAFF SALARIES")</f>
        <v xml:space="preserve">          6002 - STAFF SALARIES</v>
      </c>
      <c r="D37" s="2">
        <v>51355.06</v>
      </c>
      <c r="F37" s="2">
        <v>89974.48</v>
      </c>
      <c r="G37" s="3"/>
      <c r="H37" s="2">
        <v>94464.58</v>
      </c>
      <c r="I37" s="3"/>
      <c r="J37" s="2">
        <v>99870.93</v>
      </c>
      <c r="K37" s="3"/>
      <c r="L37" s="2">
        <v>103289.29</v>
      </c>
      <c r="M37" s="3"/>
      <c r="N37" s="2">
        <v>90172.72</v>
      </c>
      <c r="O37" s="3"/>
      <c r="P37" s="2">
        <v>0</v>
      </c>
      <c r="Q37" s="3"/>
      <c r="R37" s="2">
        <v>30495</v>
      </c>
    </row>
    <row r="38" spans="1:18" s="16" customFormat="1" hidden="1" outlineLevel="2" x14ac:dyDescent="0.35">
      <c r="B38" s="11" t="str">
        <f>CONCATENATE("          ", "6003", " - ", "STAFF HOURLY-9 MONTH")</f>
        <v xml:space="preserve">          6003 - STAFF HOURLY-9 MONTH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"6004", " - ", "STAFF HOURLY")</f>
        <v xml:space="preserve">          6004 - STAFF HOURLY</v>
      </c>
      <c r="D39" s="2">
        <v>45419.63</v>
      </c>
      <c r="F39" s="2">
        <v>26933.84</v>
      </c>
      <c r="G39" s="3"/>
      <c r="H39" s="2">
        <v>27636.06</v>
      </c>
      <c r="I39" s="3"/>
      <c r="J39" s="2">
        <v>31037.53</v>
      </c>
      <c r="K39" s="3"/>
      <c r="L39" s="2">
        <v>29037.38</v>
      </c>
      <c r="M39" s="3"/>
      <c r="N39" s="2">
        <v>38197.160000000003</v>
      </c>
      <c r="O39" s="3"/>
      <c r="P39" s="2">
        <v>0</v>
      </c>
      <c r="Q39" s="3"/>
      <c r="R39" s="2">
        <v>100345.9464</v>
      </c>
    </row>
    <row r="40" spans="1:18" s="16" customFormat="1" hidden="1" outlineLevel="2" x14ac:dyDescent="0.35">
      <c r="B40" s="11" t="str">
        <f>CONCATENATE("          ", "6005", " - ", "TEMPORARY WAGES-HOURLY")</f>
        <v xml:space="preserve">          6005 - TEMPORARY WAGES-HOURLY</v>
      </c>
      <c r="D40" s="2">
        <v>79758.38</v>
      </c>
      <c r="F40" s="2">
        <v>90161.67</v>
      </c>
      <c r="G40" s="3"/>
      <c r="H40" s="2">
        <v>96920.58</v>
      </c>
      <c r="I40" s="3"/>
      <c r="J40" s="2">
        <v>73898.03</v>
      </c>
      <c r="K40" s="3"/>
      <c r="L40" s="2">
        <v>74247.649999999994</v>
      </c>
      <c r="M40" s="3"/>
      <c r="N40" s="2">
        <v>91629.97</v>
      </c>
      <c r="O40" s="3"/>
      <c r="P40" s="2">
        <v>0</v>
      </c>
      <c r="Q40" s="3"/>
      <c r="R40" s="2">
        <v>50667.523200000003</v>
      </c>
    </row>
    <row r="41" spans="1:18" s="16" customFormat="1" hidden="1" outlineLevel="2" x14ac:dyDescent="0.35">
      <c r="B41" s="11" t="str">
        <f>CONCATENATE("          ", "6006", " - ", "TEMPORARY PART TIME")</f>
        <v xml:space="preserve">          6006 - TEMPORARY PART TIME</v>
      </c>
      <c r="D41" s="2"/>
      <c r="F41" s="2">
        <v>10908.87</v>
      </c>
      <c r="G41" s="3"/>
      <c r="H41" s="2">
        <v>2635.56</v>
      </c>
      <c r="I41" s="3"/>
      <c r="J41" s="2">
        <v>1592.13</v>
      </c>
      <c r="K41" s="3"/>
      <c r="L41" s="2">
        <v>1511.25</v>
      </c>
      <c r="M41" s="3"/>
      <c r="N41" s="2">
        <v>7215.01</v>
      </c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"6007", " - ", "STUDENT HOURLY")</f>
        <v xml:space="preserve">          6007 - STUDENT HOURLY</v>
      </c>
      <c r="D42" s="2">
        <v>117216.42</v>
      </c>
      <c r="F42" s="2">
        <v>113243.29</v>
      </c>
      <c r="G42" s="3"/>
      <c r="H42" s="2">
        <v>107746.9</v>
      </c>
      <c r="I42" s="3"/>
      <c r="J42" s="2">
        <v>124001.56</v>
      </c>
      <c r="K42" s="3"/>
      <c r="L42" s="2">
        <v>160756.09</v>
      </c>
      <c r="M42" s="3"/>
      <c r="N42" s="2">
        <v>93483.83</v>
      </c>
      <c r="O42" s="3"/>
      <c r="P42" s="2">
        <v>0</v>
      </c>
      <c r="Q42" s="3"/>
      <c r="R42" s="2">
        <v>13363.108</v>
      </c>
    </row>
    <row r="43" spans="1:18" s="16" customFormat="1" hidden="1" outlineLevel="2" x14ac:dyDescent="0.35">
      <c r="B43" s="11" t="str">
        <f>CONCATENATE("          ", "6008", " - ", "STUDENT HOURLY-FICA EXEMPT")</f>
        <v xml:space="preserve">          6008 - STUDENT HOURLY-FICA EXEMPT</v>
      </c>
      <c r="D43" s="2">
        <v>3800.25</v>
      </c>
      <c r="F43" s="2">
        <v>17507.599999999999</v>
      </c>
      <c r="G43" s="3"/>
      <c r="H43" s="2">
        <v>28856.68</v>
      </c>
      <c r="I43" s="3"/>
      <c r="J43" s="2">
        <v>35246.47</v>
      </c>
      <c r="K43" s="3"/>
      <c r="L43" s="2">
        <v>10745.32</v>
      </c>
      <c r="M43" s="3"/>
      <c r="N43" s="2">
        <v>1830</v>
      </c>
      <c r="O43" s="3"/>
      <c r="P43" s="2">
        <v>0</v>
      </c>
      <c r="Q43" s="3"/>
      <c r="R43" s="2">
        <v>49095.909800000001</v>
      </c>
    </row>
    <row r="44" spans="1:18" s="16" customFormat="1" hidden="1" outlineLevel="2" x14ac:dyDescent="0.35">
      <c r="B44" s="11" t="str">
        <f>CONCATENATE("          ", "6009", " - ", "TEMPORARY-SEASONAL")</f>
        <v xml:space="preserve">          6009 - TEMPORARY-SEASONAL</v>
      </c>
      <c r="D44" s="2"/>
      <c r="F44" s="2"/>
      <c r="G44" s="3"/>
      <c r="H44" s="2"/>
      <c r="I44" s="3"/>
      <c r="J44" s="2"/>
      <c r="K44" s="3"/>
      <c r="L44" s="2"/>
      <c r="M44" s="3"/>
      <c r="N44" s="2"/>
      <c r="O44" s="3"/>
      <c r="P44" s="2">
        <v>0</v>
      </c>
      <c r="Q44" s="3"/>
      <c r="R44" s="2">
        <v>0</v>
      </c>
    </row>
    <row r="45" spans="1:18" s="16" customFormat="1" hidden="1" outlineLevel="2" x14ac:dyDescent="0.35">
      <c r="B45" s="11" t="str">
        <f>CONCATENATE("          ", "6010", " - ", "GRATUITY")</f>
        <v xml:space="preserve">          6010 - GRATUITY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5" customFormat="1" outlineLevel="1" collapsed="1" x14ac:dyDescent="0.35">
      <c r="A46" s="7"/>
      <c r="B46" s="20" t="str">
        <f>CONCATENATE("     ","Advertising/Promo                                 ")</f>
        <v xml:space="preserve">     Advertising/Promo                                 </v>
      </c>
      <c r="C46" s="7"/>
      <c r="D46" s="1">
        <f>SUM(OSRRefD21_2x_0)</f>
        <v>7750.22</v>
      </c>
      <c r="E46" s="19"/>
      <c r="F46" s="1">
        <f>SUM(OSRRefF21_2x_0)</f>
        <v>6804.64</v>
      </c>
      <c r="G46" s="4"/>
      <c r="H46" s="1">
        <f>SUM(OSRRefH21_2x_0)</f>
        <v>3711.64</v>
      </c>
      <c r="I46" s="4"/>
      <c r="J46" s="1">
        <f>SUM(OSRRefJ21_2x_0)</f>
        <v>4325.8900000000003</v>
      </c>
      <c r="K46" s="4"/>
      <c r="L46" s="1">
        <f>SUM(OSRRefL21_2x_0)</f>
        <v>5442.5</v>
      </c>
      <c r="M46" s="4"/>
      <c r="N46" s="1">
        <f>SUM(OSRRefN21_2x_0)</f>
        <v>4363.6499999999996</v>
      </c>
      <c r="O46" s="4"/>
      <c r="P46" s="1">
        <f>SUM(OSRRefP21_2x_0)</f>
        <v>0</v>
      </c>
      <c r="Q46" s="4"/>
      <c r="R46" s="1">
        <f>SUM(OSRRefR21_2x_0)</f>
        <v>0</v>
      </c>
    </row>
    <row r="47" spans="1:18" s="16" customFormat="1" hidden="1" outlineLevel="2" x14ac:dyDescent="0.35">
      <c r="B47" s="11" t="str">
        <f>CONCATENATE("          ", "6362", " - ", "ADVERTISING EXPENSE")</f>
        <v xml:space="preserve">          6362 - ADVERTISING EXPENSE</v>
      </c>
      <c r="D47" s="2">
        <v>7750.22</v>
      </c>
      <c r="F47" s="2">
        <v>6804.64</v>
      </c>
      <c r="G47" s="3"/>
      <c r="H47" s="2">
        <v>3711.64</v>
      </c>
      <c r="I47" s="3"/>
      <c r="J47" s="2">
        <v>4325.8900000000003</v>
      </c>
      <c r="K47" s="3"/>
      <c r="L47" s="2">
        <v>5442.5</v>
      </c>
      <c r="M47" s="3"/>
      <c r="N47" s="2">
        <v>4363.6499999999996</v>
      </c>
      <c r="O47" s="3"/>
      <c r="P47" s="2">
        <v>0</v>
      </c>
      <c r="Q47" s="3"/>
      <c r="R47" s="2"/>
    </row>
    <row r="48" spans="1:18" s="15" customFormat="1" outlineLevel="1" collapsed="1" x14ac:dyDescent="0.35">
      <c r="A48" s="7"/>
      <c r="B48" s="20" t="str">
        <f>CONCATENATE("     ","Bad Debts/Over/Short                              ")</f>
        <v xml:space="preserve">     Bad Debts/Over/Short                              </v>
      </c>
      <c r="C48" s="7"/>
      <c r="D48" s="1">
        <f>SUM(OSRRefD21_3x_0)</f>
        <v>456.8</v>
      </c>
      <c r="E48" s="19"/>
      <c r="F48" s="1">
        <f>SUM(OSRRefF21_3x_0)</f>
        <v>-570.23</v>
      </c>
      <c r="G48" s="4"/>
      <c r="H48" s="1">
        <f>SUM(OSRRefH21_3x_0)</f>
        <v>1.51</v>
      </c>
      <c r="I48" s="4"/>
      <c r="J48" s="1">
        <f>SUM(OSRRefJ21_3x_0)</f>
        <v>-13.58</v>
      </c>
      <c r="K48" s="4"/>
      <c r="L48" s="1">
        <f>SUM(OSRRefL21_3x_0)</f>
        <v>1943.88</v>
      </c>
      <c r="M48" s="4"/>
      <c r="N48" s="1">
        <f>SUM(OSRRefN21_3x_0)</f>
        <v>-326.89</v>
      </c>
      <c r="O48" s="4"/>
      <c r="P48" s="1">
        <f>SUM(OSRRefP21_3x_0)</f>
        <v>0</v>
      </c>
      <c r="Q48" s="4"/>
      <c r="R48" s="1">
        <f>SUM(OSRRefR21_3x_0)</f>
        <v>0</v>
      </c>
    </row>
    <row r="49" spans="1:18" s="16" customFormat="1" hidden="1" outlineLevel="2" x14ac:dyDescent="0.35">
      <c r="B49" s="11" t="str">
        <f>CONCATENATE("          ", "6272", " - ", "CASH (OVER/SHORT)")</f>
        <v xml:space="preserve">          6272 - CASH (OVER/SHORT)</v>
      </c>
      <c r="D49" s="2">
        <v>456.8</v>
      </c>
      <c r="F49" s="2">
        <v>-570.23</v>
      </c>
      <c r="G49" s="3"/>
      <c r="H49" s="2">
        <v>1.51</v>
      </c>
      <c r="I49" s="3"/>
      <c r="J49" s="2">
        <v>-13.58</v>
      </c>
      <c r="K49" s="3"/>
      <c r="L49" s="2">
        <v>1943.88</v>
      </c>
      <c r="M49" s="3"/>
      <c r="N49" s="2">
        <v>-326.89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","Bank/card Fees                                    ")</f>
        <v xml:space="preserve">     Bank/card Fees                                    </v>
      </c>
      <c r="C50" s="7"/>
      <c r="D50" s="1">
        <f>SUM(OSRRefD21_4x_0)</f>
        <v>47598.93</v>
      </c>
      <c r="E50" s="19"/>
      <c r="F50" s="1">
        <f>SUM(OSRRefF21_4x_0)</f>
        <v>45299.75</v>
      </c>
      <c r="G50" s="4"/>
      <c r="H50" s="1">
        <f>SUM(OSRRefH21_4x_0)</f>
        <v>60026.2</v>
      </c>
      <c r="I50" s="4"/>
      <c r="J50" s="1">
        <f>SUM(OSRRefJ21_4x_0)</f>
        <v>60162.6</v>
      </c>
      <c r="K50" s="4"/>
      <c r="L50" s="1">
        <f>SUM(OSRRefL21_4x_0)</f>
        <v>63614.45</v>
      </c>
      <c r="M50" s="4"/>
      <c r="N50" s="1">
        <f>SUM(OSRRefN21_4x_0)</f>
        <v>42823.43</v>
      </c>
      <c r="O50" s="4"/>
      <c r="P50" s="1">
        <f>SUM(OSRRefP21_4x_0)</f>
        <v>0</v>
      </c>
      <c r="Q50" s="4"/>
      <c r="R50" s="1">
        <f>SUM(OSRRefR21_4x_0)</f>
        <v>38579</v>
      </c>
    </row>
    <row r="51" spans="1:18" s="16" customFormat="1" hidden="1" outlineLevel="2" x14ac:dyDescent="0.35">
      <c r="B51" s="11" t="str">
        <f>CONCATENATE("          ", "6381", " - ", "BANK/CREDIT CARD FEES")</f>
        <v xml:space="preserve">          6381 - BANK/CREDIT CARD FEES</v>
      </c>
      <c r="D51" s="2">
        <v>47598.93</v>
      </c>
      <c r="F51" s="2">
        <v>45299.75</v>
      </c>
      <c r="G51" s="3"/>
      <c r="H51" s="2">
        <v>60026.2</v>
      </c>
      <c r="I51" s="3"/>
      <c r="J51" s="2">
        <v>60162.6</v>
      </c>
      <c r="K51" s="3"/>
      <c r="L51" s="2">
        <v>63614.45</v>
      </c>
      <c r="M51" s="3"/>
      <c r="N51" s="2">
        <v>42823.43</v>
      </c>
      <c r="O51" s="3"/>
      <c r="P51" s="2">
        <v>0</v>
      </c>
      <c r="Q51" s="3"/>
      <c r="R51" s="2">
        <v>38579</v>
      </c>
    </row>
    <row r="52" spans="1:18" s="15" customFormat="1" outlineLevel="1" collapsed="1" x14ac:dyDescent="0.35">
      <c r="A52" s="7"/>
      <c r="B52" s="20" t="str">
        <f>CONCATENATE("     ","Depreciation                                      ")</f>
        <v xml:space="preserve">     Depreciation                                      </v>
      </c>
      <c r="C52" s="7"/>
      <c r="D52" s="1">
        <f>SUM(OSRRefD21_5x_0)</f>
        <v>81427.45</v>
      </c>
      <c r="E52" s="19"/>
      <c r="F52" s="1">
        <f>SUM(OSRRefF21_5x_0)</f>
        <v>99612.319999999992</v>
      </c>
      <c r="G52" s="4"/>
      <c r="H52" s="1">
        <f>SUM(OSRRefH21_5x_0)</f>
        <v>103142.76000000001</v>
      </c>
      <c r="I52" s="4"/>
      <c r="J52" s="1">
        <f>SUM(OSRRefJ21_5x_0)</f>
        <v>102730.91</v>
      </c>
      <c r="K52" s="4"/>
      <c r="L52" s="1">
        <f>SUM(OSRRefL21_5x_0)</f>
        <v>100774.3</v>
      </c>
      <c r="M52" s="4"/>
      <c r="N52" s="1">
        <f>SUM(OSRRefN21_5x_0)</f>
        <v>96111.98</v>
      </c>
      <c r="O52" s="4"/>
      <c r="P52" s="1">
        <f>SUM(OSRRefP21_5x_0)</f>
        <v>82239</v>
      </c>
      <c r="Q52" s="4"/>
      <c r="R52" s="1">
        <f>SUM(OSRRefR21_5x_0)</f>
        <v>80500</v>
      </c>
    </row>
    <row r="53" spans="1:18" s="16" customFormat="1" hidden="1" outlineLevel="2" x14ac:dyDescent="0.35">
      <c r="B53" s="11" t="str">
        <f>CONCATENATE("          ", "6321", " - ", "BUILDING DEPRECIATION")</f>
        <v xml:space="preserve">          6321 - BUILDING DEPRECIATION</v>
      </c>
      <c r="D53" s="2">
        <v>72328.56</v>
      </c>
      <c r="F53" s="2">
        <v>74975.7</v>
      </c>
      <c r="G53" s="3"/>
      <c r="H53" s="2">
        <v>78444.61</v>
      </c>
      <c r="I53" s="3"/>
      <c r="J53" s="2">
        <v>78444.61</v>
      </c>
      <c r="K53" s="3"/>
      <c r="L53" s="2">
        <v>78444.61</v>
      </c>
      <c r="M53" s="3"/>
      <c r="N53" s="2">
        <v>78444.61</v>
      </c>
      <c r="O53" s="3"/>
      <c r="P53" s="2"/>
      <c r="Q53" s="3"/>
      <c r="R53" s="2"/>
    </row>
    <row r="54" spans="1:18" s="16" customFormat="1" hidden="1" outlineLevel="2" x14ac:dyDescent="0.35">
      <c r="B54" s="11" t="str">
        <f>CONCATENATE("          ", "6322", " - ", "EQUIPMENT DEPRECIATION EXPENSE")</f>
        <v xml:space="preserve">          6322 - EQUIPMENT DEPRECIATION EXPENSE</v>
      </c>
      <c r="D54" s="2">
        <v>9098.89</v>
      </c>
      <c r="F54" s="2">
        <v>24636.62</v>
      </c>
      <c r="G54" s="3"/>
      <c r="H54" s="2">
        <v>24698.15</v>
      </c>
      <c r="I54" s="3"/>
      <c r="J54" s="2">
        <v>24286.3</v>
      </c>
      <c r="K54" s="3"/>
      <c r="L54" s="2">
        <v>22329.69</v>
      </c>
      <c r="M54" s="3"/>
      <c r="N54" s="2">
        <v>17667.37</v>
      </c>
      <c r="O54" s="3"/>
      <c r="P54" s="2">
        <v>82239</v>
      </c>
      <c r="Q54" s="3"/>
      <c r="R54" s="2">
        <v>80500</v>
      </c>
    </row>
    <row r="55" spans="1:18" s="15" customFormat="1" outlineLevel="1" collapsed="1" x14ac:dyDescent="0.35">
      <c r="A55" s="7"/>
      <c r="B55" s="20" t="str">
        <f>CONCATENATE("     ","Discounts and Markdowns                           ")</f>
        <v xml:space="preserve">     Discounts and Markdowns                           </v>
      </c>
      <c r="C55" s="7"/>
      <c r="D55" s="1">
        <f>SUM(OSRRefD21_6x_0)</f>
        <v>0</v>
      </c>
      <c r="E55" s="19"/>
      <c r="F55" s="1">
        <f>SUM(OSRRefF21_6x_0)</f>
        <v>0</v>
      </c>
      <c r="G55" s="4"/>
      <c r="H55" s="1">
        <f>SUM(OSRRefH21_6x_0)</f>
        <v>0</v>
      </c>
      <c r="I55" s="4"/>
      <c r="J55" s="1">
        <f>SUM(OSRRefJ21_6x_0)</f>
        <v>0</v>
      </c>
      <c r="K55" s="4"/>
      <c r="L55" s="1">
        <f>SUM(OSRRefL21_6x_0)</f>
        <v>0</v>
      </c>
      <c r="M55" s="4"/>
      <c r="N55" s="1">
        <f>SUM(OSRRefN21_6x_0)</f>
        <v>0.09</v>
      </c>
      <c r="O55" s="4"/>
      <c r="P55" s="1">
        <f>SUM(OSRRefP21_6x_0)</f>
        <v>0</v>
      </c>
      <c r="Q55" s="4"/>
      <c r="R55" s="1">
        <f>SUM(OSRRefR21_6x_0)</f>
        <v>0</v>
      </c>
    </row>
    <row r="56" spans="1:18" s="16" customFormat="1" hidden="1" outlineLevel="2" x14ac:dyDescent="0.35">
      <c r="B56" s="11" t="str">
        <f>CONCATENATE("          ", "6382", " - ", "DISCOUNTS/MARK DOWNS")</f>
        <v xml:space="preserve">          6382 - DISCOUNTS/MARK DOWNS</v>
      </c>
      <c r="D56" s="2"/>
      <c r="F56" s="2"/>
      <c r="G56" s="3"/>
      <c r="H56" s="2"/>
      <c r="I56" s="3"/>
      <c r="J56" s="2"/>
      <c r="K56" s="3"/>
      <c r="L56" s="2"/>
      <c r="M56" s="3"/>
      <c r="N56" s="2">
        <v>0.09</v>
      </c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","Donations                                         ")</f>
        <v xml:space="preserve">     Donations                                         </v>
      </c>
      <c r="C57" s="7"/>
      <c r="D57" s="1">
        <f>SUM(OSRRefD21_7x_0)</f>
        <v>0</v>
      </c>
      <c r="E57" s="19"/>
      <c r="F57" s="1">
        <f>SUM(OSRRefF21_7x_0)</f>
        <v>0</v>
      </c>
      <c r="G57" s="4"/>
      <c r="H57" s="1">
        <f>SUM(OSRRefH21_7x_0)</f>
        <v>0</v>
      </c>
      <c r="I57" s="4"/>
      <c r="J57" s="1">
        <f>SUM(OSRRefJ21_7x_0)</f>
        <v>52.98</v>
      </c>
      <c r="K57" s="4"/>
      <c r="L57" s="1">
        <f>SUM(OSRRefL21_7x_0)</f>
        <v>162</v>
      </c>
      <c r="M57" s="4"/>
      <c r="N57" s="1">
        <f>SUM(OSRRefN21_7x_0)</f>
        <v>73</v>
      </c>
      <c r="O57" s="4"/>
      <c r="P57" s="1">
        <f>SUM(OSRRefP21_7x_0)</f>
        <v>0</v>
      </c>
      <c r="Q57" s="4"/>
      <c r="R57" s="1">
        <f>SUM(OSRRefR21_7x_0)</f>
        <v>0</v>
      </c>
    </row>
    <row r="58" spans="1:18" s="16" customFormat="1" hidden="1" outlineLevel="2" x14ac:dyDescent="0.35">
      <c r="B58" s="11" t="str">
        <f>CONCATENATE("          ", "6399", " - ", "DONATION-ON CAMPUS")</f>
        <v xml:space="preserve">          6399 - DONATION-ON CAMPUS</v>
      </c>
      <c r="D58" s="2"/>
      <c r="F58" s="2"/>
      <c r="G58" s="3"/>
      <c r="H58" s="2"/>
      <c r="I58" s="3"/>
      <c r="J58" s="2">
        <v>52.98</v>
      </c>
      <c r="K58" s="3"/>
      <c r="L58" s="2">
        <v>162</v>
      </c>
      <c r="M58" s="3"/>
      <c r="N58" s="2">
        <v>73</v>
      </c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","Employees' Appreciation                           ")</f>
        <v xml:space="preserve">     Employees' Appreciation                           </v>
      </c>
      <c r="C59" s="7"/>
      <c r="D59" s="1">
        <f>SUM(OSRRefD21_8x_0)</f>
        <v>217.98</v>
      </c>
      <c r="E59" s="19"/>
      <c r="F59" s="1">
        <f>SUM(OSRRefF21_8x_0)</f>
        <v>379.32</v>
      </c>
      <c r="G59" s="4"/>
      <c r="H59" s="1">
        <f>SUM(OSRRefH21_8x_0)</f>
        <v>340.89</v>
      </c>
      <c r="I59" s="4"/>
      <c r="J59" s="1">
        <f>SUM(OSRRefJ21_8x_0)</f>
        <v>687.57</v>
      </c>
      <c r="K59" s="4"/>
      <c r="L59" s="1">
        <f>SUM(OSRRefL21_8x_0)</f>
        <v>606.92999999999995</v>
      </c>
      <c r="M59" s="4"/>
      <c r="N59" s="1">
        <f>SUM(OSRRefN21_8x_0)</f>
        <v>8.25</v>
      </c>
      <c r="O59" s="4"/>
      <c r="P59" s="1">
        <f>SUM(OSRRefP21_8x_0)</f>
        <v>0</v>
      </c>
      <c r="Q59" s="4"/>
      <c r="R59" s="1">
        <f>SUM(OSRRefR21_8x_0)</f>
        <v>140</v>
      </c>
    </row>
    <row r="60" spans="1:18" s="16" customFormat="1" hidden="1" outlineLevel="2" x14ac:dyDescent="0.35">
      <c r="B60" s="11" t="str">
        <f>CONCATENATE("          ", "6277", " - ", "EMPLOYEE APPRECIATION")</f>
        <v xml:space="preserve">          6277 - EMPLOYEE APPRECIATION</v>
      </c>
      <c r="D60" s="2">
        <v>217.98</v>
      </c>
      <c r="F60" s="2">
        <v>379.32</v>
      </c>
      <c r="G60" s="3"/>
      <c r="H60" s="2">
        <v>340.89</v>
      </c>
      <c r="I60" s="3"/>
      <c r="J60" s="2">
        <v>687.57</v>
      </c>
      <c r="K60" s="3"/>
      <c r="L60" s="2">
        <v>606.92999999999995</v>
      </c>
      <c r="M60" s="3"/>
      <c r="N60" s="2">
        <v>8.25</v>
      </c>
      <c r="O60" s="3"/>
      <c r="P60" s="2">
        <v>0</v>
      </c>
      <c r="Q60" s="3"/>
      <c r="R60" s="2">
        <v>140</v>
      </c>
    </row>
    <row r="61" spans="1:18" s="15" customFormat="1" outlineLevel="1" collapsed="1" x14ac:dyDescent="0.35">
      <c r="A61" s="7"/>
      <c r="B61" s="20" t="str">
        <f>CONCATENATE("     ","Equipment Rental                                  ")</f>
        <v xml:space="preserve">     Equipment Rental                                  </v>
      </c>
      <c r="C61" s="7"/>
      <c r="D61" s="1">
        <f>SUM(OSRRefD21_9x_0)</f>
        <v>1617.53</v>
      </c>
      <c r="E61" s="19"/>
      <c r="F61" s="1">
        <f>SUM(OSRRefF21_9x_0)</f>
        <v>2710.81</v>
      </c>
      <c r="G61" s="4"/>
      <c r="H61" s="1">
        <f>SUM(OSRRefH21_9x_0)</f>
        <v>1490.93</v>
      </c>
      <c r="I61" s="4"/>
      <c r="J61" s="1">
        <f>SUM(OSRRefJ21_9x_0)</f>
        <v>594.33000000000004</v>
      </c>
      <c r="K61" s="4"/>
      <c r="L61" s="1">
        <f>SUM(OSRRefL21_9x_0)</f>
        <v>178.9</v>
      </c>
      <c r="M61" s="4"/>
      <c r="N61" s="1">
        <f>SUM(OSRRefN21_9x_0)</f>
        <v>7114.86</v>
      </c>
      <c r="O61" s="4"/>
      <c r="P61" s="1">
        <f>SUM(OSRRefP21_9x_0)</f>
        <v>0</v>
      </c>
      <c r="Q61" s="4"/>
      <c r="R61" s="1">
        <f>SUM(OSRRefR21_9x_0)</f>
        <v>2400</v>
      </c>
    </row>
    <row r="62" spans="1:18" s="16" customFormat="1" hidden="1" outlineLevel="2" x14ac:dyDescent="0.35">
      <c r="B62" s="11" t="str">
        <f>CONCATENATE("          ", "6351", " - ", "EQUIPMENT RENTAL")</f>
        <v xml:space="preserve">          6351 - EQUIPMENT RENTAL</v>
      </c>
      <c r="D62" s="2">
        <v>1617.53</v>
      </c>
      <c r="F62" s="2">
        <v>2710.81</v>
      </c>
      <c r="G62" s="3"/>
      <c r="H62" s="2">
        <v>1490.93</v>
      </c>
      <c r="I62" s="3"/>
      <c r="J62" s="2">
        <v>594.33000000000004</v>
      </c>
      <c r="K62" s="3"/>
      <c r="L62" s="2">
        <v>178.9</v>
      </c>
      <c r="M62" s="3"/>
      <c r="N62" s="2">
        <v>7114.86</v>
      </c>
      <c r="O62" s="3"/>
      <c r="P62" s="2"/>
      <c r="Q62" s="3"/>
      <c r="R62" s="2">
        <v>2400</v>
      </c>
    </row>
    <row r="63" spans="1:18" s="15" customFormat="1" outlineLevel="1" collapsed="1" x14ac:dyDescent="0.35">
      <c r="A63" s="7"/>
      <c r="B63" s="20" t="str">
        <f>CONCATENATE("     ","Freight out/Postage                               ")</f>
        <v xml:space="preserve">     Freight out/Postage                               </v>
      </c>
      <c r="C63" s="7"/>
      <c r="D63" s="1">
        <f>SUM(OSRRefD21_10x_0)</f>
        <v>0</v>
      </c>
      <c r="E63" s="19"/>
      <c r="F63" s="1">
        <f>SUM(OSRRefF21_10x_0)</f>
        <v>0</v>
      </c>
      <c r="G63" s="4"/>
      <c r="H63" s="1">
        <f>SUM(OSRRefH21_10x_0)</f>
        <v>0</v>
      </c>
      <c r="I63" s="4"/>
      <c r="J63" s="1">
        <f>SUM(OSRRefJ21_10x_0)</f>
        <v>0</v>
      </c>
      <c r="K63" s="4"/>
      <c r="L63" s="1">
        <f>SUM(OSRRefL21_10x_0)</f>
        <v>35</v>
      </c>
      <c r="M63" s="4"/>
      <c r="N63" s="1">
        <f>SUM(OSRRefN21_10x_0)</f>
        <v>0</v>
      </c>
      <c r="O63" s="4"/>
      <c r="P63" s="1">
        <f>SUM(OSRRefP21_10x_0)</f>
        <v>0</v>
      </c>
      <c r="Q63" s="4"/>
      <c r="R63" s="1">
        <f>SUM(OSRRefR21_10x_0)</f>
        <v>0</v>
      </c>
    </row>
    <row r="64" spans="1:18" s="16" customFormat="1" hidden="1" outlineLevel="2" x14ac:dyDescent="0.35">
      <c r="B64" s="11" t="str">
        <f>CONCATENATE("          ", "6307", " - ", "POSTAGE")</f>
        <v xml:space="preserve">          6307 - POSTAGE</v>
      </c>
      <c r="D64" s="2"/>
      <c r="F64" s="2"/>
      <c r="G64" s="3"/>
      <c r="H64" s="2"/>
      <c r="I64" s="3"/>
      <c r="J64" s="2"/>
      <c r="K64" s="3"/>
      <c r="L64" s="2">
        <v>35</v>
      </c>
      <c r="M64" s="3"/>
      <c r="N64" s="2"/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","General                                           ")</f>
        <v xml:space="preserve">     General                                           </v>
      </c>
      <c r="C65" s="7"/>
      <c r="D65" s="1">
        <f>SUM(OSRRefD21_11x_0)</f>
        <v>6159.39</v>
      </c>
      <c r="E65" s="19"/>
      <c r="F65" s="1">
        <f>SUM(OSRRefF21_11x_0)</f>
        <v>9018.23</v>
      </c>
      <c r="G65" s="4"/>
      <c r="H65" s="1">
        <f>SUM(OSRRefH21_11x_0)</f>
        <v>8234.0399999999991</v>
      </c>
      <c r="I65" s="4"/>
      <c r="J65" s="1">
        <f>SUM(OSRRefJ21_11x_0)</f>
        <v>9130.7800000000007</v>
      </c>
      <c r="K65" s="4"/>
      <c r="L65" s="1">
        <f>SUM(OSRRefL21_11x_0)</f>
        <v>13664.14</v>
      </c>
      <c r="M65" s="4"/>
      <c r="N65" s="1">
        <f>SUM(OSRRefN21_11x_0)</f>
        <v>13442.380000000001</v>
      </c>
      <c r="O65" s="4"/>
      <c r="P65" s="1">
        <f>SUM(OSRRefP21_11x_0)</f>
        <v>1800</v>
      </c>
      <c r="Q65" s="4"/>
      <c r="R65" s="1">
        <f>SUM(OSRRefR21_11x_0)</f>
        <v>2400</v>
      </c>
    </row>
    <row r="66" spans="1:18" s="16" customFormat="1" hidden="1" outlineLevel="2" x14ac:dyDescent="0.35">
      <c r="B66" s="11" t="str">
        <f>CONCATENATE("          ", "6269", " - ", "ENTERTAINMENT")</f>
        <v xml:space="preserve">          6269 - ENTERTAINMENT</v>
      </c>
      <c r="D66" s="2">
        <v>1884.79</v>
      </c>
      <c r="F66" s="2">
        <v>2513.13</v>
      </c>
      <c r="G66" s="3"/>
      <c r="H66" s="2">
        <v>2661.68</v>
      </c>
      <c r="I66" s="3"/>
      <c r="J66" s="2">
        <v>6380</v>
      </c>
      <c r="K66" s="3"/>
      <c r="L66" s="2">
        <v>10824.27</v>
      </c>
      <c r="M66" s="3"/>
      <c r="N66" s="2">
        <v>10050</v>
      </c>
      <c r="O66" s="3"/>
      <c r="P66" s="2"/>
      <c r="Q66" s="3"/>
      <c r="R66" s="2">
        <v>500</v>
      </c>
    </row>
    <row r="67" spans="1:18" s="16" customFormat="1" hidden="1" outlineLevel="2" x14ac:dyDescent="0.35">
      <c r="B67" s="11" t="str">
        <f>CONCATENATE("          ", "6279", " - ", "GENERAL EXPENSE")</f>
        <v xml:space="preserve">          6279 - GENERAL EXPENSE</v>
      </c>
      <c r="D67" s="2">
        <v>4274.6000000000004</v>
      </c>
      <c r="F67" s="2">
        <v>6505.1</v>
      </c>
      <c r="G67" s="3"/>
      <c r="H67" s="2">
        <v>5572.36</v>
      </c>
      <c r="I67" s="3"/>
      <c r="J67" s="2">
        <v>2750.78</v>
      </c>
      <c r="K67" s="3"/>
      <c r="L67" s="2">
        <v>2839.87</v>
      </c>
      <c r="M67" s="3"/>
      <c r="N67" s="2">
        <v>3392.38</v>
      </c>
      <c r="O67" s="3"/>
      <c r="P67" s="2">
        <v>1800</v>
      </c>
      <c r="Q67" s="3"/>
      <c r="R67" s="2">
        <v>1900</v>
      </c>
    </row>
    <row r="68" spans="1:18" s="15" customFormat="1" outlineLevel="1" collapsed="1" x14ac:dyDescent="0.35">
      <c r="A68" s="7"/>
      <c r="B68" s="20" t="str">
        <f>CONCATENATE("     ","Repair and Maintenance                            ")</f>
        <v xml:space="preserve">     Repair and Maintenance                            </v>
      </c>
      <c r="C68" s="7"/>
      <c r="D68" s="1">
        <f>SUM(OSRRefD21_12x_0)</f>
        <v>39467.4</v>
      </c>
      <c r="E68" s="19"/>
      <c r="F68" s="1">
        <f>SUM(OSRRefF21_12x_0)</f>
        <v>22003.39</v>
      </c>
      <c r="G68" s="4"/>
      <c r="H68" s="1">
        <f>SUM(OSRRefH21_12x_0)</f>
        <v>18121.71</v>
      </c>
      <c r="I68" s="4"/>
      <c r="J68" s="1">
        <f>SUM(OSRRefJ21_12x_0)</f>
        <v>20730.7</v>
      </c>
      <c r="K68" s="4"/>
      <c r="L68" s="1">
        <f>SUM(OSRRefL21_12x_0)</f>
        <v>22515.08</v>
      </c>
      <c r="M68" s="4"/>
      <c r="N68" s="1">
        <f>SUM(OSRRefN21_12x_0)</f>
        <v>18055.849999999999</v>
      </c>
      <c r="O68" s="4"/>
      <c r="P68" s="1">
        <f>SUM(OSRRefP21_12x_0)</f>
        <v>0</v>
      </c>
      <c r="Q68" s="4"/>
      <c r="R68" s="1">
        <f>SUM(OSRRefR21_12x_0)</f>
        <v>27536</v>
      </c>
    </row>
    <row r="69" spans="1:18" s="16" customFormat="1" hidden="1" outlineLevel="2" x14ac:dyDescent="0.35">
      <c r="B69" s="11" t="str">
        <f>CONCATENATE("          ", "6371", " - ", "COMPUTER SOFTWARE MAINTENANCE")</f>
        <v xml:space="preserve">          6371 - COMPUTER SOFTWARE MAINTENANCE</v>
      </c>
      <c r="D69" s="2"/>
      <c r="F69" s="2"/>
      <c r="G69" s="3"/>
      <c r="H69" s="2">
        <v>2700</v>
      </c>
      <c r="I69" s="3"/>
      <c r="J69" s="2">
        <v>2524.5</v>
      </c>
      <c r="K69" s="3"/>
      <c r="L69" s="2">
        <v>324.45</v>
      </c>
      <c r="M69" s="3"/>
      <c r="N69" s="2">
        <v>2623.85</v>
      </c>
      <c r="O69" s="3"/>
      <c r="P69" s="2"/>
      <c r="Q69" s="3"/>
      <c r="R69" s="2"/>
    </row>
    <row r="70" spans="1:18" s="16" customFormat="1" hidden="1" outlineLevel="2" x14ac:dyDescent="0.35">
      <c r="B70" s="11" t="str">
        <f>CONCATENATE("          ", "6372", " - ", "COMPUTER HARDWARE MAINTENANCE")</f>
        <v xml:space="preserve">          6372 - COMPUTER HARDWARE MAINTENANCE</v>
      </c>
      <c r="D70" s="2"/>
      <c r="F70" s="2"/>
      <c r="G70" s="3"/>
      <c r="H70" s="2"/>
      <c r="I70" s="3"/>
      <c r="J70" s="2"/>
      <c r="K70" s="3"/>
      <c r="L70" s="2"/>
      <c r="M70" s="3"/>
      <c r="N70" s="2"/>
      <c r="O70" s="3"/>
      <c r="P70" s="2">
        <v>0</v>
      </c>
      <c r="Q70" s="3"/>
      <c r="R70" s="2"/>
    </row>
    <row r="71" spans="1:18" s="16" customFormat="1" hidden="1" outlineLevel="2" x14ac:dyDescent="0.35">
      <c r="B71" s="11" t="str">
        <f>CONCATENATE("          ", "6373", " - ", "MAINTENANCE CONTRACTS")</f>
        <v xml:space="preserve">          6373 - MAINTENANCE CONTRACTS</v>
      </c>
      <c r="D71" s="2">
        <v>3878.46</v>
      </c>
      <c r="F71" s="2">
        <v>2138.8200000000002</v>
      </c>
      <c r="G71" s="3"/>
      <c r="H71" s="2">
        <v>356.12</v>
      </c>
      <c r="I71" s="3"/>
      <c r="J71" s="2">
        <v>1086.8</v>
      </c>
      <c r="K71" s="3"/>
      <c r="L71" s="2">
        <v>3142.8</v>
      </c>
      <c r="M71" s="3"/>
      <c r="N71" s="2">
        <v>1642.82</v>
      </c>
      <c r="O71" s="3"/>
      <c r="P71" s="2">
        <v>0</v>
      </c>
      <c r="Q71" s="3"/>
      <c r="R71" s="2">
        <v>2000</v>
      </c>
    </row>
    <row r="72" spans="1:18" s="16" customFormat="1" hidden="1" outlineLevel="2" x14ac:dyDescent="0.35">
      <c r="B72" s="11" t="str">
        <f>CONCATENATE("          ", "6375", " - ", "OUTSIDE REPAIRS &amp; MAINTENANCE")</f>
        <v xml:space="preserve">          6375 - OUTSIDE REPAIRS &amp; MAINTENANCE</v>
      </c>
      <c r="D72" s="2">
        <v>35588.94</v>
      </c>
      <c r="F72" s="2">
        <v>19864.57</v>
      </c>
      <c r="G72" s="3"/>
      <c r="H72" s="2">
        <v>15065.59</v>
      </c>
      <c r="I72" s="3"/>
      <c r="J72" s="2">
        <v>17119.400000000001</v>
      </c>
      <c r="K72" s="3"/>
      <c r="L72" s="2">
        <v>19047.830000000002</v>
      </c>
      <c r="M72" s="3"/>
      <c r="N72" s="2">
        <v>13789.18</v>
      </c>
      <c r="O72" s="3"/>
      <c r="P72" s="2">
        <v>0</v>
      </c>
      <c r="Q72" s="3"/>
      <c r="R72" s="2">
        <v>25536</v>
      </c>
    </row>
    <row r="73" spans="1:18" s="15" customFormat="1" outlineLevel="1" collapsed="1" x14ac:dyDescent="0.35">
      <c r="A73" s="7"/>
      <c r="B73" s="20" t="str">
        <f>CONCATENATE("     ","Services                                          ")</f>
        <v xml:space="preserve">     Services                                          </v>
      </c>
      <c r="C73" s="7"/>
      <c r="D73" s="1">
        <f>SUM(OSRRefD21_13x_0)</f>
        <v>1176.4000000000001</v>
      </c>
      <c r="E73" s="19"/>
      <c r="F73" s="1">
        <f>SUM(OSRRefF21_13x_0)</f>
        <v>2596.41</v>
      </c>
      <c r="G73" s="4"/>
      <c r="H73" s="1">
        <f>SUM(OSRRefH21_13x_0)</f>
        <v>6446.75</v>
      </c>
      <c r="I73" s="4"/>
      <c r="J73" s="1">
        <f>SUM(OSRRefJ21_13x_0)</f>
        <v>6028.13</v>
      </c>
      <c r="K73" s="4"/>
      <c r="L73" s="1">
        <f>SUM(OSRRefL21_13x_0)</f>
        <v>4015.37</v>
      </c>
      <c r="M73" s="4"/>
      <c r="N73" s="1">
        <f>SUM(OSRRefN21_13x_0)</f>
        <v>3851.3999999999996</v>
      </c>
      <c r="O73" s="4"/>
      <c r="P73" s="1">
        <f>SUM(OSRRefP21_13x_0)</f>
        <v>0</v>
      </c>
      <c r="Q73" s="4"/>
      <c r="R73" s="1">
        <f>SUM(OSRRefR21_13x_0)</f>
        <v>35750</v>
      </c>
    </row>
    <row r="74" spans="1:18" s="16" customFormat="1" hidden="1" outlineLevel="2" x14ac:dyDescent="0.35">
      <c r="B74" s="11" t="str">
        <f>CONCATENATE("          ", "6283", " - ", "PLANT SERVICE")</f>
        <v xml:space="preserve">          6283 - PLANT SERVICE</v>
      </c>
      <c r="D74" s="2"/>
      <c r="F74" s="2"/>
      <c r="G74" s="3"/>
      <c r="H74" s="2">
        <v>736.99</v>
      </c>
      <c r="I74" s="3"/>
      <c r="J74" s="2">
        <v>330</v>
      </c>
      <c r="K74" s="3"/>
      <c r="L74" s="2">
        <v>369.75</v>
      </c>
      <c r="M74" s="3"/>
      <c r="N74" s="2">
        <v>357.75</v>
      </c>
      <c r="O74" s="3"/>
      <c r="P74" s="2">
        <v>0</v>
      </c>
      <c r="Q74" s="3"/>
      <c r="R74" s="2">
        <v>1200</v>
      </c>
    </row>
    <row r="75" spans="1:18" s="16" customFormat="1" hidden="1" outlineLevel="2" x14ac:dyDescent="0.35">
      <c r="B75" s="11" t="str">
        <f>CONCATENATE("          ", "6284", " - ", "TRASH REMOVAL EXPENSE")</f>
        <v xml:space="preserve">          6284 - TRASH REMOVAL EXPENSE</v>
      </c>
      <c r="D75" s="2"/>
      <c r="F75" s="2"/>
      <c r="G75" s="3"/>
      <c r="H75" s="2"/>
      <c r="I75" s="3"/>
      <c r="J75" s="2"/>
      <c r="K75" s="3"/>
      <c r="L75" s="2"/>
      <c r="M75" s="3"/>
      <c r="N75" s="2"/>
      <c r="O75" s="3"/>
      <c r="P75" s="2"/>
      <c r="Q75" s="3"/>
      <c r="R75" s="2">
        <v>0</v>
      </c>
    </row>
    <row r="76" spans="1:18" s="16" customFormat="1" hidden="1" outlineLevel="2" x14ac:dyDescent="0.35">
      <c r="B76" s="11" t="str">
        <f>CONCATENATE("          ", "6285", " - ", "JANITORIAL SERVICES")</f>
        <v xml:space="preserve">          6285 - JANITORIAL SERVICES</v>
      </c>
      <c r="D76" s="2">
        <v>1176.4000000000001</v>
      </c>
      <c r="F76" s="2">
        <v>2596.41</v>
      </c>
      <c r="G76" s="3"/>
      <c r="H76" s="2">
        <v>2242.3000000000002</v>
      </c>
      <c r="I76" s="3"/>
      <c r="J76" s="2">
        <v>2375</v>
      </c>
      <c r="K76" s="3"/>
      <c r="L76" s="2">
        <v>1168</v>
      </c>
      <c r="M76" s="3"/>
      <c r="N76" s="2">
        <v>1876.6</v>
      </c>
      <c r="O76" s="3"/>
      <c r="P76" s="2"/>
      <c r="Q76" s="3"/>
      <c r="R76" s="2">
        <v>34100</v>
      </c>
    </row>
    <row r="77" spans="1:18" s="16" customFormat="1" hidden="1" outlineLevel="2" x14ac:dyDescent="0.35">
      <c r="B77" s="11" t="str">
        <f>CONCATENATE("          ", "6286", " - ", "LAUNDRY EXPENSE")</f>
        <v xml:space="preserve">          6286 - LAUNDRY EXPENSE</v>
      </c>
      <c r="D77" s="2"/>
      <c r="F77" s="2"/>
      <c r="G77" s="3"/>
      <c r="H77" s="2">
        <v>3467.46</v>
      </c>
      <c r="I77" s="3"/>
      <c r="J77" s="2">
        <v>3323.13</v>
      </c>
      <c r="K77" s="3"/>
      <c r="L77" s="2">
        <v>2477.62</v>
      </c>
      <c r="M77" s="3"/>
      <c r="N77" s="2">
        <v>1617.05</v>
      </c>
      <c r="O77" s="3"/>
      <c r="P77" s="2">
        <v>0</v>
      </c>
      <c r="Q77" s="3"/>
      <c r="R77" s="2">
        <v>450</v>
      </c>
    </row>
    <row r="78" spans="1:18" s="15" customFormat="1" outlineLevel="1" collapsed="1" x14ac:dyDescent="0.35">
      <c r="A78" s="7"/>
      <c r="B78" s="20" t="str">
        <f>CONCATENATE("     ","Subscriptions &amp; Dues                              ")</f>
        <v xml:space="preserve">     Subscriptions &amp; Dues                              </v>
      </c>
      <c r="C78" s="7"/>
      <c r="D78" s="1">
        <f>SUM(OSRRefD21_14x_0)</f>
        <v>2250.6799999999998</v>
      </c>
      <c r="E78" s="19"/>
      <c r="F78" s="1">
        <f>SUM(OSRRefF21_14x_0)</f>
        <v>4475.07</v>
      </c>
      <c r="G78" s="4"/>
      <c r="H78" s="1">
        <f>SUM(OSRRefH21_14x_0)</f>
        <v>1886.47</v>
      </c>
      <c r="I78" s="4"/>
      <c r="J78" s="1">
        <f>SUM(OSRRefJ21_14x_0)</f>
        <v>4377.51</v>
      </c>
      <c r="K78" s="4"/>
      <c r="L78" s="1">
        <f>SUM(OSRRefL21_14x_0)</f>
        <v>2958.23</v>
      </c>
      <c r="M78" s="4"/>
      <c r="N78" s="1">
        <f>SUM(OSRRefN21_14x_0)</f>
        <v>2642.69</v>
      </c>
      <c r="O78" s="4"/>
      <c r="P78" s="1">
        <f>SUM(OSRRefP21_14x_0)</f>
        <v>0</v>
      </c>
      <c r="Q78" s="4"/>
      <c r="R78" s="1">
        <f>SUM(OSRRefR21_14x_0)</f>
        <v>2200</v>
      </c>
    </row>
    <row r="79" spans="1:18" s="16" customFormat="1" hidden="1" outlineLevel="2" x14ac:dyDescent="0.35">
      <c r="B79" s="11" t="str">
        <f>CONCATENATE("          ", "6258", " - ", "MEMBERSHIP DUES")</f>
        <v xml:space="preserve">          6258 - MEMBERSHIP DUES</v>
      </c>
      <c r="D79" s="2"/>
      <c r="F79" s="2"/>
      <c r="G79" s="3"/>
      <c r="H79" s="2"/>
      <c r="I79" s="3"/>
      <c r="J79" s="2"/>
      <c r="K79" s="3"/>
      <c r="L79" s="2"/>
      <c r="M79" s="3"/>
      <c r="N79" s="2">
        <v>978</v>
      </c>
      <c r="O79" s="3"/>
      <c r="P79" s="2">
        <v>0</v>
      </c>
      <c r="Q79" s="3"/>
      <c r="R79" s="2"/>
    </row>
    <row r="80" spans="1:18" s="16" customFormat="1" hidden="1" outlineLevel="2" x14ac:dyDescent="0.35">
      <c r="B80" s="11" t="str">
        <f>CONCATENATE("          ", "6275", " - ", "SUBSCRIPTIONS")</f>
        <v xml:space="preserve">          6275 - SUBSCRIPTIONS</v>
      </c>
      <c r="D80" s="2">
        <v>2250.6799999999998</v>
      </c>
      <c r="F80" s="2">
        <v>4475.07</v>
      </c>
      <c r="G80" s="3"/>
      <c r="H80" s="2">
        <v>1886.47</v>
      </c>
      <c r="I80" s="3"/>
      <c r="J80" s="2">
        <v>4377.51</v>
      </c>
      <c r="K80" s="3"/>
      <c r="L80" s="2">
        <v>2958.23</v>
      </c>
      <c r="M80" s="3"/>
      <c r="N80" s="2">
        <v>1664.69</v>
      </c>
      <c r="O80" s="3"/>
      <c r="P80" s="2">
        <v>0</v>
      </c>
      <c r="Q80" s="3"/>
      <c r="R80" s="2">
        <v>2200</v>
      </c>
    </row>
    <row r="81" spans="1:18" s="15" customFormat="1" outlineLevel="1" collapsed="1" x14ac:dyDescent="0.35">
      <c r="A81" s="7"/>
      <c r="B81" s="20" t="str">
        <f>CONCATENATE("     ","Supplies                                          ")</f>
        <v xml:space="preserve">     Supplies                                          </v>
      </c>
      <c r="C81" s="7"/>
      <c r="D81" s="1">
        <f>SUM(OSRRefD21_15x_0)</f>
        <v>22406.639999999999</v>
      </c>
      <c r="E81" s="19"/>
      <c r="F81" s="1">
        <f>SUM(OSRRefF21_15x_0)</f>
        <v>15245.15</v>
      </c>
      <c r="G81" s="4"/>
      <c r="H81" s="1">
        <f>SUM(OSRRefH21_15x_0)</f>
        <v>21544.13</v>
      </c>
      <c r="I81" s="4"/>
      <c r="J81" s="1">
        <f>SUM(OSRRefJ21_15x_0)</f>
        <v>21883.97</v>
      </c>
      <c r="K81" s="4"/>
      <c r="L81" s="1">
        <f>SUM(OSRRefL21_15x_0)</f>
        <v>14746.919999999998</v>
      </c>
      <c r="M81" s="4"/>
      <c r="N81" s="1">
        <f>SUM(OSRRefN21_15x_0)</f>
        <v>8790.9</v>
      </c>
      <c r="O81" s="4"/>
      <c r="P81" s="1">
        <f>SUM(OSRRefP21_15x_0)</f>
        <v>0</v>
      </c>
      <c r="Q81" s="4"/>
      <c r="R81" s="1">
        <f>SUM(OSRRefR21_15x_0)</f>
        <v>12975</v>
      </c>
    </row>
    <row r="82" spans="1:18" s="16" customFormat="1" hidden="1" outlineLevel="2" x14ac:dyDescent="0.35">
      <c r="B82" s="11" t="str">
        <f>CONCATENATE("          ", "6234", " - ", "EXPENDABLE SUPPLIES &amp; EQUIPMEN")</f>
        <v xml:space="preserve">          6234 - EXPENDABLE SUPPLIES &amp; EQUIPMEN</v>
      </c>
      <c r="D82" s="2">
        <v>45.77</v>
      </c>
      <c r="F82" s="2">
        <v>-170.7</v>
      </c>
      <c r="G82" s="3"/>
      <c r="H82" s="2">
        <v>748.42</v>
      </c>
      <c r="I82" s="3"/>
      <c r="J82" s="2"/>
      <c r="K82" s="3"/>
      <c r="L82" s="2">
        <v>14.99</v>
      </c>
      <c r="M82" s="3"/>
      <c r="N82" s="2">
        <v>333.92</v>
      </c>
      <c r="O82" s="3"/>
      <c r="P82" s="2">
        <v>0</v>
      </c>
      <c r="Q82" s="3"/>
      <c r="R82" s="2"/>
    </row>
    <row r="83" spans="1:18" s="16" customFormat="1" hidden="1" outlineLevel="2" x14ac:dyDescent="0.35">
      <c r="B83" s="11" t="str">
        <f>CONCATENATE("          ", "6235", " - ", "COVID-19 EXPENSES")</f>
        <v xml:space="preserve">          6235 - COVID-19 EXPENSES</v>
      </c>
      <c r="D83" s="2"/>
      <c r="F83" s="2"/>
      <c r="G83" s="3"/>
      <c r="H83" s="2"/>
      <c r="I83" s="3"/>
      <c r="J83" s="2"/>
      <c r="K83" s="3"/>
      <c r="L83" s="2"/>
      <c r="M83" s="3"/>
      <c r="N83" s="2"/>
      <c r="O83" s="3"/>
      <c r="P83" s="2">
        <v>0</v>
      </c>
      <c r="Q83" s="3"/>
      <c r="R83" s="2">
        <v>2150</v>
      </c>
    </row>
    <row r="84" spans="1:18" s="16" customFormat="1" hidden="1" outlineLevel="2" x14ac:dyDescent="0.35">
      <c r="B84" s="11" t="str">
        <f>CONCATENATE("          ", "6237", " - ", "JANITORIAL SUPPLIES")</f>
        <v xml:space="preserve">          6237 - JANITORIAL SUPPLIES</v>
      </c>
      <c r="D84" s="2">
        <v>272.60000000000002</v>
      </c>
      <c r="F84" s="2">
        <v>1576.96</v>
      </c>
      <c r="G84" s="3"/>
      <c r="H84" s="2">
        <v>661.08</v>
      </c>
      <c r="I84" s="3"/>
      <c r="J84" s="2">
        <v>445.36</v>
      </c>
      <c r="K84" s="3"/>
      <c r="L84" s="2">
        <v>2912.07</v>
      </c>
      <c r="M84" s="3"/>
      <c r="N84" s="2">
        <v>17.62</v>
      </c>
      <c r="O84" s="3"/>
      <c r="P84" s="2">
        <v>0</v>
      </c>
      <c r="Q84" s="3"/>
      <c r="R84" s="2">
        <v>1075</v>
      </c>
    </row>
    <row r="85" spans="1:18" s="16" customFormat="1" hidden="1" outlineLevel="2" x14ac:dyDescent="0.35">
      <c r="B85" s="11" t="str">
        <f>CONCATENATE("          ", "6239", " - ", "KITCHEN SUPPLIES")</f>
        <v xml:space="preserve">          6239 - KITCHEN SUPPLIES</v>
      </c>
      <c r="D85" s="2">
        <v>4930.41</v>
      </c>
      <c r="F85" s="2">
        <v>636.71</v>
      </c>
      <c r="G85" s="3"/>
      <c r="H85" s="2">
        <v>732.87</v>
      </c>
      <c r="I85" s="3"/>
      <c r="J85" s="2">
        <v>1411.89</v>
      </c>
      <c r="K85" s="3"/>
      <c r="L85" s="2">
        <v>933.38</v>
      </c>
      <c r="M85" s="3"/>
      <c r="N85" s="2">
        <v>788.08</v>
      </c>
      <c r="O85" s="3"/>
      <c r="P85" s="2">
        <v>0</v>
      </c>
      <c r="Q85" s="3"/>
      <c r="R85" s="2">
        <v>5000</v>
      </c>
    </row>
    <row r="86" spans="1:18" s="16" customFormat="1" hidden="1" outlineLevel="2" x14ac:dyDescent="0.35">
      <c r="B86" s="11" t="str">
        <f>CONCATENATE("          ", "6241", " - ", "OFFICE EXPENSE")</f>
        <v xml:space="preserve">          6241 - OFFICE EXPENSE</v>
      </c>
      <c r="D86" s="2">
        <v>1934.28</v>
      </c>
      <c r="F86" s="2">
        <v>1964.23</v>
      </c>
      <c r="G86" s="3"/>
      <c r="H86" s="2">
        <v>3459.48</v>
      </c>
      <c r="I86" s="3"/>
      <c r="J86" s="2">
        <v>3381.04</v>
      </c>
      <c r="K86" s="3"/>
      <c r="L86" s="2">
        <v>1397.97</v>
      </c>
      <c r="M86" s="3"/>
      <c r="N86" s="2">
        <v>1698.1</v>
      </c>
      <c r="O86" s="3"/>
      <c r="P86" s="2">
        <v>0</v>
      </c>
      <c r="Q86" s="3"/>
      <c r="R86" s="2">
        <v>150</v>
      </c>
    </row>
    <row r="87" spans="1:18" s="16" customFormat="1" hidden="1" outlineLevel="2" x14ac:dyDescent="0.35">
      <c r="B87" s="11" t="str">
        <f>CONCATENATE("          ", "6243", " - ", "PAPER SUPPLIES")</f>
        <v xml:space="preserve">          6243 - PAPER SUPPLIES</v>
      </c>
      <c r="D87" s="2">
        <v>11366.07</v>
      </c>
      <c r="F87" s="2">
        <v>10031.370000000001</v>
      </c>
      <c r="G87" s="3"/>
      <c r="H87" s="2">
        <v>14297.92</v>
      </c>
      <c r="I87" s="3"/>
      <c r="J87" s="2">
        <v>11075.02</v>
      </c>
      <c r="K87" s="3"/>
      <c r="L87" s="2">
        <v>6817.01</v>
      </c>
      <c r="M87" s="3"/>
      <c r="N87" s="2">
        <v>3574.75</v>
      </c>
      <c r="O87" s="3"/>
      <c r="P87" s="2">
        <v>0</v>
      </c>
      <c r="Q87" s="3"/>
      <c r="R87" s="2">
        <v>2400</v>
      </c>
    </row>
    <row r="88" spans="1:18" s="16" customFormat="1" hidden="1" outlineLevel="2" x14ac:dyDescent="0.35">
      <c r="B88" s="11" t="str">
        <f>CONCATENATE("          ", "6244", " - ", "SAFETY SUPPLY EXPENSE")</f>
        <v xml:space="preserve">          6244 - SAFETY SUPPLY EXPENSE</v>
      </c>
      <c r="D88" s="2"/>
      <c r="F88" s="2"/>
      <c r="G88" s="3"/>
      <c r="H88" s="2"/>
      <c r="I88" s="3"/>
      <c r="J88" s="2"/>
      <c r="K88" s="3"/>
      <c r="L88" s="2"/>
      <c r="M88" s="3"/>
      <c r="N88" s="2"/>
      <c r="O88" s="3"/>
      <c r="P88" s="2">
        <v>0</v>
      </c>
      <c r="Q88" s="3"/>
      <c r="R88" s="2">
        <v>150</v>
      </c>
    </row>
    <row r="89" spans="1:18" s="16" customFormat="1" hidden="1" outlineLevel="2" x14ac:dyDescent="0.35">
      <c r="B89" s="11" t="str">
        <f>CONCATENATE("          ", "6245", " - ", "PRINTING")</f>
        <v xml:space="preserve">          6245 - PRINTING</v>
      </c>
      <c r="D89" s="2">
        <v>34.24</v>
      </c>
      <c r="F89" s="2">
        <v>234</v>
      </c>
      <c r="G89" s="3"/>
      <c r="H89" s="2">
        <v>87.81</v>
      </c>
      <c r="I89" s="3"/>
      <c r="J89" s="2">
        <v>7.8</v>
      </c>
      <c r="K89" s="3"/>
      <c r="L89" s="2">
        <v>15.58</v>
      </c>
      <c r="M89" s="3"/>
      <c r="N89" s="2">
        <v>22.05</v>
      </c>
      <c r="O89" s="3"/>
      <c r="P89" s="2">
        <v>0</v>
      </c>
      <c r="Q89" s="3"/>
      <c r="R89" s="2">
        <v>1000</v>
      </c>
    </row>
    <row r="90" spans="1:18" s="16" customFormat="1" hidden="1" outlineLevel="2" x14ac:dyDescent="0.35">
      <c r="B90" s="11" t="str">
        <f>CONCATENATE("          ", "6246", " - ", "REPLACEMENTS")</f>
        <v xml:space="preserve">          6246 - REPLACEMENTS</v>
      </c>
      <c r="D90" s="2"/>
      <c r="F90" s="2"/>
      <c r="G90" s="3"/>
      <c r="H90" s="2"/>
      <c r="I90" s="3"/>
      <c r="J90" s="2"/>
      <c r="K90" s="3"/>
      <c r="L90" s="2"/>
      <c r="M90" s="3"/>
      <c r="N90" s="2"/>
      <c r="O90" s="3"/>
      <c r="P90" s="2">
        <v>0</v>
      </c>
      <c r="Q90" s="3"/>
      <c r="R90" s="2"/>
    </row>
    <row r="91" spans="1:18" s="16" customFormat="1" hidden="1" outlineLevel="2" x14ac:dyDescent="0.35">
      <c r="B91" s="11" t="str">
        <f>CONCATENATE("          ", "6247", " - ", "STORE SUPPLIES")</f>
        <v xml:space="preserve">          6247 - STORE SUPPLIES</v>
      </c>
      <c r="D91" s="2">
        <v>1934.92</v>
      </c>
      <c r="F91" s="2">
        <v>403.43</v>
      </c>
      <c r="G91" s="3"/>
      <c r="H91" s="2">
        <v>130.04</v>
      </c>
      <c r="I91" s="3"/>
      <c r="J91" s="2">
        <v>1218.52</v>
      </c>
      <c r="K91" s="3"/>
      <c r="L91" s="2">
        <v>1201.3</v>
      </c>
      <c r="M91" s="3"/>
      <c r="N91" s="2">
        <v>1534.61</v>
      </c>
      <c r="O91" s="3"/>
      <c r="P91" s="2"/>
      <c r="Q91" s="3"/>
      <c r="R91" s="2"/>
    </row>
    <row r="92" spans="1:18" s="16" customFormat="1" hidden="1" outlineLevel="2" x14ac:dyDescent="0.35">
      <c r="B92" s="11" t="str">
        <f>CONCATENATE("          ", "6248", " - ", "UNIFORMS")</f>
        <v xml:space="preserve">          6248 - UNIFORMS</v>
      </c>
      <c r="D92" s="2">
        <v>1888.35</v>
      </c>
      <c r="F92" s="2">
        <v>569.15</v>
      </c>
      <c r="G92" s="3"/>
      <c r="H92" s="2">
        <v>1426.51</v>
      </c>
      <c r="I92" s="3"/>
      <c r="J92" s="2">
        <v>4344.34</v>
      </c>
      <c r="K92" s="3"/>
      <c r="L92" s="2">
        <v>1454.62</v>
      </c>
      <c r="M92" s="3"/>
      <c r="N92" s="2">
        <v>821.77</v>
      </c>
      <c r="O92" s="3"/>
      <c r="P92" s="2">
        <v>0</v>
      </c>
      <c r="Q92" s="3"/>
      <c r="R92" s="2">
        <v>1050</v>
      </c>
    </row>
    <row r="93" spans="1:18" s="15" customFormat="1" outlineLevel="1" collapsed="1" x14ac:dyDescent="0.35">
      <c r="A93" s="7"/>
      <c r="B93" s="20" t="str">
        <f>CONCATENATE("     ","Telephone/Data Lines                              ")</f>
        <v xml:space="preserve">     Telephone/Data Lines                              </v>
      </c>
      <c r="C93" s="7"/>
      <c r="D93" s="1">
        <f>SUM(OSRRefD21_16x_0)</f>
        <v>1408.38</v>
      </c>
      <c r="E93" s="19"/>
      <c r="F93" s="1">
        <f>SUM(OSRRefF21_16x_0)</f>
        <v>1210.3499999999999</v>
      </c>
      <c r="G93" s="4"/>
      <c r="H93" s="1">
        <f>SUM(OSRRefH21_16x_0)</f>
        <v>1326.9</v>
      </c>
      <c r="I93" s="4"/>
      <c r="J93" s="1">
        <f>SUM(OSRRefJ21_16x_0)</f>
        <v>1924.7</v>
      </c>
      <c r="K93" s="4"/>
      <c r="L93" s="1">
        <f>SUM(OSRRefL21_16x_0)</f>
        <v>1909.2</v>
      </c>
      <c r="M93" s="4"/>
      <c r="N93" s="1">
        <f>SUM(OSRRefN21_16x_0)</f>
        <v>1618.34</v>
      </c>
      <c r="O93" s="4"/>
      <c r="P93" s="1">
        <f>SUM(OSRRefP21_16x_0)</f>
        <v>0</v>
      </c>
      <c r="Q93" s="4"/>
      <c r="R93" s="1">
        <f>SUM(OSRRefR21_16x_0)</f>
        <v>1500</v>
      </c>
    </row>
    <row r="94" spans="1:18" s="16" customFormat="1" hidden="1" outlineLevel="2" x14ac:dyDescent="0.35">
      <c r="B94" s="11" t="str">
        <f>CONCATENATE("          ", "6303", " - ", "DATA PHONE LINES")</f>
        <v xml:space="preserve">          6303 - DATA PHONE LINES</v>
      </c>
      <c r="D94" s="2"/>
      <c r="F94" s="2"/>
      <c r="G94" s="3"/>
      <c r="H94" s="2"/>
      <c r="I94" s="3"/>
      <c r="J94" s="2"/>
      <c r="K94" s="3"/>
      <c r="L94" s="2"/>
      <c r="M94" s="3"/>
      <c r="N94" s="2"/>
      <c r="O94" s="3"/>
      <c r="P94" s="2">
        <v>0</v>
      </c>
      <c r="Q94" s="3"/>
      <c r="R94" s="2">
        <v>900</v>
      </c>
    </row>
    <row r="95" spans="1:18" s="16" customFormat="1" hidden="1" outlineLevel="2" x14ac:dyDescent="0.35">
      <c r="B95" s="11" t="str">
        <f>CONCATENATE("          ", "6309", " - ", "TELEPHONE")</f>
        <v xml:space="preserve">          6309 - TELEPHONE</v>
      </c>
      <c r="D95" s="2">
        <v>1408.38</v>
      </c>
      <c r="F95" s="2">
        <v>1210.3499999999999</v>
      </c>
      <c r="G95" s="3"/>
      <c r="H95" s="2">
        <v>1326.9</v>
      </c>
      <c r="I95" s="3"/>
      <c r="J95" s="2">
        <v>1924.7</v>
      </c>
      <c r="K95" s="3"/>
      <c r="L95" s="2">
        <v>1909.2</v>
      </c>
      <c r="M95" s="3"/>
      <c r="N95" s="2">
        <v>1618.34</v>
      </c>
      <c r="O95" s="3"/>
      <c r="P95" s="2"/>
      <c r="Q95" s="3"/>
      <c r="R95" s="2">
        <v>600</v>
      </c>
    </row>
    <row r="96" spans="1:18" s="15" customFormat="1" outlineLevel="1" collapsed="1" x14ac:dyDescent="0.35">
      <c r="A96" s="7"/>
      <c r="B96" s="20" t="str">
        <f>CONCATENATE("     ","Training                                          ")</f>
        <v xml:space="preserve">     Training                                          </v>
      </c>
      <c r="C96" s="7"/>
      <c r="D96" s="1">
        <f>SUM(OSRRefD21_17x_0)</f>
        <v>661.36</v>
      </c>
      <c r="E96" s="19"/>
      <c r="F96" s="1">
        <f>SUM(OSRRefF21_17x_0)</f>
        <v>416.8</v>
      </c>
      <c r="G96" s="4"/>
      <c r="H96" s="1">
        <f>SUM(OSRRefH21_17x_0)</f>
        <v>1454.42</v>
      </c>
      <c r="I96" s="4"/>
      <c r="J96" s="1">
        <f>SUM(OSRRefJ21_17x_0)</f>
        <v>559</v>
      </c>
      <c r="K96" s="4"/>
      <c r="L96" s="1">
        <f>SUM(OSRRefL21_17x_0)</f>
        <v>140</v>
      </c>
      <c r="M96" s="4"/>
      <c r="N96" s="1">
        <f>SUM(OSRRefN21_17x_0)</f>
        <v>279.95</v>
      </c>
      <c r="O96" s="4"/>
      <c r="P96" s="1">
        <f>SUM(OSRRefP21_17x_0)</f>
        <v>0</v>
      </c>
      <c r="Q96" s="4"/>
      <c r="R96" s="1">
        <f>SUM(OSRRefR21_17x_0)</f>
        <v>400</v>
      </c>
    </row>
    <row r="97" spans="1:18" s="16" customFormat="1" hidden="1" outlineLevel="2" x14ac:dyDescent="0.35">
      <c r="B97" s="11" t="str">
        <f>CONCATENATE("          ", "6376", " - ", "TRAINING")</f>
        <v xml:space="preserve">          6376 - TRAINING</v>
      </c>
      <c r="D97" s="2">
        <v>661.36</v>
      </c>
      <c r="F97" s="2">
        <v>416.8</v>
      </c>
      <c r="G97" s="3"/>
      <c r="H97" s="2">
        <v>1454.42</v>
      </c>
      <c r="I97" s="3"/>
      <c r="J97" s="2">
        <v>559</v>
      </c>
      <c r="K97" s="3"/>
      <c r="L97" s="2">
        <v>140</v>
      </c>
      <c r="M97" s="3"/>
      <c r="N97" s="2">
        <v>279.95</v>
      </c>
      <c r="O97" s="3"/>
      <c r="P97" s="2">
        <v>0</v>
      </c>
      <c r="Q97" s="3"/>
      <c r="R97" s="2">
        <v>400</v>
      </c>
    </row>
    <row r="98" spans="1:18" s="15" customFormat="1" outlineLevel="1" collapsed="1" x14ac:dyDescent="0.35">
      <c r="A98" s="7"/>
      <c r="B98" s="20" t="str">
        <f>CONCATENATE("     ","Travel                                            ")</f>
        <v xml:space="preserve">     Travel                                            </v>
      </c>
      <c r="C98" s="7"/>
      <c r="D98" s="1">
        <f>SUM(OSRRefD21_18x_0)</f>
        <v>500.2</v>
      </c>
      <c r="E98" s="19"/>
      <c r="F98" s="1">
        <f>SUM(OSRRefF21_18x_0)</f>
        <v>0</v>
      </c>
      <c r="G98" s="4"/>
      <c r="H98" s="1">
        <f>SUM(OSRRefH21_18x_0)</f>
        <v>248.42</v>
      </c>
      <c r="I98" s="4"/>
      <c r="J98" s="1">
        <f>SUM(OSRRefJ21_18x_0)</f>
        <v>344.2</v>
      </c>
      <c r="K98" s="4"/>
      <c r="L98" s="1">
        <f>SUM(OSRRefL21_18x_0)</f>
        <v>0</v>
      </c>
      <c r="M98" s="4"/>
      <c r="N98" s="1">
        <f>SUM(OSRRefN21_18x_0)</f>
        <v>0</v>
      </c>
      <c r="O98" s="4"/>
      <c r="P98" s="1">
        <f>SUM(OSRRefP21_18x_0)</f>
        <v>0</v>
      </c>
      <c r="Q98" s="4"/>
      <c r="R98" s="1">
        <f>SUM(OSRRefR21_18x_0)</f>
        <v>600</v>
      </c>
    </row>
    <row r="99" spans="1:18" s="16" customFormat="1" hidden="1" outlineLevel="2" x14ac:dyDescent="0.35">
      <c r="B99" s="11" t="str">
        <f>CONCATENATE("          ", "6292", " - ", "TRAVEL/CONFERENCE")</f>
        <v xml:space="preserve">          6292 - TRAVEL/CONFERENCE</v>
      </c>
      <c r="D99" s="2"/>
      <c r="F99" s="2"/>
      <c r="G99" s="3"/>
      <c r="H99" s="2">
        <v>169.7</v>
      </c>
      <c r="I99" s="3"/>
      <c r="J99" s="2">
        <v>344.2</v>
      </c>
      <c r="K99" s="3"/>
      <c r="L99" s="2"/>
      <c r="M99" s="3"/>
      <c r="N99" s="2"/>
      <c r="O99" s="3"/>
      <c r="P99" s="2"/>
      <c r="Q99" s="3"/>
      <c r="R99" s="2">
        <v>600</v>
      </c>
    </row>
    <row r="100" spans="1:18" s="16" customFormat="1" hidden="1" outlineLevel="2" x14ac:dyDescent="0.35">
      <c r="B100" s="11" t="str">
        <f>CONCATENATE("          ", "6294", " - ", "TRAVEL OPERATIONAL")</f>
        <v xml:space="preserve">          6294 - TRAVEL OPERATIONAL</v>
      </c>
      <c r="D100" s="2">
        <v>500.2</v>
      </c>
      <c r="F100" s="2"/>
      <c r="G100" s="3"/>
      <c r="H100" s="2">
        <v>78.72</v>
      </c>
      <c r="I100" s="3"/>
      <c r="J100" s="2"/>
      <c r="K100" s="3"/>
      <c r="L100" s="2"/>
      <c r="M100" s="3"/>
      <c r="N100" s="2"/>
      <c r="O100" s="3"/>
      <c r="P100" s="2"/>
      <c r="Q100" s="3"/>
      <c r="R100" s="2"/>
    </row>
    <row r="101" spans="1:18" s="15" customFormat="1" outlineLevel="1" collapsed="1" x14ac:dyDescent="0.35">
      <c r="A101" s="7"/>
      <c r="B101" s="20" t="str">
        <f>CONCATENATE("     ","Utilities                                         ")</f>
        <v xml:space="preserve">     Utilities                                         </v>
      </c>
      <c r="C101" s="7"/>
      <c r="D101" s="1">
        <f>SUM(OSRRefD21_19x_0)</f>
        <v>0</v>
      </c>
      <c r="E101" s="19"/>
      <c r="F101" s="1">
        <f>SUM(OSRRefF21_19x_0)</f>
        <v>0</v>
      </c>
      <c r="G101" s="4"/>
      <c r="H101" s="1">
        <f>SUM(OSRRefH21_19x_0)</f>
        <v>0</v>
      </c>
      <c r="I101" s="4"/>
      <c r="J101" s="1">
        <f>SUM(OSRRefJ21_19x_0)</f>
        <v>0</v>
      </c>
      <c r="K101" s="4"/>
      <c r="L101" s="1">
        <f>SUM(OSRRefL21_19x_0)</f>
        <v>0</v>
      </c>
      <c r="M101" s="4"/>
      <c r="N101" s="1">
        <f>SUM(OSRRefN21_19x_0)</f>
        <v>0</v>
      </c>
      <c r="O101" s="4"/>
      <c r="P101" s="1">
        <f>SUM(OSRRefP21_19x_0)</f>
        <v>0</v>
      </c>
      <c r="Q101" s="4"/>
      <c r="R101" s="1">
        <f>SUM(OSRRefR21_19x_0)</f>
        <v>6000</v>
      </c>
    </row>
    <row r="102" spans="1:18" s="16" customFormat="1" hidden="1" outlineLevel="2" x14ac:dyDescent="0.35">
      <c r="B102" s="11" t="str">
        <f>CONCATENATE("          ", "6274", " - ", "UTILITIES")</f>
        <v xml:space="preserve">          6274 - UTILITIES</v>
      </c>
      <c r="D102" s="2"/>
      <c r="F102" s="2"/>
      <c r="G102" s="3"/>
      <c r="H102" s="2"/>
      <c r="I102" s="3"/>
      <c r="J102" s="2"/>
      <c r="K102" s="3"/>
      <c r="L102" s="2"/>
      <c r="M102" s="3"/>
      <c r="N102" s="2"/>
      <c r="O102" s="3"/>
      <c r="P102" s="2"/>
      <c r="Q102" s="3"/>
      <c r="R102" s="2">
        <v>6000</v>
      </c>
    </row>
    <row r="103" spans="1:18" x14ac:dyDescent="0.35">
      <c r="A103" s="12"/>
      <c r="B103" s="12"/>
      <c r="C103" s="12"/>
      <c r="D103" s="1"/>
      <c r="F103" s="1"/>
      <c r="H103" s="1"/>
      <c r="J103" s="1"/>
      <c r="L103" s="1"/>
      <c r="N103" s="1"/>
      <c r="P103" s="1"/>
      <c r="R103" s="1"/>
    </row>
    <row r="104" spans="1:18" s="7" customFormat="1" collapsed="1" x14ac:dyDescent="0.35">
      <c r="A104" s="36"/>
      <c r="B104" s="34" t="s">
        <v>295</v>
      </c>
      <c r="D104" s="6">
        <f>SUM(OSRRefD24x_0)</f>
        <v>14904.12</v>
      </c>
      <c r="E104" s="12"/>
      <c r="F104" s="6">
        <f>SUM(OSRRefF24x_0)</f>
        <v>0</v>
      </c>
      <c r="G104" s="5"/>
      <c r="H104" s="6">
        <f>SUM(OSRRefH24x_0)</f>
        <v>1541</v>
      </c>
      <c r="I104" s="5"/>
      <c r="J104" s="6">
        <f>SUM(OSRRefJ24x_0)</f>
        <v>1650.09</v>
      </c>
      <c r="K104" s="5"/>
      <c r="L104" s="6">
        <f>SUM(OSRRefL24x_0)</f>
        <v>1269.75</v>
      </c>
      <c r="M104" s="5"/>
      <c r="N104" s="6">
        <f>SUM(OSRRefN24x_0)</f>
        <v>0</v>
      </c>
      <c r="O104" s="5"/>
      <c r="P104" s="6">
        <f>SUM(OSRRefP24x_0)</f>
        <v>0</v>
      </c>
      <c r="Q104" s="5"/>
      <c r="R104" s="6">
        <f>SUM(OSRRefR24x_0)</f>
        <v>0</v>
      </c>
    </row>
    <row r="105" spans="1:18" s="7" customFormat="1" hidden="1" outlineLevel="1" x14ac:dyDescent="0.35">
      <c r="A105" s="36"/>
      <c r="B105" s="11" t="str">
        <f>CONCATENATE("          ", "9150", " - ", "MISC. INCOME")</f>
        <v xml:space="preserve">          9150 - MISC. INCOME</v>
      </c>
      <c r="D105" s="11">
        <f>--14904.12</f>
        <v>14904.12</v>
      </c>
      <c r="E105" s="16"/>
      <c r="F105" s="11">
        <f>0</f>
        <v>0</v>
      </c>
      <c r="G105" s="3"/>
      <c r="H105" s="11">
        <f>--1541</f>
        <v>1541</v>
      </c>
      <c r="I105" s="3"/>
      <c r="J105" s="11">
        <f>--1650.09</f>
        <v>1650.09</v>
      </c>
      <c r="K105" s="3"/>
      <c r="L105" s="11">
        <f>--1269.75</f>
        <v>1269.75</v>
      </c>
      <c r="M105" s="3"/>
      <c r="N105" s="11">
        <f>0</f>
        <v>0</v>
      </c>
      <c r="O105" s="3"/>
      <c r="P105" s="11"/>
      <c r="Q105" s="3"/>
      <c r="R105" s="11"/>
    </row>
    <row r="106" spans="1:18" x14ac:dyDescent="0.35">
      <c r="A106" s="12"/>
      <c r="B106" s="7"/>
      <c r="C106" s="7"/>
      <c r="D106" s="6"/>
      <c r="F106" s="6"/>
      <c r="H106" s="6"/>
      <c r="J106" s="6"/>
      <c r="L106" s="6"/>
      <c r="N106" s="6"/>
      <c r="P106" s="6"/>
      <c r="R106" s="6"/>
    </row>
    <row r="107" spans="1:18" s="15" customFormat="1" x14ac:dyDescent="0.35">
      <c r="A107" s="7"/>
      <c r="B107" s="22" t="s">
        <v>279</v>
      </c>
      <c r="C107" s="22"/>
      <c r="D107" s="10">
        <f>+D21-D24+D104</f>
        <v>266471.13</v>
      </c>
      <c r="E107" s="12"/>
      <c r="F107" s="10">
        <f>+F21-F24+F104</f>
        <v>284575.9800000001</v>
      </c>
      <c r="G107" s="5"/>
      <c r="H107" s="10">
        <f>+H21-H24+H104</f>
        <v>413826.83999999973</v>
      </c>
      <c r="I107" s="5"/>
      <c r="J107" s="10">
        <f>+J21-J24+J104</f>
        <v>307964.10000000003</v>
      </c>
      <c r="K107" s="5"/>
      <c r="L107" s="10">
        <f>+L21-L24+L104</f>
        <v>351344.00000000023</v>
      </c>
      <c r="M107" s="5"/>
      <c r="N107" s="10">
        <f>+N21-N24+N104</f>
        <v>83343.88</v>
      </c>
      <c r="O107" s="5"/>
      <c r="P107" s="10">
        <f>+P21-P24+P104</f>
        <v>-84039</v>
      </c>
      <c r="Q107" s="5"/>
      <c r="R107" s="10">
        <f>+R21-R24+R104</f>
        <v>63388.200594486087</v>
      </c>
    </row>
    <row r="108" spans="1:18" s="27" customFormat="1" x14ac:dyDescent="0.35">
      <c r="A108" s="18"/>
      <c r="B108" s="31"/>
      <c r="C108" s="18"/>
      <c r="D108" s="9">
        <f>IFERROR(D107/D10, 0)</f>
        <v>0.20953115905490252</v>
      </c>
      <c r="E108" s="18"/>
      <c r="F108" s="9">
        <f>IFERROR(F107/F10, 0)</f>
        <v>0.20274306883091914</v>
      </c>
      <c r="G108" s="14"/>
      <c r="H108" s="9">
        <f>IFERROR(H107/H10, 0)</f>
        <v>0.26315644921397524</v>
      </c>
      <c r="I108" s="14"/>
      <c r="J108" s="9">
        <f>IFERROR(J107/J10, 0)</f>
        <v>0.2093884531828413</v>
      </c>
      <c r="K108" s="14"/>
      <c r="L108" s="9">
        <f>IFERROR(L107/L10, 0)</f>
        <v>0.22816030422551478</v>
      </c>
      <c r="M108" s="14"/>
      <c r="N108" s="9">
        <f>IFERROR(N107/N10, 0)</f>
        <v>7.797923825989693E-2</v>
      </c>
      <c r="O108" s="14"/>
      <c r="P108" s="9">
        <f>IFERROR(P107/P10, 0)</f>
        <v>0</v>
      </c>
      <c r="Q108" s="14"/>
      <c r="R108" s="9">
        <f>IFERROR(R107/R10, 0)</f>
        <v>6.5674187720667063E-2</v>
      </c>
    </row>
    <row r="109" spans="1:18" s="27" customFormat="1" x14ac:dyDescent="0.35">
      <c r="A109" s="18"/>
      <c r="B109" s="31"/>
      <c r="C109" s="18"/>
      <c r="D109" s="13"/>
      <c r="E109" s="18"/>
      <c r="F109" s="13"/>
      <c r="G109" s="14"/>
      <c r="H109" s="13"/>
      <c r="I109" s="14"/>
      <c r="J109" s="13"/>
      <c r="K109" s="14"/>
      <c r="L109" s="13"/>
      <c r="M109" s="14"/>
      <c r="N109" s="13"/>
      <c r="O109" s="14"/>
      <c r="P109" s="13"/>
      <c r="Q109" s="14"/>
      <c r="R109" s="13"/>
    </row>
    <row r="110" spans="1:18" s="15" customFormat="1" x14ac:dyDescent="0.35">
      <c r="A110" s="37"/>
      <c r="B110" s="7" t="s">
        <v>127</v>
      </c>
      <c r="C110" s="7"/>
      <c r="D110" s="6">
        <v>276360.78999999998</v>
      </c>
      <c r="E110" s="12"/>
      <c r="F110" s="6">
        <v>199816.26</v>
      </c>
      <c r="G110" s="5"/>
      <c r="H110" s="6">
        <v>210259.06</v>
      </c>
      <c r="I110" s="5"/>
      <c r="J110" s="6">
        <v>197398.33</v>
      </c>
      <c r="K110" s="5"/>
      <c r="L110" s="6">
        <v>109759.58</v>
      </c>
      <c r="M110" s="5"/>
      <c r="N110" s="6">
        <v>161839.85999999999</v>
      </c>
      <c r="O110" s="5"/>
      <c r="P110" s="6"/>
      <c r="Q110" s="5"/>
      <c r="R110" s="6">
        <v>109447</v>
      </c>
    </row>
    <row r="111" spans="1:18" x14ac:dyDescent="0.35">
      <c r="A111" s="12"/>
      <c r="B111" s="7"/>
      <c r="C111" s="7"/>
      <c r="D111" s="6"/>
      <c r="F111" s="6"/>
      <c r="H111" s="6"/>
      <c r="J111" s="6"/>
      <c r="L111" s="6"/>
      <c r="N111" s="6"/>
      <c r="P111" s="6"/>
      <c r="R111" s="6"/>
    </row>
    <row r="112" spans="1:18" s="15" customFormat="1" x14ac:dyDescent="0.35">
      <c r="A112" s="7"/>
      <c r="B112" s="22" t="s">
        <v>126</v>
      </c>
      <c r="C112" s="22"/>
      <c r="D112" s="10">
        <f>+D107-D110</f>
        <v>-9889.6599999999744</v>
      </c>
      <c r="E112" s="12"/>
      <c r="F112" s="10">
        <f>+F107-F110</f>
        <v>84759.720000000088</v>
      </c>
      <c r="G112" s="5"/>
      <c r="H112" s="10">
        <f>+H107-H110</f>
        <v>203567.77999999974</v>
      </c>
      <c r="I112" s="5"/>
      <c r="J112" s="10">
        <f>+J107-J110</f>
        <v>110565.77000000005</v>
      </c>
      <c r="K112" s="5"/>
      <c r="L112" s="10">
        <f>+L107-L110</f>
        <v>241584.42000000022</v>
      </c>
      <c r="M112" s="5"/>
      <c r="N112" s="10">
        <f>+N107-N110</f>
        <v>-78495.979999999981</v>
      </c>
      <c r="O112" s="5"/>
      <c r="P112" s="10">
        <f>+P107-P110</f>
        <v>-84039</v>
      </c>
      <c r="Q112" s="5"/>
      <c r="R112" s="10">
        <f>+R107-R110</f>
        <v>-46058.799405513913</v>
      </c>
    </row>
    <row r="113" spans="1:18" s="27" customFormat="1" x14ac:dyDescent="0.35">
      <c r="A113" s="18"/>
      <c r="B113" s="18"/>
      <c r="C113" s="18"/>
      <c r="D113" s="9">
        <f>IFERROR(D112/D10, 0)</f>
        <v>-7.7764218677606909E-3</v>
      </c>
      <c r="E113" s="18"/>
      <c r="F113" s="9">
        <f>IFERROR(F112/F10, 0)</f>
        <v>6.038614273084273E-2</v>
      </c>
      <c r="G113" s="14"/>
      <c r="H113" s="9">
        <f>IFERROR(H112/H10, 0)</f>
        <v>0.1294507001024188</v>
      </c>
      <c r="I113" s="14"/>
      <c r="J113" s="9">
        <f>IFERROR(J112/J10, 0)</f>
        <v>7.5174981613992692E-2</v>
      </c>
      <c r="K113" s="14"/>
      <c r="L113" s="9">
        <f>IFERROR(L112/L10, 0)</f>
        <v>0.15688321065208044</v>
      </c>
      <c r="M113" s="14"/>
      <c r="N113" s="9">
        <f>IFERROR(N112/N10, 0)</f>
        <v>-7.3443385727471569E-2</v>
      </c>
      <c r="O113" s="14"/>
      <c r="P113" s="9">
        <f>IFERROR(P112/P10, 0)</f>
        <v>0</v>
      </c>
      <c r="Q113" s="14"/>
      <c r="R113" s="9">
        <f>IFERROR(R112/R10, 0)</f>
        <v>-4.7719831293166454E-2</v>
      </c>
    </row>
    <row r="114" spans="1:18" s="27" customFormat="1" x14ac:dyDescent="0.35">
      <c r="A114" s="18"/>
      <c r="B114" s="18"/>
      <c r="C114" s="18"/>
      <c r="D114" s="13"/>
      <c r="E114" s="18"/>
      <c r="F114" s="13"/>
      <c r="G114" s="14"/>
      <c r="H114" s="13"/>
      <c r="I114" s="14"/>
      <c r="J114" s="13"/>
      <c r="K114" s="14"/>
      <c r="L114" s="13"/>
      <c r="M114" s="14"/>
      <c r="N114" s="13"/>
      <c r="O114" s="14"/>
      <c r="P114" s="13"/>
      <c r="Q114" s="14"/>
      <c r="R114" s="13"/>
    </row>
    <row r="115" spans="1:18" x14ac:dyDescent="0.35">
      <c r="A115" s="12"/>
      <c r="B115" s="12"/>
      <c r="C115" s="12"/>
      <c r="D115" s="6"/>
      <c r="F115" s="6"/>
      <c r="H115" s="6"/>
      <c r="J115" s="6"/>
      <c r="L115" s="6"/>
      <c r="N115" s="6"/>
      <c r="P115" s="6"/>
      <c r="R115" s="6"/>
    </row>
    <row r="116" spans="1:18" s="15" customFormat="1" x14ac:dyDescent="0.35">
      <c r="A116" s="7"/>
      <c r="B116" s="22" t="s">
        <v>296</v>
      </c>
      <c r="C116" s="22"/>
      <c r="D116" s="10">
        <f>SUM(D112:D115)</f>
        <v>-9889.6677764218421</v>
      </c>
      <c r="E116" s="12"/>
      <c r="F116" s="10">
        <f>SUM(F112:F115)</f>
        <v>84759.780386142826</v>
      </c>
      <c r="G116" s="5"/>
      <c r="H116" s="10">
        <f>SUM(H112:H115)</f>
        <v>203567.90945069984</v>
      </c>
      <c r="I116" s="5"/>
      <c r="J116" s="10">
        <f>SUM(J112:J115)</f>
        <v>110565.84517498166</v>
      </c>
      <c r="K116" s="5"/>
      <c r="L116" s="10">
        <f>SUM(L112:L115)</f>
        <v>241584.57688321086</v>
      </c>
      <c r="M116" s="5"/>
      <c r="N116" s="10">
        <f>SUM(N112:N115)</f>
        <v>-78496.05344338571</v>
      </c>
      <c r="O116" s="5"/>
      <c r="P116" s="10">
        <f>SUM(P112:P115)</f>
        <v>-84039</v>
      </c>
      <c r="Q116" s="5"/>
      <c r="R116" s="10">
        <f>SUM(R112:R115)</f>
        <v>-46058.847125345208</v>
      </c>
    </row>
    <row r="117" spans="1:18" s="27" customFormat="1" x14ac:dyDescent="0.35">
      <c r="A117" s="18"/>
      <c r="B117" s="41"/>
      <c r="C117" s="18"/>
      <c r="D117" s="9">
        <f>IFERROR(D116/D10, 0)</f>
        <v>-7.7764279825044804E-3</v>
      </c>
      <c r="E117" s="18"/>
      <c r="F117" s="9">
        <f>IFERROR(F116/F10, 0)</f>
        <v>6.0386185752294833E-2</v>
      </c>
      <c r="G117" s="14"/>
      <c r="H117" s="9">
        <f>IFERROR(H116/H10, 0)</f>
        <v>0.12945078242135827</v>
      </c>
      <c r="I117" s="14"/>
      <c r="J117" s="9">
        <f>IFERROR(J116/J10, 0)</f>
        <v>7.5175032726356492E-2</v>
      </c>
      <c r="K117" s="14"/>
      <c r="L117" s="9">
        <f>IFERROR(L116/L10, 0)</f>
        <v>0.15688331253092586</v>
      </c>
      <c r="M117" s="14"/>
      <c r="N117" s="9">
        <f>IFERROR(N116/N10, 0)</f>
        <v>-7.3443454443486156E-2</v>
      </c>
      <c r="O117" s="14"/>
      <c r="P117" s="9">
        <f>IFERROR(P116/P10, 0)</f>
        <v>0</v>
      </c>
      <c r="Q117" s="14"/>
      <c r="R117" s="9">
        <f>IFERROR(R116/R10, 0)</f>
        <v>-4.7719880733931908E-2</v>
      </c>
    </row>
    <row r="118" spans="1:18" x14ac:dyDescent="0.35">
      <c r="A118" s="12"/>
      <c r="B118" s="40">
        <v>44319.883572604165</v>
      </c>
      <c r="D118" s="24"/>
      <c r="F118" s="24"/>
      <c r="H118" s="24"/>
      <c r="J118" s="24"/>
      <c r="L118" s="24"/>
      <c r="N118" s="24"/>
      <c r="P118" s="24"/>
      <c r="R118" s="24"/>
    </row>
    <row r="119" spans="1:18" x14ac:dyDescent="0.35">
      <c r="A119" s="12"/>
      <c r="B119" s="39" t="s">
        <v>23</v>
      </c>
      <c r="D119" s="24"/>
      <c r="F119" s="24"/>
      <c r="H119" s="24"/>
      <c r="J119" s="24"/>
      <c r="L119" s="24"/>
      <c r="N119" s="24"/>
      <c r="P119" s="24"/>
      <c r="R119" s="24"/>
    </row>
    <row r="120" spans="1:18" x14ac:dyDescent="0.35">
      <c r="A120" s="12"/>
      <c r="D120" s="24"/>
      <c r="F120" s="24"/>
      <c r="H120" s="24"/>
      <c r="J120" s="24"/>
      <c r="L120" s="24"/>
      <c r="N120" s="24"/>
      <c r="P120" s="24"/>
      <c r="R120" s="24"/>
    </row>
    <row r="121" spans="1:18" x14ac:dyDescent="0.35">
      <c r="D121" s="24"/>
      <c r="F121" s="24"/>
      <c r="H121" s="24"/>
      <c r="J121" s="24"/>
      <c r="L121" s="24"/>
      <c r="N121" s="24"/>
      <c r="P121" s="24"/>
      <c r="R121" s="24"/>
    </row>
  </sheetData>
  <pageMargins left="0.5" right="0.5" top="0.5" bottom="0.5" header="0.3" footer="0.3"/>
  <pageSetup scale="59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68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","420", " - ", "Catering")</f>
        <v>Department 420 - Catering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0</v>
      </c>
      <c r="F10" s="8">
        <f>SUM(OSRRefF11x_0)</f>
        <v>0</v>
      </c>
      <c r="G10" s="8"/>
      <c r="H10" s="8">
        <f>SUM(OSRRefH11x_0)</f>
        <v>0</v>
      </c>
      <c r="I10" s="8"/>
      <c r="J10" s="8">
        <f>SUM(OSRRefJ11x_0)</f>
        <v>0</v>
      </c>
      <c r="K10" s="8"/>
      <c r="L10" s="8">
        <f>SUM(OSRRefL11x_0)</f>
        <v>0</v>
      </c>
      <c r="M10" s="8"/>
      <c r="N10" s="8">
        <f>SUM(OSRRefN11x_0)</f>
        <v>211082.08000000002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"4052", " - ", "TAXABLE SALES-FOOD")</f>
        <v xml:space="preserve">          4052 - TAXABLE SALES-FOOD</v>
      </c>
      <c r="D11" s="11">
        <f t="shared" ref="D11:D12" si="0">0*-1</f>
        <v>0</v>
      </c>
      <c r="F11" s="11">
        <f t="shared" ref="F11:F12" si="1">0*-1</f>
        <v>0</v>
      </c>
      <c r="G11" s="3"/>
      <c r="H11" s="11">
        <f t="shared" ref="H11:H12" si="2">0*-1</f>
        <v>0</v>
      </c>
      <c r="I11" s="3"/>
      <c r="J11" s="11">
        <f t="shared" ref="J11:J12" si="3">0</f>
        <v>0</v>
      </c>
      <c r="K11" s="3"/>
      <c r="L11" s="11">
        <f t="shared" ref="L11:L12" si="4">0</f>
        <v>0</v>
      </c>
      <c r="M11" s="3"/>
      <c r="N11" s="11">
        <f>--210141.41</f>
        <v>210141.41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"4152", " - ", "NON-TAXABLE SALES-FOOD")</f>
        <v xml:space="preserve">          4152 - NON-TAXABLE SALES-FOOD</v>
      </c>
      <c r="D12" s="11">
        <f t="shared" si="0"/>
        <v>0</v>
      </c>
      <c r="F12" s="11">
        <f t="shared" si="1"/>
        <v>0</v>
      </c>
      <c r="G12" s="3"/>
      <c r="H12" s="11">
        <f t="shared" si="2"/>
        <v>0</v>
      </c>
      <c r="I12" s="3"/>
      <c r="J12" s="11">
        <f t="shared" si="3"/>
        <v>0</v>
      </c>
      <c r="K12" s="3"/>
      <c r="L12" s="11">
        <f t="shared" si="4"/>
        <v>0</v>
      </c>
      <c r="M12" s="3"/>
      <c r="N12" s="11">
        <f>--940.67</f>
        <v>940.67</v>
      </c>
      <c r="O12" s="3"/>
      <c r="P12" s="11"/>
      <c r="Q12" s="3"/>
      <c r="R12" s="11"/>
    </row>
    <row r="13" spans="1:18" s="12" customFormat="1" x14ac:dyDescent="0.35">
      <c r="B13" s="7"/>
      <c r="D13" s="6"/>
      <c r="F13" s="6"/>
      <c r="G13" s="5"/>
      <c r="H13" s="6"/>
      <c r="I13" s="5"/>
      <c r="J13" s="6"/>
      <c r="K13" s="5"/>
      <c r="L13" s="6"/>
      <c r="M13" s="5"/>
      <c r="N13" s="6"/>
      <c r="O13" s="5"/>
      <c r="P13" s="6"/>
      <c r="Q13" s="5"/>
      <c r="R13" s="6"/>
    </row>
    <row r="14" spans="1:18" s="12" customFormat="1" collapsed="1" x14ac:dyDescent="0.35">
      <c r="B14" s="7" t="s">
        <v>278</v>
      </c>
      <c r="D14" s="8">
        <f>SUM(OSRRefD14x_0)</f>
        <v>0</v>
      </c>
      <c r="E14" s="8"/>
      <c r="F14" s="8">
        <f>SUM(OSRRefF14x_0)</f>
        <v>0</v>
      </c>
      <c r="G14" s="8"/>
      <c r="H14" s="8">
        <f>SUM(OSRRefH14x_0)</f>
        <v>0</v>
      </c>
      <c r="I14" s="8"/>
      <c r="J14" s="8">
        <f>SUM(OSRRefJ14x_0)</f>
        <v>0</v>
      </c>
      <c r="K14" s="8"/>
      <c r="L14" s="8">
        <f>SUM(OSRRefL14x_0)</f>
        <v>0</v>
      </c>
      <c r="M14" s="8"/>
      <c r="N14" s="8">
        <f>SUM(OSRRefN14x_0)</f>
        <v>9795.24</v>
      </c>
      <c r="O14" s="8"/>
      <c r="P14" s="8">
        <f>SUM(OSRRefP14x_0)</f>
        <v>0</v>
      </c>
      <c r="Q14" s="8"/>
      <c r="R14" s="8">
        <f>SUM(OSRRefR14x_0)</f>
        <v>0</v>
      </c>
    </row>
    <row r="15" spans="1:18" s="44" customFormat="1" hidden="1" outlineLevel="1" x14ac:dyDescent="0.35">
      <c r="A15" s="16"/>
      <c r="B15" s="35" t="str">
        <f>CONCATENATE("          ", "5053", " - ", "PURCHASES @ COST-FOOD")</f>
        <v xml:space="preserve">          5053 - PURCHASES @ COST-FOOD</v>
      </c>
      <c r="C15" s="16"/>
      <c r="D15" s="11"/>
      <c r="E15" s="16"/>
      <c r="F15" s="11"/>
      <c r="G15" s="3"/>
      <c r="H15" s="11"/>
      <c r="I15" s="3"/>
      <c r="J15" s="11"/>
      <c r="K15" s="3"/>
      <c r="L15" s="11"/>
      <c r="M15" s="3"/>
      <c r="N15" s="11">
        <v>373.24</v>
      </c>
      <c r="O15" s="3"/>
      <c r="P15" s="11"/>
      <c r="Q15" s="3"/>
      <c r="R15" s="11"/>
    </row>
    <row r="16" spans="1:18" s="44" customFormat="1" hidden="1" outlineLevel="1" x14ac:dyDescent="0.35">
      <c r="A16" s="16"/>
      <c r="B16" s="35" t="str">
        <f>CONCATENATE("          ", "5059", " - ", "PURCHASES @ COST-FOOD")</f>
        <v xml:space="preserve">          5059 - PURCHASES @ COST-FOOD</v>
      </c>
      <c r="C16" s="16"/>
      <c r="D16" s="11"/>
      <c r="E16" s="16"/>
      <c r="F16" s="11"/>
      <c r="G16" s="3"/>
      <c r="H16" s="11"/>
      <c r="I16" s="3"/>
      <c r="J16" s="11"/>
      <c r="K16" s="3"/>
      <c r="L16" s="11"/>
      <c r="M16" s="3"/>
      <c r="N16" s="11">
        <v>9422</v>
      </c>
      <c r="O16" s="3"/>
      <c r="P16" s="11"/>
      <c r="Q16" s="3"/>
      <c r="R16" s="11"/>
    </row>
    <row r="17" spans="1:18" x14ac:dyDescent="0.35">
      <c r="A17" s="12"/>
      <c r="B17" s="7"/>
      <c r="C17" s="7"/>
      <c r="D17" s="6"/>
      <c r="F17" s="6"/>
      <c r="H17" s="6"/>
      <c r="J17" s="6"/>
      <c r="L17" s="6"/>
      <c r="N17" s="6"/>
      <c r="P17" s="6"/>
      <c r="R17" s="6"/>
    </row>
    <row r="18" spans="1:18" s="15" customFormat="1" x14ac:dyDescent="0.35">
      <c r="A18" s="7"/>
      <c r="B18" s="22" t="s">
        <v>107</v>
      </c>
      <c r="C18" s="22"/>
      <c r="D18" s="10">
        <f>+D10-D14</f>
        <v>0</v>
      </c>
      <c r="E18" s="12"/>
      <c r="F18" s="10">
        <f>+F10-F14</f>
        <v>0</v>
      </c>
      <c r="G18" s="5"/>
      <c r="H18" s="10">
        <f>+H10-H14</f>
        <v>0</v>
      </c>
      <c r="I18" s="5"/>
      <c r="J18" s="10">
        <f>+J10-J14</f>
        <v>0</v>
      </c>
      <c r="K18" s="5"/>
      <c r="L18" s="10">
        <f>+L10-L14</f>
        <v>0</v>
      </c>
      <c r="M18" s="5"/>
      <c r="N18" s="10">
        <f>+N10-N14</f>
        <v>201286.84000000003</v>
      </c>
      <c r="O18" s="5"/>
      <c r="P18" s="10">
        <f>+P10-P14</f>
        <v>0</v>
      </c>
      <c r="Q18" s="5"/>
      <c r="R18" s="10">
        <f>+R10-R14</f>
        <v>0</v>
      </c>
    </row>
    <row r="19" spans="1:18" s="27" customFormat="1" x14ac:dyDescent="0.35">
      <c r="A19" s="18"/>
      <c r="B19" s="31"/>
      <c r="C19" s="18"/>
      <c r="D19" s="9">
        <f>IFERROR(D18/D10, 0)</f>
        <v>0</v>
      </c>
      <c r="E19" s="13"/>
      <c r="F19" s="9">
        <f>IFERROR(F18/F10, 0)</f>
        <v>0</v>
      </c>
      <c r="G19" s="26"/>
      <c r="H19" s="9">
        <f>IFERROR(H18/H10, 0)</f>
        <v>0</v>
      </c>
      <c r="I19" s="26"/>
      <c r="J19" s="9">
        <f>IFERROR(J18/J10, 0)</f>
        <v>0</v>
      </c>
      <c r="K19" s="26"/>
      <c r="L19" s="9">
        <f>IFERROR(L18/L10, 0)</f>
        <v>0</v>
      </c>
      <c r="M19" s="26"/>
      <c r="N19" s="9">
        <f>IFERROR(N18/N10, 0)</f>
        <v>0.95359511333221658</v>
      </c>
      <c r="O19" s="26"/>
      <c r="P19" s="9">
        <f>IFERROR(P18/P10, 0)</f>
        <v>0</v>
      </c>
      <c r="Q19" s="26"/>
      <c r="R19" s="9">
        <f>IFERROR(R18/R10, 0)</f>
        <v>0</v>
      </c>
    </row>
    <row r="20" spans="1:18" s="27" customFormat="1" x14ac:dyDescent="0.35">
      <c r="A20" s="18"/>
      <c r="B20" s="31"/>
      <c r="C20" s="18"/>
      <c r="D20" s="13"/>
      <c r="E20" s="13"/>
      <c r="F20" s="13"/>
      <c r="G20" s="26"/>
      <c r="H20" s="13"/>
      <c r="I20" s="26"/>
      <c r="J20" s="13"/>
      <c r="K20" s="26"/>
      <c r="L20" s="13"/>
      <c r="M20" s="26"/>
      <c r="N20" s="13"/>
      <c r="O20" s="26"/>
      <c r="P20" s="13"/>
      <c r="Q20" s="26"/>
      <c r="R20" s="13"/>
    </row>
    <row r="21" spans="1:18" s="15" customFormat="1" x14ac:dyDescent="0.35">
      <c r="A21" s="7"/>
      <c r="B21" s="34" t="s">
        <v>314</v>
      </c>
      <c r="C21" s="7"/>
      <c r="D21" s="8">
        <f>SUM(OSRRefD21x_0)</f>
        <v>0</v>
      </c>
      <c r="E21" s="19"/>
      <c r="F21" s="8">
        <f>SUM(OSRRefF21x_0)</f>
        <v>0</v>
      </c>
      <c r="G21" s="4"/>
      <c r="H21" s="8">
        <f>SUM(OSRRefH21x_0)</f>
        <v>0</v>
      </c>
      <c r="I21" s="4"/>
      <c r="J21" s="8">
        <f>SUM(OSRRefJ21x_0)</f>
        <v>0</v>
      </c>
      <c r="K21" s="4"/>
      <c r="L21" s="8">
        <f>SUM(OSRRefL21x_0)</f>
        <v>0</v>
      </c>
      <c r="M21" s="4"/>
      <c r="N21" s="8">
        <f>SUM(OSRRefN21x_0)</f>
        <v>199587.37999999998</v>
      </c>
      <c r="O21" s="4"/>
      <c r="P21" s="8">
        <f>SUM(OSRRefP21x_0)</f>
        <v>0</v>
      </c>
      <c r="Q21" s="4"/>
      <c r="R21" s="8">
        <f>SUM(OSRRefR21x_0)</f>
        <v>0</v>
      </c>
    </row>
    <row r="22" spans="1:18" s="15" customFormat="1" outlineLevel="1" collapsed="1" x14ac:dyDescent="0.35">
      <c r="A22" s="7"/>
      <c r="B22" s="20" t="str">
        <f>CONCATENATE("     ","*Benefits                                         ")</f>
        <v xml:space="preserve">     *Benefits                                         </v>
      </c>
      <c r="C22" s="7"/>
      <c r="D22" s="1">
        <f>SUM(OSRRefD21_0x_0)</f>
        <v>0</v>
      </c>
      <c r="E22" s="19"/>
      <c r="F22" s="1">
        <f>SUM(OSRRefF21_0x_0)</f>
        <v>0</v>
      </c>
      <c r="G22" s="4"/>
      <c r="H22" s="1">
        <f>SUM(OSRRefH21_0x_0)</f>
        <v>0</v>
      </c>
      <c r="I22" s="4"/>
      <c r="J22" s="1">
        <f>SUM(OSRRefJ21_0x_0)</f>
        <v>0</v>
      </c>
      <c r="K22" s="4"/>
      <c r="L22" s="1">
        <f>SUM(OSRRefL21_0x_0)</f>
        <v>0</v>
      </c>
      <c r="M22" s="4"/>
      <c r="N22" s="1">
        <f>SUM(OSRRefN21_0x_0)</f>
        <v>34276.46</v>
      </c>
      <c r="O22" s="4"/>
      <c r="P22" s="1">
        <f>SUM(OSRRefP21_0x_0)</f>
        <v>0</v>
      </c>
      <c r="Q22" s="4"/>
      <c r="R22" s="1">
        <f>SUM(OSRRefR21_0x_0)</f>
        <v>0</v>
      </c>
    </row>
    <row r="23" spans="1:18" s="16" customFormat="1" hidden="1" outlineLevel="2" x14ac:dyDescent="0.35">
      <c r="B23" s="11" t="str">
        <f>CONCATENATE("          ", "6111", " - ", "F.I.C.A.")</f>
        <v xml:space="preserve">          6111 - F.I.C.A.</v>
      </c>
      <c r="D23" s="2"/>
      <c r="F23" s="2"/>
      <c r="G23" s="3"/>
      <c r="H23" s="2"/>
      <c r="I23" s="3"/>
      <c r="J23" s="2"/>
      <c r="K23" s="3"/>
      <c r="L23" s="2"/>
      <c r="M23" s="3"/>
      <c r="N23" s="2">
        <v>14309.01</v>
      </c>
      <c r="O23" s="3"/>
      <c r="P23" s="2"/>
      <c r="Q23" s="3"/>
      <c r="R23" s="2"/>
    </row>
    <row r="24" spans="1:18" s="16" customFormat="1" hidden="1" outlineLevel="2" x14ac:dyDescent="0.35">
      <c r="B24" s="11" t="str">
        <f>CONCATENATE("          ", "6112", " - ", "COMPENSATION INSURANCE")</f>
        <v xml:space="preserve">          6112 - COMPENSATION INSURANCE</v>
      </c>
      <c r="D24" s="2"/>
      <c r="F24" s="2"/>
      <c r="G24" s="3"/>
      <c r="H24" s="2"/>
      <c r="I24" s="3"/>
      <c r="J24" s="2"/>
      <c r="K24" s="3"/>
      <c r="L24" s="2"/>
      <c r="M24" s="3"/>
      <c r="N24" s="2">
        <v>8030.89</v>
      </c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"6113", " - ", "GROUP INSURANCE")</f>
        <v xml:space="preserve">          6113 - GROUP INSURANCE</v>
      </c>
      <c r="D25" s="2"/>
      <c r="F25" s="2"/>
      <c r="G25" s="3"/>
      <c r="H25" s="2"/>
      <c r="I25" s="3"/>
      <c r="J25" s="2"/>
      <c r="K25" s="3"/>
      <c r="L25" s="2"/>
      <c r="M25" s="3"/>
      <c r="N25" s="2">
        <v>19739.060000000001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"6114", " - ", "STATE UNEMPLOYMENT INSURANCE")</f>
        <v xml:space="preserve">          6114 - STATE UNEMPLOYMENT INSURANCE</v>
      </c>
      <c r="D26" s="2"/>
      <c r="F26" s="2"/>
      <c r="G26" s="3"/>
      <c r="H26" s="2"/>
      <c r="I26" s="3"/>
      <c r="J26" s="2"/>
      <c r="K26" s="3"/>
      <c r="L26" s="2"/>
      <c r="M26" s="3"/>
      <c r="N26" s="2">
        <v>0</v>
      </c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"6115", " - ", "P.E.R.S.")</f>
        <v xml:space="preserve">          6115 - P.E.R.S.</v>
      </c>
      <c r="D27" s="2"/>
      <c r="F27" s="2"/>
      <c r="G27" s="3"/>
      <c r="H27" s="2"/>
      <c r="I27" s="3"/>
      <c r="J27" s="2"/>
      <c r="K27" s="3"/>
      <c r="L27" s="2"/>
      <c r="M27" s="3"/>
      <c r="N27" s="2">
        <v>10221.48</v>
      </c>
      <c r="O27" s="3"/>
      <c r="P27" s="2"/>
      <c r="Q27" s="3"/>
      <c r="R27" s="2"/>
    </row>
    <row r="28" spans="1:18" s="16" customFormat="1" hidden="1" outlineLevel="2" x14ac:dyDescent="0.35">
      <c r="B28" s="11" t="str">
        <f>CONCATENATE("          ", "6118", " - ", "VACATION")</f>
        <v xml:space="preserve">          6118 - VACATION</v>
      </c>
      <c r="D28" s="2"/>
      <c r="F28" s="2"/>
      <c r="G28" s="3"/>
      <c r="H28" s="2"/>
      <c r="I28" s="3"/>
      <c r="J28" s="2"/>
      <c r="K28" s="3"/>
      <c r="L28" s="2"/>
      <c r="M28" s="3"/>
      <c r="N28" s="2">
        <v>6534.07</v>
      </c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"6119", " - ", "SICK LEAVE")</f>
        <v xml:space="preserve">          6119 - SICK LEAVE</v>
      </c>
      <c r="D29" s="2"/>
      <c r="F29" s="2"/>
      <c r="G29" s="3"/>
      <c r="H29" s="2"/>
      <c r="I29" s="3"/>
      <c r="J29" s="2"/>
      <c r="K29" s="3"/>
      <c r="L29" s="2"/>
      <c r="M29" s="3"/>
      <c r="N29" s="2">
        <v>-25661.23</v>
      </c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"6156", " - ", "EMPLOYEE MEALS")</f>
        <v xml:space="preserve">          6156 - EMPLOYEE MEALS</v>
      </c>
      <c r="D30" s="2"/>
      <c r="F30" s="2"/>
      <c r="G30" s="3"/>
      <c r="H30" s="2"/>
      <c r="I30" s="3"/>
      <c r="J30" s="2"/>
      <c r="K30" s="3"/>
      <c r="L30" s="2"/>
      <c r="M30" s="3"/>
      <c r="N30" s="2">
        <v>1103.18</v>
      </c>
      <c r="O30" s="3"/>
      <c r="P30" s="2"/>
      <c r="Q30" s="3"/>
      <c r="R30" s="2"/>
    </row>
    <row r="31" spans="1:18" s="15" customFormat="1" outlineLevel="1" collapsed="1" x14ac:dyDescent="0.35">
      <c r="A31" s="7"/>
      <c r="B31" s="20" t="str">
        <f>CONCATENATE("     ","*Payroll                                          ")</f>
        <v xml:space="preserve">     *Payroll                                          </v>
      </c>
      <c r="C31" s="7"/>
      <c r="D31" s="1">
        <f>SUM(OSRRefD21_1x_0)</f>
        <v>0</v>
      </c>
      <c r="E31" s="19"/>
      <c r="F31" s="1">
        <f>SUM(OSRRefF21_1x_0)</f>
        <v>0</v>
      </c>
      <c r="G31" s="4"/>
      <c r="H31" s="1">
        <f>SUM(OSRRefH21_1x_0)</f>
        <v>0</v>
      </c>
      <c r="I31" s="4"/>
      <c r="J31" s="1">
        <f>SUM(OSRRefJ21_1x_0)</f>
        <v>0</v>
      </c>
      <c r="K31" s="4"/>
      <c r="L31" s="1">
        <f>SUM(OSRRefL21_1x_0)</f>
        <v>0</v>
      </c>
      <c r="M31" s="4"/>
      <c r="N31" s="1">
        <f>SUM(OSRRefN21_1x_0)</f>
        <v>160569.98000000001</v>
      </c>
      <c r="O31" s="4"/>
      <c r="P31" s="1">
        <f>SUM(OSRRefP21_1x_0)</f>
        <v>0</v>
      </c>
      <c r="Q31" s="4"/>
      <c r="R31" s="1">
        <f>SUM(OSRRefR21_1x_0)</f>
        <v>0</v>
      </c>
    </row>
    <row r="32" spans="1:18" s="16" customFormat="1" hidden="1" outlineLevel="2" x14ac:dyDescent="0.35">
      <c r="B32" s="11" t="str">
        <f>CONCATENATE("          ", "6002", " - ", "STAFF SALARIES")</f>
        <v xml:space="preserve">          6002 - STAFF SALARIES</v>
      </c>
      <c r="D32" s="2"/>
      <c r="F32" s="2"/>
      <c r="G32" s="3"/>
      <c r="H32" s="2"/>
      <c r="I32" s="3"/>
      <c r="J32" s="2"/>
      <c r="K32" s="3"/>
      <c r="L32" s="2"/>
      <c r="M32" s="3"/>
      <c r="N32" s="2">
        <v>113004.92</v>
      </c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"6005", " - ", "TEMPORARY WAGES-HOURLY")</f>
        <v xml:space="preserve">          6005 - TEMPORARY WAGES-HOURLY</v>
      </c>
      <c r="D33" s="2"/>
      <c r="F33" s="2"/>
      <c r="G33" s="3"/>
      <c r="H33" s="2"/>
      <c r="I33" s="3"/>
      <c r="J33" s="2"/>
      <c r="K33" s="3"/>
      <c r="L33" s="2"/>
      <c r="M33" s="3"/>
      <c r="N33" s="2">
        <v>18036.650000000001</v>
      </c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"6007", " - ", "STUDENT HOURLY")</f>
        <v xml:space="preserve">          6007 - STUDENT HOURLY</v>
      </c>
      <c r="D34" s="2"/>
      <c r="F34" s="2"/>
      <c r="G34" s="3"/>
      <c r="H34" s="2"/>
      <c r="I34" s="3"/>
      <c r="J34" s="2"/>
      <c r="K34" s="3"/>
      <c r="L34" s="2"/>
      <c r="M34" s="3"/>
      <c r="N34" s="2">
        <v>25720.959999999999</v>
      </c>
      <c r="O34" s="3"/>
      <c r="P34" s="2"/>
      <c r="Q34" s="3"/>
      <c r="R34" s="2"/>
    </row>
    <row r="35" spans="1:18" s="16" customFormat="1" hidden="1" outlineLevel="2" x14ac:dyDescent="0.35">
      <c r="B35" s="11" t="str">
        <f>CONCATENATE("          ", "6008", " - ", "STUDENT HOURLY-FICA EXEMPT")</f>
        <v xml:space="preserve">          6008 - STUDENT HOURLY-FICA EXEMPT</v>
      </c>
      <c r="D35" s="2"/>
      <c r="F35" s="2"/>
      <c r="G35" s="3"/>
      <c r="H35" s="2"/>
      <c r="I35" s="3"/>
      <c r="J35" s="2"/>
      <c r="K35" s="3"/>
      <c r="L35" s="2"/>
      <c r="M35" s="3"/>
      <c r="N35" s="2">
        <v>3807.45</v>
      </c>
      <c r="O35" s="3"/>
      <c r="P35" s="2"/>
      <c r="Q35" s="3"/>
      <c r="R35" s="2"/>
    </row>
    <row r="36" spans="1:18" s="15" customFormat="1" outlineLevel="1" collapsed="1" x14ac:dyDescent="0.35">
      <c r="A36" s="7"/>
      <c r="B36" s="20" t="str">
        <f>CONCATENATE("     ","Advertising/Promo                                 ")</f>
        <v xml:space="preserve">     Advertising/Promo                                 </v>
      </c>
      <c r="C36" s="7"/>
      <c r="D36" s="1">
        <f>SUM(OSRRefD21_2x_0)</f>
        <v>0</v>
      </c>
      <c r="E36" s="19"/>
      <c r="F36" s="1">
        <f>SUM(OSRRefF21_2x_0)</f>
        <v>0</v>
      </c>
      <c r="G36" s="4"/>
      <c r="H36" s="1">
        <f>SUM(OSRRefH21_2x_0)</f>
        <v>0</v>
      </c>
      <c r="I36" s="4"/>
      <c r="J36" s="1">
        <f>SUM(OSRRefJ21_2x_0)</f>
        <v>0</v>
      </c>
      <c r="K36" s="4"/>
      <c r="L36" s="1">
        <f>SUM(OSRRefL21_2x_0)</f>
        <v>0</v>
      </c>
      <c r="M36" s="4"/>
      <c r="N36" s="1">
        <f>SUM(OSRRefN21_2x_0)</f>
        <v>500</v>
      </c>
      <c r="O36" s="4"/>
      <c r="P36" s="1">
        <f>SUM(OSRRefP21_2x_0)</f>
        <v>0</v>
      </c>
      <c r="Q36" s="4"/>
      <c r="R36" s="1">
        <f>SUM(OSRRefR21_2x_0)</f>
        <v>0</v>
      </c>
    </row>
    <row r="37" spans="1:18" s="16" customFormat="1" hidden="1" outlineLevel="2" x14ac:dyDescent="0.35">
      <c r="B37" s="11" t="str">
        <f>CONCATENATE("          ", "6362", " - ", "ADVERTISING EXPENSE")</f>
        <v xml:space="preserve">          6362 - ADVERTISING EXPENSE</v>
      </c>
      <c r="D37" s="2"/>
      <c r="F37" s="2"/>
      <c r="G37" s="3"/>
      <c r="H37" s="2"/>
      <c r="I37" s="3"/>
      <c r="J37" s="2"/>
      <c r="K37" s="3"/>
      <c r="L37" s="2"/>
      <c r="M37" s="3"/>
      <c r="N37" s="2">
        <v>500</v>
      </c>
      <c r="O37" s="3"/>
      <c r="P37" s="2"/>
      <c r="Q37" s="3"/>
      <c r="R37" s="2"/>
    </row>
    <row r="38" spans="1:18" s="15" customFormat="1" outlineLevel="1" collapsed="1" x14ac:dyDescent="0.35">
      <c r="A38" s="7"/>
      <c r="B38" s="20" t="str">
        <f>CONCATENATE("     ","Bad Debts/Over/Short                              ")</f>
        <v xml:space="preserve">     Bad Debts/Over/Short                              </v>
      </c>
      <c r="C38" s="7"/>
      <c r="D38" s="1">
        <f>SUM(OSRRefD21_3x_0)</f>
        <v>0</v>
      </c>
      <c r="E38" s="19"/>
      <c r="F38" s="1">
        <f>SUM(OSRRefF21_3x_0)</f>
        <v>0</v>
      </c>
      <c r="G38" s="4"/>
      <c r="H38" s="1">
        <f>SUM(OSRRefH21_3x_0)</f>
        <v>0</v>
      </c>
      <c r="I38" s="4"/>
      <c r="J38" s="1">
        <f>SUM(OSRRefJ21_3x_0)</f>
        <v>0</v>
      </c>
      <c r="K38" s="4"/>
      <c r="L38" s="1">
        <f>SUM(OSRRefL21_3x_0)</f>
        <v>0</v>
      </c>
      <c r="M38" s="4"/>
      <c r="N38" s="1">
        <f>SUM(OSRRefN21_3x_0)</f>
        <v>-1.98</v>
      </c>
      <c r="O38" s="4"/>
      <c r="P38" s="1">
        <f>SUM(OSRRefP21_3x_0)</f>
        <v>0</v>
      </c>
      <c r="Q38" s="4"/>
      <c r="R38" s="1">
        <f>SUM(OSRRefR21_3x_0)</f>
        <v>0</v>
      </c>
    </row>
    <row r="39" spans="1:18" s="16" customFormat="1" hidden="1" outlineLevel="2" x14ac:dyDescent="0.35">
      <c r="B39" s="11" t="str">
        <f>CONCATENATE("          ", "6272", " - ", "CASH (OVER/SHORT)")</f>
        <v xml:space="preserve">          6272 - CASH (OVER/SHORT)</v>
      </c>
      <c r="D39" s="2"/>
      <c r="F39" s="2"/>
      <c r="G39" s="3"/>
      <c r="H39" s="2"/>
      <c r="I39" s="3"/>
      <c r="J39" s="2"/>
      <c r="K39" s="3"/>
      <c r="L39" s="2"/>
      <c r="M39" s="3"/>
      <c r="N39" s="2">
        <v>-1.98</v>
      </c>
      <c r="O39" s="3"/>
      <c r="P39" s="2"/>
      <c r="Q39" s="3"/>
      <c r="R39" s="2"/>
    </row>
    <row r="40" spans="1:18" s="15" customFormat="1" outlineLevel="1" collapsed="1" x14ac:dyDescent="0.35">
      <c r="A40" s="7"/>
      <c r="B40" s="20" t="str">
        <f>CONCATENATE("     ","Bank/card Fees                                    ")</f>
        <v xml:space="preserve">     Bank/card Fees                                    </v>
      </c>
      <c r="C40" s="7"/>
      <c r="D40" s="1">
        <f>SUM(OSRRefD21_4x_0)</f>
        <v>0</v>
      </c>
      <c r="E40" s="19"/>
      <c r="F40" s="1">
        <f>SUM(OSRRefF21_4x_0)</f>
        <v>0</v>
      </c>
      <c r="G40" s="4"/>
      <c r="H40" s="1">
        <f>SUM(OSRRefH21_4x_0)</f>
        <v>0</v>
      </c>
      <c r="I40" s="4"/>
      <c r="J40" s="1">
        <f>SUM(OSRRefJ21_4x_0)</f>
        <v>0</v>
      </c>
      <c r="K40" s="4"/>
      <c r="L40" s="1">
        <f>SUM(OSRRefL21_4x_0)</f>
        <v>0</v>
      </c>
      <c r="M40" s="4"/>
      <c r="N40" s="1">
        <f>SUM(OSRRefN21_4x_0)</f>
        <v>685.09</v>
      </c>
      <c r="O40" s="4"/>
      <c r="P40" s="1">
        <f>SUM(OSRRefP21_4x_0)</f>
        <v>0</v>
      </c>
      <c r="Q40" s="4"/>
      <c r="R40" s="1">
        <f>SUM(OSRRefR21_4x_0)</f>
        <v>0</v>
      </c>
    </row>
    <row r="41" spans="1:18" s="16" customFormat="1" hidden="1" outlineLevel="2" x14ac:dyDescent="0.35">
      <c r="B41" s="11" t="str">
        <f>CONCATENATE("          ", "6381", " - ", "BANK/CREDIT CARD FEES")</f>
        <v xml:space="preserve">          6381 - BANK/CREDIT CARD FEES</v>
      </c>
      <c r="D41" s="2"/>
      <c r="F41" s="2"/>
      <c r="G41" s="3"/>
      <c r="H41" s="2"/>
      <c r="I41" s="3"/>
      <c r="J41" s="2"/>
      <c r="K41" s="3"/>
      <c r="L41" s="2"/>
      <c r="M41" s="3"/>
      <c r="N41" s="2">
        <v>685.09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","Repair and Maintenance                            ")</f>
        <v xml:space="preserve">     Repair and Maintenance                            </v>
      </c>
      <c r="C42" s="7"/>
      <c r="D42" s="1">
        <f>SUM(OSRRefD21_5x_0)</f>
        <v>0</v>
      </c>
      <c r="E42" s="19"/>
      <c r="F42" s="1">
        <f>SUM(OSRRefF21_5x_0)</f>
        <v>0</v>
      </c>
      <c r="G42" s="4"/>
      <c r="H42" s="1">
        <f>SUM(OSRRefH21_5x_0)</f>
        <v>0</v>
      </c>
      <c r="I42" s="4"/>
      <c r="J42" s="1">
        <f>SUM(OSRRefJ21_5x_0)</f>
        <v>0</v>
      </c>
      <c r="K42" s="4"/>
      <c r="L42" s="1">
        <f>SUM(OSRRefL21_5x_0)</f>
        <v>0</v>
      </c>
      <c r="M42" s="4"/>
      <c r="N42" s="1">
        <f>SUM(OSRRefN21_5x_0)</f>
        <v>1151.21</v>
      </c>
      <c r="O42" s="4"/>
      <c r="P42" s="1">
        <f>SUM(OSRRefP21_5x_0)</f>
        <v>0</v>
      </c>
      <c r="Q42" s="4"/>
      <c r="R42" s="1">
        <f>SUM(OSRRefR21_5x_0)</f>
        <v>0</v>
      </c>
    </row>
    <row r="43" spans="1:18" s="16" customFormat="1" hidden="1" outlineLevel="2" x14ac:dyDescent="0.35">
      <c r="B43" s="11" t="str">
        <f>CONCATENATE("          ", "6375", " - ", "OUTSIDE REPAIRS &amp; MAINTENANCE")</f>
        <v xml:space="preserve">          6375 - OUTSIDE REPAIRS &amp; MAINTENANCE</v>
      </c>
      <c r="D43" s="2"/>
      <c r="F43" s="2"/>
      <c r="G43" s="3"/>
      <c r="H43" s="2"/>
      <c r="I43" s="3"/>
      <c r="J43" s="2"/>
      <c r="K43" s="3"/>
      <c r="L43" s="2"/>
      <c r="M43" s="3"/>
      <c r="N43" s="2">
        <v>1151.21</v>
      </c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","Services                                          ")</f>
        <v xml:space="preserve">     Services                                          </v>
      </c>
      <c r="C44" s="7"/>
      <c r="D44" s="1">
        <f>SUM(OSRRefD21_6x_0)</f>
        <v>0</v>
      </c>
      <c r="E44" s="19"/>
      <c r="F44" s="1">
        <f>SUM(OSRRefF21_6x_0)</f>
        <v>0</v>
      </c>
      <c r="G44" s="4"/>
      <c r="H44" s="1">
        <f>SUM(OSRRefH21_6x_0)</f>
        <v>0</v>
      </c>
      <c r="I44" s="4"/>
      <c r="J44" s="1">
        <f>SUM(OSRRefJ21_6x_0)</f>
        <v>0</v>
      </c>
      <c r="K44" s="4"/>
      <c r="L44" s="1">
        <f>SUM(OSRRefL21_6x_0)</f>
        <v>0</v>
      </c>
      <c r="M44" s="4"/>
      <c r="N44" s="1">
        <f>SUM(OSRRefN21_6x_0)</f>
        <v>0</v>
      </c>
      <c r="O44" s="4"/>
      <c r="P44" s="1">
        <f>SUM(OSRRefP21_6x_0)</f>
        <v>0</v>
      </c>
      <c r="Q44" s="4"/>
      <c r="R44" s="1">
        <f>SUM(OSRRefR21_6x_0)</f>
        <v>0</v>
      </c>
    </row>
    <row r="45" spans="1:18" s="16" customFormat="1" hidden="1" outlineLevel="2" x14ac:dyDescent="0.35">
      <c r="B45" s="11" t="str">
        <f>CONCATENATE("          ", "6284", " - ", "TRASH REMOVAL EXPENSE")</f>
        <v xml:space="preserve">          6284 - TRASH REMOVAL EXPENSE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/>
      <c r="Q45" s="3"/>
      <c r="R45" s="2">
        <v>0</v>
      </c>
    </row>
    <row r="46" spans="1:18" s="15" customFormat="1" outlineLevel="1" collapsed="1" x14ac:dyDescent="0.35">
      <c r="A46" s="7"/>
      <c r="B46" s="20" t="str">
        <f>CONCATENATE("     ","Supplies                                          ")</f>
        <v xml:space="preserve">     Supplies                                          </v>
      </c>
      <c r="C46" s="7"/>
      <c r="D46" s="1">
        <f>SUM(OSRRefD21_7x_0)</f>
        <v>0</v>
      </c>
      <c r="E46" s="19"/>
      <c r="F46" s="1">
        <f>SUM(OSRRefF21_7x_0)</f>
        <v>0</v>
      </c>
      <c r="G46" s="4"/>
      <c r="H46" s="1">
        <f>SUM(OSRRefH21_7x_0)</f>
        <v>0</v>
      </c>
      <c r="I46" s="4"/>
      <c r="J46" s="1">
        <f>SUM(OSRRefJ21_7x_0)</f>
        <v>0</v>
      </c>
      <c r="K46" s="4"/>
      <c r="L46" s="1">
        <f>SUM(OSRRefL21_7x_0)</f>
        <v>0</v>
      </c>
      <c r="M46" s="4"/>
      <c r="N46" s="1">
        <f>SUM(OSRRefN21_7x_0)</f>
        <v>1137.47</v>
      </c>
      <c r="O46" s="4"/>
      <c r="P46" s="1">
        <f>SUM(OSRRefP21_7x_0)</f>
        <v>0</v>
      </c>
      <c r="Q46" s="4"/>
      <c r="R46" s="1">
        <f>SUM(OSRRefR21_7x_0)</f>
        <v>0</v>
      </c>
    </row>
    <row r="47" spans="1:18" s="16" customFormat="1" hidden="1" outlineLevel="2" x14ac:dyDescent="0.35">
      <c r="B47" s="11" t="str">
        <f>CONCATENATE("          ", "6241", " - ", "OFFICE EXPENSE")</f>
        <v xml:space="preserve">          6241 - OFFICE EXPENSE</v>
      </c>
      <c r="D47" s="2"/>
      <c r="F47" s="2"/>
      <c r="G47" s="3"/>
      <c r="H47" s="2"/>
      <c r="I47" s="3"/>
      <c r="J47" s="2"/>
      <c r="K47" s="3"/>
      <c r="L47" s="2"/>
      <c r="M47" s="3"/>
      <c r="N47" s="2">
        <v>914.08</v>
      </c>
      <c r="O47" s="3"/>
      <c r="P47" s="2"/>
      <c r="Q47" s="3"/>
      <c r="R47" s="2"/>
    </row>
    <row r="48" spans="1:18" s="16" customFormat="1" hidden="1" outlineLevel="2" x14ac:dyDescent="0.35">
      <c r="B48" s="11" t="str">
        <f>CONCATENATE("          ", "6247", " - ", "STORE SUPPLIES")</f>
        <v xml:space="preserve">          6247 - STORE SUPPLIES</v>
      </c>
      <c r="D48" s="2"/>
      <c r="F48" s="2"/>
      <c r="G48" s="3"/>
      <c r="H48" s="2"/>
      <c r="I48" s="3"/>
      <c r="J48" s="2"/>
      <c r="K48" s="3"/>
      <c r="L48" s="2"/>
      <c r="M48" s="3"/>
      <c r="N48" s="2">
        <v>223.39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","Travel                                            ")</f>
        <v xml:space="preserve">     Travel                                            </v>
      </c>
      <c r="C49" s="7"/>
      <c r="D49" s="1">
        <f>SUM(OSRRefD21_8x_0)</f>
        <v>0</v>
      </c>
      <c r="E49" s="19"/>
      <c r="F49" s="1">
        <f>SUM(OSRRefF21_8x_0)</f>
        <v>0</v>
      </c>
      <c r="G49" s="4"/>
      <c r="H49" s="1">
        <f>SUM(OSRRefH21_8x_0)</f>
        <v>0</v>
      </c>
      <c r="I49" s="4"/>
      <c r="J49" s="1">
        <f>SUM(OSRRefJ21_8x_0)</f>
        <v>0</v>
      </c>
      <c r="K49" s="4"/>
      <c r="L49" s="1">
        <f>SUM(OSRRefL21_8x_0)</f>
        <v>0</v>
      </c>
      <c r="M49" s="4"/>
      <c r="N49" s="1">
        <f>SUM(OSRRefN21_8x_0)</f>
        <v>1269.1500000000001</v>
      </c>
      <c r="O49" s="4"/>
      <c r="P49" s="1">
        <f>SUM(OSRRefP21_8x_0)</f>
        <v>0</v>
      </c>
      <c r="Q49" s="4"/>
      <c r="R49" s="1">
        <f>SUM(OSRRefR21_8x_0)</f>
        <v>0</v>
      </c>
    </row>
    <row r="50" spans="1:18" s="16" customFormat="1" hidden="1" outlineLevel="2" x14ac:dyDescent="0.35">
      <c r="B50" s="11" t="str">
        <f>CONCATENATE("          ", "6292", " - ", "TRAVEL/CONFERENCE")</f>
        <v xml:space="preserve">          6292 - TRAVEL/CONFERENCE</v>
      </c>
      <c r="D50" s="2"/>
      <c r="F50" s="2"/>
      <c r="G50" s="3"/>
      <c r="H50" s="2"/>
      <c r="I50" s="3"/>
      <c r="J50" s="2"/>
      <c r="K50" s="3"/>
      <c r="L50" s="2"/>
      <c r="M50" s="3"/>
      <c r="N50" s="2">
        <v>1269.1500000000001</v>
      </c>
      <c r="O50" s="3"/>
      <c r="P50" s="2"/>
      <c r="Q50" s="3"/>
      <c r="R50" s="2"/>
    </row>
    <row r="51" spans="1:18" x14ac:dyDescent="0.35">
      <c r="A51" s="12"/>
      <c r="B51" s="12"/>
      <c r="C51" s="12"/>
      <c r="D51" s="1"/>
      <c r="F51" s="1"/>
      <c r="H51" s="1"/>
      <c r="J51" s="1"/>
      <c r="L51" s="1"/>
      <c r="N51" s="1"/>
      <c r="P51" s="1"/>
      <c r="R51" s="1"/>
    </row>
    <row r="52" spans="1:18" s="7" customFormat="1" x14ac:dyDescent="0.35">
      <c r="A52" s="36"/>
      <c r="B52" s="34" t="s">
        <v>295</v>
      </c>
      <c r="D52" s="6">
        <f>SUM(0)</f>
        <v>0</v>
      </c>
      <c r="E52" s="12"/>
      <c r="F52" s="6">
        <f>SUM(0)</f>
        <v>0</v>
      </c>
      <c r="G52" s="5"/>
      <c r="H52" s="6">
        <f>SUM(0)</f>
        <v>0</v>
      </c>
      <c r="I52" s="5"/>
      <c r="J52" s="6">
        <f>SUM(0)</f>
        <v>0</v>
      </c>
      <c r="K52" s="5"/>
      <c r="L52" s="6">
        <f>SUM(0)</f>
        <v>0</v>
      </c>
      <c r="M52" s="5"/>
      <c r="N52" s="6">
        <f>SUM(0)</f>
        <v>0</v>
      </c>
      <c r="O52" s="5"/>
      <c r="P52" s="6">
        <f>SUM(0)</f>
        <v>0</v>
      </c>
      <c r="Q52" s="5"/>
      <c r="R52" s="6">
        <f>SUM(0)</f>
        <v>0</v>
      </c>
    </row>
    <row r="53" spans="1:18" x14ac:dyDescent="0.35">
      <c r="A53" s="12"/>
      <c r="B53" s="7"/>
      <c r="C53" s="7"/>
      <c r="D53" s="6"/>
      <c r="F53" s="6"/>
      <c r="H53" s="6"/>
      <c r="J53" s="6"/>
      <c r="L53" s="6"/>
      <c r="N53" s="6"/>
      <c r="P53" s="6"/>
      <c r="R53" s="6"/>
    </row>
    <row r="54" spans="1:18" s="15" customFormat="1" x14ac:dyDescent="0.35">
      <c r="A54" s="7"/>
      <c r="B54" s="22" t="s">
        <v>279</v>
      </c>
      <c r="C54" s="22"/>
      <c r="D54" s="10">
        <f>+D18-D21+D52</f>
        <v>0</v>
      </c>
      <c r="E54" s="12"/>
      <c r="F54" s="10">
        <f>+F18-F21+F52</f>
        <v>0</v>
      </c>
      <c r="G54" s="5"/>
      <c r="H54" s="10">
        <f>+H18-H21+H52</f>
        <v>0</v>
      </c>
      <c r="I54" s="5"/>
      <c r="J54" s="10">
        <f>+J18-J21+J52</f>
        <v>0</v>
      </c>
      <c r="K54" s="5"/>
      <c r="L54" s="10">
        <f>+L18-L21+L52</f>
        <v>0</v>
      </c>
      <c r="M54" s="5"/>
      <c r="N54" s="10">
        <f>+N18-N21+N52</f>
        <v>1699.4600000000501</v>
      </c>
      <c r="O54" s="5"/>
      <c r="P54" s="10">
        <f>+P18-P21+P52</f>
        <v>0</v>
      </c>
      <c r="Q54" s="5"/>
      <c r="R54" s="10">
        <f>+R18-R21+R52</f>
        <v>0</v>
      </c>
    </row>
    <row r="55" spans="1:18" s="27" customFormat="1" x14ac:dyDescent="0.35">
      <c r="A55" s="18"/>
      <c r="B55" s="31"/>
      <c r="C55" s="18"/>
      <c r="D55" s="9">
        <f>IFERROR(D54/D10, 0)</f>
        <v>0</v>
      </c>
      <c r="E55" s="18"/>
      <c r="F55" s="9">
        <f>IFERROR(F54/F10, 0)</f>
        <v>0</v>
      </c>
      <c r="G55" s="14"/>
      <c r="H55" s="9">
        <f>IFERROR(H54/H10, 0)</f>
        <v>0</v>
      </c>
      <c r="I55" s="14"/>
      <c r="J55" s="9">
        <f>IFERROR(J54/J10, 0)</f>
        <v>0</v>
      </c>
      <c r="K55" s="14"/>
      <c r="L55" s="9">
        <f>IFERROR(L54/L10, 0)</f>
        <v>0</v>
      </c>
      <c r="M55" s="14"/>
      <c r="N55" s="9">
        <f>IFERROR(N54/N10, 0)</f>
        <v>8.0511808487013677E-3</v>
      </c>
      <c r="O55" s="14"/>
      <c r="P55" s="9">
        <f>IFERROR(P54/P10, 0)</f>
        <v>0</v>
      </c>
      <c r="Q55" s="14"/>
      <c r="R55" s="9">
        <f>IFERROR(R54/R10, 0)</f>
        <v>0</v>
      </c>
    </row>
    <row r="56" spans="1:18" s="27" customFormat="1" x14ac:dyDescent="0.35">
      <c r="A56" s="18"/>
      <c r="B56" s="31"/>
      <c r="C56" s="18"/>
      <c r="D56" s="13"/>
      <c r="E56" s="18"/>
      <c r="F56" s="13"/>
      <c r="G56" s="14"/>
      <c r="H56" s="13"/>
      <c r="I56" s="14"/>
      <c r="J56" s="13"/>
      <c r="K56" s="14"/>
      <c r="L56" s="13"/>
      <c r="M56" s="14"/>
      <c r="N56" s="13"/>
      <c r="O56" s="14"/>
      <c r="P56" s="13"/>
      <c r="Q56" s="14"/>
      <c r="R56" s="13"/>
    </row>
    <row r="57" spans="1:18" s="15" customFormat="1" x14ac:dyDescent="0.35">
      <c r="A57" s="37"/>
      <c r="B57" s="7" t="s">
        <v>127</v>
      </c>
      <c r="C57" s="7"/>
      <c r="D57" s="6"/>
      <c r="E57" s="12"/>
      <c r="F57" s="6"/>
      <c r="G57" s="5"/>
      <c r="H57" s="6"/>
      <c r="I57" s="5"/>
      <c r="J57" s="6"/>
      <c r="K57" s="5"/>
      <c r="L57" s="6"/>
      <c r="M57" s="5"/>
      <c r="N57" s="6">
        <v>31962.6</v>
      </c>
      <c r="O57" s="5"/>
      <c r="P57" s="6"/>
      <c r="Q57" s="5"/>
      <c r="R57" s="6"/>
    </row>
    <row r="58" spans="1:18" x14ac:dyDescent="0.35">
      <c r="A58" s="12"/>
      <c r="B58" s="7"/>
      <c r="C58" s="7"/>
      <c r="D58" s="6"/>
      <c r="F58" s="6"/>
      <c r="H58" s="6"/>
      <c r="J58" s="6"/>
      <c r="L58" s="6"/>
      <c r="N58" s="6"/>
      <c r="P58" s="6"/>
      <c r="R58" s="6"/>
    </row>
    <row r="59" spans="1:18" s="15" customFormat="1" x14ac:dyDescent="0.35">
      <c r="A59" s="7"/>
      <c r="B59" s="22" t="s">
        <v>126</v>
      </c>
      <c r="C59" s="22"/>
      <c r="D59" s="10">
        <f>+D54-D57</f>
        <v>0</v>
      </c>
      <c r="E59" s="12"/>
      <c r="F59" s="10">
        <f>+F54-F57</f>
        <v>0</v>
      </c>
      <c r="G59" s="5"/>
      <c r="H59" s="10">
        <f>+H54-H57</f>
        <v>0</v>
      </c>
      <c r="I59" s="5"/>
      <c r="J59" s="10">
        <f>+J54-J57</f>
        <v>0</v>
      </c>
      <c r="K59" s="5"/>
      <c r="L59" s="10">
        <f>+L54-L57</f>
        <v>0</v>
      </c>
      <c r="M59" s="5"/>
      <c r="N59" s="10">
        <f>+N54-N57</f>
        <v>-30263.139999999948</v>
      </c>
      <c r="O59" s="5"/>
      <c r="P59" s="10">
        <f>+P54-P57</f>
        <v>0</v>
      </c>
      <c r="Q59" s="5"/>
      <c r="R59" s="10">
        <f>+R54-R57</f>
        <v>0</v>
      </c>
    </row>
    <row r="60" spans="1:18" s="27" customFormat="1" x14ac:dyDescent="0.35">
      <c r="A60" s="18"/>
      <c r="B60" s="18"/>
      <c r="C60" s="18"/>
      <c r="D60" s="9">
        <f>IFERROR(D59/D10, 0)</f>
        <v>0</v>
      </c>
      <c r="E60" s="18"/>
      <c r="F60" s="9">
        <f>IFERROR(F59/F10, 0)</f>
        <v>0</v>
      </c>
      <c r="G60" s="14"/>
      <c r="H60" s="9">
        <f>IFERROR(H59/H10, 0)</f>
        <v>0</v>
      </c>
      <c r="I60" s="14"/>
      <c r="J60" s="9">
        <f>IFERROR(J59/J10, 0)</f>
        <v>0</v>
      </c>
      <c r="K60" s="14"/>
      <c r="L60" s="9">
        <f>IFERROR(L59/L10, 0)</f>
        <v>0</v>
      </c>
      <c r="M60" s="14"/>
      <c r="N60" s="9">
        <f>IFERROR(N59/N10, 0)</f>
        <v>-0.14337143162508131</v>
      </c>
      <c r="O60" s="14"/>
      <c r="P60" s="9">
        <f>IFERROR(P59/P10, 0)</f>
        <v>0</v>
      </c>
      <c r="Q60" s="14"/>
      <c r="R60" s="9">
        <f>IFERROR(R59/R10, 0)</f>
        <v>0</v>
      </c>
    </row>
    <row r="61" spans="1:18" s="27" customFormat="1" x14ac:dyDescent="0.35">
      <c r="A61" s="18"/>
      <c r="B61" s="18"/>
      <c r="C61" s="18"/>
      <c r="D61" s="13"/>
      <c r="E61" s="18"/>
      <c r="F61" s="13"/>
      <c r="G61" s="14"/>
      <c r="H61" s="13"/>
      <c r="I61" s="14"/>
      <c r="J61" s="13"/>
      <c r="K61" s="14"/>
      <c r="L61" s="13"/>
      <c r="M61" s="14"/>
      <c r="N61" s="13"/>
      <c r="O61" s="14"/>
      <c r="P61" s="13"/>
      <c r="Q61" s="14"/>
      <c r="R61" s="13"/>
    </row>
    <row r="62" spans="1:18" x14ac:dyDescent="0.35">
      <c r="A62" s="12"/>
      <c r="B62" s="12"/>
      <c r="C62" s="12"/>
      <c r="D62" s="6"/>
      <c r="F62" s="6"/>
      <c r="H62" s="6"/>
      <c r="J62" s="6"/>
      <c r="L62" s="6"/>
      <c r="N62" s="6"/>
      <c r="P62" s="6"/>
      <c r="R62" s="6"/>
    </row>
    <row r="63" spans="1:18" s="15" customFormat="1" x14ac:dyDescent="0.35">
      <c r="A63" s="7"/>
      <c r="B63" s="22" t="s">
        <v>296</v>
      </c>
      <c r="C63" s="22"/>
      <c r="D63" s="10">
        <f>SUM(D59:D62)</f>
        <v>0</v>
      </c>
      <c r="E63" s="12"/>
      <c r="F63" s="10">
        <f>SUM(F59:F62)</f>
        <v>0</v>
      </c>
      <c r="G63" s="5"/>
      <c r="H63" s="10">
        <f>SUM(H59:H62)</f>
        <v>0</v>
      </c>
      <c r="I63" s="5"/>
      <c r="J63" s="10">
        <f>SUM(J59:J62)</f>
        <v>0</v>
      </c>
      <c r="K63" s="5"/>
      <c r="L63" s="10">
        <f>SUM(L59:L62)</f>
        <v>0</v>
      </c>
      <c r="M63" s="5"/>
      <c r="N63" s="10">
        <f>SUM(N59:N62)</f>
        <v>-30263.283371431575</v>
      </c>
      <c r="O63" s="5"/>
      <c r="P63" s="10">
        <f>SUM(P59:P62)</f>
        <v>0</v>
      </c>
      <c r="Q63" s="5"/>
      <c r="R63" s="10">
        <f>SUM(R59:R62)</f>
        <v>0</v>
      </c>
    </row>
    <row r="64" spans="1:18" s="27" customFormat="1" x14ac:dyDescent="0.35">
      <c r="A64" s="18"/>
      <c r="B64" s="41"/>
      <c r="C64" s="18"/>
      <c r="D64" s="9">
        <f>IFERROR(D63/D10, 0)</f>
        <v>0</v>
      </c>
      <c r="E64" s="18"/>
      <c r="F64" s="9">
        <f>IFERROR(F63/F10, 0)</f>
        <v>0</v>
      </c>
      <c r="G64" s="14"/>
      <c r="H64" s="9">
        <f>IFERROR(H63/H10, 0)</f>
        <v>0</v>
      </c>
      <c r="I64" s="14"/>
      <c r="J64" s="9">
        <f>IFERROR(J63/J10, 0)</f>
        <v>0</v>
      </c>
      <c r="K64" s="14"/>
      <c r="L64" s="9">
        <f>IFERROR(L63/L10, 0)</f>
        <v>0</v>
      </c>
      <c r="M64" s="14"/>
      <c r="N64" s="9">
        <f>IFERROR(N63/N10, 0)</f>
        <v>-0.14337211084631898</v>
      </c>
      <c r="O64" s="14"/>
      <c r="P64" s="9">
        <f>IFERROR(P63/P10, 0)</f>
        <v>0</v>
      </c>
      <c r="Q64" s="14"/>
      <c r="R64" s="9">
        <f>IFERROR(R63/R10, 0)</f>
        <v>0</v>
      </c>
    </row>
    <row r="65" spans="1:18" x14ac:dyDescent="0.35">
      <c r="A65" s="12"/>
      <c r="B65" s="40">
        <v>44319.883572604165</v>
      </c>
      <c r="D65" s="24"/>
      <c r="F65" s="24"/>
      <c r="H65" s="24"/>
      <c r="J65" s="24"/>
      <c r="L65" s="24"/>
      <c r="N65" s="24"/>
      <c r="P65" s="24"/>
      <c r="R65" s="24"/>
    </row>
    <row r="66" spans="1:18" x14ac:dyDescent="0.35">
      <c r="A66" s="12"/>
      <c r="B66" s="39" t="s">
        <v>23</v>
      </c>
      <c r="D66" s="24"/>
      <c r="F66" s="24"/>
      <c r="H66" s="24"/>
      <c r="J66" s="24"/>
      <c r="L66" s="24"/>
      <c r="N66" s="24"/>
      <c r="P66" s="24"/>
      <c r="R66" s="24"/>
    </row>
    <row r="67" spans="1:18" x14ac:dyDescent="0.35">
      <c r="A67" s="12"/>
      <c r="D67" s="24"/>
      <c r="F67" s="24"/>
      <c r="H67" s="24"/>
      <c r="J67" s="24"/>
      <c r="L67" s="24"/>
      <c r="N67" s="24"/>
      <c r="P67" s="24"/>
      <c r="R67" s="24"/>
    </row>
    <row r="68" spans="1:18" x14ac:dyDescent="0.35">
      <c r="D68" s="24"/>
      <c r="F68" s="24"/>
      <c r="H68" s="24"/>
      <c r="J68" s="24"/>
      <c r="L68" s="24"/>
      <c r="N68" s="24"/>
      <c r="P68" s="24"/>
      <c r="R68" s="24"/>
    </row>
  </sheetData>
  <pageMargins left="0.5" right="0.5" top="0.5" bottom="0.5" header="0.3" footer="0.3"/>
  <pageSetup scale="59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84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","423", " - ", "Contract/Vending Revenue")</f>
        <v>Department 423 - Contract/Vending Revenue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collapsed="1" x14ac:dyDescent="0.35">
      <c r="B12" s="7" t="s">
        <v>278</v>
      </c>
      <c r="D12" s="8">
        <f>SUM(OSRRefD14x_0)</f>
        <v>0</v>
      </c>
      <c r="E12" s="8"/>
      <c r="F12" s="8">
        <f>SUM(OSRRefF14x_0)</f>
        <v>0</v>
      </c>
      <c r="G12" s="8"/>
      <c r="H12" s="8">
        <f>SUM(OSRRefH14x_0)</f>
        <v>0</v>
      </c>
      <c r="I12" s="8"/>
      <c r="J12" s="8">
        <f>SUM(OSRRefJ14x_0)</f>
        <v>0</v>
      </c>
      <c r="K12" s="8"/>
      <c r="L12" s="8">
        <f>SUM(OSRRefL14x_0)</f>
        <v>0</v>
      </c>
      <c r="M12" s="8"/>
      <c r="N12" s="8">
        <f>SUM(OSRRefN14x_0)</f>
        <v>-729.38</v>
      </c>
      <c r="O12" s="8"/>
      <c r="P12" s="8">
        <f>SUM(OSRRefP14x_0)</f>
        <v>0</v>
      </c>
      <c r="Q12" s="8"/>
      <c r="R12" s="8">
        <f>SUM(OSRRefR14x_0)</f>
        <v>0</v>
      </c>
    </row>
    <row r="13" spans="1:18" s="44" customFormat="1" hidden="1" outlineLevel="1" x14ac:dyDescent="0.35">
      <c r="A13" s="16"/>
      <c r="B13" s="35" t="str">
        <f>CONCATENATE("          ", "5053", " - ", "PURCHASES @ COST-FOOD")</f>
        <v xml:space="preserve">          5053 - PURCHASES @ COST-FOOD</v>
      </c>
      <c r="C13" s="16"/>
      <c r="D13" s="11">
        <v>0</v>
      </c>
      <c r="E13" s="16"/>
      <c r="F13" s="11"/>
      <c r="G13" s="3"/>
      <c r="H13" s="11"/>
      <c r="I13" s="3"/>
      <c r="J13" s="11"/>
      <c r="K13" s="3"/>
      <c r="L13" s="11"/>
      <c r="M13" s="3"/>
      <c r="N13" s="11">
        <v>-729.38</v>
      </c>
      <c r="O13" s="3"/>
      <c r="P13" s="11"/>
      <c r="Q13" s="3"/>
      <c r="R13" s="11"/>
    </row>
    <row r="14" spans="1:18" x14ac:dyDescent="0.35">
      <c r="A14" s="12"/>
      <c r="B14" s="7"/>
      <c r="C14" s="7"/>
      <c r="D14" s="6"/>
      <c r="F14" s="6"/>
      <c r="H14" s="6"/>
      <c r="J14" s="6"/>
      <c r="L14" s="6"/>
      <c r="N14" s="6"/>
      <c r="P14" s="6"/>
      <c r="R14" s="6"/>
    </row>
    <row r="15" spans="1:18" s="15" customFormat="1" x14ac:dyDescent="0.35">
      <c r="A15" s="7"/>
      <c r="B15" s="22" t="s">
        <v>107</v>
      </c>
      <c r="C15" s="22"/>
      <c r="D15" s="10">
        <f>+D10-D12</f>
        <v>0</v>
      </c>
      <c r="E15" s="12"/>
      <c r="F15" s="10">
        <f>+F10-F12</f>
        <v>0</v>
      </c>
      <c r="G15" s="5"/>
      <c r="H15" s="10">
        <f>+H10-H12</f>
        <v>0</v>
      </c>
      <c r="I15" s="5"/>
      <c r="J15" s="10">
        <f>+J10-J12</f>
        <v>0</v>
      </c>
      <c r="K15" s="5"/>
      <c r="L15" s="10">
        <f>+L10-L12</f>
        <v>0</v>
      </c>
      <c r="M15" s="5"/>
      <c r="N15" s="10">
        <f>+N10-N12</f>
        <v>729.38</v>
      </c>
      <c r="O15" s="5"/>
      <c r="P15" s="10">
        <f>+P10-P12</f>
        <v>0</v>
      </c>
      <c r="Q15" s="5"/>
      <c r="R15" s="10">
        <f>+R10-R12</f>
        <v>0</v>
      </c>
    </row>
    <row r="16" spans="1:18" s="27" customFormat="1" x14ac:dyDescent="0.35">
      <c r="A16" s="18"/>
      <c r="B16" s="31"/>
      <c r="C16" s="18"/>
      <c r="D16" s="9">
        <f>IFERROR(D15/D10, 0)</f>
        <v>0</v>
      </c>
      <c r="E16" s="13"/>
      <c r="F16" s="9">
        <f>IFERROR(F15/F10, 0)</f>
        <v>0</v>
      </c>
      <c r="G16" s="26"/>
      <c r="H16" s="9">
        <f>IFERROR(H15/H10, 0)</f>
        <v>0</v>
      </c>
      <c r="I16" s="26"/>
      <c r="J16" s="9">
        <f>IFERROR(J15/J10, 0)</f>
        <v>0</v>
      </c>
      <c r="K16" s="26"/>
      <c r="L16" s="9">
        <f>IFERROR(L15/L10, 0)</f>
        <v>0</v>
      </c>
      <c r="M16" s="26"/>
      <c r="N16" s="9">
        <f>IFERROR(N15/N10, 0)</f>
        <v>0</v>
      </c>
      <c r="O16" s="26"/>
      <c r="P16" s="9">
        <f>IFERROR(P15/P10, 0)</f>
        <v>0</v>
      </c>
      <c r="Q16" s="26"/>
      <c r="R16" s="9">
        <f>IFERROR(R15/R10, 0)</f>
        <v>0</v>
      </c>
    </row>
    <row r="17" spans="1:18" s="27" customFormat="1" x14ac:dyDescent="0.35">
      <c r="A17" s="18"/>
      <c r="B17" s="31"/>
      <c r="C17" s="18"/>
      <c r="D17" s="13"/>
      <c r="E17" s="13"/>
      <c r="F17" s="13"/>
      <c r="G17" s="26"/>
      <c r="H17" s="13"/>
      <c r="I17" s="26"/>
      <c r="J17" s="13"/>
      <c r="K17" s="26"/>
      <c r="L17" s="13"/>
      <c r="M17" s="26"/>
      <c r="N17" s="13"/>
      <c r="O17" s="26"/>
      <c r="P17" s="13"/>
      <c r="Q17" s="26"/>
      <c r="R17" s="13"/>
    </row>
    <row r="18" spans="1:18" s="15" customFormat="1" x14ac:dyDescent="0.35">
      <c r="A18" s="7"/>
      <c r="B18" s="34" t="s">
        <v>314</v>
      </c>
      <c r="C18" s="7"/>
      <c r="D18" s="8">
        <f>SUM(OSRRefD21x_0)</f>
        <v>104268.95999999999</v>
      </c>
      <c r="E18" s="19"/>
      <c r="F18" s="8">
        <f>SUM(OSRRefF21x_0)</f>
        <v>99896.99</v>
      </c>
      <c r="G18" s="4"/>
      <c r="H18" s="8">
        <f>SUM(OSRRefH21x_0)</f>
        <v>96478.97</v>
      </c>
      <c r="I18" s="4"/>
      <c r="J18" s="8">
        <f>SUM(OSRRefJ21x_0)</f>
        <v>100062.90999999999</v>
      </c>
      <c r="K18" s="4"/>
      <c r="L18" s="8">
        <f>SUM(OSRRefL21x_0)</f>
        <v>105613.94999999998</v>
      </c>
      <c r="M18" s="4"/>
      <c r="N18" s="8">
        <f>SUM(OSRRefN21x_0)</f>
        <v>169908.99999999997</v>
      </c>
      <c r="O18" s="4"/>
      <c r="P18" s="8">
        <f>SUM(OSRRefP21x_0)</f>
        <v>191257.07699999999</v>
      </c>
      <c r="Q18" s="4"/>
      <c r="R18" s="8">
        <f>SUM(OSRRefR21x_0)</f>
        <v>0</v>
      </c>
    </row>
    <row r="19" spans="1:18" s="15" customFormat="1" outlineLevel="1" collapsed="1" x14ac:dyDescent="0.35">
      <c r="A19" s="7"/>
      <c r="B19" s="20" t="str">
        <f>CONCATENATE("     ","*Benefits                                         ")</f>
        <v xml:space="preserve">     *Benefits                                         </v>
      </c>
      <c r="C19" s="7"/>
      <c r="D19" s="1">
        <f>SUM(OSRRefD21_0x_0)</f>
        <v>32273.119999999999</v>
      </c>
      <c r="E19" s="19"/>
      <c r="F19" s="1">
        <f>SUM(OSRRefF21_0x_0)</f>
        <v>34319.649999999994</v>
      </c>
      <c r="G19" s="4"/>
      <c r="H19" s="1">
        <f>SUM(OSRRefH21_0x_0)</f>
        <v>31979.150000000005</v>
      </c>
      <c r="I19" s="4"/>
      <c r="J19" s="1">
        <f>SUM(OSRRefJ21_0x_0)</f>
        <v>35225.1</v>
      </c>
      <c r="K19" s="4"/>
      <c r="L19" s="1">
        <f>SUM(OSRRefL21_0x_0)</f>
        <v>36722.839999999997</v>
      </c>
      <c r="M19" s="4"/>
      <c r="N19" s="1">
        <f>SUM(OSRRefN21_0x_0)</f>
        <v>69521.09</v>
      </c>
      <c r="O19" s="4"/>
      <c r="P19" s="1">
        <f>SUM(OSRRefP21_0x_0)</f>
        <v>55247.076999999997</v>
      </c>
      <c r="Q19" s="4"/>
      <c r="R19" s="1">
        <f>SUM(OSRRefR21_0x_0)</f>
        <v>0</v>
      </c>
    </row>
    <row r="20" spans="1:18" s="16" customFormat="1" hidden="1" outlineLevel="2" x14ac:dyDescent="0.35">
      <c r="B20" s="11" t="str">
        <f>CONCATENATE("          ", "6111", " - ", "F.I.C.A.")</f>
        <v xml:space="preserve">          6111 - F.I.C.A.</v>
      </c>
      <c r="D20" s="2">
        <v>4790.05</v>
      </c>
      <c r="F20" s="2">
        <v>5092.8999999999996</v>
      </c>
      <c r="G20" s="3"/>
      <c r="H20" s="2">
        <v>5343.78</v>
      </c>
      <c r="I20" s="3"/>
      <c r="J20" s="2">
        <v>5595.7</v>
      </c>
      <c r="K20" s="3"/>
      <c r="L20" s="2">
        <v>5685.77</v>
      </c>
      <c r="M20" s="3"/>
      <c r="N20" s="2">
        <v>8369.75</v>
      </c>
      <c r="O20" s="3"/>
      <c r="P20" s="2">
        <v>11012.666999999999</v>
      </c>
      <c r="Q20" s="3"/>
      <c r="R20" s="2">
        <v>0</v>
      </c>
    </row>
    <row r="21" spans="1:18" s="16" customFormat="1" hidden="1" outlineLevel="2" x14ac:dyDescent="0.35">
      <c r="B21" s="11" t="str">
        <f>CONCATENATE("          ", "6112", " - ", "COMPENSATION INSURANCE")</f>
        <v xml:space="preserve">          6112 - COMPENSATION INSURANCE</v>
      </c>
      <c r="D21" s="2">
        <v>1317.31</v>
      </c>
      <c r="F21" s="2">
        <v>2124.42</v>
      </c>
      <c r="G21" s="3"/>
      <c r="H21" s="2">
        <v>2324.87</v>
      </c>
      <c r="I21" s="3"/>
      <c r="J21" s="2">
        <v>1803.9</v>
      </c>
      <c r="K21" s="3"/>
      <c r="L21" s="2">
        <v>2162.9</v>
      </c>
      <c r="M21" s="3"/>
      <c r="N21" s="2">
        <v>328.69</v>
      </c>
      <c r="O21" s="3"/>
      <c r="P21" s="2">
        <v>474.87</v>
      </c>
      <c r="Q21" s="3"/>
      <c r="R21" s="2">
        <v>0</v>
      </c>
    </row>
    <row r="22" spans="1:18" s="16" customFormat="1" hidden="1" outlineLevel="2" x14ac:dyDescent="0.35">
      <c r="B22" s="11" t="str">
        <f>CONCATENATE("          ", "6113", " - ", "GROUP INSURANCE")</f>
        <v xml:space="preserve">          6113 - GROUP INSURANCE</v>
      </c>
      <c r="D22" s="2">
        <v>9615.23</v>
      </c>
      <c r="F22" s="2">
        <v>10446.379999999999</v>
      </c>
      <c r="G22" s="3"/>
      <c r="H22" s="2">
        <v>11227.68</v>
      </c>
      <c r="I22" s="3"/>
      <c r="J22" s="2">
        <v>11899.63</v>
      </c>
      <c r="K22" s="3"/>
      <c r="L22" s="2">
        <v>11605.89</v>
      </c>
      <c r="M22" s="3"/>
      <c r="N22" s="2">
        <v>14888.23</v>
      </c>
      <c r="O22" s="3"/>
      <c r="P22" s="2">
        <v>16620</v>
      </c>
      <c r="Q22" s="3"/>
      <c r="R22" s="2">
        <v>0</v>
      </c>
    </row>
    <row r="23" spans="1:18" s="16" customFormat="1" hidden="1" outlineLevel="2" x14ac:dyDescent="0.35">
      <c r="B23" s="11" t="str">
        <f>CONCATENATE("          ", "6114", " - ", "STATE UNEMPLOYMENT INSURANCE")</f>
        <v xml:space="preserve">          6114 - STATE UNEMPLOYMENT INSURANCE</v>
      </c>
      <c r="D23" s="2">
        <v>379.89</v>
      </c>
      <c r="F23" s="2">
        <v>370.44</v>
      </c>
      <c r="G23" s="3"/>
      <c r="H23" s="2">
        <v>182.36</v>
      </c>
      <c r="I23" s="3"/>
      <c r="J23" s="2">
        <v>189.42</v>
      </c>
      <c r="K23" s="3"/>
      <c r="L23" s="2">
        <v>178.25</v>
      </c>
      <c r="M23" s="3"/>
      <c r="N23" s="2">
        <v>0</v>
      </c>
      <c r="O23" s="3"/>
      <c r="P23" s="2">
        <v>374.14</v>
      </c>
      <c r="Q23" s="3"/>
      <c r="R23" s="2">
        <v>0</v>
      </c>
    </row>
    <row r="24" spans="1:18" s="16" customFormat="1" hidden="1" outlineLevel="2" x14ac:dyDescent="0.35">
      <c r="B24" s="11" t="str">
        <f>CONCATENATE("          ", "6115", " - ", "P.E.R.S.")</f>
        <v xml:space="preserve">          6115 - P.E.R.S.</v>
      </c>
      <c r="D24" s="2">
        <v>7795.82</v>
      </c>
      <c r="F24" s="2">
        <v>5784.75</v>
      </c>
      <c r="G24" s="3"/>
      <c r="H24" s="2">
        <v>5611.51</v>
      </c>
      <c r="I24" s="3"/>
      <c r="J24" s="2">
        <v>5633.95</v>
      </c>
      <c r="K24" s="3"/>
      <c r="L24" s="2">
        <v>5822.79</v>
      </c>
      <c r="M24" s="3"/>
      <c r="N24" s="2">
        <v>9806.17</v>
      </c>
      <c r="O24" s="3"/>
      <c r="P24" s="2">
        <v>12375.4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"6116", " - ", "EDUCATIONAL BENEFITS")</f>
        <v xml:space="preserve">          6116 - EDUCATIONAL BENEFITS</v>
      </c>
      <c r="D25" s="2"/>
      <c r="F25" s="2"/>
      <c r="G25" s="3"/>
      <c r="H25" s="2"/>
      <c r="I25" s="3"/>
      <c r="J25" s="2"/>
      <c r="K25" s="3"/>
      <c r="L25" s="2"/>
      <c r="M25" s="3"/>
      <c r="N25" s="2"/>
      <c r="O25" s="3"/>
      <c r="P25" s="2">
        <v>0</v>
      </c>
      <c r="Q25" s="3"/>
      <c r="R25" s="2">
        <v>0</v>
      </c>
    </row>
    <row r="26" spans="1:18" s="16" customFormat="1" hidden="1" outlineLevel="2" x14ac:dyDescent="0.35">
      <c r="B26" s="11" t="str">
        <f>CONCATENATE("          ", "6118", " - ", "VACATION")</f>
        <v xml:space="preserve">          6118 - VACATION</v>
      </c>
      <c r="D26" s="2">
        <v>4957.68</v>
      </c>
      <c r="F26" s="2">
        <v>6037.62</v>
      </c>
      <c r="G26" s="3"/>
      <c r="H26" s="2">
        <v>4754.33</v>
      </c>
      <c r="I26" s="3"/>
      <c r="J26" s="2">
        <v>5004.78</v>
      </c>
      <c r="K26" s="3"/>
      <c r="L26" s="2">
        <v>5688.57</v>
      </c>
      <c r="M26" s="3"/>
      <c r="N26" s="2">
        <v>12265.5</v>
      </c>
      <c r="O26" s="3"/>
      <c r="P26" s="2">
        <v>14390</v>
      </c>
      <c r="Q26" s="3"/>
      <c r="R26" s="2">
        <v>0</v>
      </c>
    </row>
    <row r="27" spans="1:18" s="16" customFormat="1" hidden="1" outlineLevel="2" x14ac:dyDescent="0.35">
      <c r="B27" s="11" t="str">
        <f>CONCATENATE("          ", "6119", " - ", "SICK LEAVE")</f>
        <v xml:space="preserve">          6119 - SICK LEAVE</v>
      </c>
      <c r="D27" s="2">
        <v>3417.14</v>
      </c>
      <c r="F27" s="2">
        <v>4463.1400000000003</v>
      </c>
      <c r="G27" s="3"/>
      <c r="H27" s="2">
        <v>2534.61</v>
      </c>
      <c r="I27" s="3"/>
      <c r="J27" s="2">
        <v>3527.73</v>
      </c>
      <c r="K27" s="3"/>
      <c r="L27" s="2">
        <v>4033.14</v>
      </c>
      <c r="M27" s="3"/>
      <c r="N27" s="2">
        <v>22540.66</v>
      </c>
      <c r="O27" s="3"/>
      <c r="P27" s="2">
        <v>0</v>
      </c>
      <c r="Q27" s="3"/>
      <c r="R27" s="2">
        <v>0</v>
      </c>
    </row>
    <row r="28" spans="1:18" s="16" customFormat="1" hidden="1" outlineLevel="2" x14ac:dyDescent="0.35">
      <c r="B28" s="11" t="str">
        <f>CONCATENATE("          ", "6156", " - ", "EMPLOYEE MEALS")</f>
        <v xml:space="preserve">          6156 - EMPLOYEE MEALS</v>
      </c>
      <c r="D28" s="2"/>
      <c r="F28" s="2"/>
      <c r="G28" s="3"/>
      <c r="H28" s="2">
        <v>0.01</v>
      </c>
      <c r="I28" s="3"/>
      <c r="J28" s="2">
        <v>1569.99</v>
      </c>
      <c r="K28" s="3"/>
      <c r="L28" s="2">
        <v>1545.53</v>
      </c>
      <c r="M28" s="3"/>
      <c r="N28" s="2">
        <v>1322.09</v>
      </c>
      <c r="O28" s="3"/>
      <c r="P28" s="2"/>
      <c r="Q28" s="3"/>
      <c r="R28" s="2"/>
    </row>
    <row r="29" spans="1:18" s="15" customFormat="1" outlineLevel="1" collapsed="1" x14ac:dyDescent="0.35">
      <c r="A29" s="7"/>
      <c r="B29" s="20" t="str">
        <f>CONCATENATE("     ","*Payroll                                          ")</f>
        <v xml:space="preserve">     *Payroll                                          </v>
      </c>
      <c r="C29" s="7"/>
      <c r="D29" s="1">
        <f>SUM(OSRRefD21_1x_0)</f>
        <v>46570.77</v>
      </c>
      <c r="E29" s="19"/>
      <c r="F29" s="1">
        <f>SUM(OSRRefF21_1x_0)</f>
        <v>49123.17</v>
      </c>
      <c r="G29" s="4"/>
      <c r="H29" s="1">
        <f>SUM(OSRRefH21_1x_0)</f>
        <v>49032</v>
      </c>
      <c r="I29" s="4"/>
      <c r="J29" s="1">
        <f>SUM(OSRRefJ21_1x_0)</f>
        <v>51316.05</v>
      </c>
      <c r="K29" s="4"/>
      <c r="L29" s="1">
        <f>SUM(OSRRefL21_1x_0)</f>
        <v>51291.93</v>
      </c>
      <c r="M29" s="4"/>
      <c r="N29" s="1">
        <f>SUM(OSRRefN21_1x_0)</f>
        <v>78697.179999999993</v>
      </c>
      <c r="O29" s="4"/>
      <c r="P29" s="1">
        <f>SUM(OSRRefP21_1x_0)</f>
        <v>129510</v>
      </c>
      <c r="Q29" s="4"/>
      <c r="R29" s="1">
        <f>SUM(OSRRefR21_1x_0)</f>
        <v>0</v>
      </c>
    </row>
    <row r="30" spans="1:18" s="16" customFormat="1" hidden="1" outlineLevel="2" x14ac:dyDescent="0.35">
      <c r="B30" s="11" t="str">
        <f>CONCATENATE("          ", "6001", " - ", "ADMINISTRATIVE SALARIES")</f>
        <v xml:space="preserve">          6001 - ADMINISTRATIVE SALARIES</v>
      </c>
      <c r="D30" s="2">
        <v>46570.77</v>
      </c>
      <c r="F30" s="2">
        <v>49123.17</v>
      </c>
      <c r="G30" s="3"/>
      <c r="H30" s="2">
        <v>49877.39</v>
      </c>
      <c r="I30" s="3"/>
      <c r="J30" s="2">
        <v>51316.05</v>
      </c>
      <c r="K30" s="3"/>
      <c r="L30" s="2">
        <v>51291.93</v>
      </c>
      <c r="M30" s="3"/>
      <c r="N30" s="2">
        <v>82571.429999999993</v>
      </c>
      <c r="O30" s="3"/>
      <c r="P30" s="2">
        <v>129510</v>
      </c>
      <c r="Q30" s="3"/>
      <c r="R30" s="2">
        <v>0</v>
      </c>
    </row>
    <row r="31" spans="1:18" s="16" customFormat="1" hidden="1" outlineLevel="2" x14ac:dyDescent="0.35">
      <c r="B31" s="11" t="str">
        <f>CONCATENATE("          ", "6002", " - ", "STAFF SALARIES")</f>
        <v xml:space="preserve">          6002 - STAFF SALARIES</v>
      </c>
      <c r="D31" s="2"/>
      <c r="F31" s="2"/>
      <c r="G31" s="3"/>
      <c r="H31" s="2">
        <v>-845.39</v>
      </c>
      <c r="I31" s="3"/>
      <c r="J31" s="2"/>
      <c r="K31" s="3"/>
      <c r="L31" s="2"/>
      <c r="M31" s="3"/>
      <c r="N31" s="2">
        <v>-3874.25</v>
      </c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"6003", " - ", "STAFF HOURLY-9 MONTH")</f>
        <v xml:space="preserve">          6003 - STAFF HOURLY-9 MONTH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"6004", " - ", "STAFF HOURLY")</f>
        <v xml:space="preserve">          6004 - STAFF HOURLY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"6005", " - ", "TEMPORARY WAGES-HOURLY")</f>
        <v xml:space="preserve">          6005 - TEMPORARY WAGES-HOURLY</v>
      </c>
      <c r="D34" s="2"/>
      <c r="F34" s="2"/>
      <c r="G34" s="3"/>
      <c r="H34" s="2"/>
      <c r="I34" s="3"/>
      <c r="J34" s="2"/>
      <c r="K34" s="3"/>
      <c r="L34" s="2"/>
      <c r="M34" s="3"/>
      <c r="N34" s="2"/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"6006", " - ", "TEMPORARY PART TIME")</f>
        <v xml:space="preserve">          6006 - TEMPORARY PART TIME</v>
      </c>
      <c r="D35" s="2"/>
      <c r="F35" s="2"/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"6007", " - ", "STUDENT HOURLY")</f>
        <v xml:space="preserve">          6007 - STUDENT HOURLY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"6008", " - ", "STUDENT HOURLY-FICA EXEMPT")</f>
        <v xml:space="preserve">          6008 - STUDENT HOURLY-FICA EXEMPT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"6009", " - ", "TEMPORARY-SEASONAL")</f>
        <v xml:space="preserve">          6009 - TEMPORARY-SEASONAL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6" customFormat="1" hidden="1" outlineLevel="2" x14ac:dyDescent="0.35">
      <c r="B39" s="11" t="str">
        <f>CONCATENATE("          ", "6010", " - ", "GRATUITY")</f>
        <v xml:space="preserve">          6010 - GRATUITY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5" customFormat="1" outlineLevel="1" collapsed="1" x14ac:dyDescent="0.35">
      <c r="A40" s="7"/>
      <c r="B40" s="20" t="str">
        <f>CONCATENATE("     ","Depreciation                                      ")</f>
        <v xml:space="preserve">     Depreciation                                      </v>
      </c>
      <c r="C40" s="7"/>
      <c r="D40" s="1">
        <f>SUM(OSRRefD21_2x_0)</f>
        <v>239.89</v>
      </c>
      <c r="E40" s="19"/>
      <c r="F40" s="1">
        <f>SUM(OSRRefF21_2x_0)</f>
        <v>292.87</v>
      </c>
      <c r="G40" s="4"/>
      <c r="H40" s="1">
        <f>SUM(OSRRefH21_2x_0)</f>
        <v>271.38</v>
      </c>
      <c r="I40" s="4"/>
      <c r="J40" s="1">
        <f>SUM(OSRRefJ21_2x_0)</f>
        <v>0</v>
      </c>
      <c r="K40" s="4"/>
      <c r="L40" s="1">
        <f>SUM(OSRRefL21_2x_0)</f>
        <v>0</v>
      </c>
      <c r="M40" s="4"/>
      <c r="N40" s="1">
        <f>SUM(OSRRefN21_2x_0)</f>
        <v>0</v>
      </c>
      <c r="O40" s="4"/>
      <c r="P40" s="1">
        <f>SUM(OSRRefP21_2x_0)</f>
        <v>0</v>
      </c>
      <c r="Q40" s="4"/>
      <c r="R40" s="1">
        <f>SUM(OSRRefR21_2x_0)</f>
        <v>0</v>
      </c>
    </row>
    <row r="41" spans="1:18" s="16" customFormat="1" hidden="1" outlineLevel="2" x14ac:dyDescent="0.35">
      <c r="B41" s="11" t="str">
        <f>CONCATENATE("          ", "6322", " - ", "EQUIPMENT DEPRECIATION EXPENSE")</f>
        <v xml:space="preserve">          6322 - EQUIPMENT DEPRECIATION EXPENSE</v>
      </c>
      <c r="D41" s="2">
        <v>239.89</v>
      </c>
      <c r="F41" s="2">
        <v>292.87</v>
      </c>
      <c r="G41" s="3"/>
      <c r="H41" s="2">
        <v>271.38</v>
      </c>
      <c r="I41" s="3"/>
      <c r="J41" s="2"/>
      <c r="K41" s="3"/>
      <c r="L41" s="2"/>
      <c r="M41" s="3"/>
      <c r="N41" s="2"/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","General                                           ")</f>
        <v xml:space="preserve">     General                                           </v>
      </c>
      <c r="C42" s="7"/>
      <c r="D42" s="1">
        <f>SUM(OSRRefD21_3x_0)</f>
        <v>1990.4</v>
      </c>
      <c r="E42" s="19"/>
      <c r="F42" s="1">
        <f>SUM(OSRRefF21_3x_0)</f>
        <v>1367.6</v>
      </c>
      <c r="G42" s="4"/>
      <c r="H42" s="1">
        <f>SUM(OSRRefH21_3x_0)</f>
        <v>1431.01</v>
      </c>
      <c r="I42" s="4"/>
      <c r="J42" s="1">
        <f>SUM(OSRRefJ21_3x_0)</f>
        <v>2869.5</v>
      </c>
      <c r="K42" s="4"/>
      <c r="L42" s="1">
        <f>SUM(OSRRefL21_3x_0)</f>
        <v>2357.6</v>
      </c>
      <c r="M42" s="4"/>
      <c r="N42" s="1">
        <f>SUM(OSRRefN21_3x_0)</f>
        <v>7017.71</v>
      </c>
      <c r="O42" s="4"/>
      <c r="P42" s="1">
        <f>SUM(OSRRefP21_3x_0)</f>
        <v>3000</v>
      </c>
      <c r="Q42" s="4"/>
      <c r="R42" s="1">
        <f>SUM(OSRRefR21_3x_0)</f>
        <v>0</v>
      </c>
    </row>
    <row r="43" spans="1:18" s="16" customFormat="1" hidden="1" outlineLevel="2" x14ac:dyDescent="0.35">
      <c r="B43" s="11" t="str">
        <f>CONCATENATE("          ", "6279", " - ", "GENERAL EXPENSE")</f>
        <v xml:space="preserve">          6279 - GENERAL EXPENSE</v>
      </c>
      <c r="D43" s="2">
        <v>1990.4</v>
      </c>
      <c r="F43" s="2">
        <v>1367.6</v>
      </c>
      <c r="G43" s="3"/>
      <c r="H43" s="2">
        <v>1431.01</v>
      </c>
      <c r="I43" s="3"/>
      <c r="J43" s="2">
        <v>2869.5</v>
      </c>
      <c r="K43" s="3"/>
      <c r="L43" s="2">
        <v>2357.6</v>
      </c>
      <c r="M43" s="3"/>
      <c r="N43" s="2">
        <v>7017.71</v>
      </c>
      <c r="O43" s="3"/>
      <c r="P43" s="2">
        <v>3000</v>
      </c>
      <c r="Q43" s="3"/>
      <c r="R43" s="2"/>
    </row>
    <row r="44" spans="1:18" s="15" customFormat="1" outlineLevel="1" collapsed="1" x14ac:dyDescent="0.35">
      <c r="A44" s="7"/>
      <c r="B44" s="20" t="str">
        <f>CONCATENATE("     ","R/H Commissions                                   ")</f>
        <v xml:space="preserve">     R/H Commissions                                   </v>
      </c>
      <c r="C44" s="7"/>
      <c r="D44" s="1">
        <f>SUM(OSRRefD21_4x_0)</f>
        <v>0</v>
      </c>
      <c r="E44" s="19"/>
      <c r="F44" s="1">
        <f>SUM(OSRRefF21_4x_0)</f>
        <v>0</v>
      </c>
      <c r="G44" s="4"/>
      <c r="H44" s="1">
        <f>SUM(OSRRefH21_4x_0)</f>
        <v>0</v>
      </c>
      <c r="I44" s="4"/>
      <c r="J44" s="1">
        <f>SUM(OSRRefJ21_4x_0)</f>
        <v>0</v>
      </c>
      <c r="K44" s="4"/>
      <c r="L44" s="1">
        <f>SUM(OSRRefL21_4x_0)</f>
        <v>0</v>
      </c>
      <c r="M44" s="4"/>
      <c r="N44" s="1">
        <f>SUM(OSRRefN21_4x_0)</f>
        <v>0</v>
      </c>
      <c r="O44" s="4"/>
      <c r="P44" s="1">
        <f>SUM(OSRRefP21_4x_0)</f>
        <v>2000</v>
      </c>
      <c r="Q44" s="4"/>
      <c r="R44" s="1">
        <f>SUM(OSRRefR21_4x_0)</f>
        <v>0</v>
      </c>
    </row>
    <row r="45" spans="1:18" s="16" customFormat="1" hidden="1" outlineLevel="2" x14ac:dyDescent="0.35">
      <c r="B45" s="11" t="str">
        <f>CONCATENATE("          ", "6387", " - ", "COMMISSION DUE HOUSING")</f>
        <v xml:space="preserve">          6387 - COMMISSION DUE HOUSING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2000</v>
      </c>
      <c r="Q45" s="3"/>
      <c r="R45" s="2"/>
    </row>
    <row r="46" spans="1:18" s="15" customFormat="1" outlineLevel="1" collapsed="1" x14ac:dyDescent="0.35">
      <c r="A46" s="7"/>
      <c r="B46" s="20" t="str">
        <f>CONCATENATE("     ","Repair and Maintenance                            ")</f>
        <v xml:space="preserve">     Repair and Maintenance                            </v>
      </c>
      <c r="C46" s="7"/>
      <c r="D46" s="1">
        <f>SUM(OSRRefD21_5x_0)</f>
        <v>-65</v>
      </c>
      <c r="E46" s="19"/>
      <c r="F46" s="1">
        <f>SUM(OSRRefF21_5x_0)</f>
        <v>-72</v>
      </c>
      <c r="G46" s="4"/>
      <c r="H46" s="1">
        <f>SUM(OSRRefH21_5x_0)</f>
        <v>65</v>
      </c>
      <c r="I46" s="4"/>
      <c r="J46" s="1">
        <f>SUM(OSRRefJ21_5x_0)</f>
        <v>33.020000000000003</v>
      </c>
      <c r="K46" s="4"/>
      <c r="L46" s="1">
        <f>SUM(OSRRefL21_5x_0)</f>
        <v>0</v>
      </c>
      <c r="M46" s="4"/>
      <c r="N46" s="1">
        <f>SUM(OSRRefN21_5x_0)</f>
        <v>0</v>
      </c>
      <c r="O46" s="4"/>
      <c r="P46" s="1">
        <f>SUM(OSRRefP21_5x_0)</f>
        <v>0</v>
      </c>
      <c r="Q46" s="4"/>
      <c r="R46" s="1">
        <f>SUM(OSRRefR21_5x_0)</f>
        <v>0</v>
      </c>
    </row>
    <row r="47" spans="1:18" s="16" customFormat="1" hidden="1" outlineLevel="2" x14ac:dyDescent="0.35">
      <c r="B47" s="11" t="str">
        <f>CONCATENATE("          ", "6375", " - ", "OUTSIDE REPAIRS &amp; MAINTENANCE")</f>
        <v xml:space="preserve">          6375 - OUTSIDE REPAIRS &amp; MAINTENANCE</v>
      </c>
      <c r="D47" s="2">
        <v>-65</v>
      </c>
      <c r="F47" s="2">
        <v>-72</v>
      </c>
      <c r="G47" s="3"/>
      <c r="H47" s="2">
        <v>65</v>
      </c>
      <c r="I47" s="3"/>
      <c r="J47" s="2">
        <v>33.020000000000003</v>
      </c>
      <c r="K47" s="3"/>
      <c r="L47" s="2"/>
      <c r="M47" s="3"/>
      <c r="N47" s="2"/>
      <c r="O47" s="3"/>
      <c r="P47" s="2"/>
      <c r="Q47" s="3"/>
      <c r="R47" s="2"/>
    </row>
    <row r="48" spans="1:18" s="15" customFormat="1" outlineLevel="1" collapsed="1" x14ac:dyDescent="0.35">
      <c r="A48" s="7"/>
      <c r="B48" s="20" t="str">
        <f>CONCATENATE("     ","Royalty &amp; Commissions                             ")</f>
        <v xml:space="preserve">     Royalty &amp; Commissions                             </v>
      </c>
      <c r="C48" s="7"/>
      <c r="D48" s="1">
        <f>SUM(OSRRefD21_6x_0)</f>
        <v>21151.759999999998</v>
      </c>
      <c r="E48" s="19"/>
      <c r="F48" s="1">
        <f>SUM(OSRRefF21_6x_0)</f>
        <v>11179.91</v>
      </c>
      <c r="G48" s="4"/>
      <c r="H48" s="1">
        <f>SUM(OSRRefH21_6x_0)</f>
        <v>11320.16</v>
      </c>
      <c r="I48" s="4"/>
      <c r="J48" s="1">
        <f>SUM(OSRRefJ21_6x_0)</f>
        <v>9368.2000000000007</v>
      </c>
      <c r="K48" s="4"/>
      <c r="L48" s="1">
        <f>SUM(OSRRefL21_6x_0)</f>
        <v>11506.26</v>
      </c>
      <c r="M48" s="4"/>
      <c r="N48" s="1">
        <f>SUM(OSRRefN21_6x_0)</f>
        <v>10393.31</v>
      </c>
      <c r="O48" s="4"/>
      <c r="P48" s="1">
        <f>SUM(OSRRefP21_6x_0)</f>
        <v>0</v>
      </c>
      <c r="Q48" s="4"/>
      <c r="R48" s="1">
        <f>SUM(OSRRefR21_6x_0)</f>
        <v>0</v>
      </c>
    </row>
    <row r="49" spans="1:18" s="16" customFormat="1" hidden="1" outlineLevel="2" x14ac:dyDescent="0.35">
      <c r="B49" s="11" t="str">
        <f>CONCATENATE("          ", "6254", " - ", "ROYALTY &amp; COMMISSIONS")</f>
        <v xml:space="preserve">          6254 - ROYALTY &amp; COMMISSIONS</v>
      </c>
      <c r="D49" s="2">
        <v>21151.759999999998</v>
      </c>
      <c r="F49" s="2">
        <v>11179.91</v>
      </c>
      <c r="G49" s="3"/>
      <c r="H49" s="2">
        <v>11320.16</v>
      </c>
      <c r="I49" s="3"/>
      <c r="J49" s="2">
        <v>9368.2000000000007</v>
      </c>
      <c r="K49" s="3"/>
      <c r="L49" s="2">
        <v>11506.26</v>
      </c>
      <c r="M49" s="3"/>
      <c r="N49" s="2">
        <v>10393.31</v>
      </c>
      <c r="O49" s="3"/>
      <c r="P49" s="2"/>
      <c r="Q49" s="3"/>
      <c r="R49" s="2"/>
    </row>
    <row r="50" spans="1:18" s="15" customFormat="1" outlineLevel="1" collapsed="1" x14ac:dyDescent="0.35">
      <c r="A50" s="7"/>
      <c r="B50" s="20" t="str">
        <f>CONCATENATE("     ","Services                                          ")</f>
        <v xml:space="preserve">     Services                                          </v>
      </c>
      <c r="C50" s="7"/>
      <c r="D50" s="1">
        <f>SUM(OSRRefD21_7x_0)</f>
        <v>0</v>
      </c>
      <c r="E50" s="19"/>
      <c r="F50" s="1">
        <f>SUM(OSRRefF21_7x_0)</f>
        <v>0</v>
      </c>
      <c r="G50" s="4"/>
      <c r="H50" s="1">
        <f>SUM(OSRRefH21_7x_0)</f>
        <v>0</v>
      </c>
      <c r="I50" s="4"/>
      <c r="J50" s="1">
        <f>SUM(OSRRefJ21_7x_0)</f>
        <v>0</v>
      </c>
      <c r="K50" s="4"/>
      <c r="L50" s="1">
        <f>SUM(OSRRefL21_7x_0)</f>
        <v>0</v>
      </c>
      <c r="M50" s="4"/>
      <c r="N50" s="1">
        <f>SUM(OSRRefN21_7x_0)</f>
        <v>0</v>
      </c>
      <c r="O50" s="4"/>
      <c r="P50" s="1">
        <f>SUM(OSRRefP21_7x_0)</f>
        <v>0</v>
      </c>
      <c r="Q50" s="4"/>
      <c r="R50" s="1">
        <f>SUM(OSRRefR21_7x_0)</f>
        <v>0</v>
      </c>
    </row>
    <row r="51" spans="1:18" s="16" customFormat="1" hidden="1" outlineLevel="2" x14ac:dyDescent="0.35">
      <c r="B51" s="11" t="str">
        <f>CONCATENATE("          ", "6282", " - ", "JANITORIAL/EXTERMINATOR EXPENS")</f>
        <v xml:space="preserve">          6282 - JANITORIAL/EXTERMINATOR EXPENS</v>
      </c>
      <c r="D51" s="2"/>
      <c r="F51" s="2"/>
      <c r="G51" s="3"/>
      <c r="H51" s="2"/>
      <c r="I51" s="3"/>
      <c r="J51" s="2"/>
      <c r="K51" s="3"/>
      <c r="L51" s="2"/>
      <c r="M51" s="3"/>
      <c r="N51" s="2"/>
      <c r="O51" s="3"/>
      <c r="P51" s="2">
        <v>0</v>
      </c>
      <c r="Q51" s="3"/>
      <c r="R51" s="2"/>
    </row>
    <row r="52" spans="1:18" s="16" customFormat="1" hidden="1" outlineLevel="2" x14ac:dyDescent="0.35">
      <c r="B52" s="11" t="str">
        <f>CONCATENATE("          ", "6284", " - ", "TRASH REMOVAL EXPENSE")</f>
        <v xml:space="preserve">          6284 - TRASH REMOVAL EXPENSE</v>
      </c>
      <c r="D52" s="2"/>
      <c r="F52" s="2"/>
      <c r="G52" s="3"/>
      <c r="H52" s="2"/>
      <c r="I52" s="3"/>
      <c r="J52" s="2"/>
      <c r="K52" s="3"/>
      <c r="L52" s="2"/>
      <c r="M52" s="3"/>
      <c r="N52" s="2"/>
      <c r="O52" s="3"/>
      <c r="P52" s="2"/>
      <c r="Q52" s="3"/>
      <c r="R52" s="2">
        <v>0</v>
      </c>
    </row>
    <row r="53" spans="1:18" s="16" customFormat="1" hidden="1" outlineLevel="2" x14ac:dyDescent="0.35">
      <c r="B53" s="11" t="str">
        <f>CONCATENATE("          ", "6285", " - ", "JANITORIAL SERVICES")</f>
        <v xml:space="preserve">          6285 - JANITORIAL SERVICES</v>
      </c>
      <c r="D53" s="2"/>
      <c r="F53" s="2"/>
      <c r="G53" s="3"/>
      <c r="H53" s="2"/>
      <c r="I53" s="3"/>
      <c r="J53" s="2"/>
      <c r="K53" s="3"/>
      <c r="L53" s="2"/>
      <c r="M53" s="3"/>
      <c r="N53" s="2"/>
      <c r="O53" s="3"/>
      <c r="P53" s="2">
        <v>0</v>
      </c>
      <c r="Q53" s="3"/>
      <c r="R53" s="2"/>
    </row>
    <row r="54" spans="1:18" s="15" customFormat="1" outlineLevel="1" collapsed="1" x14ac:dyDescent="0.35">
      <c r="A54" s="7"/>
      <c r="B54" s="20" t="str">
        <f>CONCATENATE("     ","Supplies                                          ")</f>
        <v xml:space="preserve">     Supplies                                          </v>
      </c>
      <c r="C54" s="7"/>
      <c r="D54" s="1">
        <f>SUM(OSRRefD21_8x_0)</f>
        <v>231.13</v>
      </c>
      <c r="E54" s="19"/>
      <c r="F54" s="1">
        <f>SUM(OSRRefF21_8x_0)</f>
        <v>1916.69</v>
      </c>
      <c r="G54" s="4"/>
      <c r="H54" s="1">
        <f>SUM(OSRRefH21_8x_0)</f>
        <v>194.04</v>
      </c>
      <c r="I54" s="4"/>
      <c r="J54" s="1">
        <f>SUM(OSRRefJ21_8x_0)</f>
        <v>24.42</v>
      </c>
      <c r="K54" s="4"/>
      <c r="L54" s="1">
        <f>SUM(OSRRefL21_8x_0)</f>
        <v>2706.12</v>
      </c>
      <c r="M54" s="4"/>
      <c r="N54" s="1">
        <f>SUM(OSRRefN21_8x_0)</f>
        <v>196.85</v>
      </c>
      <c r="O54" s="4"/>
      <c r="P54" s="1">
        <f>SUM(OSRRefP21_8x_0)</f>
        <v>300</v>
      </c>
      <c r="Q54" s="4"/>
      <c r="R54" s="1">
        <f>SUM(OSRRefR21_8x_0)</f>
        <v>0</v>
      </c>
    </row>
    <row r="55" spans="1:18" s="16" customFormat="1" hidden="1" outlineLevel="2" x14ac:dyDescent="0.35">
      <c r="B55" s="11" t="str">
        <f>CONCATENATE("          ", "6241", " - ", "OFFICE EXPENSE")</f>
        <v xml:space="preserve">          6241 - OFFICE EXPENSE</v>
      </c>
      <c r="D55" s="2">
        <v>231.13</v>
      </c>
      <c r="F55" s="2">
        <v>1916.69</v>
      </c>
      <c r="G55" s="3"/>
      <c r="H55" s="2">
        <v>194.04</v>
      </c>
      <c r="I55" s="3"/>
      <c r="J55" s="2">
        <v>24.42</v>
      </c>
      <c r="K55" s="3"/>
      <c r="L55" s="2">
        <v>2706.12</v>
      </c>
      <c r="M55" s="3"/>
      <c r="N55" s="2">
        <v>196.85</v>
      </c>
      <c r="O55" s="3"/>
      <c r="P55" s="2">
        <v>300</v>
      </c>
      <c r="Q55" s="3"/>
      <c r="R55" s="2"/>
    </row>
    <row r="56" spans="1:18" s="15" customFormat="1" outlineLevel="1" collapsed="1" x14ac:dyDescent="0.35">
      <c r="A56" s="7"/>
      <c r="B56" s="20" t="str">
        <f>CONCATENATE("     ","Telephone/Data Lines                              ")</f>
        <v xml:space="preserve">     Telephone/Data Lines                              </v>
      </c>
      <c r="C56" s="7"/>
      <c r="D56" s="1">
        <f>SUM(OSRRefD21_9x_0)</f>
        <v>1596.89</v>
      </c>
      <c r="E56" s="19"/>
      <c r="F56" s="1">
        <f>SUM(OSRRefF21_9x_0)</f>
        <v>1769.1</v>
      </c>
      <c r="G56" s="4"/>
      <c r="H56" s="1">
        <f>SUM(OSRRefH21_9x_0)</f>
        <v>978.4</v>
      </c>
      <c r="I56" s="4"/>
      <c r="J56" s="1">
        <f>SUM(OSRRefJ21_9x_0)</f>
        <v>1226.6199999999999</v>
      </c>
      <c r="K56" s="4"/>
      <c r="L56" s="1">
        <f>SUM(OSRRefL21_9x_0)</f>
        <v>1029.2</v>
      </c>
      <c r="M56" s="4"/>
      <c r="N56" s="1">
        <f>SUM(OSRRefN21_9x_0)</f>
        <v>1323.05</v>
      </c>
      <c r="O56" s="4"/>
      <c r="P56" s="1">
        <f>SUM(OSRRefP21_9x_0)</f>
        <v>1200</v>
      </c>
      <c r="Q56" s="4"/>
      <c r="R56" s="1">
        <f>SUM(OSRRefR21_9x_0)</f>
        <v>0</v>
      </c>
    </row>
    <row r="57" spans="1:18" s="16" customFormat="1" hidden="1" outlineLevel="2" x14ac:dyDescent="0.35">
      <c r="B57" s="11" t="str">
        <f>CONCATENATE("          ", "6309", " - ", "TELEPHONE")</f>
        <v xml:space="preserve">          6309 - TELEPHONE</v>
      </c>
      <c r="D57" s="2">
        <v>1596.89</v>
      </c>
      <c r="F57" s="2">
        <v>1769.1</v>
      </c>
      <c r="G57" s="3"/>
      <c r="H57" s="2">
        <v>978.4</v>
      </c>
      <c r="I57" s="3"/>
      <c r="J57" s="2">
        <v>1226.6199999999999</v>
      </c>
      <c r="K57" s="3"/>
      <c r="L57" s="2">
        <v>1029.2</v>
      </c>
      <c r="M57" s="3"/>
      <c r="N57" s="2">
        <v>1323.05</v>
      </c>
      <c r="O57" s="3"/>
      <c r="P57" s="2">
        <v>1200</v>
      </c>
      <c r="Q57" s="3"/>
      <c r="R57" s="2"/>
    </row>
    <row r="58" spans="1:18" s="15" customFormat="1" outlineLevel="1" collapsed="1" x14ac:dyDescent="0.35">
      <c r="A58" s="7"/>
      <c r="B58" s="20" t="str">
        <f>CONCATENATE("     ","Training                                          ")</f>
        <v xml:space="preserve">     Training                                          </v>
      </c>
      <c r="C58" s="7"/>
      <c r="D58" s="1">
        <f>SUM(OSRRefD21_10x_0)</f>
        <v>280</v>
      </c>
      <c r="E58" s="19"/>
      <c r="F58" s="1">
        <f>SUM(OSRRefF21_10x_0)</f>
        <v>0</v>
      </c>
      <c r="G58" s="4"/>
      <c r="H58" s="1">
        <f>SUM(OSRRefH21_10x_0)</f>
        <v>0</v>
      </c>
      <c r="I58" s="4"/>
      <c r="J58" s="1">
        <f>SUM(OSRRefJ21_10x_0)</f>
        <v>0</v>
      </c>
      <c r="K58" s="4"/>
      <c r="L58" s="1">
        <f>SUM(OSRRefL21_10x_0)</f>
        <v>0</v>
      </c>
      <c r="M58" s="4"/>
      <c r="N58" s="1">
        <f>SUM(OSRRefN21_10x_0)</f>
        <v>0</v>
      </c>
      <c r="O58" s="4"/>
      <c r="P58" s="1">
        <f>SUM(OSRRefP21_10x_0)</f>
        <v>0</v>
      </c>
      <c r="Q58" s="4"/>
      <c r="R58" s="1">
        <f>SUM(OSRRefR21_10x_0)</f>
        <v>0</v>
      </c>
    </row>
    <row r="59" spans="1:18" s="16" customFormat="1" hidden="1" outlineLevel="2" x14ac:dyDescent="0.35">
      <c r="B59" s="11" t="str">
        <f>CONCATENATE("          ", "6376", " - ", "TRAINING")</f>
        <v xml:space="preserve">          6376 - TRAINING</v>
      </c>
      <c r="D59" s="2">
        <v>280</v>
      </c>
      <c r="F59" s="2"/>
      <c r="G59" s="3"/>
      <c r="H59" s="2"/>
      <c r="I59" s="3"/>
      <c r="J59" s="2"/>
      <c r="K59" s="3"/>
      <c r="L59" s="2"/>
      <c r="M59" s="3"/>
      <c r="N59" s="2"/>
      <c r="O59" s="3"/>
      <c r="P59" s="2"/>
      <c r="Q59" s="3"/>
      <c r="R59" s="2"/>
    </row>
    <row r="60" spans="1:18" s="15" customFormat="1" outlineLevel="1" collapsed="1" x14ac:dyDescent="0.35">
      <c r="A60" s="7"/>
      <c r="B60" s="20" t="str">
        <f>CONCATENATE("     ","Travel                                            ")</f>
        <v xml:space="preserve">     Travel                                            </v>
      </c>
      <c r="C60" s="7"/>
      <c r="D60" s="1">
        <f>SUM(OSRRefD21_11x_0)</f>
        <v>0</v>
      </c>
      <c r="E60" s="19"/>
      <c r="F60" s="1">
        <f>SUM(OSRRefF21_11x_0)</f>
        <v>0</v>
      </c>
      <c r="G60" s="4"/>
      <c r="H60" s="1">
        <f>SUM(OSRRefH21_11x_0)</f>
        <v>1207.83</v>
      </c>
      <c r="I60" s="4"/>
      <c r="J60" s="1">
        <f>SUM(OSRRefJ21_11x_0)</f>
        <v>0</v>
      </c>
      <c r="K60" s="4"/>
      <c r="L60" s="1">
        <f>SUM(OSRRefL21_11x_0)</f>
        <v>0</v>
      </c>
      <c r="M60" s="4"/>
      <c r="N60" s="1">
        <f>SUM(OSRRefN21_11x_0)</f>
        <v>2759.81</v>
      </c>
      <c r="O60" s="4"/>
      <c r="P60" s="1">
        <f>SUM(OSRRefP21_11x_0)</f>
        <v>0</v>
      </c>
      <c r="Q60" s="4"/>
      <c r="R60" s="1">
        <f>SUM(OSRRefR21_11x_0)</f>
        <v>0</v>
      </c>
    </row>
    <row r="61" spans="1:18" s="16" customFormat="1" hidden="1" outlineLevel="2" x14ac:dyDescent="0.35">
      <c r="B61" s="11" t="str">
        <f>CONCATENATE("          ", "6292", " - ", "TRAVEL/CONFERENCE")</f>
        <v xml:space="preserve">          6292 - TRAVEL/CONFERENCE</v>
      </c>
      <c r="D61" s="2"/>
      <c r="F61" s="2"/>
      <c r="G61" s="3"/>
      <c r="H61" s="2">
        <v>1207.83</v>
      </c>
      <c r="I61" s="3"/>
      <c r="J61" s="2"/>
      <c r="K61" s="3"/>
      <c r="L61" s="2"/>
      <c r="M61" s="3"/>
      <c r="N61" s="2">
        <v>2759.81</v>
      </c>
      <c r="O61" s="3"/>
      <c r="P61" s="2"/>
      <c r="Q61" s="3"/>
      <c r="R61" s="2"/>
    </row>
    <row r="62" spans="1:18" s="15" customFormat="1" outlineLevel="1" collapsed="1" x14ac:dyDescent="0.35">
      <c r="A62" s="7"/>
      <c r="B62" s="20" t="str">
        <f>CONCATENATE("     ","Utilities                                         ")</f>
        <v xml:space="preserve">     Utilities                                         </v>
      </c>
      <c r="C62" s="7"/>
      <c r="D62" s="1">
        <f>SUM(OSRRefD21_12x_0)</f>
        <v>0</v>
      </c>
      <c r="E62" s="19"/>
      <c r="F62" s="1">
        <f>SUM(OSRRefF21_12x_0)</f>
        <v>0</v>
      </c>
      <c r="G62" s="4"/>
      <c r="H62" s="1">
        <f>SUM(OSRRefH21_12x_0)</f>
        <v>0</v>
      </c>
      <c r="I62" s="4"/>
      <c r="J62" s="1">
        <f>SUM(OSRRefJ21_12x_0)</f>
        <v>0</v>
      </c>
      <c r="K62" s="4"/>
      <c r="L62" s="1">
        <f>SUM(OSRRefL21_12x_0)</f>
        <v>0</v>
      </c>
      <c r="M62" s="4"/>
      <c r="N62" s="1">
        <f>SUM(OSRRefN21_12x_0)</f>
        <v>0</v>
      </c>
      <c r="O62" s="4"/>
      <c r="P62" s="1">
        <f>SUM(OSRRefP21_12x_0)</f>
        <v>0</v>
      </c>
      <c r="Q62" s="4"/>
      <c r="R62" s="1">
        <f>SUM(OSRRefR21_12x_0)</f>
        <v>0</v>
      </c>
    </row>
    <row r="63" spans="1:18" s="16" customFormat="1" hidden="1" outlineLevel="2" x14ac:dyDescent="0.35">
      <c r="B63" s="11" t="str">
        <f>CONCATENATE("          ", "6274", " - ", "UTILITIES")</f>
        <v xml:space="preserve">          6274 - UTILITIES</v>
      </c>
      <c r="D63" s="2"/>
      <c r="F63" s="2"/>
      <c r="G63" s="3"/>
      <c r="H63" s="2"/>
      <c r="I63" s="3"/>
      <c r="J63" s="2"/>
      <c r="K63" s="3"/>
      <c r="L63" s="2"/>
      <c r="M63" s="3"/>
      <c r="N63" s="2"/>
      <c r="O63" s="3"/>
      <c r="P63" s="2">
        <v>0</v>
      </c>
      <c r="Q63" s="3"/>
      <c r="R63" s="2"/>
    </row>
    <row r="64" spans="1:18" x14ac:dyDescent="0.35">
      <c r="A64" s="12"/>
      <c r="B64" s="12"/>
      <c r="C64" s="12"/>
      <c r="D64" s="1"/>
      <c r="F64" s="1"/>
      <c r="H64" s="1"/>
      <c r="J64" s="1"/>
      <c r="L64" s="1"/>
      <c r="N64" s="1"/>
      <c r="P64" s="1"/>
      <c r="R64" s="1"/>
    </row>
    <row r="65" spans="1:18" s="7" customFormat="1" collapsed="1" x14ac:dyDescent="0.35">
      <c r="A65" s="36"/>
      <c r="B65" s="34" t="s">
        <v>295</v>
      </c>
      <c r="D65" s="6">
        <f>SUM(OSRRefD24x_0)</f>
        <v>199636.58</v>
      </c>
      <c r="E65" s="12"/>
      <c r="F65" s="6">
        <f>SUM(OSRRefF24x_0)</f>
        <v>188251.12</v>
      </c>
      <c r="G65" s="5"/>
      <c r="H65" s="6">
        <f>SUM(OSRRefH24x_0)</f>
        <v>221621.31</v>
      </c>
      <c r="I65" s="5"/>
      <c r="J65" s="6">
        <f>SUM(OSRRefJ24x_0)</f>
        <v>236861.8</v>
      </c>
      <c r="K65" s="5"/>
      <c r="L65" s="6">
        <f>SUM(OSRRefL24x_0)</f>
        <v>205642.88</v>
      </c>
      <c r="M65" s="5"/>
      <c r="N65" s="6">
        <f>SUM(OSRRefN24x_0)</f>
        <v>155658.1</v>
      </c>
      <c r="O65" s="5"/>
      <c r="P65" s="6">
        <f>SUM(OSRRefP24x_0)</f>
        <v>96558</v>
      </c>
      <c r="Q65" s="5"/>
      <c r="R65" s="6">
        <f>SUM(OSRRefR24x_0)</f>
        <v>175853.02000000002</v>
      </c>
    </row>
    <row r="66" spans="1:18" s="7" customFormat="1" hidden="1" outlineLevel="1" x14ac:dyDescent="0.35">
      <c r="A66" s="36"/>
      <c r="B66" s="11" t="str">
        <f>CONCATENATE("          ", "9150", " - ", "MISC. INCOME")</f>
        <v xml:space="preserve">          9150 - MISC. INCOME</v>
      </c>
      <c r="D66" s="11">
        <f>--199636.58</f>
        <v>199636.58</v>
      </c>
      <c r="E66" s="16"/>
      <c r="F66" s="11">
        <f>--188251.12</f>
        <v>188251.12</v>
      </c>
      <c r="G66" s="3"/>
      <c r="H66" s="11">
        <f>--221621.31</f>
        <v>221621.31</v>
      </c>
      <c r="I66" s="3"/>
      <c r="J66" s="11">
        <f>--236861.8</f>
        <v>236861.8</v>
      </c>
      <c r="K66" s="3"/>
      <c r="L66" s="11">
        <f>--205642.88</f>
        <v>205642.88</v>
      </c>
      <c r="M66" s="3"/>
      <c r="N66" s="11">
        <f>--155658.1</f>
        <v>155658.1</v>
      </c>
      <c r="O66" s="3"/>
      <c r="P66" s="11">
        <v>30725</v>
      </c>
      <c r="Q66" s="3"/>
      <c r="R66" s="11">
        <v>1000</v>
      </c>
    </row>
    <row r="67" spans="1:18" s="7" customFormat="1" hidden="1" outlineLevel="1" x14ac:dyDescent="0.35">
      <c r="A67" s="36"/>
      <c r="B67" s="11" t="str">
        <f>CONCATENATE("          ", "9151", " - ", "MISC. INCOME")</f>
        <v xml:space="preserve">          9151 - MISC. INCOME</v>
      </c>
      <c r="D67" s="11">
        <f t="shared" ref="D67:D68" si="0">0</f>
        <v>0</v>
      </c>
      <c r="E67" s="16"/>
      <c r="F67" s="11">
        <f t="shared" ref="F67:F68" si="1">0</f>
        <v>0</v>
      </c>
      <c r="G67" s="3"/>
      <c r="H67" s="11">
        <f t="shared" ref="H67:H68" si="2">0</f>
        <v>0</v>
      </c>
      <c r="I67" s="3"/>
      <c r="J67" s="11">
        <f t="shared" ref="J67:J68" si="3">0</f>
        <v>0</v>
      </c>
      <c r="K67" s="3"/>
      <c r="L67" s="11">
        <f t="shared" ref="L67:L68" si="4">0</f>
        <v>0</v>
      </c>
      <c r="M67" s="3"/>
      <c r="N67" s="11">
        <f t="shared" ref="N67:N68" si="5">0</f>
        <v>0</v>
      </c>
      <c r="O67" s="3"/>
      <c r="P67" s="11">
        <v>41738</v>
      </c>
      <c r="Q67" s="3"/>
      <c r="R67" s="11">
        <v>83840.89</v>
      </c>
    </row>
    <row r="68" spans="1:18" s="7" customFormat="1" hidden="1" outlineLevel="1" x14ac:dyDescent="0.35">
      <c r="A68" s="36"/>
      <c r="B68" s="11" t="str">
        <f>CONCATENATE("          ", "9160", " - ", "MISC. INCOME")</f>
        <v xml:space="preserve">          9160 - MISC. INCOME</v>
      </c>
      <c r="D68" s="11">
        <f t="shared" si="0"/>
        <v>0</v>
      </c>
      <c r="E68" s="16"/>
      <c r="F68" s="11">
        <f t="shared" si="1"/>
        <v>0</v>
      </c>
      <c r="G68" s="3"/>
      <c r="H68" s="11">
        <f t="shared" si="2"/>
        <v>0</v>
      </c>
      <c r="I68" s="3"/>
      <c r="J68" s="11">
        <f t="shared" si="3"/>
        <v>0</v>
      </c>
      <c r="K68" s="3"/>
      <c r="L68" s="11">
        <f t="shared" si="4"/>
        <v>0</v>
      </c>
      <c r="M68" s="3"/>
      <c r="N68" s="11">
        <f t="shared" si="5"/>
        <v>0</v>
      </c>
      <c r="O68" s="3"/>
      <c r="P68" s="11">
        <v>24095</v>
      </c>
      <c r="Q68" s="3"/>
      <c r="R68" s="11">
        <v>91012.13</v>
      </c>
    </row>
    <row r="69" spans="1:18" x14ac:dyDescent="0.35">
      <c r="A69" s="12"/>
      <c r="B69" s="7"/>
      <c r="C69" s="7"/>
      <c r="D69" s="6"/>
      <c r="F69" s="6"/>
      <c r="H69" s="6"/>
      <c r="J69" s="6"/>
      <c r="L69" s="6"/>
      <c r="N69" s="6"/>
      <c r="P69" s="6"/>
      <c r="R69" s="6"/>
    </row>
    <row r="70" spans="1:18" s="15" customFormat="1" x14ac:dyDescent="0.35">
      <c r="A70" s="7"/>
      <c r="B70" s="22" t="s">
        <v>279</v>
      </c>
      <c r="C70" s="22"/>
      <c r="D70" s="10">
        <f>+D15-D18+D65</f>
        <v>95367.62</v>
      </c>
      <c r="E70" s="12"/>
      <c r="F70" s="10">
        <f>+F15-F18+F65</f>
        <v>88354.12999999999</v>
      </c>
      <c r="G70" s="5"/>
      <c r="H70" s="10">
        <f>+H15-H18+H65</f>
        <v>125142.34</v>
      </c>
      <c r="I70" s="5"/>
      <c r="J70" s="10">
        <f>+J15-J18+J65</f>
        <v>136798.89000000001</v>
      </c>
      <c r="K70" s="5"/>
      <c r="L70" s="10">
        <f>+L15-L18+L65</f>
        <v>100028.93000000002</v>
      </c>
      <c r="M70" s="5"/>
      <c r="N70" s="10">
        <f>+N15-N18+N65</f>
        <v>-13521.51999999996</v>
      </c>
      <c r="O70" s="5"/>
      <c r="P70" s="10">
        <f>+P15-P18+P65</f>
        <v>-94699.07699999999</v>
      </c>
      <c r="Q70" s="5"/>
      <c r="R70" s="10">
        <f>+R15-R18+R65</f>
        <v>175853.02000000002</v>
      </c>
    </row>
    <row r="71" spans="1:18" s="27" customFormat="1" x14ac:dyDescent="0.35">
      <c r="A71" s="18"/>
      <c r="B71" s="31"/>
      <c r="C71" s="18"/>
      <c r="D71" s="9">
        <f>IFERROR(D70/D10, 0)</f>
        <v>0</v>
      </c>
      <c r="E71" s="18"/>
      <c r="F71" s="9">
        <f>IFERROR(F70/F10, 0)</f>
        <v>0</v>
      </c>
      <c r="G71" s="14"/>
      <c r="H71" s="9">
        <f>IFERROR(H70/H10, 0)</f>
        <v>0</v>
      </c>
      <c r="I71" s="14"/>
      <c r="J71" s="9">
        <f>IFERROR(J70/J10, 0)</f>
        <v>0</v>
      </c>
      <c r="K71" s="14"/>
      <c r="L71" s="9">
        <f>IFERROR(L70/L10, 0)</f>
        <v>0</v>
      </c>
      <c r="M71" s="14"/>
      <c r="N71" s="9">
        <f>IFERROR(N70/N10, 0)</f>
        <v>0</v>
      </c>
      <c r="O71" s="14"/>
      <c r="P71" s="9">
        <f>IFERROR(P70/P10, 0)</f>
        <v>0</v>
      </c>
      <c r="Q71" s="14"/>
      <c r="R71" s="9">
        <f>IFERROR(R70/R10, 0)</f>
        <v>0</v>
      </c>
    </row>
    <row r="72" spans="1:18" s="27" customFormat="1" x14ac:dyDescent="0.35">
      <c r="A72" s="18"/>
      <c r="B72" s="31"/>
      <c r="C72" s="18"/>
      <c r="D72" s="13"/>
      <c r="E72" s="18"/>
      <c r="F72" s="13"/>
      <c r="G72" s="14"/>
      <c r="H72" s="13"/>
      <c r="I72" s="14"/>
      <c r="J72" s="13"/>
      <c r="K72" s="14"/>
      <c r="L72" s="13"/>
      <c r="M72" s="14"/>
      <c r="N72" s="13"/>
      <c r="O72" s="14"/>
      <c r="P72" s="13"/>
      <c r="Q72" s="14"/>
      <c r="R72" s="13"/>
    </row>
    <row r="73" spans="1:18" s="15" customFormat="1" x14ac:dyDescent="0.35">
      <c r="A73" s="37"/>
      <c r="B73" s="7" t="s">
        <v>127</v>
      </c>
      <c r="C73" s="7"/>
      <c r="D73" s="6"/>
      <c r="E73" s="12"/>
      <c r="F73" s="6"/>
      <c r="G73" s="5"/>
      <c r="H73" s="6"/>
      <c r="I73" s="5"/>
      <c r="J73" s="6"/>
      <c r="K73" s="5"/>
      <c r="L73" s="6"/>
      <c r="M73" s="5"/>
      <c r="N73" s="6"/>
      <c r="O73" s="5"/>
      <c r="P73" s="6"/>
      <c r="Q73" s="5"/>
      <c r="R73" s="6"/>
    </row>
    <row r="74" spans="1:18" x14ac:dyDescent="0.35">
      <c r="A74" s="12"/>
      <c r="B74" s="7"/>
      <c r="C74" s="7"/>
      <c r="D74" s="6"/>
      <c r="F74" s="6"/>
      <c r="H74" s="6"/>
      <c r="J74" s="6"/>
      <c r="L74" s="6"/>
      <c r="N74" s="6"/>
      <c r="P74" s="6"/>
      <c r="R74" s="6"/>
    </row>
    <row r="75" spans="1:18" s="15" customFormat="1" x14ac:dyDescent="0.35">
      <c r="A75" s="7"/>
      <c r="B75" s="22" t="s">
        <v>126</v>
      </c>
      <c r="C75" s="22"/>
      <c r="D75" s="10">
        <f>+D70-D73</f>
        <v>95367.62</v>
      </c>
      <c r="E75" s="12"/>
      <c r="F75" s="10">
        <f>+F70-F73</f>
        <v>88354.12999999999</v>
      </c>
      <c r="G75" s="5"/>
      <c r="H75" s="10">
        <f>+H70-H73</f>
        <v>125142.34</v>
      </c>
      <c r="I75" s="5"/>
      <c r="J75" s="10">
        <f>+J70-J73</f>
        <v>136798.89000000001</v>
      </c>
      <c r="K75" s="5"/>
      <c r="L75" s="10">
        <f>+L70-L73</f>
        <v>100028.93000000002</v>
      </c>
      <c r="M75" s="5"/>
      <c r="N75" s="10">
        <f>+N70-N73</f>
        <v>-13521.51999999996</v>
      </c>
      <c r="O75" s="5"/>
      <c r="P75" s="10">
        <f>+P70-P73</f>
        <v>-94699.07699999999</v>
      </c>
      <c r="Q75" s="5"/>
      <c r="R75" s="10">
        <f>+R70-R73</f>
        <v>175853.02000000002</v>
      </c>
    </row>
    <row r="76" spans="1:18" s="27" customFormat="1" x14ac:dyDescent="0.35">
      <c r="A76" s="18"/>
      <c r="B76" s="18"/>
      <c r="C76" s="18"/>
      <c r="D76" s="9">
        <f>IFERROR(D75/D10, 0)</f>
        <v>0</v>
      </c>
      <c r="E76" s="18"/>
      <c r="F76" s="9">
        <f>IFERROR(F75/F10, 0)</f>
        <v>0</v>
      </c>
      <c r="G76" s="14"/>
      <c r="H76" s="9">
        <f>IFERROR(H75/H10, 0)</f>
        <v>0</v>
      </c>
      <c r="I76" s="14"/>
      <c r="J76" s="9">
        <f>IFERROR(J75/J10, 0)</f>
        <v>0</v>
      </c>
      <c r="K76" s="14"/>
      <c r="L76" s="9">
        <f>IFERROR(L75/L10, 0)</f>
        <v>0</v>
      </c>
      <c r="M76" s="14"/>
      <c r="N76" s="9">
        <f>IFERROR(N75/N10, 0)</f>
        <v>0</v>
      </c>
      <c r="O76" s="14"/>
      <c r="P76" s="9">
        <f>IFERROR(P75/P10, 0)</f>
        <v>0</v>
      </c>
      <c r="Q76" s="14"/>
      <c r="R76" s="9">
        <f>IFERROR(R75/R10, 0)</f>
        <v>0</v>
      </c>
    </row>
    <row r="77" spans="1:18" s="27" customFormat="1" x14ac:dyDescent="0.35">
      <c r="A77" s="18"/>
      <c r="B77" s="18"/>
      <c r="C77" s="18"/>
      <c r="D77" s="13"/>
      <c r="E77" s="18"/>
      <c r="F77" s="13"/>
      <c r="G77" s="14"/>
      <c r="H77" s="13"/>
      <c r="I77" s="14"/>
      <c r="J77" s="13"/>
      <c r="K77" s="14"/>
      <c r="L77" s="13"/>
      <c r="M77" s="14"/>
      <c r="N77" s="13"/>
      <c r="O77" s="14"/>
      <c r="P77" s="13"/>
      <c r="Q77" s="14"/>
      <c r="R77" s="13"/>
    </row>
    <row r="78" spans="1:18" x14ac:dyDescent="0.35">
      <c r="A78" s="12"/>
      <c r="B78" s="12"/>
      <c r="C78" s="12"/>
      <c r="D78" s="6"/>
      <c r="F78" s="6"/>
      <c r="H78" s="6"/>
      <c r="J78" s="6"/>
      <c r="L78" s="6"/>
      <c r="N78" s="6"/>
      <c r="P78" s="6"/>
      <c r="R78" s="6"/>
    </row>
    <row r="79" spans="1:18" s="15" customFormat="1" x14ac:dyDescent="0.35">
      <c r="A79" s="7"/>
      <c r="B79" s="22" t="s">
        <v>296</v>
      </c>
      <c r="C79" s="22"/>
      <c r="D79" s="10">
        <f>SUM(D75:D78)</f>
        <v>95367.62</v>
      </c>
      <c r="E79" s="12"/>
      <c r="F79" s="10">
        <f>SUM(F75:F78)</f>
        <v>88354.12999999999</v>
      </c>
      <c r="G79" s="5"/>
      <c r="H79" s="10">
        <f>SUM(H75:H78)</f>
        <v>125142.34</v>
      </c>
      <c r="I79" s="5"/>
      <c r="J79" s="10">
        <f>SUM(J75:J78)</f>
        <v>136798.89000000001</v>
      </c>
      <c r="K79" s="5"/>
      <c r="L79" s="10">
        <f>SUM(L75:L78)</f>
        <v>100028.93000000002</v>
      </c>
      <c r="M79" s="5"/>
      <c r="N79" s="10">
        <f>SUM(N75:N78)</f>
        <v>-13521.51999999996</v>
      </c>
      <c r="O79" s="5"/>
      <c r="P79" s="10">
        <f>SUM(P75:P78)</f>
        <v>-94699.07699999999</v>
      </c>
      <c r="Q79" s="5"/>
      <c r="R79" s="10">
        <f>SUM(R75:R78)</f>
        <v>175853.02000000002</v>
      </c>
    </row>
    <row r="80" spans="1:18" s="27" customFormat="1" x14ac:dyDescent="0.35">
      <c r="A80" s="18"/>
      <c r="B80" s="41"/>
      <c r="C80" s="18"/>
      <c r="D80" s="9">
        <f>IFERROR(D79/D10, 0)</f>
        <v>0</v>
      </c>
      <c r="E80" s="18"/>
      <c r="F80" s="9">
        <f>IFERROR(F79/F10, 0)</f>
        <v>0</v>
      </c>
      <c r="G80" s="14"/>
      <c r="H80" s="9">
        <f>IFERROR(H79/H10, 0)</f>
        <v>0</v>
      </c>
      <c r="I80" s="14"/>
      <c r="J80" s="9">
        <f>IFERROR(J79/J10, 0)</f>
        <v>0</v>
      </c>
      <c r="K80" s="14"/>
      <c r="L80" s="9">
        <f>IFERROR(L79/L10, 0)</f>
        <v>0</v>
      </c>
      <c r="M80" s="14"/>
      <c r="N80" s="9">
        <f>IFERROR(N79/N10, 0)</f>
        <v>0</v>
      </c>
      <c r="O80" s="14"/>
      <c r="P80" s="9">
        <f>IFERROR(P79/P10, 0)</f>
        <v>0</v>
      </c>
      <c r="Q80" s="14"/>
      <c r="R80" s="9">
        <f>IFERROR(R79/R10, 0)</f>
        <v>0</v>
      </c>
    </row>
    <row r="81" spans="1:18" x14ac:dyDescent="0.35">
      <c r="A81" s="12"/>
      <c r="B81" s="40">
        <v>44319.883572604165</v>
      </c>
      <c r="D81" s="24"/>
      <c r="F81" s="24"/>
      <c r="H81" s="24"/>
      <c r="J81" s="24"/>
      <c r="L81" s="24"/>
      <c r="N81" s="24"/>
      <c r="P81" s="24"/>
      <c r="R81" s="24"/>
    </row>
    <row r="82" spans="1:18" x14ac:dyDescent="0.35">
      <c r="A82" s="12"/>
      <c r="B82" s="39" t="s">
        <v>23</v>
      </c>
      <c r="D82" s="24"/>
      <c r="F82" s="24"/>
      <c r="H82" s="24"/>
      <c r="J82" s="24"/>
      <c r="L82" s="24"/>
      <c r="N82" s="24"/>
      <c r="P82" s="24"/>
      <c r="R82" s="24"/>
    </row>
    <row r="83" spans="1:18" x14ac:dyDescent="0.35">
      <c r="A83" s="12"/>
      <c r="D83" s="24"/>
      <c r="F83" s="24"/>
      <c r="H83" s="24"/>
      <c r="J83" s="24"/>
      <c r="L83" s="24"/>
      <c r="N83" s="24"/>
      <c r="P83" s="24"/>
      <c r="R83" s="24"/>
    </row>
    <row r="84" spans="1:18" x14ac:dyDescent="0.35">
      <c r="D84" s="24"/>
      <c r="F84" s="24"/>
      <c r="H84" s="24"/>
      <c r="J84" s="24"/>
      <c r="L84" s="24"/>
      <c r="N84" s="24"/>
      <c r="P84" s="24"/>
      <c r="R84" s="24"/>
    </row>
  </sheetData>
  <pageMargins left="0.5" right="0.5" top="0.5" bottom="0.5" header="0.3" footer="0.3"/>
  <pageSetup scale="59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9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","424", " - ", "Blair Field")</f>
        <v>Department 424 - Blair Field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176896.72</v>
      </c>
      <c r="F10" s="8">
        <f>SUM(OSRRefF11x_0)</f>
        <v>217625.11000000002</v>
      </c>
      <c r="G10" s="8"/>
      <c r="H10" s="8">
        <f>SUM(OSRRefH11x_0)</f>
        <v>269387.12999999995</v>
      </c>
      <c r="I10" s="8"/>
      <c r="J10" s="8">
        <f>SUM(OSRRefJ11x_0)</f>
        <v>329993.42</v>
      </c>
      <c r="K10" s="8"/>
      <c r="L10" s="8">
        <f>SUM(OSRRefL11x_0)</f>
        <v>214328.97999999998</v>
      </c>
      <c r="M10" s="8"/>
      <c r="N10" s="8">
        <f>SUM(OSRRefN11x_0)</f>
        <v>157290.23000000001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"4053", " - ", "TAXABLE SALES-FOOD")</f>
        <v xml:space="preserve">          4053 - TAXABLE SALES-FOOD</v>
      </c>
      <c r="D11" s="11">
        <f>-165217.68*-1</f>
        <v>165217.68</v>
      </c>
      <c r="F11" s="11">
        <f>-211018.38*-1</f>
        <v>211018.38</v>
      </c>
      <c r="G11" s="3"/>
      <c r="H11" s="11">
        <f>-269123.41*-1</f>
        <v>269123.40999999997</v>
      </c>
      <c r="I11" s="3"/>
      <c r="J11" s="11">
        <f>--213475.4</f>
        <v>213475.4</v>
      </c>
      <c r="K11" s="3"/>
      <c r="L11" s="11">
        <f>--202614.9</f>
        <v>202614.9</v>
      </c>
      <c r="M11" s="3"/>
      <c r="N11" s="11">
        <f>--157788.64</f>
        <v>157788.64000000001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"4057", " - ", "TAXABLE SALES-FOOD")</f>
        <v xml:space="preserve">          4057 - TAXABLE SALES-FOOD</v>
      </c>
      <c r="D12" s="11">
        <f>0*-1</f>
        <v>0</v>
      </c>
      <c r="F12" s="11">
        <f>0*-1</f>
        <v>0</v>
      </c>
      <c r="G12" s="3"/>
      <c r="H12" s="11">
        <f>0*-1</f>
        <v>0</v>
      </c>
      <c r="I12" s="3"/>
      <c r="J12" s="11">
        <f>--115214.52</f>
        <v>115214.52</v>
      </c>
      <c r="K12" s="3"/>
      <c r="L12" s="11">
        <f>--11506.08</f>
        <v>11506.08</v>
      </c>
      <c r="M12" s="3"/>
      <c r="N12" s="11">
        <f>0</f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"4153", " - ", "NON-TAXABLE SALES-FOOD")</f>
        <v xml:space="preserve">          4153 - NON-TAXABLE SALES-FOOD</v>
      </c>
      <c r="D13" s="11">
        <f>-11679.04*-1</f>
        <v>11679.04</v>
      </c>
      <c r="F13" s="11">
        <f>-6606.73*-1</f>
        <v>6606.73</v>
      </c>
      <c r="G13" s="3"/>
      <c r="H13" s="11">
        <f>-263.72*-1</f>
        <v>263.72000000000003</v>
      </c>
      <c r="I13" s="3"/>
      <c r="J13" s="11">
        <f>--988.5</f>
        <v>988.5</v>
      </c>
      <c r="K13" s="3"/>
      <c r="L13" s="11">
        <f>0</f>
        <v>0</v>
      </c>
      <c r="M13" s="3"/>
      <c r="N13" s="11">
        <f>-498.41</f>
        <v>-498.41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"4157", " - ", "NON-TAXABLE SALES-FOOD")</f>
        <v xml:space="preserve">          4157 - NON-TAXABLE SALES-FOOD</v>
      </c>
      <c r="D14" s="11">
        <f>0*-1</f>
        <v>0</v>
      </c>
      <c r="F14" s="11">
        <f>0*-1</f>
        <v>0</v>
      </c>
      <c r="G14" s="3"/>
      <c r="H14" s="11">
        <f>0*-1</f>
        <v>0</v>
      </c>
      <c r="I14" s="3"/>
      <c r="J14" s="11">
        <f>--315</f>
        <v>315</v>
      </c>
      <c r="K14" s="3"/>
      <c r="L14" s="11">
        <f>--208</f>
        <v>208</v>
      </c>
      <c r="M14" s="3"/>
      <c r="N14" s="11">
        <f>0</f>
        <v>0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47018.27</v>
      </c>
      <c r="E16" s="8"/>
      <c r="F16" s="8">
        <f>SUM(OSRRefF14x_0)</f>
        <v>66723.41</v>
      </c>
      <c r="G16" s="8"/>
      <c r="H16" s="8">
        <f>SUM(OSRRefH14x_0)</f>
        <v>84000.07</v>
      </c>
      <c r="I16" s="8"/>
      <c r="J16" s="8">
        <f>SUM(OSRRefJ14x_0)</f>
        <v>74481.429999999993</v>
      </c>
      <c r="K16" s="8"/>
      <c r="L16" s="8">
        <f>SUM(OSRRefL14x_0)</f>
        <v>66297.459999999992</v>
      </c>
      <c r="M16" s="8"/>
      <c r="N16" s="8">
        <f>SUM(OSRRefN14x_0)</f>
        <v>43321.25</v>
      </c>
      <c r="O16" s="8"/>
      <c r="P16" s="8">
        <f>SUM(OSRRefP14x_0)</f>
        <v>0</v>
      </c>
      <c r="Q16" s="8"/>
      <c r="R16" s="8">
        <f>SUM(OSRRefR14x_0)</f>
        <v>0</v>
      </c>
    </row>
    <row r="17" spans="1:18" s="44" customFormat="1" hidden="1" outlineLevel="1" x14ac:dyDescent="0.35">
      <c r="A17" s="16"/>
      <c r="B17" s="35" t="str">
        <f>CONCATENATE("          ", "5053", " - ", "PURCHASES @ COST-FOOD")</f>
        <v xml:space="preserve">          5053 - PURCHASES @ COST-FOOD</v>
      </c>
      <c r="C17" s="16"/>
      <c r="D17" s="11">
        <v>46952.75</v>
      </c>
      <c r="E17" s="16"/>
      <c r="F17" s="11">
        <v>66723.41</v>
      </c>
      <c r="G17" s="3"/>
      <c r="H17" s="11">
        <v>84000.07</v>
      </c>
      <c r="I17" s="3"/>
      <c r="J17" s="11">
        <v>74481.429999999993</v>
      </c>
      <c r="K17" s="3"/>
      <c r="L17" s="11">
        <v>56073.46</v>
      </c>
      <c r="M17" s="3"/>
      <c r="N17" s="11">
        <v>43126.25</v>
      </c>
      <c r="O17" s="3"/>
      <c r="P17" s="11"/>
      <c r="Q17" s="3"/>
      <c r="R17" s="11"/>
    </row>
    <row r="18" spans="1:18" s="44" customFormat="1" hidden="1" outlineLevel="1" x14ac:dyDescent="0.35">
      <c r="A18" s="16"/>
      <c r="B18" s="35" t="str">
        <f>CONCATENATE("          ", "5059", " - ", "PURCHASES @ COST-FOOD")</f>
        <v xml:space="preserve">          5059 - PURCHASES @ COST-FOOD</v>
      </c>
      <c r="C18" s="16"/>
      <c r="D18" s="11">
        <v>65.52</v>
      </c>
      <c r="E18" s="16"/>
      <c r="F18" s="11"/>
      <c r="G18" s="3"/>
      <c r="H18" s="11"/>
      <c r="I18" s="3"/>
      <c r="J18" s="11"/>
      <c r="K18" s="3"/>
      <c r="L18" s="11">
        <v>10224</v>
      </c>
      <c r="M18" s="3"/>
      <c r="N18" s="11">
        <v>195</v>
      </c>
      <c r="O18" s="3"/>
      <c r="P18" s="11"/>
      <c r="Q18" s="3"/>
      <c r="R18" s="11"/>
    </row>
    <row r="19" spans="1:18" x14ac:dyDescent="0.35">
      <c r="A19" s="12"/>
      <c r="B19" s="7"/>
      <c r="C19" s="7"/>
      <c r="D19" s="6"/>
      <c r="F19" s="6"/>
      <c r="H19" s="6"/>
      <c r="J19" s="6"/>
      <c r="L19" s="6"/>
      <c r="N19" s="6"/>
      <c r="P19" s="6"/>
      <c r="R19" s="6"/>
    </row>
    <row r="20" spans="1:18" s="15" customFormat="1" x14ac:dyDescent="0.35">
      <c r="A20" s="7"/>
      <c r="B20" s="22" t="s">
        <v>107</v>
      </c>
      <c r="C20" s="22"/>
      <c r="D20" s="10">
        <f>+D10-D16</f>
        <v>129878.45000000001</v>
      </c>
      <c r="E20" s="12"/>
      <c r="F20" s="10">
        <f>+F10-F16</f>
        <v>150901.70000000001</v>
      </c>
      <c r="G20" s="5"/>
      <c r="H20" s="10">
        <f>+H10-H16</f>
        <v>185387.05999999994</v>
      </c>
      <c r="I20" s="5"/>
      <c r="J20" s="10">
        <f>+J10-J16</f>
        <v>255511.99</v>
      </c>
      <c r="K20" s="5"/>
      <c r="L20" s="10">
        <f>+L10-L16</f>
        <v>148031.51999999999</v>
      </c>
      <c r="M20" s="5"/>
      <c r="N20" s="10">
        <f>+N10-N16</f>
        <v>113968.98000000001</v>
      </c>
      <c r="O20" s="5"/>
      <c r="P20" s="10">
        <f>+P10-P16</f>
        <v>0</v>
      </c>
      <c r="Q20" s="5"/>
      <c r="R20" s="10">
        <f>+R10-R16</f>
        <v>0</v>
      </c>
    </row>
    <row r="21" spans="1:18" s="27" customFormat="1" x14ac:dyDescent="0.35">
      <c r="A21" s="18"/>
      <c r="B21" s="31"/>
      <c r="C21" s="18"/>
      <c r="D21" s="9">
        <f>IFERROR(D20/D10, 0)</f>
        <v>0.73420496434303595</v>
      </c>
      <c r="E21" s="13"/>
      <c r="F21" s="9">
        <f>IFERROR(F20/F10, 0)</f>
        <v>0.6934020619219905</v>
      </c>
      <c r="G21" s="26"/>
      <c r="H21" s="9">
        <f>IFERROR(H20/H10, 0)</f>
        <v>0.6881808347711339</v>
      </c>
      <c r="I21" s="26"/>
      <c r="J21" s="9">
        <f>IFERROR(J20/J10, 0)</f>
        <v>0.77429419653276721</v>
      </c>
      <c r="K21" s="26"/>
      <c r="L21" s="9">
        <f>IFERROR(L20/L10, 0)</f>
        <v>0.6906743082526684</v>
      </c>
      <c r="M21" s="26"/>
      <c r="N21" s="9">
        <f>IFERROR(N20/N10, 0)</f>
        <v>0.72457761680429866</v>
      </c>
      <c r="O21" s="26"/>
      <c r="P21" s="9">
        <f>IFERROR(P20/P10, 0)</f>
        <v>0</v>
      </c>
      <c r="Q21" s="26"/>
      <c r="R21" s="9">
        <f>IFERROR(R20/R10, 0)</f>
        <v>0</v>
      </c>
    </row>
    <row r="22" spans="1:18" s="27" customFormat="1" x14ac:dyDescent="0.35">
      <c r="A22" s="18"/>
      <c r="B22" s="31"/>
      <c r="C22" s="18"/>
      <c r="D22" s="13"/>
      <c r="E22" s="13"/>
      <c r="F22" s="13"/>
      <c r="G22" s="26"/>
      <c r="H22" s="13"/>
      <c r="I22" s="26"/>
      <c r="J22" s="13"/>
      <c r="K22" s="26"/>
      <c r="L22" s="13"/>
      <c r="M22" s="26"/>
      <c r="N22" s="13"/>
      <c r="O22" s="26"/>
      <c r="P22" s="13"/>
      <c r="Q22" s="26"/>
      <c r="R22" s="13"/>
    </row>
    <row r="23" spans="1:18" s="15" customFormat="1" x14ac:dyDescent="0.35">
      <c r="A23" s="7"/>
      <c r="B23" s="34" t="s">
        <v>314</v>
      </c>
      <c r="C23" s="7"/>
      <c r="D23" s="8">
        <f>SUM(OSRRefD21x_0)</f>
        <v>104713.5</v>
      </c>
      <c r="E23" s="19"/>
      <c r="F23" s="8">
        <f>SUM(OSRRefF21x_0)</f>
        <v>149978.34</v>
      </c>
      <c r="G23" s="4"/>
      <c r="H23" s="8">
        <f>SUM(OSRRefH21x_0)</f>
        <v>173715.30000000002</v>
      </c>
      <c r="I23" s="4"/>
      <c r="J23" s="8">
        <f>SUM(OSRRefJ21x_0)</f>
        <v>219082.39999999997</v>
      </c>
      <c r="K23" s="4"/>
      <c r="L23" s="8">
        <f>SUM(OSRRefL21x_0)</f>
        <v>141276.17000000001</v>
      </c>
      <c r="M23" s="4"/>
      <c r="N23" s="8">
        <f>SUM(OSRRefN21x_0)</f>
        <v>90627.54</v>
      </c>
      <c r="O23" s="4"/>
      <c r="P23" s="8">
        <f>SUM(OSRRefP21x_0)</f>
        <v>5748</v>
      </c>
      <c r="Q23" s="4"/>
      <c r="R23" s="8">
        <f>SUM(OSRRefR21x_0)</f>
        <v>5748</v>
      </c>
    </row>
    <row r="24" spans="1:18" s="15" customFormat="1" outlineLevel="1" collapsed="1" x14ac:dyDescent="0.35">
      <c r="A24" s="7"/>
      <c r="B24" s="20" t="str">
        <f>CONCATENATE("     ","*Benefits                                         ")</f>
        <v xml:space="preserve">     *Benefits                                         </v>
      </c>
      <c r="C24" s="7"/>
      <c r="D24" s="1">
        <f>SUM(OSRRefD21_0x_0)</f>
        <v>14732.609999999999</v>
      </c>
      <c r="E24" s="19"/>
      <c r="F24" s="1">
        <f>SUM(OSRRefF21_0x_0)</f>
        <v>17786.760000000002</v>
      </c>
      <c r="G24" s="4"/>
      <c r="H24" s="1">
        <f>SUM(OSRRefH21_0x_0)</f>
        <v>15078.480000000001</v>
      </c>
      <c r="I24" s="4"/>
      <c r="J24" s="1">
        <f>SUM(OSRRefJ21_0x_0)</f>
        <v>5115.8999999999996</v>
      </c>
      <c r="K24" s="4"/>
      <c r="L24" s="1">
        <f>SUM(OSRRefL21_0x_0)</f>
        <v>973.26</v>
      </c>
      <c r="M24" s="4"/>
      <c r="N24" s="1">
        <f>SUM(OSRRefN21_0x_0)</f>
        <v>1171.8399999999999</v>
      </c>
      <c r="O24" s="4"/>
      <c r="P24" s="1">
        <f>SUM(OSRRefP21_0x_0)</f>
        <v>0</v>
      </c>
      <c r="Q24" s="4"/>
      <c r="R24" s="1">
        <f>SUM(OSRRefR21_0x_0)</f>
        <v>0</v>
      </c>
    </row>
    <row r="25" spans="1:18" s="16" customFormat="1" hidden="1" outlineLevel="2" x14ac:dyDescent="0.35">
      <c r="B25" s="11" t="str">
        <f>CONCATENATE("          ", "6111", " - ", "F.I.C.A.")</f>
        <v xml:space="preserve">          6111 - F.I.C.A.</v>
      </c>
      <c r="D25" s="2">
        <v>2081.91</v>
      </c>
      <c r="F25" s="2">
        <v>2776.15</v>
      </c>
      <c r="G25" s="3"/>
      <c r="H25" s="2">
        <v>3722.82</v>
      </c>
      <c r="I25" s="3"/>
      <c r="J25" s="2">
        <v>1398.81</v>
      </c>
      <c r="K25" s="3"/>
      <c r="L25" s="2">
        <v>1019.41</v>
      </c>
      <c r="M25" s="3"/>
      <c r="N25" s="2">
        <v>1182.24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"6112", " - ", "COMPENSATION INSURANCE")</f>
        <v xml:space="preserve">          6112 - COMPENSATION INSURANCE</v>
      </c>
      <c r="D26" s="2">
        <v>1007.74</v>
      </c>
      <c r="F26" s="2">
        <v>2033.03</v>
      </c>
      <c r="G26" s="3"/>
      <c r="H26" s="2">
        <v>2222.39</v>
      </c>
      <c r="I26" s="3"/>
      <c r="J26" s="2">
        <v>949.04</v>
      </c>
      <c r="K26" s="3"/>
      <c r="L26" s="2">
        <v>-51.59</v>
      </c>
      <c r="M26" s="3"/>
      <c r="N26" s="2">
        <v>-10.4</v>
      </c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"6113", " - ", "GROUP INSURANCE")</f>
        <v xml:space="preserve">          6113 - GROUP INSURANCE</v>
      </c>
      <c r="D27" s="2">
        <v>6322.08</v>
      </c>
      <c r="F27" s="2">
        <v>6693</v>
      </c>
      <c r="G27" s="3"/>
      <c r="H27" s="2">
        <v>6403.5</v>
      </c>
      <c r="I27" s="3"/>
      <c r="J27" s="2">
        <v>1215.67</v>
      </c>
      <c r="K27" s="3"/>
      <c r="L27" s="2"/>
      <c r="M27" s="3"/>
      <c r="N27" s="2"/>
      <c r="O27" s="3"/>
      <c r="P27" s="2"/>
      <c r="Q27" s="3"/>
      <c r="R27" s="2"/>
    </row>
    <row r="28" spans="1:18" s="16" customFormat="1" hidden="1" outlineLevel="2" x14ac:dyDescent="0.35">
      <c r="B28" s="11" t="str">
        <f>CONCATENATE("          ", "6114", " - ", "STATE UNEMPLOYMENT INSURANCE")</f>
        <v xml:space="preserve">          6114 - STATE UNEMPLOYMENT INSURANCE</v>
      </c>
      <c r="D28" s="2">
        <v>286.55</v>
      </c>
      <c r="F28" s="2">
        <v>354.51</v>
      </c>
      <c r="G28" s="3"/>
      <c r="H28" s="2">
        <v>175.27</v>
      </c>
      <c r="I28" s="3"/>
      <c r="J28" s="2">
        <v>100.23</v>
      </c>
      <c r="K28" s="3"/>
      <c r="L28" s="2">
        <v>5.44</v>
      </c>
      <c r="M28" s="3"/>
      <c r="N28" s="2"/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"6115", " - ", "P.E.R.S.")</f>
        <v xml:space="preserve">          6115 - P.E.R.S.</v>
      </c>
      <c r="D29" s="2">
        <v>2794.64</v>
      </c>
      <c r="F29" s="2">
        <v>2100.38</v>
      </c>
      <c r="G29" s="3"/>
      <c r="H29" s="2">
        <v>3067.03</v>
      </c>
      <c r="I29" s="3"/>
      <c r="J29" s="2">
        <v>609.95000000000005</v>
      </c>
      <c r="K29" s="3"/>
      <c r="L29" s="2"/>
      <c r="M29" s="3"/>
      <c r="N29" s="2"/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"6118", " - ", "VACATION")</f>
        <v xml:space="preserve">          6118 - VACATION</v>
      </c>
      <c r="D30" s="2">
        <v>1149</v>
      </c>
      <c r="F30" s="2">
        <v>2006.86</v>
      </c>
      <c r="G30" s="3"/>
      <c r="H30" s="2">
        <v>1537.98</v>
      </c>
      <c r="I30" s="3"/>
      <c r="J30" s="2">
        <v>373.93</v>
      </c>
      <c r="K30" s="3"/>
      <c r="L30" s="2"/>
      <c r="M30" s="3"/>
      <c r="N30" s="2"/>
      <c r="O30" s="3"/>
      <c r="P30" s="2"/>
      <c r="Q30" s="3"/>
      <c r="R30" s="2"/>
    </row>
    <row r="31" spans="1:18" s="16" customFormat="1" hidden="1" outlineLevel="2" x14ac:dyDescent="0.35">
      <c r="B31" s="11" t="str">
        <f>CONCATENATE("          ", "6119", " - ", "SICK LEAVE")</f>
        <v xml:space="preserve">          6119 - SICK LEAVE</v>
      </c>
      <c r="D31" s="2">
        <v>1090.69</v>
      </c>
      <c r="F31" s="2">
        <v>1822.83</v>
      </c>
      <c r="G31" s="3"/>
      <c r="H31" s="2">
        <v>-2050.5100000000002</v>
      </c>
      <c r="I31" s="3"/>
      <c r="J31" s="2">
        <v>468.27</v>
      </c>
      <c r="K31" s="3"/>
      <c r="L31" s="2"/>
      <c r="M31" s="3"/>
      <c r="N31" s="2"/>
      <c r="O31" s="3"/>
      <c r="P31" s="2"/>
      <c r="Q31" s="3"/>
      <c r="R31" s="2"/>
    </row>
    <row r="32" spans="1:18" s="15" customFormat="1" outlineLevel="1" collapsed="1" x14ac:dyDescent="0.35">
      <c r="A32" s="7"/>
      <c r="B32" s="20" t="str">
        <f>CONCATENATE("     ","*Payroll                                          ")</f>
        <v xml:space="preserve">     *Payroll                                          </v>
      </c>
      <c r="C32" s="7"/>
      <c r="D32" s="1">
        <f>SUM(OSRRefD21_1x_0)</f>
        <v>39840.39</v>
      </c>
      <c r="E32" s="19"/>
      <c r="F32" s="1">
        <f>SUM(OSRRefF21_1x_0)</f>
        <v>54294.29</v>
      </c>
      <c r="G32" s="4"/>
      <c r="H32" s="1">
        <f>SUM(OSRRefH21_1x_0)</f>
        <v>55691.83</v>
      </c>
      <c r="I32" s="4"/>
      <c r="J32" s="1">
        <f>SUM(OSRRefJ21_1x_0)</f>
        <v>38562.630000000005</v>
      </c>
      <c r="K32" s="4"/>
      <c r="L32" s="1">
        <f>SUM(OSRRefL21_1x_0)</f>
        <v>33664.009999999995</v>
      </c>
      <c r="M32" s="4"/>
      <c r="N32" s="1">
        <f>SUM(OSRRefN21_1x_0)</f>
        <v>29540.829999999998</v>
      </c>
      <c r="O32" s="4"/>
      <c r="P32" s="1">
        <f>SUM(OSRRefP21_1x_0)</f>
        <v>0</v>
      </c>
      <c r="Q32" s="4"/>
      <c r="R32" s="1">
        <f>SUM(OSRRefR21_1x_0)</f>
        <v>0</v>
      </c>
    </row>
    <row r="33" spans="1:18" s="16" customFormat="1" hidden="1" outlineLevel="2" x14ac:dyDescent="0.35">
      <c r="B33" s="11" t="str">
        <f>CONCATENATE("          ", "6002", " - ", "STAFF SALARIES")</f>
        <v xml:space="preserve">          6002 - STAFF SALARIES</v>
      </c>
      <c r="D33" s="2">
        <v>21164.19</v>
      </c>
      <c r="F33" s="2">
        <v>25297.48</v>
      </c>
      <c r="G33" s="3"/>
      <c r="H33" s="2">
        <v>24771.96</v>
      </c>
      <c r="I33" s="3"/>
      <c r="J33" s="2">
        <v>9336.2000000000007</v>
      </c>
      <c r="K33" s="3"/>
      <c r="L33" s="2"/>
      <c r="M33" s="3"/>
      <c r="N33" s="2"/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"6004", " - ", "STAFF HOURLY")</f>
        <v xml:space="preserve">          6004 - STAFF HOURLY</v>
      </c>
      <c r="D34" s="2"/>
      <c r="F34" s="2"/>
      <c r="G34" s="3"/>
      <c r="H34" s="2">
        <v>404.36</v>
      </c>
      <c r="I34" s="3"/>
      <c r="J34" s="2"/>
      <c r="K34" s="3"/>
      <c r="L34" s="2"/>
      <c r="M34" s="3"/>
      <c r="N34" s="2">
        <v>3193.41</v>
      </c>
      <c r="O34" s="3"/>
      <c r="P34" s="2"/>
      <c r="Q34" s="3"/>
      <c r="R34" s="2"/>
    </row>
    <row r="35" spans="1:18" s="16" customFormat="1" hidden="1" outlineLevel="2" x14ac:dyDescent="0.35">
      <c r="B35" s="11" t="str">
        <f>CONCATENATE("          ", "6005", " - ", "TEMPORARY WAGES-HOURLY")</f>
        <v xml:space="preserve">          6005 - TEMPORARY WAGES-HOURLY</v>
      </c>
      <c r="D35" s="2">
        <v>2274.31</v>
      </c>
      <c r="F35" s="2">
        <v>2703.79</v>
      </c>
      <c r="G35" s="3"/>
      <c r="H35" s="2">
        <v>4608.92</v>
      </c>
      <c r="I35" s="3"/>
      <c r="J35" s="2">
        <v>1728.19</v>
      </c>
      <c r="K35" s="3"/>
      <c r="L35" s="2">
        <v>11485.98</v>
      </c>
      <c r="M35" s="3"/>
      <c r="N35" s="2">
        <v>9782.57</v>
      </c>
      <c r="O35" s="3"/>
      <c r="P35" s="2"/>
      <c r="Q35" s="3"/>
      <c r="R35" s="2"/>
    </row>
    <row r="36" spans="1:18" s="16" customFormat="1" hidden="1" outlineLevel="2" x14ac:dyDescent="0.35">
      <c r="B36" s="11" t="str">
        <f>CONCATENATE("          ", "6006", " - ", "TEMPORARY PART TIME")</f>
        <v xml:space="preserve">          6006 - TEMPORARY PART TIME</v>
      </c>
      <c r="D36" s="2">
        <v>65.25</v>
      </c>
      <c r="F36" s="2">
        <v>1815.5</v>
      </c>
      <c r="G36" s="3"/>
      <c r="H36" s="2">
        <v>1416.86</v>
      </c>
      <c r="I36" s="3"/>
      <c r="J36" s="2">
        <v>252</v>
      </c>
      <c r="K36" s="3"/>
      <c r="L36" s="2">
        <v>208</v>
      </c>
      <c r="M36" s="3"/>
      <c r="N36" s="2">
        <v>247.5</v>
      </c>
      <c r="O36" s="3"/>
      <c r="P36" s="2"/>
      <c r="Q36" s="3"/>
      <c r="R36" s="2"/>
    </row>
    <row r="37" spans="1:18" s="16" customFormat="1" hidden="1" outlineLevel="2" x14ac:dyDescent="0.35">
      <c r="B37" s="11" t="str">
        <f>CONCATENATE("          ", "6007", " - ", "STUDENT HOURLY")</f>
        <v xml:space="preserve">          6007 - STUDENT HOURLY</v>
      </c>
      <c r="D37" s="2">
        <v>16336.64</v>
      </c>
      <c r="F37" s="2">
        <v>23165.02</v>
      </c>
      <c r="G37" s="3"/>
      <c r="H37" s="2">
        <v>24055.34</v>
      </c>
      <c r="I37" s="3"/>
      <c r="J37" s="2">
        <v>27070.240000000002</v>
      </c>
      <c r="K37" s="3"/>
      <c r="L37" s="2">
        <v>20932.03</v>
      </c>
      <c r="M37" s="3"/>
      <c r="N37" s="2">
        <v>13228</v>
      </c>
      <c r="O37" s="3"/>
      <c r="P37" s="2"/>
      <c r="Q37" s="3"/>
      <c r="R37" s="2"/>
    </row>
    <row r="38" spans="1:18" s="16" customFormat="1" hidden="1" outlineLevel="2" x14ac:dyDescent="0.35">
      <c r="B38" s="11" t="str">
        <f>CONCATENATE("          ", "6008", " - ", "STUDENT HOURLY-FICA EXEMPT")</f>
        <v xml:space="preserve">          6008 - STUDENT HOURLY-FICA EXEMPT</v>
      </c>
      <c r="D38" s="2"/>
      <c r="F38" s="2">
        <v>1312.5</v>
      </c>
      <c r="G38" s="3"/>
      <c r="H38" s="2">
        <v>434.39</v>
      </c>
      <c r="I38" s="3"/>
      <c r="J38" s="2">
        <v>176</v>
      </c>
      <c r="K38" s="3"/>
      <c r="L38" s="2">
        <v>1038</v>
      </c>
      <c r="M38" s="3"/>
      <c r="N38" s="2">
        <v>3089.35</v>
      </c>
      <c r="O38" s="3"/>
      <c r="P38" s="2"/>
      <c r="Q38" s="3"/>
      <c r="R38" s="2"/>
    </row>
    <row r="39" spans="1:18" s="15" customFormat="1" outlineLevel="1" collapsed="1" x14ac:dyDescent="0.35">
      <c r="A39" s="7"/>
      <c r="B39" s="20" t="str">
        <f>CONCATENATE("     ","Advertising/Promo                                 ")</f>
        <v xml:space="preserve">     Advertising/Promo                                 </v>
      </c>
      <c r="C39" s="7"/>
      <c r="D39" s="1">
        <f>SUM(OSRRefD21_2x_0)</f>
        <v>2849.23</v>
      </c>
      <c r="E39" s="19"/>
      <c r="F39" s="1">
        <f>SUM(OSRRefF21_2x_0)</f>
        <v>1484.72</v>
      </c>
      <c r="G39" s="4"/>
      <c r="H39" s="1">
        <f>SUM(OSRRefH21_2x_0)</f>
        <v>724.64</v>
      </c>
      <c r="I39" s="4"/>
      <c r="J39" s="1">
        <f>SUM(OSRRefJ21_2x_0)</f>
        <v>1461.18</v>
      </c>
      <c r="K39" s="4"/>
      <c r="L39" s="1">
        <f>SUM(OSRRefL21_2x_0)</f>
        <v>2561.98</v>
      </c>
      <c r="M39" s="4"/>
      <c r="N39" s="1">
        <f>SUM(OSRRefN21_2x_0)</f>
        <v>3023.77</v>
      </c>
      <c r="O39" s="4"/>
      <c r="P39" s="1">
        <f>SUM(OSRRefP21_2x_0)</f>
        <v>0</v>
      </c>
      <c r="Q39" s="4"/>
      <c r="R39" s="1">
        <f>SUM(OSRRefR21_2x_0)</f>
        <v>0</v>
      </c>
    </row>
    <row r="40" spans="1:18" s="16" customFormat="1" hidden="1" outlineLevel="2" x14ac:dyDescent="0.35">
      <c r="B40" s="11" t="str">
        <f>CONCATENATE("          ", "6362", " - ", "ADVERTISING EXPENSE")</f>
        <v xml:space="preserve">          6362 - ADVERTISING EXPENSE</v>
      </c>
      <c r="D40" s="2">
        <v>2849.23</v>
      </c>
      <c r="F40" s="2">
        <v>1484.72</v>
      </c>
      <c r="G40" s="3"/>
      <c r="H40" s="2">
        <v>724.64</v>
      </c>
      <c r="I40" s="3"/>
      <c r="J40" s="2">
        <v>1461.18</v>
      </c>
      <c r="K40" s="3"/>
      <c r="L40" s="2">
        <v>2561.98</v>
      </c>
      <c r="M40" s="3"/>
      <c r="N40" s="2">
        <v>3023.77</v>
      </c>
      <c r="O40" s="3"/>
      <c r="P40" s="2"/>
      <c r="Q40" s="3"/>
      <c r="R40" s="2"/>
    </row>
    <row r="41" spans="1:18" s="15" customFormat="1" outlineLevel="1" collapsed="1" x14ac:dyDescent="0.35">
      <c r="A41" s="7"/>
      <c r="B41" s="20" t="str">
        <f>CONCATENATE("     ","Bad Debts/Over/Short                              ")</f>
        <v xml:space="preserve">     Bad Debts/Over/Short                              </v>
      </c>
      <c r="C41" s="7"/>
      <c r="D41" s="1">
        <f>SUM(OSRRefD21_3x_0)</f>
        <v>638.16</v>
      </c>
      <c r="E41" s="19"/>
      <c r="F41" s="1">
        <f>SUM(OSRRefF21_3x_0)</f>
        <v>-66.28</v>
      </c>
      <c r="G41" s="4"/>
      <c r="H41" s="1">
        <f>SUM(OSRRefH21_3x_0)</f>
        <v>-116.56</v>
      </c>
      <c r="I41" s="4"/>
      <c r="J41" s="1">
        <f>SUM(OSRRefJ21_3x_0)</f>
        <v>-5.91</v>
      </c>
      <c r="K41" s="4"/>
      <c r="L41" s="1">
        <f>SUM(OSRRefL21_3x_0)</f>
        <v>-47.59</v>
      </c>
      <c r="M41" s="4"/>
      <c r="N41" s="1">
        <f>SUM(OSRRefN21_3x_0)</f>
        <v>19.399999999999999</v>
      </c>
      <c r="O41" s="4"/>
      <c r="P41" s="1">
        <f>SUM(OSRRefP21_3x_0)</f>
        <v>0</v>
      </c>
      <c r="Q41" s="4"/>
      <c r="R41" s="1">
        <f>SUM(OSRRefR21_3x_0)</f>
        <v>0</v>
      </c>
    </row>
    <row r="42" spans="1:18" s="16" customFormat="1" hidden="1" outlineLevel="2" x14ac:dyDescent="0.35">
      <c r="B42" s="11" t="str">
        <f>CONCATENATE("          ", "6272", " - ", "CASH (OVER/SHORT)")</f>
        <v xml:space="preserve">          6272 - CASH (OVER/SHORT)</v>
      </c>
      <c r="D42" s="2">
        <v>638.16</v>
      </c>
      <c r="F42" s="2">
        <v>-66.28</v>
      </c>
      <c r="G42" s="3"/>
      <c r="H42" s="2">
        <v>-116.56</v>
      </c>
      <c r="I42" s="3"/>
      <c r="J42" s="2">
        <v>-5.91</v>
      </c>
      <c r="K42" s="3"/>
      <c r="L42" s="2">
        <v>-47.59</v>
      </c>
      <c r="M42" s="3"/>
      <c r="N42" s="2">
        <v>19.399999999999999</v>
      </c>
      <c r="O42" s="3"/>
      <c r="P42" s="2"/>
      <c r="Q42" s="3"/>
      <c r="R42" s="2"/>
    </row>
    <row r="43" spans="1:18" s="15" customFormat="1" outlineLevel="1" collapsed="1" x14ac:dyDescent="0.35">
      <c r="A43" s="7"/>
      <c r="B43" s="20" t="str">
        <f>CONCATENATE("     ","Bank/card Fees                                    ")</f>
        <v xml:space="preserve">     Bank/card Fees                                    </v>
      </c>
      <c r="C43" s="7"/>
      <c r="D43" s="1">
        <f>SUM(OSRRefD21_4x_0)</f>
        <v>1258.26</v>
      </c>
      <c r="E43" s="19"/>
      <c r="F43" s="1">
        <f>SUM(OSRRefF21_4x_0)</f>
        <v>2171.46</v>
      </c>
      <c r="G43" s="4"/>
      <c r="H43" s="1">
        <f>SUM(OSRRefH21_4x_0)</f>
        <v>3820.31</v>
      </c>
      <c r="I43" s="4"/>
      <c r="J43" s="1">
        <f>SUM(OSRRefJ21_4x_0)</f>
        <v>9333.56</v>
      </c>
      <c r="K43" s="4"/>
      <c r="L43" s="1">
        <f>SUM(OSRRefL21_4x_0)</f>
        <v>5464.26</v>
      </c>
      <c r="M43" s="4"/>
      <c r="N43" s="1">
        <f>SUM(OSRRefN21_4x_0)</f>
        <v>4064.54</v>
      </c>
      <c r="O43" s="4"/>
      <c r="P43" s="1">
        <f>SUM(OSRRefP21_4x_0)</f>
        <v>0</v>
      </c>
      <c r="Q43" s="4"/>
      <c r="R43" s="1">
        <f>SUM(OSRRefR21_4x_0)</f>
        <v>0</v>
      </c>
    </row>
    <row r="44" spans="1:18" s="16" customFormat="1" hidden="1" outlineLevel="2" x14ac:dyDescent="0.35">
      <c r="B44" s="11" t="str">
        <f>CONCATENATE("          ", "6381", " - ", "BANK/CREDIT CARD FEES")</f>
        <v xml:space="preserve">          6381 - BANK/CREDIT CARD FEES</v>
      </c>
      <c r="D44" s="2">
        <v>1258.26</v>
      </c>
      <c r="F44" s="2">
        <v>2171.46</v>
      </c>
      <c r="G44" s="3"/>
      <c r="H44" s="2">
        <v>3820.31</v>
      </c>
      <c r="I44" s="3"/>
      <c r="J44" s="2">
        <v>9333.56</v>
      </c>
      <c r="K44" s="3"/>
      <c r="L44" s="2">
        <v>5464.26</v>
      </c>
      <c r="M44" s="3"/>
      <c r="N44" s="2">
        <v>4064.54</v>
      </c>
      <c r="O44" s="3"/>
      <c r="P44" s="2"/>
      <c r="Q44" s="3"/>
      <c r="R44" s="2"/>
    </row>
    <row r="45" spans="1:18" s="15" customFormat="1" outlineLevel="1" collapsed="1" x14ac:dyDescent="0.35">
      <c r="A45" s="7"/>
      <c r="B45" s="20" t="str">
        <f>CONCATENATE("     ","Depreciation                                      ")</f>
        <v xml:space="preserve">     Depreciation                                      </v>
      </c>
      <c r="C45" s="7"/>
      <c r="D45" s="1">
        <f>SUM(OSRRefD21_5x_0)</f>
        <v>0</v>
      </c>
      <c r="E45" s="19"/>
      <c r="F45" s="1">
        <f>SUM(OSRRefF21_5x_0)</f>
        <v>0</v>
      </c>
      <c r="G45" s="4"/>
      <c r="H45" s="1">
        <f>SUM(OSRRefH21_5x_0)</f>
        <v>0</v>
      </c>
      <c r="I45" s="4"/>
      <c r="J45" s="1">
        <f>SUM(OSRRefJ21_5x_0)</f>
        <v>0</v>
      </c>
      <c r="K45" s="4"/>
      <c r="L45" s="1">
        <f>SUM(OSRRefL21_5x_0)</f>
        <v>0</v>
      </c>
      <c r="M45" s="4"/>
      <c r="N45" s="1">
        <f>SUM(OSRRefN21_5x_0)</f>
        <v>1917.16</v>
      </c>
      <c r="O45" s="4"/>
      <c r="P45" s="1">
        <f>SUM(OSRRefP21_5x_0)</f>
        <v>5748</v>
      </c>
      <c r="Q45" s="4"/>
      <c r="R45" s="1">
        <f>SUM(OSRRefR21_5x_0)</f>
        <v>5748</v>
      </c>
    </row>
    <row r="46" spans="1:18" s="16" customFormat="1" hidden="1" outlineLevel="2" x14ac:dyDescent="0.35">
      <c r="B46" s="11" t="str">
        <f>CONCATENATE("          ", "6322", " - ", "EQUIPMENT DEPRECIATION EXPENSE")</f>
        <v xml:space="preserve">          6322 - EQUIPMENT DEPRECIATION EXPENSE</v>
      </c>
      <c r="D46" s="2">
        <v>0</v>
      </c>
      <c r="F46" s="2"/>
      <c r="G46" s="3"/>
      <c r="H46" s="2"/>
      <c r="I46" s="3"/>
      <c r="J46" s="2"/>
      <c r="K46" s="3"/>
      <c r="L46" s="2"/>
      <c r="M46" s="3"/>
      <c r="N46" s="2">
        <v>1917.16</v>
      </c>
      <c r="O46" s="3"/>
      <c r="P46" s="2">
        <v>5748</v>
      </c>
      <c r="Q46" s="3"/>
      <c r="R46" s="2">
        <v>5748</v>
      </c>
    </row>
    <row r="47" spans="1:18" s="15" customFormat="1" outlineLevel="1" collapsed="1" x14ac:dyDescent="0.35">
      <c r="A47" s="7"/>
      <c r="B47" s="20" t="str">
        <f>CONCATENATE("     ","Employees' Appreciation                           ")</f>
        <v xml:space="preserve">     Employees' Appreciation                           </v>
      </c>
      <c r="C47" s="7"/>
      <c r="D47" s="1">
        <f>SUM(OSRRefD21_6x_0)</f>
        <v>0</v>
      </c>
      <c r="E47" s="19"/>
      <c r="F47" s="1">
        <f>SUM(OSRRefF21_6x_0)</f>
        <v>0</v>
      </c>
      <c r="G47" s="4"/>
      <c r="H47" s="1">
        <f>SUM(OSRRefH21_6x_0)</f>
        <v>88.72</v>
      </c>
      <c r="I47" s="4"/>
      <c r="J47" s="1">
        <f>SUM(OSRRefJ21_6x_0)</f>
        <v>112.74</v>
      </c>
      <c r="K47" s="4"/>
      <c r="L47" s="1">
        <f>SUM(OSRRefL21_6x_0)</f>
        <v>182.42</v>
      </c>
      <c r="M47" s="4"/>
      <c r="N47" s="1">
        <f>SUM(OSRRefN21_6x_0)</f>
        <v>307.2</v>
      </c>
      <c r="O47" s="4"/>
      <c r="P47" s="1">
        <f>SUM(OSRRefP21_6x_0)</f>
        <v>0</v>
      </c>
      <c r="Q47" s="4"/>
      <c r="R47" s="1">
        <f>SUM(OSRRefR21_6x_0)</f>
        <v>0</v>
      </c>
    </row>
    <row r="48" spans="1:18" s="16" customFormat="1" hidden="1" outlineLevel="2" x14ac:dyDescent="0.35">
      <c r="B48" s="11" t="str">
        <f>CONCATENATE("          ", "6277", " - ", "EMPLOYEE APPRECIATION")</f>
        <v xml:space="preserve">          6277 - EMPLOYEE APPRECIATION</v>
      </c>
      <c r="D48" s="2"/>
      <c r="F48" s="2"/>
      <c r="G48" s="3"/>
      <c r="H48" s="2">
        <v>88.72</v>
      </c>
      <c r="I48" s="3"/>
      <c r="J48" s="2">
        <v>112.74</v>
      </c>
      <c r="K48" s="3"/>
      <c r="L48" s="2">
        <v>182.42</v>
      </c>
      <c r="M48" s="3"/>
      <c r="N48" s="2">
        <v>307.2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","Equipment Rental                                  ")</f>
        <v xml:space="preserve">     Equipment Rental                                  </v>
      </c>
      <c r="C49" s="7"/>
      <c r="D49" s="1">
        <f>SUM(OSRRefD21_7x_0)</f>
        <v>0</v>
      </c>
      <c r="E49" s="19"/>
      <c r="F49" s="1">
        <f>SUM(OSRRefF21_7x_0)</f>
        <v>0</v>
      </c>
      <c r="G49" s="4"/>
      <c r="H49" s="1">
        <f>SUM(OSRRefH21_7x_0)</f>
        <v>0</v>
      </c>
      <c r="I49" s="4"/>
      <c r="J49" s="1">
        <f>SUM(OSRRefJ21_7x_0)</f>
        <v>0</v>
      </c>
      <c r="K49" s="4"/>
      <c r="L49" s="1">
        <f>SUM(OSRRefL21_7x_0)</f>
        <v>100</v>
      </c>
      <c r="M49" s="4"/>
      <c r="N49" s="1">
        <f>SUM(OSRRefN21_7x_0)</f>
        <v>0</v>
      </c>
      <c r="O49" s="4"/>
      <c r="P49" s="1">
        <f>SUM(OSRRefP21_7x_0)</f>
        <v>0</v>
      </c>
      <c r="Q49" s="4"/>
      <c r="R49" s="1">
        <f>SUM(OSRRefR21_7x_0)</f>
        <v>0</v>
      </c>
    </row>
    <row r="50" spans="1:18" s="16" customFormat="1" hidden="1" outlineLevel="2" x14ac:dyDescent="0.35">
      <c r="B50" s="11" t="str">
        <f>CONCATENATE("          ", "6351", " - ", "EQUIPMENT RENTAL")</f>
        <v xml:space="preserve">          6351 - EQUIPMENT RENTAL</v>
      </c>
      <c r="D50" s="2"/>
      <c r="F50" s="2"/>
      <c r="G50" s="3"/>
      <c r="H50" s="2"/>
      <c r="I50" s="3"/>
      <c r="J50" s="2"/>
      <c r="K50" s="3"/>
      <c r="L50" s="2">
        <v>100</v>
      </c>
      <c r="M50" s="3"/>
      <c r="N50" s="2"/>
      <c r="O50" s="3"/>
      <c r="P50" s="2"/>
      <c r="Q50" s="3"/>
      <c r="R50" s="2"/>
    </row>
    <row r="51" spans="1:18" s="15" customFormat="1" outlineLevel="1" collapsed="1" x14ac:dyDescent="0.35">
      <c r="A51" s="7"/>
      <c r="B51" s="20" t="str">
        <f>CONCATENATE("     ","General                                           ")</f>
        <v xml:space="preserve">     General                                           </v>
      </c>
      <c r="C51" s="7"/>
      <c r="D51" s="1">
        <f>SUM(OSRRefD21_8x_0)</f>
        <v>1518.8</v>
      </c>
      <c r="E51" s="19"/>
      <c r="F51" s="1">
        <f>SUM(OSRRefF21_8x_0)</f>
        <v>1249.8</v>
      </c>
      <c r="G51" s="4"/>
      <c r="H51" s="1">
        <f>SUM(OSRRefH21_8x_0)</f>
        <v>919.8</v>
      </c>
      <c r="I51" s="4"/>
      <c r="J51" s="1">
        <f>SUM(OSRRefJ21_8x_0)</f>
        <v>1993.28</v>
      </c>
      <c r="K51" s="4"/>
      <c r="L51" s="1">
        <f>SUM(OSRRefL21_8x_0)</f>
        <v>2454.92</v>
      </c>
      <c r="M51" s="4"/>
      <c r="N51" s="1">
        <f>SUM(OSRRefN21_8x_0)</f>
        <v>5005.68</v>
      </c>
      <c r="O51" s="4"/>
      <c r="P51" s="1">
        <f>SUM(OSRRefP21_8x_0)</f>
        <v>0</v>
      </c>
      <c r="Q51" s="4"/>
      <c r="R51" s="1">
        <f>SUM(OSRRefR21_8x_0)</f>
        <v>0</v>
      </c>
    </row>
    <row r="52" spans="1:18" s="16" customFormat="1" hidden="1" outlineLevel="2" x14ac:dyDescent="0.35">
      <c r="B52" s="11" t="str">
        <f>CONCATENATE("          ", "6279", " - ", "GENERAL EXPENSE")</f>
        <v xml:space="preserve">          6279 - GENERAL EXPENSE</v>
      </c>
      <c r="D52" s="2">
        <v>1518.8</v>
      </c>
      <c r="F52" s="2">
        <v>1249.8</v>
      </c>
      <c r="G52" s="3"/>
      <c r="H52" s="2">
        <v>919.8</v>
      </c>
      <c r="I52" s="3"/>
      <c r="J52" s="2">
        <v>1993.28</v>
      </c>
      <c r="K52" s="3"/>
      <c r="L52" s="2">
        <v>2454.92</v>
      </c>
      <c r="M52" s="3"/>
      <c r="N52" s="2">
        <v>5005.68</v>
      </c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","Repair and Maintenance                            ")</f>
        <v xml:space="preserve">     Repair and Maintenance                            </v>
      </c>
      <c r="C53" s="7"/>
      <c r="D53" s="1">
        <f>SUM(OSRRefD21_9x_0)</f>
        <v>1162.1500000000001</v>
      </c>
      <c r="E53" s="19"/>
      <c r="F53" s="1">
        <f>SUM(OSRRefF21_9x_0)</f>
        <v>1663.78</v>
      </c>
      <c r="G53" s="4"/>
      <c r="H53" s="1">
        <f>SUM(OSRRefH21_9x_0)</f>
        <v>1581.3600000000001</v>
      </c>
      <c r="I53" s="4"/>
      <c r="J53" s="1">
        <f>SUM(OSRRefJ21_9x_0)</f>
        <v>3351.9700000000003</v>
      </c>
      <c r="K53" s="4"/>
      <c r="L53" s="1">
        <f>SUM(OSRRefL21_9x_0)</f>
        <v>2683.5099999999998</v>
      </c>
      <c r="M53" s="4"/>
      <c r="N53" s="1">
        <f>SUM(OSRRefN21_9x_0)</f>
        <v>1797.2199999999998</v>
      </c>
      <c r="O53" s="4"/>
      <c r="P53" s="1">
        <f>SUM(OSRRefP21_9x_0)</f>
        <v>0</v>
      </c>
      <c r="Q53" s="4"/>
      <c r="R53" s="1">
        <f>SUM(OSRRefR21_9x_0)</f>
        <v>0</v>
      </c>
    </row>
    <row r="54" spans="1:18" s="16" customFormat="1" hidden="1" outlineLevel="2" x14ac:dyDescent="0.35">
      <c r="B54" s="11" t="str">
        <f>CONCATENATE("          ", "6373", " - ", "MAINTENANCE CONTRACTS")</f>
        <v xml:space="preserve">          6373 - MAINTENANCE CONTRACTS</v>
      </c>
      <c r="D54" s="2">
        <v>1027.1500000000001</v>
      </c>
      <c r="F54" s="2">
        <v>501.3</v>
      </c>
      <c r="G54" s="3"/>
      <c r="H54" s="2">
        <v>257.22000000000003</v>
      </c>
      <c r="I54" s="3"/>
      <c r="J54" s="2">
        <v>553.86</v>
      </c>
      <c r="K54" s="3"/>
      <c r="L54" s="2">
        <v>580.14</v>
      </c>
      <c r="M54" s="3"/>
      <c r="N54" s="2">
        <v>296.64</v>
      </c>
      <c r="O54" s="3"/>
      <c r="P54" s="2"/>
      <c r="Q54" s="3"/>
      <c r="R54" s="2"/>
    </row>
    <row r="55" spans="1:18" s="16" customFormat="1" hidden="1" outlineLevel="2" x14ac:dyDescent="0.35">
      <c r="B55" s="11" t="str">
        <f>CONCATENATE("          ", "6375", " - ", "OUTSIDE REPAIRS &amp; MAINTENANCE")</f>
        <v xml:space="preserve">          6375 - OUTSIDE REPAIRS &amp; MAINTENANCE</v>
      </c>
      <c r="D55" s="2">
        <v>135</v>
      </c>
      <c r="F55" s="2">
        <v>1162.48</v>
      </c>
      <c r="G55" s="3"/>
      <c r="H55" s="2">
        <v>1324.14</v>
      </c>
      <c r="I55" s="3"/>
      <c r="J55" s="2">
        <v>2798.11</v>
      </c>
      <c r="K55" s="3"/>
      <c r="L55" s="2">
        <v>2103.37</v>
      </c>
      <c r="M55" s="3"/>
      <c r="N55" s="2">
        <v>1500.58</v>
      </c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","Royalty &amp; Commissions                             ")</f>
        <v xml:space="preserve">     Royalty &amp; Commissions                             </v>
      </c>
      <c r="C56" s="7"/>
      <c r="D56" s="1">
        <f>SUM(OSRRefD21_10x_0)</f>
        <v>38113.18</v>
      </c>
      <c r="E56" s="19"/>
      <c r="F56" s="1">
        <f>SUM(OSRRefF21_10x_0)</f>
        <v>69715.240000000005</v>
      </c>
      <c r="G56" s="4"/>
      <c r="H56" s="1">
        <f>SUM(OSRRefH21_10x_0)</f>
        <v>87639.27</v>
      </c>
      <c r="I56" s="4"/>
      <c r="J56" s="1">
        <f>SUM(OSRRefJ21_10x_0)</f>
        <v>147836.60999999999</v>
      </c>
      <c r="K56" s="4"/>
      <c r="L56" s="1">
        <f>SUM(OSRRefL21_10x_0)</f>
        <v>81614.080000000002</v>
      </c>
      <c r="M56" s="4"/>
      <c r="N56" s="1">
        <f>SUM(OSRRefN21_10x_0)</f>
        <v>35313.08</v>
      </c>
      <c r="O56" s="4"/>
      <c r="P56" s="1">
        <f>SUM(OSRRefP21_10x_0)</f>
        <v>0</v>
      </c>
      <c r="Q56" s="4"/>
      <c r="R56" s="1">
        <f>SUM(OSRRefR21_10x_0)</f>
        <v>0</v>
      </c>
    </row>
    <row r="57" spans="1:18" s="16" customFormat="1" hidden="1" outlineLevel="2" x14ac:dyDescent="0.35">
      <c r="B57" s="11" t="str">
        <f>CONCATENATE("          ", "6254", " - ", "ROYALTY &amp; COMMISSIONS")</f>
        <v xml:space="preserve">          6254 - ROYALTY &amp; COMMISSIONS</v>
      </c>
      <c r="D57" s="2">
        <v>38113.18</v>
      </c>
      <c r="F57" s="2">
        <v>69715.240000000005</v>
      </c>
      <c r="G57" s="3"/>
      <c r="H57" s="2">
        <v>87639.27</v>
      </c>
      <c r="I57" s="3"/>
      <c r="J57" s="2">
        <v>147836.60999999999</v>
      </c>
      <c r="K57" s="3"/>
      <c r="L57" s="2">
        <v>81614.080000000002</v>
      </c>
      <c r="M57" s="3"/>
      <c r="N57" s="2">
        <v>35313.08</v>
      </c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","Services                                          ")</f>
        <v xml:space="preserve">     Services                                          </v>
      </c>
      <c r="C58" s="7"/>
      <c r="D58" s="1">
        <f>SUM(OSRRefD21_11x_0)</f>
        <v>0</v>
      </c>
      <c r="E58" s="19"/>
      <c r="F58" s="1">
        <f>SUM(OSRRefF21_11x_0)</f>
        <v>0</v>
      </c>
      <c r="G58" s="4"/>
      <c r="H58" s="1">
        <f>SUM(OSRRefH21_11x_0)</f>
        <v>0</v>
      </c>
      <c r="I58" s="4"/>
      <c r="J58" s="1">
        <f>SUM(OSRRefJ21_11x_0)</f>
        <v>474.98</v>
      </c>
      <c r="K58" s="4"/>
      <c r="L58" s="1">
        <f>SUM(OSRRefL21_11x_0)</f>
        <v>253.51</v>
      </c>
      <c r="M58" s="4"/>
      <c r="N58" s="1">
        <f>SUM(OSRRefN21_11x_0)</f>
        <v>126</v>
      </c>
      <c r="O58" s="4"/>
      <c r="P58" s="1">
        <f>SUM(OSRRefP21_11x_0)</f>
        <v>0</v>
      </c>
      <c r="Q58" s="4"/>
      <c r="R58" s="1">
        <f>SUM(OSRRefR21_11x_0)</f>
        <v>0</v>
      </c>
    </row>
    <row r="59" spans="1:18" s="16" customFormat="1" hidden="1" outlineLevel="2" x14ac:dyDescent="0.35">
      <c r="B59" s="11" t="str">
        <f>CONCATENATE("          ", "6282", " - ", "JANITORIAL/EXTERMINATOR EXPENS")</f>
        <v xml:space="preserve">          6282 - JANITORIAL/EXTERMINATOR EXPENS</v>
      </c>
      <c r="D59" s="2"/>
      <c r="F59" s="2"/>
      <c r="G59" s="3"/>
      <c r="H59" s="2"/>
      <c r="I59" s="3"/>
      <c r="J59" s="2">
        <v>474.98</v>
      </c>
      <c r="K59" s="3"/>
      <c r="L59" s="2"/>
      <c r="M59" s="3"/>
      <c r="N59" s="2"/>
      <c r="O59" s="3"/>
      <c r="P59" s="2"/>
      <c r="Q59" s="3"/>
      <c r="R59" s="2"/>
    </row>
    <row r="60" spans="1:18" s="16" customFormat="1" hidden="1" outlineLevel="2" x14ac:dyDescent="0.35">
      <c r="B60" s="11" t="str">
        <f>CONCATENATE("          ", "6284", " - ", "TRASH REMOVAL EXPENSE")</f>
        <v xml:space="preserve">          6284 - TRASH REMOVAL EXPENSE</v>
      </c>
      <c r="D60" s="2"/>
      <c r="F60" s="2"/>
      <c r="G60" s="3"/>
      <c r="H60" s="2"/>
      <c r="I60" s="3"/>
      <c r="J60" s="2"/>
      <c r="K60" s="3"/>
      <c r="L60" s="2"/>
      <c r="M60" s="3"/>
      <c r="N60" s="2"/>
      <c r="O60" s="3"/>
      <c r="P60" s="2"/>
      <c r="Q60" s="3"/>
      <c r="R60" s="2">
        <v>0</v>
      </c>
    </row>
    <row r="61" spans="1:18" s="16" customFormat="1" hidden="1" outlineLevel="2" x14ac:dyDescent="0.35">
      <c r="B61" s="11" t="str">
        <f>CONCATENATE("          ", "6286", " - ", "LAUNDRY EXPENSE")</f>
        <v xml:space="preserve">          6286 - LAUNDRY EXPENSE</v>
      </c>
      <c r="D61" s="2"/>
      <c r="F61" s="2"/>
      <c r="G61" s="3"/>
      <c r="H61" s="2"/>
      <c r="I61" s="3"/>
      <c r="J61" s="2"/>
      <c r="K61" s="3"/>
      <c r="L61" s="2">
        <v>253.51</v>
      </c>
      <c r="M61" s="3"/>
      <c r="N61" s="2">
        <v>126</v>
      </c>
      <c r="O61" s="3"/>
      <c r="P61" s="2"/>
      <c r="Q61" s="3"/>
      <c r="R61" s="2"/>
    </row>
    <row r="62" spans="1:18" s="15" customFormat="1" outlineLevel="1" collapsed="1" x14ac:dyDescent="0.35">
      <c r="A62" s="7"/>
      <c r="B62" s="20" t="str">
        <f>CONCATENATE("     ","Supplies                                          ")</f>
        <v xml:space="preserve">     Supplies                                          </v>
      </c>
      <c r="C62" s="7"/>
      <c r="D62" s="1">
        <f>SUM(OSRRefD21_12x_0)</f>
        <v>4600.7199999999993</v>
      </c>
      <c r="E62" s="19"/>
      <c r="F62" s="1">
        <f>SUM(OSRRefF21_12x_0)</f>
        <v>1678.57</v>
      </c>
      <c r="G62" s="4"/>
      <c r="H62" s="1">
        <f>SUM(OSRRefH21_12x_0)</f>
        <v>8287.4500000000007</v>
      </c>
      <c r="I62" s="4"/>
      <c r="J62" s="1">
        <f>SUM(OSRRefJ21_12x_0)</f>
        <v>7857.36</v>
      </c>
      <c r="K62" s="4"/>
      <c r="L62" s="1">
        <f>SUM(OSRRefL21_12x_0)</f>
        <v>8515.69</v>
      </c>
      <c r="M62" s="4"/>
      <c r="N62" s="1">
        <f>SUM(OSRRefN21_12x_0)</f>
        <v>6070.7100000000009</v>
      </c>
      <c r="O62" s="4"/>
      <c r="P62" s="1">
        <f>SUM(OSRRefP21_12x_0)</f>
        <v>0</v>
      </c>
      <c r="Q62" s="4"/>
      <c r="R62" s="1">
        <f>SUM(OSRRefR21_12x_0)</f>
        <v>0</v>
      </c>
    </row>
    <row r="63" spans="1:18" s="16" customFormat="1" hidden="1" outlineLevel="2" x14ac:dyDescent="0.35">
      <c r="B63" s="11" t="str">
        <f>CONCATENATE("          ", "6234", " - ", "EXPENDABLE SUPPLIES &amp; EQUIPMEN")</f>
        <v xml:space="preserve">          6234 - EXPENDABLE SUPPLIES &amp; EQUIPMEN</v>
      </c>
      <c r="D63" s="2">
        <v>1907.45</v>
      </c>
      <c r="F63" s="2"/>
      <c r="G63" s="3"/>
      <c r="H63" s="2"/>
      <c r="I63" s="3"/>
      <c r="J63" s="2">
        <v>1949</v>
      </c>
      <c r="K63" s="3"/>
      <c r="L63" s="2">
        <v>106.94</v>
      </c>
      <c r="M63" s="3"/>
      <c r="N63" s="2"/>
      <c r="O63" s="3"/>
      <c r="P63" s="2"/>
      <c r="Q63" s="3"/>
      <c r="R63" s="2"/>
    </row>
    <row r="64" spans="1:18" s="16" customFormat="1" hidden="1" outlineLevel="2" x14ac:dyDescent="0.35">
      <c r="B64" s="11" t="str">
        <f>CONCATENATE("          ", "6237", " - ", "JANITORIAL SUPPLIES")</f>
        <v xml:space="preserve">          6237 - JANITORIAL SUPPLIES</v>
      </c>
      <c r="D64" s="2">
        <v>324.94</v>
      </c>
      <c r="F64" s="2">
        <v>149.05000000000001</v>
      </c>
      <c r="G64" s="3"/>
      <c r="H64" s="2">
        <v>1091.04</v>
      </c>
      <c r="I64" s="3"/>
      <c r="J64" s="2">
        <v>102.36</v>
      </c>
      <c r="K64" s="3"/>
      <c r="L64" s="2">
        <v>505.41</v>
      </c>
      <c r="M64" s="3"/>
      <c r="N64" s="2">
        <v>78.81</v>
      </c>
      <c r="O64" s="3"/>
      <c r="P64" s="2"/>
      <c r="Q64" s="3"/>
      <c r="R64" s="2"/>
    </row>
    <row r="65" spans="1:18" s="16" customFormat="1" hidden="1" outlineLevel="2" x14ac:dyDescent="0.35">
      <c r="B65" s="11" t="str">
        <f>CONCATENATE("          ", "6239", " - ", "KITCHEN SUPPLIES")</f>
        <v xml:space="preserve">          6239 - KITCHEN SUPPLIES</v>
      </c>
      <c r="D65" s="2"/>
      <c r="F65" s="2">
        <v>590.5</v>
      </c>
      <c r="G65" s="3"/>
      <c r="H65" s="2">
        <v>3151.14</v>
      </c>
      <c r="I65" s="3"/>
      <c r="J65" s="2">
        <v>1521.87</v>
      </c>
      <c r="K65" s="3"/>
      <c r="L65" s="2">
        <v>5726.05</v>
      </c>
      <c r="M65" s="3"/>
      <c r="N65" s="2">
        <v>4802.42</v>
      </c>
      <c r="O65" s="3"/>
      <c r="P65" s="2"/>
      <c r="Q65" s="3"/>
      <c r="R65" s="2"/>
    </row>
    <row r="66" spans="1:18" s="16" customFormat="1" hidden="1" outlineLevel="2" x14ac:dyDescent="0.35">
      <c r="B66" s="11" t="str">
        <f>CONCATENATE("          ", "6241", " - ", "OFFICE EXPENSE")</f>
        <v xml:space="preserve">          6241 - OFFICE EXPENSE</v>
      </c>
      <c r="D66" s="2">
        <v>576.22</v>
      </c>
      <c r="F66" s="2">
        <v>260.02999999999997</v>
      </c>
      <c r="G66" s="3"/>
      <c r="H66" s="2">
        <v>1363.07</v>
      </c>
      <c r="I66" s="3"/>
      <c r="J66" s="2">
        <v>1302.44</v>
      </c>
      <c r="K66" s="3"/>
      <c r="L66" s="2">
        <v>147.29</v>
      </c>
      <c r="M66" s="3"/>
      <c r="N66" s="2">
        <v>135.93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"6243", " - ", "PAPER SUPPLIES")</f>
        <v xml:space="preserve">          6243 - PAPER SUPPLIES</v>
      </c>
      <c r="D67" s="2">
        <v>888.11</v>
      </c>
      <c r="F67" s="2">
        <v>338.91</v>
      </c>
      <c r="G67" s="3"/>
      <c r="H67" s="2">
        <v>2293.61</v>
      </c>
      <c r="I67" s="3"/>
      <c r="J67" s="2">
        <v>2885.81</v>
      </c>
      <c r="K67" s="3"/>
      <c r="L67" s="2">
        <v>2004.74</v>
      </c>
      <c r="M67" s="3"/>
      <c r="N67" s="2">
        <v>-642.03</v>
      </c>
      <c r="O67" s="3"/>
      <c r="P67" s="2"/>
      <c r="Q67" s="3"/>
      <c r="R67" s="2"/>
    </row>
    <row r="68" spans="1:18" s="16" customFormat="1" hidden="1" outlineLevel="2" x14ac:dyDescent="0.35">
      <c r="B68" s="11" t="str">
        <f>CONCATENATE("          ", "6247", " - ", "STORE SUPPLIES")</f>
        <v xml:space="preserve">          6247 - STORE SUPPLIES</v>
      </c>
      <c r="D68" s="2">
        <v>904</v>
      </c>
      <c r="F68" s="2"/>
      <c r="G68" s="3"/>
      <c r="H68" s="2">
        <v>275.69</v>
      </c>
      <c r="I68" s="3"/>
      <c r="J68" s="2">
        <v>95.88</v>
      </c>
      <c r="K68" s="3"/>
      <c r="L68" s="2"/>
      <c r="M68" s="3"/>
      <c r="N68" s="2">
        <v>1695.58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"6248", " - ", "UNIFORMS")</f>
        <v xml:space="preserve">          6248 - UNIFORMS</v>
      </c>
      <c r="D69" s="2"/>
      <c r="F69" s="2">
        <v>340.08</v>
      </c>
      <c r="G69" s="3"/>
      <c r="H69" s="2">
        <v>112.9</v>
      </c>
      <c r="I69" s="3"/>
      <c r="J69" s="2"/>
      <c r="K69" s="3"/>
      <c r="L69" s="2">
        <v>25.26</v>
      </c>
      <c r="M69" s="3"/>
      <c r="N69" s="2"/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","Telephone/Data Lines                              ")</f>
        <v xml:space="preserve">     Telephone/Data Lines                              </v>
      </c>
      <c r="C70" s="7"/>
      <c r="D70" s="1">
        <f>SUM(OSRRefD21_13x_0)</f>
        <v>0</v>
      </c>
      <c r="E70" s="19"/>
      <c r="F70" s="1">
        <f>SUM(OSRRefF21_13x_0)</f>
        <v>0</v>
      </c>
      <c r="G70" s="4"/>
      <c r="H70" s="1">
        <f>SUM(OSRRefH21_13x_0)</f>
        <v>0</v>
      </c>
      <c r="I70" s="4"/>
      <c r="J70" s="1">
        <f>SUM(OSRRefJ21_13x_0)</f>
        <v>2988.1</v>
      </c>
      <c r="K70" s="4"/>
      <c r="L70" s="1">
        <f>SUM(OSRRefL21_13x_0)</f>
        <v>2856.12</v>
      </c>
      <c r="M70" s="4"/>
      <c r="N70" s="1">
        <f>SUM(OSRRefN21_13x_0)</f>
        <v>2270.11</v>
      </c>
      <c r="O70" s="4"/>
      <c r="P70" s="1">
        <f>SUM(OSRRefP21_13x_0)</f>
        <v>0</v>
      </c>
      <c r="Q70" s="4"/>
      <c r="R70" s="1">
        <f>SUM(OSRRefR21_13x_0)</f>
        <v>0</v>
      </c>
    </row>
    <row r="71" spans="1:18" s="16" customFormat="1" hidden="1" outlineLevel="2" x14ac:dyDescent="0.35">
      <c r="B71" s="11" t="str">
        <f>CONCATENATE("          ", "6309", " - ", "TELEPHONE")</f>
        <v xml:space="preserve">          6309 - TELEPHONE</v>
      </c>
      <c r="D71" s="2"/>
      <c r="F71" s="2"/>
      <c r="G71" s="3"/>
      <c r="H71" s="2"/>
      <c r="I71" s="3"/>
      <c r="J71" s="2">
        <v>2988.1</v>
      </c>
      <c r="K71" s="3"/>
      <c r="L71" s="2">
        <v>2856.12</v>
      </c>
      <c r="M71" s="3"/>
      <c r="N71" s="2">
        <v>2270.11</v>
      </c>
      <c r="O71" s="3"/>
      <c r="P71" s="2"/>
      <c r="Q71" s="3"/>
      <c r="R71" s="2"/>
    </row>
    <row r="72" spans="1:18" x14ac:dyDescent="0.35">
      <c r="A72" s="12"/>
      <c r="B72" s="12"/>
      <c r="C72" s="12"/>
      <c r="D72" s="1"/>
      <c r="F72" s="1"/>
      <c r="H72" s="1"/>
      <c r="J72" s="1"/>
      <c r="L72" s="1"/>
      <c r="N72" s="1"/>
      <c r="P72" s="1"/>
      <c r="R72" s="1"/>
    </row>
    <row r="73" spans="1:18" s="7" customFormat="1" collapsed="1" x14ac:dyDescent="0.35">
      <c r="A73" s="36"/>
      <c r="B73" s="34" t="s">
        <v>295</v>
      </c>
      <c r="D73" s="6">
        <f>SUM(OSRRefD24x_0)</f>
        <v>20084.07</v>
      </c>
      <c r="E73" s="12"/>
      <c r="F73" s="6">
        <f>SUM(OSRRefF24x_0)</f>
        <v>27277.42</v>
      </c>
      <c r="G73" s="5"/>
      <c r="H73" s="6">
        <f>SUM(OSRRefH24x_0)</f>
        <v>33818.29</v>
      </c>
      <c r="I73" s="5"/>
      <c r="J73" s="6">
        <f>SUM(OSRRefJ24x_0)</f>
        <v>6221.05</v>
      </c>
      <c r="K73" s="5"/>
      <c r="L73" s="6">
        <f>SUM(OSRRefL24x_0)</f>
        <v>24696.54</v>
      </c>
      <c r="M73" s="5"/>
      <c r="N73" s="6">
        <f>SUM(OSRRefN24x_0)</f>
        <v>8452.17</v>
      </c>
      <c r="O73" s="5"/>
      <c r="P73" s="6">
        <f>SUM(OSRRefP24x_0)</f>
        <v>0</v>
      </c>
      <c r="Q73" s="5"/>
      <c r="R73" s="6">
        <f>SUM(OSRRefR24x_0)</f>
        <v>0</v>
      </c>
    </row>
    <row r="74" spans="1:18" s="7" customFormat="1" hidden="1" outlineLevel="1" x14ac:dyDescent="0.35">
      <c r="A74" s="36"/>
      <c r="B74" s="11" t="str">
        <f>CONCATENATE("          ", "9150", " - ", "MISC. INCOME")</f>
        <v xml:space="preserve">          9150 - MISC. INCOME</v>
      </c>
      <c r="D74" s="11">
        <f>--20084.07</f>
        <v>20084.07</v>
      </c>
      <c r="E74" s="16"/>
      <c r="F74" s="11">
        <f>--27277.42</f>
        <v>27277.42</v>
      </c>
      <c r="G74" s="3"/>
      <c r="H74" s="11">
        <f>--33818.29</f>
        <v>33818.29</v>
      </c>
      <c r="I74" s="3"/>
      <c r="J74" s="11">
        <f>--6221.05</f>
        <v>6221.05</v>
      </c>
      <c r="K74" s="3"/>
      <c r="L74" s="11">
        <f>--24696.54</f>
        <v>24696.54</v>
      </c>
      <c r="M74" s="3"/>
      <c r="N74" s="11">
        <f>--8452.17</f>
        <v>8452.17</v>
      </c>
      <c r="O74" s="3"/>
      <c r="P74" s="11"/>
      <c r="Q74" s="3"/>
      <c r="R74" s="11"/>
    </row>
    <row r="75" spans="1:18" x14ac:dyDescent="0.35">
      <c r="A75" s="12"/>
      <c r="B75" s="7"/>
      <c r="C75" s="7"/>
      <c r="D75" s="6"/>
      <c r="F75" s="6"/>
      <c r="H75" s="6"/>
      <c r="J75" s="6"/>
      <c r="L75" s="6"/>
      <c r="N75" s="6"/>
      <c r="P75" s="6"/>
      <c r="R75" s="6"/>
    </row>
    <row r="76" spans="1:18" s="15" customFormat="1" x14ac:dyDescent="0.35">
      <c r="A76" s="7"/>
      <c r="B76" s="22" t="s">
        <v>279</v>
      </c>
      <c r="C76" s="22"/>
      <c r="D76" s="10">
        <f>+D20-D23+D73</f>
        <v>45249.020000000011</v>
      </c>
      <c r="E76" s="12"/>
      <c r="F76" s="10">
        <f>+F20-F23+F73</f>
        <v>28200.780000000013</v>
      </c>
      <c r="G76" s="5"/>
      <c r="H76" s="10">
        <f>+H20-H23+H73</f>
        <v>45490.049999999923</v>
      </c>
      <c r="I76" s="5"/>
      <c r="J76" s="10">
        <f>+J20-J23+J73</f>
        <v>42650.640000000029</v>
      </c>
      <c r="K76" s="5"/>
      <c r="L76" s="10">
        <f>+L20-L23+L73</f>
        <v>31451.889999999978</v>
      </c>
      <c r="M76" s="5"/>
      <c r="N76" s="10">
        <f>+N20-N23+N73</f>
        <v>31793.610000000015</v>
      </c>
      <c r="O76" s="5"/>
      <c r="P76" s="10">
        <f>+P20-P23+P73</f>
        <v>-5748</v>
      </c>
      <c r="Q76" s="5"/>
      <c r="R76" s="10">
        <f>+R20-R23+R73</f>
        <v>-5748</v>
      </c>
    </row>
    <row r="77" spans="1:18" s="27" customFormat="1" x14ac:dyDescent="0.35">
      <c r="A77" s="18"/>
      <c r="B77" s="31"/>
      <c r="C77" s="18"/>
      <c r="D77" s="9">
        <f>IFERROR(D76/D10, 0)</f>
        <v>0.25579343698402102</v>
      </c>
      <c r="E77" s="18"/>
      <c r="F77" s="9">
        <f>IFERROR(F76/F10, 0)</f>
        <v>0.1295842193945359</v>
      </c>
      <c r="G77" s="14"/>
      <c r="H77" s="9">
        <f>IFERROR(H76/H10, 0)</f>
        <v>0.16886497138894471</v>
      </c>
      <c r="I77" s="14"/>
      <c r="J77" s="9">
        <f>IFERROR(J76/J10, 0)</f>
        <v>0.12924694074203064</v>
      </c>
      <c r="K77" s="14"/>
      <c r="L77" s="9">
        <f>IFERROR(L76/L10, 0)</f>
        <v>0.14674585769969128</v>
      </c>
      <c r="M77" s="14"/>
      <c r="N77" s="9">
        <f>IFERROR(N76/N10, 0)</f>
        <v>0.20213340650592229</v>
      </c>
      <c r="O77" s="14"/>
      <c r="P77" s="9">
        <f>IFERROR(P76/P10, 0)</f>
        <v>0</v>
      </c>
      <c r="Q77" s="14"/>
      <c r="R77" s="9">
        <f>IFERROR(R76/R10, 0)</f>
        <v>0</v>
      </c>
    </row>
    <row r="78" spans="1:18" s="27" customFormat="1" x14ac:dyDescent="0.35">
      <c r="A78" s="18"/>
      <c r="B78" s="31"/>
      <c r="C78" s="18"/>
      <c r="D78" s="13"/>
      <c r="E78" s="18"/>
      <c r="F78" s="13"/>
      <c r="G78" s="14"/>
      <c r="H78" s="13"/>
      <c r="I78" s="14"/>
      <c r="J78" s="13"/>
      <c r="K78" s="14"/>
      <c r="L78" s="13"/>
      <c r="M78" s="14"/>
      <c r="N78" s="13"/>
      <c r="O78" s="14"/>
      <c r="P78" s="13"/>
      <c r="Q78" s="14"/>
      <c r="R78" s="13"/>
    </row>
    <row r="79" spans="1:18" s="15" customFormat="1" x14ac:dyDescent="0.35">
      <c r="A79" s="37"/>
      <c r="B79" s="7" t="s">
        <v>127</v>
      </c>
      <c r="C79" s="7"/>
      <c r="D79" s="6">
        <v>38441</v>
      </c>
      <c r="E79" s="12"/>
      <c r="F79" s="6">
        <v>30980.45</v>
      </c>
      <c r="G79" s="5"/>
      <c r="H79" s="6">
        <v>36018.61</v>
      </c>
      <c r="I79" s="5"/>
      <c r="J79" s="6">
        <v>44289.56</v>
      </c>
      <c r="K79" s="5"/>
      <c r="L79" s="6">
        <v>15276.75</v>
      </c>
      <c r="M79" s="5"/>
      <c r="N79" s="6">
        <v>23817.3</v>
      </c>
      <c r="O79" s="5"/>
      <c r="P79" s="6"/>
      <c r="Q79" s="5"/>
      <c r="R79" s="6"/>
    </row>
    <row r="80" spans="1:18" x14ac:dyDescent="0.35">
      <c r="A80" s="12"/>
      <c r="B80" s="7"/>
      <c r="C80" s="7"/>
      <c r="D80" s="6"/>
      <c r="F80" s="6"/>
      <c r="H80" s="6"/>
      <c r="J80" s="6"/>
      <c r="L80" s="6"/>
      <c r="N80" s="6"/>
      <c r="P80" s="6"/>
      <c r="R80" s="6"/>
    </row>
    <row r="81" spans="1:18" s="15" customFormat="1" x14ac:dyDescent="0.35">
      <c r="A81" s="7"/>
      <c r="B81" s="22" t="s">
        <v>126</v>
      </c>
      <c r="C81" s="22"/>
      <c r="D81" s="10">
        <f>+D76-D79</f>
        <v>6808.0200000000114</v>
      </c>
      <c r="E81" s="12"/>
      <c r="F81" s="10">
        <f>+F76-F79</f>
        <v>-2779.6699999999873</v>
      </c>
      <c r="G81" s="5"/>
      <c r="H81" s="10">
        <f>+H76-H79</f>
        <v>9471.4399999999223</v>
      </c>
      <c r="I81" s="5"/>
      <c r="J81" s="10">
        <f>+J76-J79</f>
        <v>-1638.9199999999691</v>
      </c>
      <c r="K81" s="5"/>
      <c r="L81" s="10">
        <f>+L76-L79</f>
        <v>16175.139999999978</v>
      </c>
      <c r="M81" s="5"/>
      <c r="N81" s="10">
        <f>+N76-N79</f>
        <v>7976.3100000000159</v>
      </c>
      <c r="O81" s="5"/>
      <c r="P81" s="10">
        <f>+P76-P79</f>
        <v>-5748</v>
      </c>
      <c r="Q81" s="5"/>
      <c r="R81" s="10">
        <f>+R76-R79</f>
        <v>-5748</v>
      </c>
    </row>
    <row r="82" spans="1:18" s="27" customFormat="1" x14ac:dyDescent="0.35">
      <c r="A82" s="18"/>
      <c r="B82" s="18"/>
      <c r="C82" s="18"/>
      <c r="D82" s="9">
        <f>IFERROR(D81/D10, 0)</f>
        <v>3.8485846430617886E-2</v>
      </c>
      <c r="E82" s="18"/>
      <c r="F82" s="9">
        <f>IFERROR(F81/F10, 0)</f>
        <v>-1.277274483629204E-2</v>
      </c>
      <c r="G82" s="14"/>
      <c r="H82" s="9">
        <f>IFERROR(H81/H10, 0)</f>
        <v>3.5159214918693123E-2</v>
      </c>
      <c r="I82" s="14"/>
      <c r="J82" s="9">
        <f>IFERROR(J81/J10, 0)</f>
        <v>-4.9665232718881765E-3</v>
      </c>
      <c r="K82" s="14"/>
      <c r="L82" s="9">
        <f>IFERROR(L81/L10, 0)</f>
        <v>7.5468749023113804E-2</v>
      </c>
      <c r="M82" s="14"/>
      <c r="N82" s="9">
        <f>IFERROR(N81/N10, 0)</f>
        <v>5.0710778412619874E-2</v>
      </c>
      <c r="O82" s="14"/>
      <c r="P82" s="9">
        <f>IFERROR(P81/P10, 0)</f>
        <v>0</v>
      </c>
      <c r="Q82" s="14"/>
      <c r="R82" s="9">
        <f>IFERROR(R81/R10, 0)</f>
        <v>0</v>
      </c>
    </row>
    <row r="83" spans="1:18" s="27" customFormat="1" x14ac:dyDescent="0.35">
      <c r="A83" s="18"/>
      <c r="B83" s="18"/>
      <c r="C83" s="18"/>
      <c r="D83" s="13"/>
      <c r="E83" s="18"/>
      <c r="F83" s="13"/>
      <c r="G83" s="14"/>
      <c r="H83" s="13"/>
      <c r="I83" s="14"/>
      <c r="J83" s="13"/>
      <c r="K83" s="14"/>
      <c r="L83" s="13"/>
      <c r="M83" s="14"/>
      <c r="N83" s="13"/>
      <c r="O83" s="14"/>
      <c r="P83" s="13"/>
      <c r="Q83" s="14"/>
      <c r="R83" s="13"/>
    </row>
    <row r="84" spans="1:18" x14ac:dyDescent="0.35">
      <c r="A84" s="12"/>
      <c r="B84" s="12"/>
      <c r="C84" s="12"/>
      <c r="D84" s="6"/>
      <c r="F84" s="6"/>
      <c r="H84" s="6"/>
      <c r="J84" s="6"/>
      <c r="L84" s="6"/>
      <c r="N84" s="6"/>
      <c r="P84" s="6"/>
      <c r="R84" s="6"/>
    </row>
    <row r="85" spans="1:18" s="15" customFormat="1" x14ac:dyDescent="0.35">
      <c r="A85" s="7"/>
      <c r="B85" s="22" t="s">
        <v>296</v>
      </c>
      <c r="C85" s="22"/>
      <c r="D85" s="10">
        <f>SUM(D81:D84)</f>
        <v>6808.0584858464417</v>
      </c>
      <c r="E85" s="12"/>
      <c r="F85" s="10">
        <f>SUM(F81:F84)</f>
        <v>-2779.6827727448235</v>
      </c>
      <c r="G85" s="5"/>
      <c r="H85" s="10">
        <f>SUM(H81:H84)</f>
        <v>9471.4751592148405</v>
      </c>
      <c r="I85" s="5"/>
      <c r="J85" s="10">
        <f>SUM(J81:J84)</f>
        <v>-1638.924966523241</v>
      </c>
      <c r="K85" s="5"/>
      <c r="L85" s="10">
        <f>SUM(L81:L84)</f>
        <v>16175.215468749</v>
      </c>
      <c r="M85" s="5"/>
      <c r="N85" s="10">
        <f>SUM(N81:N84)</f>
        <v>7976.3607107784283</v>
      </c>
      <c r="O85" s="5"/>
      <c r="P85" s="10">
        <f>SUM(P81:P84)</f>
        <v>-5748</v>
      </c>
      <c r="Q85" s="5"/>
      <c r="R85" s="10">
        <f>SUM(R81:R84)</f>
        <v>-5748</v>
      </c>
    </row>
    <row r="86" spans="1:18" s="27" customFormat="1" x14ac:dyDescent="0.35">
      <c r="A86" s="18"/>
      <c r="B86" s="41"/>
      <c r="C86" s="18"/>
      <c r="D86" s="9">
        <f>IFERROR(D85/D10, 0)</f>
        <v>3.8486063991726029E-2</v>
      </c>
      <c r="E86" s="18"/>
      <c r="F86" s="9">
        <f>IFERROR(F85/F10, 0)</f>
        <v>-1.2772803527795222E-2</v>
      </c>
      <c r="G86" s="14"/>
      <c r="H86" s="9">
        <f>IFERROR(H85/H10, 0)</f>
        <v>3.5159345434263481E-2</v>
      </c>
      <c r="I86" s="14"/>
      <c r="J86" s="9">
        <f>IFERROR(J85/J10, 0)</f>
        <v>-4.9665383222587921E-3</v>
      </c>
      <c r="K86" s="14"/>
      <c r="L86" s="9">
        <f>IFERROR(L85/L10, 0)</f>
        <v>7.5469101139514605E-2</v>
      </c>
      <c r="M86" s="14"/>
      <c r="N86" s="9">
        <f>IFERROR(N85/N10, 0)</f>
        <v>5.0711100815215467E-2</v>
      </c>
      <c r="O86" s="14"/>
      <c r="P86" s="9">
        <f>IFERROR(P85/P10, 0)</f>
        <v>0</v>
      </c>
      <c r="Q86" s="14"/>
      <c r="R86" s="9">
        <f>IFERROR(R85/R10, 0)</f>
        <v>0</v>
      </c>
    </row>
    <row r="87" spans="1:18" x14ac:dyDescent="0.35">
      <c r="A87" s="12"/>
      <c r="B87" s="40">
        <v>44319.883572604165</v>
      </c>
      <c r="D87" s="24"/>
      <c r="F87" s="24"/>
      <c r="H87" s="24"/>
      <c r="J87" s="24"/>
      <c r="L87" s="24"/>
      <c r="N87" s="24"/>
      <c r="P87" s="24"/>
      <c r="R87" s="24"/>
    </row>
    <row r="88" spans="1:18" x14ac:dyDescent="0.35">
      <c r="A88" s="12"/>
      <c r="B88" s="39" t="s">
        <v>23</v>
      </c>
      <c r="D88" s="24"/>
      <c r="F88" s="24"/>
      <c r="H88" s="24"/>
      <c r="J88" s="24"/>
      <c r="L88" s="24"/>
      <c r="N88" s="24"/>
      <c r="P88" s="24"/>
      <c r="R88" s="24"/>
    </row>
    <row r="89" spans="1:18" x14ac:dyDescent="0.35">
      <c r="A89" s="12"/>
      <c r="D89" s="24"/>
      <c r="F89" s="24"/>
      <c r="H89" s="24"/>
      <c r="J89" s="24"/>
      <c r="L89" s="24"/>
      <c r="N89" s="24"/>
      <c r="P89" s="24"/>
      <c r="R89" s="24"/>
    </row>
    <row r="90" spans="1:18" x14ac:dyDescent="0.35">
      <c r="D90" s="24"/>
      <c r="F90" s="24"/>
      <c r="H90" s="24"/>
      <c r="J90" s="24"/>
      <c r="L90" s="24"/>
      <c r="N90" s="24"/>
      <c r="P90" s="24"/>
      <c r="R90" s="24"/>
    </row>
  </sheetData>
  <pageMargins left="0.5" right="0.5" top="0.5" bottom="0.5" header="0.3" footer="0.3"/>
  <pageSetup scale="59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08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","425", " - ", "Events Center")</f>
        <v>Department 425 - Events Center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416384.06000000006</v>
      </c>
      <c r="F10" s="8">
        <f>SUM(OSRRefF11x_0)</f>
        <v>527071.5</v>
      </c>
      <c r="G10" s="8"/>
      <c r="H10" s="8">
        <f>SUM(OSRRefH11x_0)</f>
        <v>478813.91</v>
      </c>
      <c r="I10" s="8"/>
      <c r="J10" s="8">
        <f>SUM(OSRRefJ11x_0)</f>
        <v>612672.16</v>
      </c>
      <c r="K10" s="8"/>
      <c r="L10" s="8">
        <f>SUM(OSRRefL11x_0)</f>
        <v>714741.99</v>
      </c>
      <c r="M10" s="8"/>
      <c r="N10" s="8">
        <f>SUM(OSRRefN11x_0)</f>
        <v>392328.46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"4051", " - ", "TAXABLE SALES-FOOD")</f>
        <v xml:space="preserve">          4051 - TAXABLE SALES-FOOD</v>
      </c>
      <c r="D11" s="11">
        <f>-4040.33*-1</f>
        <v>4040.33</v>
      </c>
      <c r="F11" s="11">
        <f>-9058.85*-1</f>
        <v>9058.85</v>
      </c>
      <c r="G11" s="3"/>
      <c r="H11" s="11">
        <f>-26384.93*-1</f>
        <v>26384.93</v>
      </c>
      <c r="I11" s="3"/>
      <c r="J11" s="11">
        <f>--13091.95</f>
        <v>13091.95</v>
      </c>
      <c r="K11" s="3"/>
      <c r="L11" s="11">
        <f>--33241.92</f>
        <v>33241.919999999998</v>
      </c>
      <c r="M11" s="3"/>
      <c r="N11" s="11">
        <f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"4052", " - ", "TAXABLE SALES-FOOD")</f>
        <v xml:space="preserve">          4052 - TAXABLE SALES-FOOD</v>
      </c>
      <c r="D12" s="11">
        <f>-305978.59*-1</f>
        <v>305978.59000000003</v>
      </c>
      <c r="F12" s="11">
        <f>-369565.69*-1</f>
        <v>369565.69</v>
      </c>
      <c r="G12" s="3"/>
      <c r="H12" s="11">
        <f>-342405.12*-1</f>
        <v>342405.12</v>
      </c>
      <c r="I12" s="3"/>
      <c r="J12" s="11">
        <f>--481462.03</f>
        <v>481462.03</v>
      </c>
      <c r="K12" s="3"/>
      <c r="L12" s="11">
        <f>--558294.67</f>
        <v>558294.67000000004</v>
      </c>
      <c r="M12" s="3"/>
      <c r="N12" s="11">
        <f>--296449.41</f>
        <v>296449.40999999997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"4053", " - ", "TAXABLE SALES-FOOD")</f>
        <v xml:space="preserve">          4053 - TAXABLE SALES-FOOD</v>
      </c>
      <c r="D13" s="11">
        <f>-76819.96*-1</f>
        <v>76819.960000000006</v>
      </c>
      <c r="F13" s="11">
        <f>-96049.43*-1</f>
        <v>96049.43</v>
      </c>
      <c r="G13" s="3"/>
      <c r="H13" s="11">
        <f>-101863.49*-1</f>
        <v>101863.49</v>
      </c>
      <c r="I13" s="3"/>
      <c r="J13" s="11">
        <f>--113712.51</f>
        <v>113712.51</v>
      </c>
      <c r="K13" s="3"/>
      <c r="L13" s="11">
        <f>--122675.73</f>
        <v>122675.73</v>
      </c>
      <c r="M13" s="3"/>
      <c r="N13" s="11">
        <f>--95481.76</f>
        <v>95481.76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"4151", " - ", "NON-TAXABLE SALES-FOOD")</f>
        <v xml:space="preserve">          4151 - NON-TAXABLE SALES-FOOD</v>
      </c>
      <c r="D14" s="11">
        <f>-6627.64*-1</f>
        <v>6627.64</v>
      </c>
      <c r="F14" s="11">
        <f>-15321.28*-1</f>
        <v>15321.28</v>
      </c>
      <c r="G14" s="3"/>
      <c r="H14" s="11">
        <f>-1978.86*-1</f>
        <v>1978.86</v>
      </c>
      <c r="I14" s="3"/>
      <c r="J14" s="11">
        <f>--4405.67</f>
        <v>4405.67</v>
      </c>
      <c r="K14" s="3"/>
      <c r="L14" s="11">
        <f>--396.83</f>
        <v>396.83</v>
      </c>
      <c r="M14" s="3"/>
      <c r="N14" s="11">
        <f>--0.08</f>
        <v>0.08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"4152", " - ", "NON-TAXABLE SALES-FOOD")</f>
        <v xml:space="preserve">          4152 - NON-TAXABLE SALES-FOOD</v>
      </c>
      <c r="D15" s="11">
        <f>-22917.54*-1</f>
        <v>22917.54</v>
      </c>
      <c r="F15" s="11">
        <f>-37076.25*-1</f>
        <v>37076.25</v>
      </c>
      <c r="G15" s="3"/>
      <c r="H15" s="11">
        <f>-6181.51*-1</f>
        <v>6181.51</v>
      </c>
      <c r="I15" s="3"/>
      <c r="J15" s="11">
        <f>0</f>
        <v>0</v>
      </c>
      <c r="K15" s="3"/>
      <c r="L15" s="11">
        <f>--132.84</f>
        <v>132.84</v>
      </c>
      <c r="M15" s="3"/>
      <c r="N15" s="11">
        <f>--397.21</f>
        <v>397.21</v>
      </c>
      <c r="O15" s="3"/>
      <c r="P15" s="11"/>
      <c r="Q15" s="3"/>
      <c r="R15" s="11"/>
    </row>
    <row r="16" spans="1:18" s="12" customFormat="1" x14ac:dyDescent="0.35">
      <c r="B16" s="7"/>
      <c r="D16" s="6"/>
      <c r="F16" s="6"/>
      <c r="G16" s="5"/>
      <c r="H16" s="6"/>
      <c r="I16" s="5"/>
      <c r="J16" s="6"/>
      <c r="K16" s="5"/>
      <c r="L16" s="6"/>
      <c r="M16" s="5"/>
      <c r="N16" s="6"/>
      <c r="O16" s="5"/>
      <c r="P16" s="6"/>
      <c r="Q16" s="5"/>
      <c r="R16" s="6"/>
    </row>
    <row r="17" spans="1:18" s="12" customFormat="1" collapsed="1" x14ac:dyDescent="0.35">
      <c r="B17" s="7" t="s">
        <v>278</v>
      </c>
      <c r="D17" s="8">
        <f>SUM(OSRRefD14x_0)</f>
        <v>108281.13</v>
      </c>
      <c r="E17" s="8"/>
      <c r="F17" s="8">
        <f>SUM(OSRRefF14x_0)</f>
        <v>128853.02999999998</v>
      </c>
      <c r="G17" s="8"/>
      <c r="H17" s="8">
        <f>SUM(OSRRefH14x_0)</f>
        <v>141094.97</v>
      </c>
      <c r="I17" s="8"/>
      <c r="J17" s="8">
        <f>SUM(OSRRefJ14x_0)</f>
        <v>197451.58</v>
      </c>
      <c r="K17" s="8"/>
      <c r="L17" s="8">
        <f>SUM(OSRRefL14x_0)</f>
        <v>171884.91999999998</v>
      </c>
      <c r="M17" s="8"/>
      <c r="N17" s="8">
        <f>SUM(OSRRefN14x_0)</f>
        <v>141393.09</v>
      </c>
      <c r="O17" s="8"/>
      <c r="P17" s="8">
        <f>SUM(OSRRefP14x_0)</f>
        <v>0</v>
      </c>
      <c r="Q17" s="8"/>
      <c r="R17" s="8">
        <f>SUM(OSRRefR14x_0)</f>
        <v>0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106644.44</v>
      </c>
      <c r="E18" s="16"/>
      <c r="F18" s="11">
        <v>131992.76999999999</v>
      </c>
      <c r="G18" s="3"/>
      <c r="H18" s="11">
        <v>140805.97</v>
      </c>
      <c r="I18" s="3"/>
      <c r="J18" s="11">
        <v>187568.49</v>
      </c>
      <c r="K18" s="3"/>
      <c r="L18" s="11">
        <v>194395.62</v>
      </c>
      <c r="M18" s="3"/>
      <c r="N18" s="11">
        <v>115476.09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1636.69</v>
      </c>
      <c r="E19" s="16"/>
      <c r="F19" s="11">
        <v>-3139.74</v>
      </c>
      <c r="G19" s="3"/>
      <c r="H19" s="11">
        <v>289</v>
      </c>
      <c r="I19" s="3"/>
      <c r="J19" s="11">
        <v>9883.09</v>
      </c>
      <c r="K19" s="3"/>
      <c r="L19" s="11">
        <v>-22510.7</v>
      </c>
      <c r="M19" s="3"/>
      <c r="N19" s="11">
        <v>25917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+D10-D17</f>
        <v>308102.93000000005</v>
      </c>
      <c r="E21" s="12"/>
      <c r="F21" s="10">
        <f>+F10-F17</f>
        <v>398218.47000000003</v>
      </c>
      <c r="G21" s="5"/>
      <c r="H21" s="10">
        <f>+H10-H17</f>
        <v>337718.93999999994</v>
      </c>
      <c r="I21" s="5"/>
      <c r="J21" s="10">
        <f>+J10-J17</f>
        <v>415220.58000000007</v>
      </c>
      <c r="K21" s="5"/>
      <c r="L21" s="10">
        <f>+L10-L17</f>
        <v>542857.07000000007</v>
      </c>
      <c r="M21" s="5"/>
      <c r="N21" s="10">
        <f>+N10-N17</f>
        <v>250935.37000000002</v>
      </c>
      <c r="O21" s="5"/>
      <c r="P21" s="10">
        <f>+P10-P17</f>
        <v>0</v>
      </c>
      <c r="Q21" s="5"/>
      <c r="R21" s="10">
        <f>+R10-R17</f>
        <v>0</v>
      </c>
    </row>
    <row r="22" spans="1:18" s="27" customFormat="1" x14ac:dyDescent="0.35">
      <c r="A22" s="18"/>
      <c r="B22" s="31"/>
      <c r="C22" s="18"/>
      <c r="D22" s="9">
        <f>IFERROR(D21/D10, 0)</f>
        <v>0.73994890678572089</v>
      </c>
      <c r="E22" s="13"/>
      <c r="F22" s="9">
        <f>IFERROR(F21/F10, 0)</f>
        <v>0.75553026486918762</v>
      </c>
      <c r="G22" s="26"/>
      <c r="H22" s="9">
        <f>IFERROR(H21/H10, 0)</f>
        <v>0.70532399528660306</v>
      </c>
      <c r="I22" s="26"/>
      <c r="J22" s="9">
        <f>IFERROR(J21/J10, 0)</f>
        <v>0.67772065895731259</v>
      </c>
      <c r="K22" s="26"/>
      <c r="L22" s="9">
        <f>IFERROR(L21/L10, 0)</f>
        <v>0.75951473062328423</v>
      </c>
      <c r="M22" s="26"/>
      <c r="N22" s="9">
        <f>IFERROR(N21/N10, 0)</f>
        <v>0.63960531948153854</v>
      </c>
      <c r="O22" s="26"/>
      <c r="P22" s="9">
        <f>IFERROR(P21/P10, 0)</f>
        <v>0</v>
      </c>
      <c r="Q22" s="26"/>
      <c r="R22" s="9">
        <f>IFERROR(R21/R10, 0)</f>
        <v>0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241129.38999999998</v>
      </c>
      <c r="E24" s="19"/>
      <c r="F24" s="8">
        <f>SUM(OSRRefF21x_0)</f>
        <v>270772.65999999997</v>
      </c>
      <c r="G24" s="4"/>
      <c r="H24" s="8">
        <f>SUM(OSRRefH21x_0)</f>
        <v>281107.4499999999</v>
      </c>
      <c r="I24" s="4"/>
      <c r="J24" s="8">
        <f>SUM(OSRRefJ21x_0)</f>
        <v>412445.28000000014</v>
      </c>
      <c r="K24" s="4"/>
      <c r="L24" s="8">
        <f>SUM(OSRRefL21x_0)</f>
        <v>504525.3</v>
      </c>
      <c r="M24" s="4"/>
      <c r="N24" s="8">
        <f>SUM(OSRRefN21x_0)</f>
        <v>336938.18</v>
      </c>
      <c r="O24" s="4"/>
      <c r="P24" s="8">
        <f>SUM(OSRRefP21x_0)</f>
        <v>12012</v>
      </c>
      <c r="Q24" s="4"/>
      <c r="R24" s="8">
        <f>SUM(OSRRefR21x_0)</f>
        <v>12012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20659.830000000002</v>
      </c>
      <c r="E25" s="19"/>
      <c r="F25" s="1">
        <f>SUM(OSRRefF21_0x_0)</f>
        <v>24022.030000000002</v>
      </c>
      <c r="G25" s="4"/>
      <c r="H25" s="1">
        <f>SUM(OSRRefH21_0x_0)</f>
        <v>18934.260000000002</v>
      </c>
      <c r="I25" s="4"/>
      <c r="J25" s="1">
        <f>SUM(OSRRefJ21_0x_0)</f>
        <v>27869.399999999998</v>
      </c>
      <c r="K25" s="4"/>
      <c r="L25" s="1">
        <f>SUM(OSRRefL21_0x_0)</f>
        <v>34119.340000000004</v>
      </c>
      <c r="M25" s="4"/>
      <c r="N25" s="1">
        <f>SUM(OSRRefN21_0x_0)</f>
        <v>37882.54</v>
      </c>
      <c r="O25" s="4"/>
      <c r="P25" s="1">
        <f>SUM(OSRRefP21_0x_0)</f>
        <v>0</v>
      </c>
      <c r="Q25" s="4"/>
      <c r="R25" s="1">
        <f>SUM(OSRRefR21_0x_0)</f>
        <v>0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3886.8</v>
      </c>
      <c r="F26" s="2">
        <v>4668.53</v>
      </c>
      <c r="G26" s="3"/>
      <c r="H26" s="2">
        <v>5058.1400000000003</v>
      </c>
      <c r="I26" s="3"/>
      <c r="J26" s="2">
        <v>7473.44</v>
      </c>
      <c r="K26" s="3"/>
      <c r="L26" s="2">
        <v>10460.18</v>
      </c>
      <c r="M26" s="3"/>
      <c r="N26" s="2">
        <v>8664.3700000000008</v>
      </c>
      <c r="O26" s="3"/>
      <c r="P26" s="2"/>
      <c r="Q26" s="3"/>
      <c r="R26" s="2"/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1584.33</v>
      </c>
      <c r="F27" s="2">
        <v>3206.04</v>
      </c>
      <c r="G27" s="3"/>
      <c r="H27" s="2">
        <v>3358.01</v>
      </c>
      <c r="I27" s="3"/>
      <c r="J27" s="2">
        <v>3981.09</v>
      </c>
      <c r="K27" s="3"/>
      <c r="L27" s="2">
        <v>7210.37</v>
      </c>
      <c r="M27" s="3"/>
      <c r="N27" s="2">
        <v>6750.72</v>
      </c>
      <c r="O27" s="3"/>
      <c r="P27" s="2"/>
      <c r="Q27" s="3"/>
      <c r="R27" s="2"/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6494.94</v>
      </c>
      <c r="F28" s="2">
        <v>7137.84</v>
      </c>
      <c r="G28" s="3"/>
      <c r="H28" s="2">
        <v>6802.92</v>
      </c>
      <c r="I28" s="3"/>
      <c r="J28" s="2">
        <v>7523.83</v>
      </c>
      <c r="K28" s="3"/>
      <c r="L28" s="2">
        <v>11081.55</v>
      </c>
      <c r="M28" s="3"/>
      <c r="N28" s="2">
        <v>9773.43</v>
      </c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455.56</v>
      </c>
      <c r="F29" s="2">
        <v>560.29</v>
      </c>
      <c r="G29" s="3"/>
      <c r="H29" s="2">
        <v>267.26</v>
      </c>
      <c r="I29" s="3"/>
      <c r="J29" s="2">
        <v>416.85</v>
      </c>
      <c r="K29" s="3"/>
      <c r="L29" s="2">
        <v>574.23</v>
      </c>
      <c r="M29" s="3"/>
      <c r="N29" s="2">
        <v>0</v>
      </c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3241.79</v>
      </c>
      <c r="F30" s="2">
        <v>2794.44</v>
      </c>
      <c r="G30" s="3"/>
      <c r="H30" s="2">
        <v>2933.41</v>
      </c>
      <c r="I30" s="3"/>
      <c r="J30" s="2">
        <v>2919.14</v>
      </c>
      <c r="K30" s="3"/>
      <c r="L30" s="2">
        <v>3985.02</v>
      </c>
      <c r="M30" s="3"/>
      <c r="N30" s="2">
        <v>4012.37</v>
      </c>
      <c r="O30" s="3"/>
      <c r="P30" s="2"/>
      <c r="Q30" s="3"/>
      <c r="R30" s="2"/>
    </row>
    <row r="31" spans="1:18" s="16" customFormat="1" hidden="1" outlineLevel="2" x14ac:dyDescent="0.35">
      <c r="B31" s="11" t="str">
        <f>CONCATENATE("          ", "6117", " - ", "RETIREMENT STAFF HOURLY")</f>
        <v xml:space="preserve">          6117 - RETIREMENT STAFF HOURLY</v>
      </c>
      <c r="D31" s="2"/>
      <c r="F31" s="2"/>
      <c r="G31" s="3"/>
      <c r="H31" s="2"/>
      <c r="I31" s="3"/>
      <c r="J31" s="2"/>
      <c r="K31" s="3"/>
      <c r="L31" s="2"/>
      <c r="M31" s="3"/>
      <c r="N31" s="2">
        <v>764.45</v>
      </c>
      <c r="O31" s="3"/>
      <c r="P31" s="2"/>
      <c r="Q31" s="3"/>
      <c r="R31" s="2"/>
    </row>
    <row r="32" spans="1:18" s="16" customFormat="1" hidden="1" outlineLevel="2" x14ac:dyDescent="0.35">
      <c r="B32" s="11" t="str">
        <f>CONCATENATE("          ", "6118", " - ", "VACATION")</f>
        <v xml:space="preserve">          6118 - VACATION</v>
      </c>
      <c r="D32" s="2">
        <v>1438.22</v>
      </c>
      <c r="F32" s="2">
        <v>2241.7600000000002</v>
      </c>
      <c r="G32" s="3"/>
      <c r="H32" s="2">
        <v>1537.97</v>
      </c>
      <c r="I32" s="3"/>
      <c r="J32" s="2">
        <v>2252.3000000000002</v>
      </c>
      <c r="K32" s="3"/>
      <c r="L32" s="2">
        <v>2857.55</v>
      </c>
      <c r="M32" s="3"/>
      <c r="N32" s="2">
        <v>2815.98</v>
      </c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"6119", " - ", "SICK LEAVE")</f>
        <v xml:space="preserve">          6119 - SICK LEAVE</v>
      </c>
      <c r="D33" s="2">
        <v>1003.2</v>
      </c>
      <c r="F33" s="2">
        <v>1822.82</v>
      </c>
      <c r="G33" s="3"/>
      <c r="H33" s="2">
        <v>-2050.5</v>
      </c>
      <c r="I33" s="3"/>
      <c r="J33" s="2">
        <v>2194.4699999999998</v>
      </c>
      <c r="K33" s="3"/>
      <c r="L33" s="2">
        <v>-3785.73</v>
      </c>
      <c r="M33" s="3"/>
      <c r="N33" s="2">
        <v>3061.35</v>
      </c>
      <c r="O33" s="3"/>
      <c r="P33" s="2"/>
      <c r="Q33" s="3"/>
      <c r="R33" s="2"/>
    </row>
    <row r="34" spans="1:18" s="16" customFormat="1" hidden="1" outlineLevel="2" x14ac:dyDescent="0.35">
      <c r="B34" s="11" t="str">
        <f>CONCATENATE("          ", "6156", " - ", "EMPLOYEE MEALS")</f>
        <v xml:space="preserve">          6156 - EMPLOYEE MEALS</v>
      </c>
      <c r="D34" s="2">
        <v>2554.9899999999998</v>
      </c>
      <c r="F34" s="2">
        <v>1590.31</v>
      </c>
      <c r="G34" s="3"/>
      <c r="H34" s="2">
        <v>1027.05</v>
      </c>
      <c r="I34" s="3"/>
      <c r="J34" s="2">
        <v>1108.28</v>
      </c>
      <c r="K34" s="3"/>
      <c r="L34" s="2">
        <v>1736.17</v>
      </c>
      <c r="M34" s="3"/>
      <c r="N34" s="2">
        <v>2039.87</v>
      </c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","*Payroll                                          ")</f>
        <v xml:space="preserve">     *Payroll                                          </v>
      </c>
      <c r="C35" s="7"/>
      <c r="D35" s="1">
        <f>SUM(OSRRefD21_1x_0)</f>
        <v>75713.64</v>
      </c>
      <c r="E35" s="19"/>
      <c r="F35" s="1">
        <f>SUM(OSRRefF21_1x_0)</f>
        <v>88086.950000000012</v>
      </c>
      <c r="G35" s="4"/>
      <c r="H35" s="1">
        <f>SUM(OSRRefH21_1x_0)</f>
        <v>104582.26999999999</v>
      </c>
      <c r="I35" s="4"/>
      <c r="J35" s="1">
        <f>SUM(OSRRefJ21_1x_0)</f>
        <v>136225.32</v>
      </c>
      <c r="K35" s="4"/>
      <c r="L35" s="1">
        <f>SUM(OSRRefL21_1x_0)</f>
        <v>197542.66</v>
      </c>
      <c r="M35" s="4"/>
      <c r="N35" s="1">
        <f>SUM(OSRRefN21_1x_0)</f>
        <v>156105.16999999998</v>
      </c>
      <c r="O35" s="4"/>
      <c r="P35" s="1">
        <f>SUM(OSRRefP21_1x_0)</f>
        <v>0</v>
      </c>
      <c r="Q35" s="4"/>
      <c r="R35" s="1">
        <f>SUM(OSRRefR21_1x_0)</f>
        <v>0</v>
      </c>
    </row>
    <row r="36" spans="1:18" s="16" customFormat="1" hidden="1" outlineLevel="2" x14ac:dyDescent="0.35">
      <c r="B36" s="11" t="str">
        <f>CONCATENATE("          ", "6002", " - ", "STAFF SALARIES")</f>
        <v xml:space="preserve">          6002 - STAFF SALARIES</v>
      </c>
      <c r="D36" s="2">
        <v>20494.95</v>
      </c>
      <c r="F36" s="2">
        <v>25093.52</v>
      </c>
      <c r="G36" s="3"/>
      <c r="H36" s="2">
        <v>26599.94</v>
      </c>
      <c r="I36" s="3"/>
      <c r="J36" s="2">
        <v>42021.5</v>
      </c>
      <c r="K36" s="3"/>
      <c r="L36" s="2">
        <v>58669.71</v>
      </c>
      <c r="M36" s="3"/>
      <c r="N36" s="2">
        <v>53765.93</v>
      </c>
      <c r="O36" s="3"/>
      <c r="P36" s="2"/>
      <c r="Q36" s="3"/>
      <c r="R36" s="2"/>
    </row>
    <row r="37" spans="1:18" s="16" customFormat="1" hidden="1" outlineLevel="2" x14ac:dyDescent="0.35">
      <c r="B37" s="11" t="str">
        <f>CONCATENATE("          ", "6004", " - ", "STAFF HOURLY")</f>
        <v xml:space="preserve">          6004 - STAFF HOURLY</v>
      </c>
      <c r="D37" s="2">
        <v>-943.52</v>
      </c>
      <c r="F37" s="2">
        <v>145.15</v>
      </c>
      <c r="G37" s="3"/>
      <c r="H37" s="2"/>
      <c r="I37" s="3"/>
      <c r="J37" s="2"/>
      <c r="K37" s="3"/>
      <c r="L37" s="2">
        <v>138</v>
      </c>
      <c r="M37" s="3"/>
      <c r="N37" s="2">
        <v>12512.45</v>
      </c>
      <c r="O37" s="3"/>
      <c r="P37" s="2"/>
      <c r="Q37" s="3"/>
      <c r="R37" s="2"/>
    </row>
    <row r="38" spans="1:18" s="16" customFormat="1" hidden="1" outlineLevel="2" x14ac:dyDescent="0.35">
      <c r="B38" s="11" t="str">
        <f>CONCATENATE("          ", "6005", " - ", "TEMPORARY WAGES-HOURLY")</f>
        <v xml:space="preserve">          6005 - TEMPORARY WAGES-HOURLY</v>
      </c>
      <c r="D38" s="2">
        <v>17809.88</v>
      </c>
      <c r="F38" s="2">
        <v>19124.740000000002</v>
      </c>
      <c r="G38" s="3"/>
      <c r="H38" s="2">
        <v>21731.96</v>
      </c>
      <c r="I38" s="3"/>
      <c r="J38" s="2">
        <v>39297.410000000003</v>
      </c>
      <c r="K38" s="3"/>
      <c r="L38" s="2">
        <v>54474.09</v>
      </c>
      <c r="M38" s="3"/>
      <c r="N38" s="2">
        <v>32469.93</v>
      </c>
      <c r="O38" s="3"/>
      <c r="P38" s="2"/>
      <c r="Q38" s="3"/>
      <c r="R38" s="2"/>
    </row>
    <row r="39" spans="1:18" s="16" customFormat="1" hidden="1" outlineLevel="2" x14ac:dyDescent="0.35">
      <c r="B39" s="11" t="str">
        <f>CONCATENATE("          ", "6006", " - ", "TEMPORARY PART TIME")</f>
        <v xml:space="preserve">          6006 - TEMPORARY PART TIME</v>
      </c>
      <c r="D39" s="2">
        <v>304.51</v>
      </c>
      <c r="F39" s="2">
        <v>823.5</v>
      </c>
      <c r="G39" s="3"/>
      <c r="H39" s="2">
        <v>3441.56</v>
      </c>
      <c r="I39" s="3"/>
      <c r="J39" s="2">
        <v>124.69</v>
      </c>
      <c r="K39" s="3"/>
      <c r="L39" s="2">
        <v>650.75</v>
      </c>
      <c r="M39" s="3"/>
      <c r="N39" s="2">
        <v>303.38</v>
      </c>
      <c r="O39" s="3"/>
      <c r="P39" s="2"/>
      <c r="Q39" s="3"/>
      <c r="R39" s="2"/>
    </row>
    <row r="40" spans="1:18" s="16" customFormat="1" hidden="1" outlineLevel="2" x14ac:dyDescent="0.35">
      <c r="B40" s="11" t="str">
        <f>CONCATENATE("          ", "6007", " - ", "STUDENT HOURLY")</f>
        <v xml:space="preserve">          6007 - STUDENT HOURLY</v>
      </c>
      <c r="D40" s="2">
        <v>37791.32</v>
      </c>
      <c r="F40" s="2">
        <v>39738.29</v>
      </c>
      <c r="G40" s="3"/>
      <c r="H40" s="2">
        <v>47477.58</v>
      </c>
      <c r="I40" s="3"/>
      <c r="J40" s="2">
        <v>51445.33</v>
      </c>
      <c r="K40" s="3"/>
      <c r="L40" s="2">
        <v>77917.41</v>
      </c>
      <c r="M40" s="3"/>
      <c r="N40" s="2">
        <v>49893.74</v>
      </c>
      <c r="O40" s="3"/>
      <c r="P40" s="2"/>
      <c r="Q40" s="3"/>
      <c r="R40" s="2"/>
    </row>
    <row r="41" spans="1:18" s="16" customFormat="1" hidden="1" outlineLevel="2" x14ac:dyDescent="0.35">
      <c r="B41" s="11" t="str">
        <f>CONCATENATE("          ", "6008", " - ", "STUDENT HOURLY-FICA EXEMPT")</f>
        <v xml:space="preserve">          6008 - STUDENT HOURLY-FICA EXEMPT</v>
      </c>
      <c r="D41" s="2">
        <v>256.5</v>
      </c>
      <c r="F41" s="2">
        <v>3161.75</v>
      </c>
      <c r="G41" s="3"/>
      <c r="H41" s="2">
        <v>5331.23</v>
      </c>
      <c r="I41" s="3"/>
      <c r="J41" s="2">
        <v>3336.39</v>
      </c>
      <c r="K41" s="3"/>
      <c r="L41" s="2">
        <v>5692.7</v>
      </c>
      <c r="M41" s="3"/>
      <c r="N41" s="2">
        <v>7159.74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","Advertising/Promo                                 ")</f>
        <v xml:space="preserve">     Advertising/Promo                                 </v>
      </c>
      <c r="C42" s="7"/>
      <c r="D42" s="1">
        <f>SUM(OSRRefD21_2x_0)</f>
        <v>3758.45</v>
      </c>
      <c r="E42" s="19"/>
      <c r="F42" s="1">
        <f>SUM(OSRRefF21_2x_0)</f>
        <v>3722.77</v>
      </c>
      <c r="G42" s="4"/>
      <c r="H42" s="1">
        <f>SUM(OSRRefH21_2x_0)</f>
        <v>2950.79</v>
      </c>
      <c r="I42" s="4"/>
      <c r="J42" s="1">
        <f>SUM(OSRRefJ21_2x_0)</f>
        <v>9392.9500000000007</v>
      </c>
      <c r="K42" s="4"/>
      <c r="L42" s="1">
        <f>SUM(OSRRefL21_2x_0)</f>
        <v>7083.48</v>
      </c>
      <c r="M42" s="4"/>
      <c r="N42" s="1">
        <f>SUM(OSRRefN21_2x_0)</f>
        <v>1868.45</v>
      </c>
      <c r="O42" s="4"/>
      <c r="P42" s="1">
        <f>SUM(OSRRefP21_2x_0)</f>
        <v>0</v>
      </c>
      <c r="Q42" s="4"/>
      <c r="R42" s="1">
        <f>SUM(OSRRefR21_2x_0)</f>
        <v>0</v>
      </c>
    </row>
    <row r="43" spans="1:18" s="16" customFormat="1" hidden="1" outlineLevel="2" x14ac:dyDescent="0.35">
      <c r="B43" s="11" t="str">
        <f>CONCATENATE("          ", "6362", " - ", "ADVERTISING EXPENSE")</f>
        <v xml:space="preserve">          6362 - ADVERTISING EXPENSE</v>
      </c>
      <c r="D43" s="2">
        <v>3758.45</v>
      </c>
      <c r="F43" s="2">
        <v>3722.77</v>
      </c>
      <c r="G43" s="3"/>
      <c r="H43" s="2">
        <v>2950.79</v>
      </c>
      <c r="I43" s="3"/>
      <c r="J43" s="2">
        <v>9392.9500000000007</v>
      </c>
      <c r="K43" s="3"/>
      <c r="L43" s="2">
        <v>7083.48</v>
      </c>
      <c r="M43" s="3"/>
      <c r="N43" s="2">
        <v>1868.45</v>
      </c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","Bad Debts/Over/Short                              ")</f>
        <v xml:space="preserve">     Bad Debts/Over/Short                              </v>
      </c>
      <c r="C44" s="7"/>
      <c r="D44" s="1">
        <f>SUM(OSRRefD21_3x_0)</f>
        <v>-1818.35</v>
      </c>
      <c r="E44" s="19"/>
      <c r="F44" s="1">
        <f>SUM(OSRRefF21_3x_0)</f>
        <v>51.07</v>
      </c>
      <c r="G44" s="4"/>
      <c r="H44" s="1">
        <f>SUM(OSRRefH21_3x_0)</f>
        <v>477.71</v>
      </c>
      <c r="I44" s="4"/>
      <c r="J44" s="1">
        <f>SUM(OSRRefJ21_3x_0)</f>
        <v>242.69</v>
      </c>
      <c r="K44" s="4"/>
      <c r="L44" s="1">
        <f>SUM(OSRRefL21_3x_0)</f>
        <v>-719.14</v>
      </c>
      <c r="M44" s="4"/>
      <c r="N44" s="1">
        <f>SUM(OSRRefN21_3x_0)</f>
        <v>-144.01</v>
      </c>
      <c r="O44" s="4"/>
      <c r="P44" s="1">
        <f>SUM(OSRRefP21_3x_0)</f>
        <v>0</v>
      </c>
      <c r="Q44" s="4"/>
      <c r="R44" s="1">
        <f>SUM(OSRRefR21_3x_0)</f>
        <v>0</v>
      </c>
    </row>
    <row r="45" spans="1:18" s="16" customFormat="1" hidden="1" outlineLevel="2" x14ac:dyDescent="0.35">
      <c r="B45" s="11" t="str">
        <f>CONCATENATE("          ", "6272", " - ", "CASH (OVER/SHORT)")</f>
        <v xml:space="preserve">          6272 - CASH (OVER/SHORT)</v>
      </c>
      <c r="D45" s="2">
        <v>18.7</v>
      </c>
      <c r="F45" s="2">
        <v>51.07</v>
      </c>
      <c r="G45" s="3"/>
      <c r="H45" s="2">
        <v>477.71</v>
      </c>
      <c r="I45" s="3"/>
      <c r="J45" s="2">
        <v>242.69</v>
      </c>
      <c r="K45" s="3"/>
      <c r="L45" s="2">
        <v>-719.14</v>
      </c>
      <c r="M45" s="3"/>
      <c r="N45" s="2">
        <v>-144.01</v>
      </c>
      <c r="O45" s="3"/>
      <c r="P45" s="2"/>
      <c r="Q45" s="3"/>
      <c r="R45" s="2"/>
    </row>
    <row r="46" spans="1:18" s="16" customFormat="1" hidden="1" outlineLevel="2" x14ac:dyDescent="0.35">
      <c r="B46" s="11" t="str">
        <f>CONCATENATE("          ", "6342", " - ", "BAD DEBT")</f>
        <v xml:space="preserve">          6342 - BAD DEBT</v>
      </c>
      <c r="D46" s="2">
        <v>-1837.05</v>
      </c>
      <c r="F46" s="2"/>
      <c r="G46" s="3"/>
      <c r="H46" s="2"/>
      <c r="I46" s="3"/>
      <c r="J46" s="2"/>
      <c r="K46" s="3"/>
      <c r="L46" s="2"/>
      <c r="M46" s="3"/>
      <c r="N46" s="2"/>
      <c r="O46" s="3"/>
      <c r="P46" s="2"/>
      <c r="Q46" s="3"/>
      <c r="R46" s="2"/>
    </row>
    <row r="47" spans="1:18" s="15" customFormat="1" outlineLevel="1" collapsed="1" x14ac:dyDescent="0.35">
      <c r="A47" s="7"/>
      <c r="B47" s="20" t="str">
        <f>CONCATENATE("     ","Bank/card Fees                                    ")</f>
        <v xml:space="preserve">     Bank/card Fees                                    </v>
      </c>
      <c r="C47" s="7"/>
      <c r="D47" s="1">
        <f>SUM(OSRRefD21_4x_0)</f>
        <v>5523.85</v>
      </c>
      <c r="E47" s="19"/>
      <c r="F47" s="1">
        <f>SUM(OSRRefF21_4x_0)</f>
        <v>7640.81</v>
      </c>
      <c r="G47" s="4"/>
      <c r="H47" s="1">
        <f>SUM(OSRRefH21_4x_0)</f>
        <v>5776.55</v>
      </c>
      <c r="I47" s="4"/>
      <c r="J47" s="1">
        <f>SUM(OSRRefJ21_4x_0)</f>
        <v>12835.09</v>
      </c>
      <c r="K47" s="4"/>
      <c r="L47" s="1">
        <f>SUM(OSRRefL21_4x_0)</f>
        <v>16349.36</v>
      </c>
      <c r="M47" s="4"/>
      <c r="N47" s="1">
        <f>SUM(OSRRefN21_4x_0)</f>
        <v>7654.91</v>
      </c>
      <c r="O47" s="4"/>
      <c r="P47" s="1">
        <f>SUM(OSRRefP21_4x_0)</f>
        <v>0</v>
      </c>
      <c r="Q47" s="4"/>
      <c r="R47" s="1">
        <f>SUM(OSRRefR21_4x_0)</f>
        <v>0</v>
      </c>
    </row>
    <row r="48" spans="1:18" s="16" customFormat="1" hidden="1" outlineLevel="2" x14ac:dyDescent="0.35">
      <c r="B48" s="11" t="str">
        <f>CONCATENATE("          ", "6381", " - ", "BANK/CREDIT CARD FEES")</f>
        <v xml:space="preserve">          6381 - BANK/CREDIT CARD FEES</v>
      </c>
      <c r="D48" s="2">
        <v>5523.85</v>
      </c>
      <c r="F48" s="2">
        <v>7640.81</v>
      </c>
      <c r="G48" s="3"/>
      <c r="H48" s="2">
        <v>5776.55</v>
      </c>
      <c r="I48" s="3"/>
      <c r="J48" s="2">
        <v>12835.09</v>
      </c>
      <c r="K48" s="3"/>
      <c r="L48" s="2">
        <v>16349.36</v>
      </c>
      <c r="M48" s="3"/>
      <c r="N48" s="2">
        <v>7654.91</v>
      </c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","Depreciation                                      ")</f>
        <v xml:space="preserve">     Depreciation                                      </v>
      </c>
      <c r="C49" s="7"/>
      <c r="D49" s="1">
        <f>SUM(OSRRefD21_5x_0)</f>
        <v>17485.45</v>
      </c>
      <c r="E49" s="19"/>
      <c r="F49" s="1">
        <f>SUM(OSRRefF21_5x_0)</f>
        <v>2122.62</v>
      </c>
      <c r="G49" s="4"/>
      <c r="H49" s="1">
        <f>SUM(OSRRefH21_5x_0)</f>
        <v>300.74</v>
      </c>
      <c r="I49" s="4"/>
      <c r="J49" s="1">
        <f>SUM(OSRRefJ21_5x_0)</f>
        <v>0</v>
      </c>
      <c r="K49" s="4"/>
      <c r="L49" s="1">
        <f>SUM(OSRRefL21_5x_0)</f>
        <v>1021.4</v>
      </c>
      <c r="M49" s="4"/>
      <c r="N49" s="1">
        <f>SUM(OSRRefN21_5x_0)</f>
        <v>6046.46</v>
      </c>
      <c r="O49" s="4"/>
      <c r="P49" s="1">
        <f>SUM(OSRRefP21_5x_0)</f>
        <v>12012</v>
      </c>
      <c r="Q49" s="4"/>
      <c r="R49" s="1">
        <f>SUM(OSRRefR21_5x_0)</f>
        <v>12012</v>
      </c>
    </row>
    <row r="50" spans="1:18" s="16" customFormat="1" hidden="1" outlineLevel="2" x14ac:dyDescent="0.35">
      <c r="B50" s="11" t="str">
        <f>CONCATENATE("          ", "6321", " - ", "BUILDING DEPRECIATION")</f>
        <v xml:space="preserve">          6321 - BUILDING DEPRECIATION</v>
      </c>
      <c r="D50" s="2">
        <v>16292.11</v>
      </c>
      <c r="F50" s="2">
        <v>2122.62</v>
      </c>
      <c r="G50" s="3"/>
      <c r="H50" s="2">
        <v>300.74</v>
      </c>
      <c r="I50" s="3"/>
      <c r="J50" s="2"/>
      <c r="K50" s="3"/>
      <c r="L50" s="2"/>
      <c r="M50" s="3"/>
      <c r="N50" s="2"/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"6322", " - ", "EQUIPMENT DEPRECIATION EXPENSE")</f>
        <v xml:space="preserve">          6322 - EQUIPMENT DEPRECIATION EXPENSE</v>
      </c>
      <c r="D51" s="2">
        <v>1193.3399999999999</v>
      </c>
      <c r="F51" s="2"/>
      <c r="G51" s="3"/>
      <c r="H51" s="2"/>
      <c r="I51" s="3"/>
      <c r="J51" s="2"/>
      <c r="K51" s="3"/>
      <c r="L51" s="2">
        <v>1021.4</v>
      </c>
      <c r="M51" s="3"/>
      <c r="N51" s="2">
        <v>6046.46</v>
      </c>
      <c r="O51" s="3"/>
      <c r="P51" s="2">
        <v>12012</v>
      </c>
      <c r="Q51" s="3"/>
      <c r="R51" s="2">
        <v>12012</v>
      </c>
    </row>
    <row r="52" spans="1:18" s="15" customFormat="1" outlineLevel="1" collapsed="1" x14ac:dyDescent="0.35">
      <c r="A52" s="7"/>
      <c r="B52" s="20" t="str">
        <f>CONCATENATE("     ","Employees' Appreciation                           ")</f>
        <v xml:space="preserve">     Employees' Appreciation                           </v>
      </c>
      <c r="C52" s="7"/>
      <c r="D52" s="1">
        <f>SUM(OSRRefD21_6x_0)</f>
        <v>0</v>
      </c>
      <c r="E52" s="19"/>
      <c r="F52" s="1">
        <f>SUM(OSRRefF21_6x_0)</f>
        <v>102.98</v>
      </c>
      <c r="G52" s="4"/>
      <c r="H52" s="1">
        <f>SUM(OSRRefH21_6x_0)</f>
        <v>0</v>
      </c>
      <c r="I52" s="4"/>
      <c r="J52" s="1">
        <f>SUM(OSRRefJ21_6x_0)</f>
        <v>142.56</v>
      </c>
      <c r="K52" s="4"/>
      <c r="L52" s="1">
        <f>SUM(OSRRefL21_6x_0)</f>
        <v>346.69</v>
      </c>
      <c r="M52" s="4"/>
      <c r="N52" s="1">
        <f>SUM(OSRRefN21_6x_0)</f>
        <v>118.6</v>
      </c>
      <c r="O52" s="4"/>
      <c r="P52" s="1">
        <f>SUM(OSRRefP21_6x_0)</f>
        <v>0</v>
      </c>
      <c r="Q52" s="4"/>
      <c r="R52" s="1">
        <f>SUM(OSRRefR21_6x_0)</f>
        <v>0</v>
      </c>
    </row>
    <row r="53" spans="1:18" s="16" customFormat="1" hidden="1" outlineLevel="2" x14ac:dyDescent="0.35">
      <c r="B53" s="11" t="str">
        <f>CONCATENATE("          ", "6277", " - ", "EMPLOYEE APPRECIATION")</f>
        <v xml:space="preserve">          6277 - EMPLOYEE APPRECIATION</v>
      </c>
      <c r="D53" s="2"/>
      <c r="F53" s="2">
        <v>102.98</v>
      </c>
      <c r="G53" s="3"/>
      <c r="H53" s="2"/>
      <c r="I53" s="3"/>
      <c r="J53" s="2">
        <v>142.56</v>
      </c>
      <c r="K53" s="3"/>
      <c r="L53" s="2">
        <v>346.69</v>
      </c>
      <c r="M53" s="3"/>
      <c r="N53" s="2">
        <v>118.6</v>
      </c>
      <c r="O53" s="3"/>
      <c r="P53" s="2"/>
      <c r="Q53" s="3"/>
      <c r="R53" s="2"/>
    </row>
    <row r="54" spans="1:18" s="15" customFormat="1" outlineLevel="1" collapsed="1" x14ac:dyDescent="0.35">
      <c r="A54" s="7"/>
      <c r="B54" s="20" t="str">
        <f>CONCATENATE("     ","Equipment Rental                                  ")</f>
        <v xml:space="preserve">     Equipment Rental                                  </v>
      </c>
      <c r="C54" s="7"/>
      <c r="D54" s="1">
        <f>SUM(OSRRefD21_7x_0)</f>
        <v>904.5</v>
      </c>
      <c r="E54" s="19"/>
      <c r="F54" s="1">
        <f>SUM(OSRRefF21_7x_0)</f>
        <v>1186.3</v>
      </c>
      <c r="G54" s="4"/>
      <c r="H54" s="1">
        <f>SUM(OSRRefH21_7x_0)</f>
        <v>1207.0999999999999</v>
      </c>
      <c r="I54" s="4"/>
      <c r="J54" s="1">
        <f>SUM(OSRRefJ21_7x_0)</f>
        <v>1256.08</v>
      </c>
      <c r="K54" s="4"/>
      <c r="L54" s="1">
        <f>SUM(OSRRefL21_7x_0)</f>
        <v>1030</v>
      </c>
      <c r="M54" s="4"/>
      <c r="N54" s="1">
        <f>SUM(OSRRefN21_7x_0)</f>
        <v>350</v>
      </c>
      <c r="O54" s="4"/>
      <c r="P54" s="1">
        <f>SUM(OSRRefP21_7x_0)</f>
        <v>0</v>
      </c>
      <c r="Q54" s="4"/>
      <c r="R54" s="1">
        <f>SUM(OSRRefR21_7x_0)</f>
        <v>0</v>
      </c>
    </row>
    <row r="55" spans="1:18" s="16" customFormat="1" hidden="1" outlineLevel="2" x14ac:dyDescent="0.35">
      <c r="B55" s="11" t="str">
        <f>CONCATENATE("          ", "6351", " - ", "EQUIPMENT RENTAL")</f>
        <v xml:space="preserve">          6351 - EQUIPMENT RENTAL</v>
      </c>
      <c r="D55" s="2">
        <v>904.5</v>
      </c>
      <c r="F55" s="2">
        <v>1186.3</v>
      </c>
      <c r="G55" s="3"/>
      <c r="H55" s="2">
        <v>1207.0999999999999</v>
      </c>
      <c r="I55" s="3"/>
      <c r="J55" s="2">
        <v>1256.08</v>
      </c>
      <c r="K55" s="3"/>
      <c r="L55" s="2">
        <v>1030</v>
      </c>
      <c r="M55" s="3"/>
      <c r="N55" s="2">
        <v>350</v>
      </c>
      <c r="O55" s="3"/>
      <c r="P55" s="2"/>
      <c r="Q55" s="3"/>
      <c r="R55" s="2"/>
    </row>
    <row r="56" spans="1:18" s="15" customFormat="1" outlineLevel="1" collapsed="1" x14ac:dyDescent="0.35">
      <c r="A56" s="7"/>
      <c r="B56" s="20" t="str">
        <f>CONCATENATE("     ","General                                           ")</f>
        <v xml:space="preserve">     General                                           </v>
      </c>
      <c r="C56" s="7"/>
      <c r="D56" s="1">
        <f>SUM(OSRRefD21_8x_0)</f>
        <v>2623.6</v>
      </c>
      <c r="E56" s="19"/>
      <c r="F56" s="1">
        <f>SUM(OSRRefF21_8x_0)</f>
        <v>1734.6</v>
      </c>
      <c r="G56" s="4"/>
      <c r="H56" s="1">
        <f>SUM(OSRRefH21_8x_0)</f>
        <v>3022.36</v>
      </c>
      <c r="I56" s="4"/>
      <c r="J56" s="1">
        <f>SUM(OSRRefJ21_8x_0)</f>
        <v>6641.76</v>
      </c>
      <c r="K56" s="4"/>
      <c r="L56" s="1">
        <f>SUM(OSRRefL21_8x_0)</f>
        <v>6593.67</v>
      </c>
      <c r="M56" s="4"/>
      <c r="N56" s="1">
        <f>SUM(OSRRefN21_8x_0)</f>
        <v>14829.04</v>
      </c>
      <c r="O56" s="4"/>
      <c r="P56" s="1">
        <f>SUM(OSRRefP21_8x_0)</f>
        <v>0</v>
      </c>
      <c r="Q56" s="4"/>
      <c r="R56" s="1">
        <f>SUM(OSRRefR21_8x_0)</f>
        <v>0</v>
      </c>
    </row>
    <row r="57" spans="1:18" s="16" customFormat="1" hidden="1" outlineLevel="2" x14ac:dyDescent="0.35">
      <c r="B57" s="11" t="str">
        <f>CONCATENATE("          ", "6279", " - ", "GENERAL EXPENSE")</f>
        <v xml:space="preserve">          6279 - GENERAL EXPENSE</v>
      </c>
      <c r="D57" s="2">
        <v>2623.6</v>
      </c>
      <c r="F57" s="2">
        <v>1734.6</v>
      </c>
      <c r="G57" s="3"/>
      <c r="H57" s="2">
        <v>3022.36</v>
      </c>
      <c r="I57" s="3"/>
      <c r="J57" s="2">
        <v>6641.76</v>
      </c>
      <c r="K57" s="3"/>
      <c r="L57" s="2">
        <v>6593.67</v>
      </c>
      <c r="M57" s="3"/>
      <c r="N57" s="2">
        <v>14829.04</v>
      </c>
      <c r="O57" s="3"/>
      <c r="P57" s="2"/>
      <c r="Q57" s="3"/>
      <c r="R57" s="2"/>
    </row>
    <row r="58" spans="1:18" s="15" customFormat="1" outlineLevel="1" collapsed="1" x14ac:dyDescent="0.35">
      <c r="A58" s="7"/>
      <c r="B58" s="20" t="str">
        <f>CONCATENATE("     ","Repair and Maintenance                            ")</f>
        <v xml:space="preserve">     Repair and Maintenance                            </v>
      </c>
      <c r="C58" s="7"/>
      <c r="D58" s="1">
        <f>SUM(OSRRefD21_9x_0)</f>
        <v>6881.33</v>
      </c>
      <c r="E58" s="19"/>
      <c r="F58" s="1">
        <f>SUM(OSRRefF21_9x_0)</f>
        <v>4334.21</v>
      </c>
      <c r="G58" s="4"/>
      <c r="H58" s="1">
        <f>SUM(OSRRefH21_9x_0)</f>
        <v>14427.63</v>
      </c>
      <c r="I58" s="4"/>
      <c r="J58" s="1">
        <f>SUM(OSRRefJ21_9x_0)</f>
        <v>10455.65</v>
      </c>
      <c r="K58" s="4"/>
      <c r="L58" s="1">
        <f>SUM(OSRRefL21_9x_0)</f>
        <v>6153.61</v>
      </c>
      <c r="M58" s="4"/>
      <c r="N58" s="1">
        <f>SUM(OSRRefN21_9x_0)</f>
        <v>5688.74</v>
      </c>
      <c r="O58" s="4"/>
      <c r="P58" s="1">
        <f>SUM(OSRRefP21_9x_0)</f>
        <v>0</v>
      </c>
      <c r="Q58" s="4"/>
      <c r="R58" s="1">
        <f>SUM(OSRRefR21_9x_0)</f>
        <v>0</v>
      </c>
    </row>
    <row r="59" spans="1:18" s="16" customFormat="1" hidden="1" outlineLevel="2" x14ac:dyDescent="0.35">
      <c r="B59" s="11" t="str">
        <f>CONCATENATE("          ", "6371", " - ", "COMPUTER SOFTWARE MAINTENANCE")</f>
        <v xml:space="preserve">          6371 - COMPUTER SOFTWARE MAINTENANCE</v>
      </c>
      <c r="D59" s="2"/>
      <c r="F59" s="2"/>
      <c r="G59" s="3"/>
      <c r="H59" s="2"/>
      <c r="I59" s="3"/>
      <c r="J59" s="2">
        <v>841.5</v>
      </c>
      <c r="K59" s="3"/>
      <c r="L59" s="2"/>
      <c r="M59" s="3"/>
      <c r="N59" s="2">
        <v>2623.84</v>
      </c>
      <c r="O59" s="3"/>
      <c r="P59" s="2"/>
      <c r="Q59" s="3"/>
      <c r="R59" s="2"/>
    </row>
    <row r="60" spans="1:18" s="16" customFormat="1" hidden="1" outlineLevel="2" x14ac:dyDescent="0.35">
      <c r="B60" s="11" t="str">
        <f>CONCATENATE("          ", "6372", " - ", "COMPUTER HARDWARE MAINTENANCE")</f>
        <v xml:space="preserve">          6372 - COMPUTER HARDWARE MAINTENANCE</v>
      </c>
      <c r="D60" s="2"/>
      <c r="F60" s="2"/>
      <c r="G60" s="3"/>
      <c r="H60" s="2"/>
      <c r="I60" s="3"/>
      <c r="J60" s="2">
        <v>549.05999999999995</v>
      </c>
      <c r="K60" s="3"/>
      <c r="L60" s="2"/>
      <c r="M60" s="3"/>
      <c r="N60" s="2"/>
      <c r="O60" s="3"/>
      <c r="P60" s="2"/>
      <c r="Q60" s="3"/>
      <c r="R60" s="2"/>
    </row>
    <row r="61" spans="1:18" s="16" customFormat="1" hidden="1" outlineLevel="2" x14ac:dyDescent="0.35">
      <c r="B61" s="11" t="str">
        <f>CONCATENATE("          ", "6373", " - ", "MAINTENANCE CONTRACTS")</f>
        <v xml:space="preserve">          6373 - MAINTENANCE CONTRACTS</v>
      </c>
      <c r="D61" s="2">
        <v>2208.54</v>
      </c>
      <c r="F61" s="2">
        <v>65</v>
      </c>
      <c r="G61" s="3"/>
      <c r="H61" s="2"/>
      <c r="I61" s="3"/>
      <c r="J61" s="2"/>
      <c r="K61" s="3"/>
      <c r="L61" s="2">
        <v>614.5</v>
      </c>
      <c r="M61" s="3"/>
      <c r="N61" s="2">
        <v>573</v>
      </c>
      <c r="O61" s="3"/>
      <c r="P61" s="2"/>
      <c r="Q61" s="3"/>
      <c r="R61" s="2"/>
    </row>
    <row r="62" spans="1:18" s="16" customFormat="1" hidden="1" outlineLevel="2" x14ac:dyDescent="0.35">
      <c r="B62" s="11" t="str">
        <f>CONCATENATE("          ", "6375", " - ", "OUTSIDE REPAIRS &amp; MAINTENANCE")</f>
        <v xml:space="preserve">          6375 - OUTSIDE REPAIRS &amp; MAINTENANCE</v>
      </c>
      <c r="D62" s="2">
        <v>4672.79</v>
      </c>
      <c r="F62" s="2">
        <v>4269.21</v>
      </c>
      <c r="G62" s="3"/>
      <c r="H62" s="2">
        <v>14427.63</v>
      </c>
      <c r="I62" s="3"/>
      <c r="J62" s="2">
        <v>9065.09</v>
      </c>
      <c r="K62" s="3"/>
      <c r="L62" s="2">
        <v>5539.11</v>
      </c>
      <c r="M62" s="3"/>
      <c r="N62" s="2">
        <v>2491.9</v>
      </c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","Royalty &amp; Commissions                             ")</f>
        <v xml:space="preserve">     Royalty &amp; Commissions                             </v>
      </c>
      <c r="C63" s="7"/>
      <c r="D63" s="1">
        <f>SUM(OSRRefD21_10x_0)</f>
        <v>98215.84</v>
      </c>
      <c r="E63" s="19"/>
      <c r="F63" s="1">
        <f>SUM(OSRRefF21_10x_0)</f>
        <v>125899.5</v>
      </c>
      <c r="G63" s="4"/>
      <c r="H63" s="1">
        <f>SUM(OSRRefH21_10x_0)</f>
        <v>113713.61</v>
      </c>
      <c r="I63" s="4"/>
      <c r="J63" s="1">
        <f>SUM(OSRRefJ21_10x_0)</f>
        <v>185559.45</v>
      </c>
      <c r="K63" s="4"/>
      <c r="L63" s="1">
        <f>SUM(OSRRefL21_10x_0)</f>
        <v>209396</v>
      </c>
      <c r="M63" s="4"/>
      <c r="N63" s="1">
        <f>SUM(OSRRefN21_10x_0)</f>
        <v>83387.12</v>
      </c>
      <c r="O63" s="4"/>
      <c r="P63" s="1">
        <f>SUM(OSRRefP21_10x_0)</f>
        <v>0</v>
      </c>
      <c r="Q63" s="4"/>
      <c r="R63" s="1">
        <f>SUM(OSRRefR21_10x_0)</f>
        <v>0</v>
      </c>
    </row>
    <row r="64" spans="1:18" s="16" customFormat="1" hidden="1" outlineLevel="2" x14ac:dyDescent="0.35">
      <c r="B64" s="11" t="str">
        <f>CONCATENATE("          ", "6254", " - ", "ROYALTY &amp; COMMISSIONS")</f>
        <v xml:space="preserve">          6254 - ROYALTY &amp; COMMISSIONS</v>
      </c>
      <c r="D64" s="2">
        <v>98215.84</v>
      </c>
      <c r="F64" s="2">
        <v>125899.5</v>
      </c>
      <c r="G64" s="3"/>
      <c r="H64" s="2">
        <v>113713.61</v>
      </c>
      <c r="I64" s="3"/>
      <c r="J64" s="2">
        <v>185559.45</v>
      </c>
      <c r="K64" s="3"/>
      <c r="L64" s="2">
        <v>209396</v>
      </c>
      <c r="M64" s="3"/>
      <c r="N64" s="2">
        <v>83387.12</v>
      </c>
      <c r="O64" s="3"/>
      <c r="P64" s="2"/>
      <c r="Q64" s="3"/>
      <c r="R64" s="2"/>
    </row>
    <row r="65" spans="1:18" s="15" customFormat="1" outlineLevel="1" collapsed="1" x14ac:dyDescent="0.35">
      <c r="A65" s="7"/>
      <c r="B65" s="20" t="str">
        <f>CONCATENATE("     ","Services                                          ")</f>
        <v xml:space="preserve">     Services                                          </v>
      </c>
      <c r="C65" s="7"/>
      <c r="D65" s="1">
        <f>SUM(OSRRefD21_11x_0)</f>
        <v>2341.08</v>
      </c>
      <c r="E65" s="19"/>
      <c r="F65" s="1">
        <f>SUM(OSRRefF21_11x_0)</f>
        <v>2448.33</v>
      </c>
      <c r="G65" s="4"/>
      <c r="H65" s="1">
        <f>SUM(OSRRefH21_11x_0)</f>
        <v>4661.5199999999995</v>
      </c>
      <c r="I65" s="4"/>
      <c r="J65" s="1">
        <f>SUM(OSRRefJ21_11x_0)</f>
        <v>5132.8599999999997</v>
      </c>
      <c r="K65" s="4"/>
      <c r="L65" s="1">
        <f>SUM(OSRRefL21_11x_0)</f>
        <v>3599.6499999999996</v>
      </c>
      <c r="M65" s="4"/>
      <c r="N65" s="1">
        <f>SUM(OSRRefN21_11x_0)</f>
        <v>3287.06</v>
      </c>
      <c r="O65" s="4"/>
      <c r="P65" s="1">
        <f>SUM(OSRRefP21_11x_0)</f>
        <v>0</v>
      </c>
      <c r="Q65" s="4"/>
      <c r="R65" s="1">
        <f>SUM(OSRRefR21_11x_0)</f>
        <v>0</v>
      </c>
    </row>
    <row r="66" spans="1:18" s="16" customFormat="1" hidden="1" outlineLevel="2" x14ac:dyDescent="0.35">
      <c r="B66" s="11" t="str">
        <f>CONCATENATE("          ", "6282", " - ", "JANITORIAL/EXTERMINATOR EXPENS")</f>
        <v xml:space="preserve">          6282 - JANITORIAL/EXTERMINATOR EXPENS</v>
      </c>
      <c r="D66" s="2">
        <v>2341.08</v>
      </c>
      <c r="F66" s="2">
        <v>2448.33</v>
      </c>
      <c r="G66" s="3"/>
      <c r="H66" s="2">
        <v>2458.08</v>
      </c>
      <c r="I66" s="3"/>
      <c r="J66" s="2">
        <v>2560.9499999999998</v>
      </c>
      <c r="K66" s="3"/>
      <c r="L66" s="2">
        <v>2483.91</v>
      </c>
      <c r="M66" s="3"/>
      <c r="N66" s="2">
        <v>2258.1</v>
      </c>
      <c r="O66" s="3"/>
      <c r="P66" s="2"/>
      <c r="Q66" s="3"/>
      <c r="R66" s="2"/>
    </row>
    <row r="67" spans="1:18" s="16" customFormat="1" hidden="1" outlineLevel="2" x14ac:dyDescent="0.35">
      <c r="B67" s="11" t="str">
        <f>CONCATENATE("          ", "6284", " - ", "TRASH REMOVAL EXPENSE")</f>
        <v xml:space="preserve">          6284 - TRASH REMOVAL EXPENSE</v>
      </c>
      <c r="D67" s="2"/>
      <c r="F67" s="2"/>
      <c r="G67" s="3"/>
      <c r="H67" s="2"/>
      <c r="I67" s="3"/>
      <c r="J67" s="2"/>
      <c r="K67" s="3"/>
      <c r="L67" s="2"/>
      <c r="M67" s="3"/>
      <c r="N67" s="2"/>
      <c r="O67" s="3"/>
      <c r="P67" s="2"/>
      <c r="Q67" s="3"/>
      <c r="R67" s="2">
        <v>0</v>
      </c>
    </row>
    <row r="68" spans="1:18" s="16" customFormat="1" hidden="1" outlineLevel="2" x14ac:dyDescent="0.35">
      <c r="B68" s="11" t="str">
        <f>CONCATENATE("          ", "6285", " - ", "JANITORIAL SERVICES")</f>
        <v xml:space="preserve">          6285 - JANITORIAL SERVICES</v>
      </c>
      <c r="D68" s="2"/>
      <c r="F68" s="2"/>
      <c r="G68" s="3"/>
      <c r="H68" s="2">
        <v>1759</v>
      </c>
      <c r="I68" s="3"/>
      <c r="J68" s="2">
        <v>1479</v>
      </c>
      <c r="K68" s="3"/>
      <c r="L68" s="2">
        <v>524</v>
      </c>
      <c r="M68" s="3"/>
      <c r="N68" s="2">
        <v>549.6</v>
      </c>
      <c r="O68" s="3"/>
      <c r="P68" s="2"/>
      <c r="Q68" s="3"/>
      <c r="R68" s="2"/>
    </row>
    <row r="69" spans="1:18" s="16" customFormat="1" hidden="1" outlineLevel="2" x14ac:dyDescent="0.35">
      <c r="B69" s="11" t="str">
        <f>CONCATENATE("          ", "6286", " - ", "LAUNDRY EXPENSE")</f>
        <v xml:space="preserve">          6286 - LAUNDRY EXPENSE</v>
      </c>
      <c r="D69" s="2"/>
      <c r="F69" s="2"/>
      <c r="G69" s="3"/>
      <c r="H69" s="2">
        <v>444.44</v>
      </c>
      <c r="I69" s="3"/>
      <c r="J69" s="2">
        <v>1092.9100000000001</v>
      </c>
      <c r="K69" s="3"/>
      <c r="L69" s="2">
        <v>591.74</v>
      </c>
      <c r="M69" s="3"/>
      <c r="N69" s="2">
        <v>479.36</v>
      </c>
      <c r="O69" s="3"/>
      <c r="P69" s="2"/>
      <c r="Q69" s="3"/>
      <c r="R69" s="2"/>
    </row>
    <row r="70" spans="1:18" s="15" customFormat="1" outlineLevel="1" collapsed="1" x14ac:dyDescent="0.35">
      <c r="A70" s="7"/>
      <c r="B70" s="20" t="str">
        <f>CONCATENATE("     ","Subscriptions &amp; Dues                              ")</f>
        <v xml:space="preserve">     Subscriptions &amp; Dues                              </v>
      </c>
      <c r="C70" s="7"/>
      <c r="D70" s="1">
        <f>SUM(OSRRefD21_12x_0)</f>
        <v>0</v>
      </c>
      <c r="E70" s="19"/>
      <c r="F70" s="1">
        <f>SUM(OSRRefF21_12x_0)</f>
        <v>6.75</v>
      </c>
      <c r="G70" s="4"/>
      <c r="H70" s="1">
        <f>SUM(OSRRefH21_12x_0)</f>
        <v>270.36</v>
      </c>
      <c r="I70" s="4"/>
      <c r="J70" s="1">
        <f>SUM(OSRRefJ21_12x_0)</f>
        <v>972.34999999999991</v>
      </c>
      <c r="K70" s="4"/>
      <c r="L70" s="1">
        <f>SUM(OSRRefL21_12x_0)</f>
        <v>0</v>
      </c>
      <c r="M70" s="4"/>
      <c r="N70" s="1">
        <f>SUM(OSRRefN21_12x_0)</f>
        <v>0</v>
      </c>
      <c r="O70" s="4"/>
      <c r="P70" s="1">
        <f>SUM(OSRRefP21_12x_0)</f>
        <v>0</v>
      </c>
      <c r="Q70" s="4"/>
      <c r="R70" s="1">
        <f>SUM(OSRRefR21_12x_0)</f>
        <v>0</v>
      </c>
    </row>
    <row r="71" spans="1:18" s="16" customFormat="1" hidden="1" outlineLevel="2" x14ac:dyDescent="0.35">
      <c r="B71" s="11" t="str">
        <f>CONCATENATE("          ", "6258", " - ", "MEMBERSHIP DUES")</f>
        <v xml:space="preserve">          6258 - MEMBERSHIP DUES</v>
      </c>
      <c r="D71" s="2"/>
      <c r="F71" s="2"/>
      <c r="G71" s="3"/>
      <c r="H71" s="2"/>
      <c r="I71" s="3"/>
      <c r="J71" s="2">
        <v>504.02</v>
      </c>
      <c r="K71" s="3"/>
      <c r="L71" s="2"/>
      <c r="M71" s="3"/>
      <c r="N71" s="2"/>
      <c r="O71" s="3"/>
      <c r="P71" s="2"/>
      <c r="Q71" s="3"/>
      <c r="R71" s="2"/>
    </row>
    <row r="72" spans="1:18" s="16" customFormat="1" hidden="1" outlineLevel="2" x14ac:dyDescent="0.35">
      <c r="B72" s="11" t="str">
        <f>CONCATENATE("          ", "6275", " - ", "SUBSCRIPTIONS")</f>
        <v xml:space="preserve">          6275 - SUBSCRIPTIONS</v>
      </c>
      <c r="D72" s="2"/>
      <c r="F72" s="2">
        <v>6.75</v>
      </c>
      <c r="G72" s="3"/>
      <c r="H72" s="2">
        <v>270.36</v>
      </c>
      <c r="I72" s="3"/>
      <c r="J72" s="2">
        <v>468.33</v>
      </c>
      <c r="K72" s="3"/>
      <c r="L72" s="2"/>
      <c r="M72" s="3"/>
      <c r="N72" s="2"/>
      <c r="O72" s="3"/>
      <c r="P72" s="2"/>
      <c r="Q72" s="3"/>
      <c r="R72" s="2"/>
    </row>
    <row r="73" spans="1:18" s="15" customFormat="1" outlineLevel="1" collapsed="1" x14ac:dyDescent="0.35">
      <c r="A73" s="7"/>
      <c r="B73" s="20" t="str">
        <f>CONCATENATE("     ","Supplies                                          ")</f>
        <v xml:space="preserve">     Supplies                                          </v>
      </c>
      <c r="C73" s="7"/>
      <c r="D73" s="1">
        <f>SUM(OSRRefD21_13x_0)</f>
        <v>7311.66</v>
      </c>
      <c r="E73" s="19"/>
      <c r="F73" s="1">
        <f>SUM(OSRRefF21_13x_0)</f>
        <v>7097.0299999999988</v>
      </c>
      <c r="G73" s="4"/>
      <c r="H73" s="1">
        <f>SUM(OSRRefH21_13x_0)</f>
        <v>7209.83</v>
      </c>
      <c r="I73" s="4"/>
      <c r="J73" s="1">
        <f>SUM(OSRRefJ21_13x_0)</f>
        <v>11522.17</v>
      </c>
      <c r="K73" s="4"/>
      <c r="L73" s="1">
        <f>SUM(OSRRefL21_13x_0)</f>
        <v>16476.59</v>
      </c>
      <c r="M73" s="4"/>
      <c r="N73" s="1">
        <f>SUM(OSRRefN21_13x_0)</f>
        <v>15992.96</v>
      </c>
      <c r="O73" s="4"/>
      <c r="P73" s="1">
        <f>SUM(OSRRefP21_13x_0)</f>
        <v>0</v>
      </c>
      <c r="Q73" s="4"/>
      <c r="R73" s="1">
        <f>SUM(OSRRefR21_13x_0)</f>
        <v>0</v>
      </c>
    </row>
    <row r="74" spans="1:18" s="16" customFormat="1" hidden="1" outlineLevel="2" x14ac:dyDescent="0.35">
      <c r="B74" s="11" t="str">
        <f>CONCATENATE("          ", "6234", " - ", "EXPENDABLE SUPPLIES &amp; EQUIPMEN")</f>
        <v xml:space="preserve">          6234 - EXPENDABLE SUPPLIES &amp; EQUIPMEN</v>
      </c>
      <c r="D74" s="2"/>
      <c r="F74" s="2"/>
      <c r="G74" s="3"/>
      <c r="H74" s="2">
        <v>889.1</v>
      </c>
      <c r="I74" s="3"/>
      <c r="J74" s="2">
        <v>600.98</v>
      </c>
      <c r="K74" s="3"/>
      <c r="L74" s="2"/>
      <c r="M74" s="3"/>
      <c r="N74" s="2">
        <v>3756.46</v>
      </c>
      <c r="O74" s="3"/>
      <c r="P74" s="2"/>
      <c r="Q74" s="3"/>
      <c r="R74" s="2"/>
    </row>
    <row r="75" spans="1:18" s="16" customFormat="1" hidden="1" outlineLevel="2" x14ac:dyDescent="0.35">
      <c r="B75" s="11" t="str">
        <f>CONCATENATE("          ", "6237", " - ", "JANITORIAL SUPPLIES")</f>
        <v xml:space="preserve">          6237 - JANITORIAL SUPPLIES</v>
      </c>
      <c r="D75" s="2">
        <v>164.66</v>
      </c>
      <c r="F75" s="2">
        <v>617.67999999999995</v>
      </c>
      <c r="G75" s="3"/>
      <c r="H75" s="2">
        <v>775.48</v>
      </c>
      <c r="I75" s="3"/>
      <c r="J75" s="2">
        <v>477.19</v>
      </c>
      <c r="K75" s="3"/>
      <c r="L75" s="2">
        <v>55.29</v>
      </c>
      <c r="M75" s="3"/>
      <c r="N75" s="2">
        <v>1507.19</v>
      </c>
      <c r="O75" s="3"/>
      <c r="P75" s="2"/>
      <c r="Q75" s="3"/>
      <c r="R75" s="2"/>
    </row>
    <row r="76" spans="1:18" s="16" customFormat="1" hidden="1" outlineLevel="2" x14ac:dyDescent="0.35">
      <c r="B76" s="11" t="str">
        <f>CONCATENATE("          ", "6239", " - ", "KITCHEN SUPPLIES")</f>
        <v xml:space="preserve">          6239 - KITCHEN SUPPLIES</v>
      </c>
      <c r="D76" s="2">
        <v>770.53</v>
      </c>
      <c r="F76" s="2">
        <v>563.66</v>
      </c>
      <c r="G76" s="3"/>
      <c r="H76" s="2">
        <v>822.15</v>
      </c>
      <c r="I76" s="3"/>
      <c r="J76" s="2">
        <v>2686.5</v>
      </c>
      <c r="K76" s="3"/>
      <c r="L76" s="2">
        <v>11435.8</v>
      </c>
      <c r="M76" s="3"/>
      <c r="N76" s="2">
        <v>7140.25</v>
      </c>
      <c r="O76" s="3"/>
      <c r="P76" s="2"/>
      <c r="Q76" s="3"/>
      <c r="R76" s="2"/>
    </row>
    <row r="77" spans="1:18" s="16" customFormat="1" hidden="1" outlineLevel="2" x14ac:dyDescent="0.35">
      <c r="B77" s="11" t="str">
        <f>CONCATENATE("          ", "6241", " - ", "OFFICE EXPENSE")</f>
        <v xml:space="preserve">          6241 - OFFICE EXPENSE</v>
      </c>
      <c r="D77" s="2">
        <v>171.08</v>
      </c>
      <c r="F77" s="2">
        <v>223.69</v>
      </c>
      <c r="G77" s="3"/>
      <c r="H77" s="2">
        <v>387.97</v>
      </c>
      <c r="I77" s="3"/>
      <c r="J77" s="2">
        <v>1119.73</v>
      </c>
      <c r="K77" s="3"/>
      <c r="L77" s="2">
        <v>1769.53</v>
      </c>
      <c r="M77" s="3"/>
      <c r="N77" s="2">
        <v>599.88</v>
      </c>
      <c r="O77" s="3"/>
      <c r="P77" s="2"/>
      <c r="Q77" s="3"/>
      <c r="R77" s="2"/>
    </row>
    <row r="78" spans="1:18" s="16" customFormat="1" hidden="1" outlineLevel="2" x14ac:dyDescent="0.35">
      <c r="B78" s="11" t="str">
        <f>CONCATENATE("          ", "6243", " - ", "PAPER SUPPLIES")</f>
        <v xml:space="preserve">          6243 - PAPER SUPPLIES</v>
      </c>
      <c r="D78" s="2">
        <v>4532.18</v>
      </c>
      <c r="F78" s="2">
        <v>2088.52</v>
      </c>
      <c r="G78" s="3"/>
      <c r="H78" s="2">
        <v>3527.67</v>
      </c>
      <c r="I78" s="3"/>
      <c r="J78" s="2">
        <v>4394.71</v>
      </c>
      <c r="K78" s="3"/>
      <c r="L78" s="2">
        <v>1218.5899999999999</v>
      </c>
      <c r="M78" s="3"/>
      <c r="N78" s="2">
        <v>2632.41</v>
      </c>
      <c r="O78" s="3"/>
      <c r="P78" s="2"/>
      <c r="Q78" s="3"/>
      <c r="R78" s="2"/>
    </row>
    <row r="79" spans="1:18" s="16" customFormat="1" hidden="1" outlineLevel="2" x14ac:dyDescent="0.35">
      <c r="B79" s="11" t="str">
        <f>CONCATENATE("          ", "6245", " - ", "PRINTING")</f>
        <v xml:space="preserve">          6245 - PRINTING</v>
      </c>
      <c r="D79" s="2"/>
      <c r="F79" s="2">
        <v>77.47</v>
      </c>
      <c r="G79" s="3"/>
      <c r="H79" s="2">
        <v>355.76</v>
      </c>
      <c r="I79" s="3"/>
      <c r="J79" s="2"/>
      <c r="K79" s="3"/>
      <c r="L79" s="2"/>
      <c r="M79" s="3"/>
      <c r="N79" s="2"/>
      <c r="O79" s="3"/>
      <c r="P79" s="2"/>
      <c r="Q79" s="3"/>
      <c r="R79" s="2"/>
    </row>
    <row r="80" spans="1:18" s="16" customFormat="1" hidden="1" outlineLevel="2" x14ac:dyDescent="0.35">
      <c r="B80" s="11" t="str">
        <f>CONCATENATE("          ", "6247", " - ", "STORE SUPPLIES")</f>
        <v xml:space="preserve">          6247 - STORE SUPPLIES</v>
      </c>
      <c r="D80" s="2">
        <v>949.73</v>
      </c>
      <c r="F80" s="2">
        <v>1426.29</v>
      </c>
      <c r="G80" s="3"/>
      <c r="H80" s="2"/>
      <c r="I80" s="3"/>
      <c r="J80" s="2">
        <v>321.82</v>
      </c>
      <c r="K80" s="3"/>
      <c r="L80" s="2">
        <v>154.22</v>
      </c>
      <c r="M80" s="3"/>
      <c r="N80" s="2">
        <v>-97.67</v>
      </c>
      <c r="O80" s="3"/>
      <c r="P80" s="2"/>
      <c r="Q80" s="3"/>
      <c r="R80" s="2"/>
    </row>
    <row r="81" spans="1:18" s="16" customFormat="1" hidden="1" outlineLevel="2" x14ac:dyDescent="0.35">
      <c r="B81" s="11" t="str">
        <f>CONCATENATE("          ", "6248", " - ", "UNIFORMS")</f>
        <v xml:space="preserve">          6248 - UNIFORMS</v>
      </c>
      <c r="D81" s="2">
        <v>723.48</v>
      </c>
      <c r="F81" s="2">
        <v>2099.7199999999998</v>
      </c>
      <c r="G81" s="3"/>
      <c r="H81" s="2">
        <v>451.7</v>
      </c>
      <c r="I81" s="3"/>
      <c r="J81" s="2">
        <v>1921.24</v>
      </c>
      <c r="K81" s="3"/>
      <c r="L81" s="2">
        <v>1843.16</v>
      </c>
      <c r="M81" s="3"/>
      <c r="N81" s="2">
        <v>454.44</v>
      </c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","Telephone/Data Lines                              ")</f>
        <v xml:space="preserve">     Telephone/Data Lines                              </v>
      </c>
      <c r="C82" s="7"/>
      <c r="D82" s="1">
        <f>SUM(OSRRefD21_14x_0)</f>
        <v>1426.51</v>
      </c>
      <c r="E82" s="19"/>
      <c r="F82" s="1">
        <f>SUM(OSRRefF21_14x_0)</f>
        <v>2076.71</v>
      </c>
      <c r="G82" s="4"/>
      <c r="H82" s="1">
        <f>SUM(OSRRefH21_14x_0)</f>
        <v>3452.72</v>
      </c>
      <c r="I82" s="4"/>
      <c r="J82" s="1">
        <f>SUM(OSRRefJ21_14x_0)</f>
        <v>3236.09</v>
      </c>
      <c r="K82" s="4"/>
      <c r="L82" s="1">
        <f>SUM(OSRRefL21_14x_0)</f>
        <v>3876.32</v>
      </c>
      <c r="M82" s="4"/>
      <c r="N82" s="1">
        <f>SUM(OSRRefN21_14x_0)</f>
        <v>3533.18</v>
      </c>
      <c r="O82" s="4"/>
      <c r="P82" s="1">
        <f>SUM(OSRRefP21_14x_0)</f>
        <v>0</v>
      </c>
      <c r="Q82" s="4"/>
      <c r="R82" s="1">
        <f>SUM(OSRRefR21_14x_0)</f>
        <v>0</v>
      </c>
    </row>
    <row r="83" spans="1:18" s="16" customFormat="1" hidden="1" outlineLevel="2" x14ac:dyDescent="0.35">
      <c r="B83" s="11" t="str">
        <f>CONCATENATE("          ", "6309", " - ", "TELEPHONE")</f>
        <v xml:space="preserve">          6309 - TELEPHONE</v>
      </c>
      <c r="D83" s="2">
        <v>1426.51</v>
      </c>
      <c r="F83" s="2">
        <v>2076.71</v>
      </c>
      <c r="G83" s="3"/>
      <c r="H83" s="2">
        <v>3452.72</v>
      </c>
      <c r="I83" s="3"/>
      <c r="J83" s="2">
        <v>3236.09</v>
      </c>
      <c r="K83" s="3"/>
      <c r="L83" s="2">
        <v>3876.32</v>
      </c>
      <c r="M83" s="3"/>
      <c r="N83" s="2">
        <v>3533.18</v>
      </c>
      <c r="O83" s="3"/>
      <c r="P83" s="2"/>
      <c r="Q83" s="3"/>
      <c r="R83" s="2"/>
    </row>
    <row r="84" spans="1:18" s="15" customFormat="1" outlineLevel="1" collapsed="1" x14ac:dyDescent="0.35">
      <c r="A84" s="7"/>
      <c r="B84" s="20" t="str">
        <f>CONCATENATE("     ","Training                                          ")</f>
        <v xml:space="preserve">     Training                                          </v>
      </c>
      <c r="C84" s="7"/>
      <c r="D84" s="1">
        <f>SUM(OSRRefD21_15x_0)</f>
        <v>75</v>
      </c>
      <c r="E84" s="19"/>
      <c r="F84" s="1">
        <f>SUM(OSRRefF21_15x_0)</f>
        <v>240</v>
      </c>
      <c r="G84" s="4"/>
      <c r="H84" s="1">
        <f>SUM(OSRRefH21_15x_0)</f>
        <v>120</v>
      </c>
      <c r="I84" s="4"/>
      <c r="J84" s="1">
        <f>SUM(OSRRefJ21_15x_0)</f>
        <v>498.75</v>
      </c>
      <c r="K84" s="4"/>
      <c r="L84" s="1">
        <f>SUM(OSRRefL21_15x_0)</f>
        <v>300.33</v>
      </c>
      <c r="M84" s="4"/>
      <c r="N84" s="1">
        <f>SUM(OSRRefN21_15x_0)</f>
        <v>337.96</v>
      </c>
      <c r="O84" s="4"/>
      <c r="P84" s="1">
        <f>SUM(OSRRefP21_15x_0)</f>
        <v>0</v>
      </c>
      <c r="Q84" s="4"/>
      <c r="R84" s="1">
        <f>SUM(OSRRefR21_15x_0)</f>
        <v>0</v>
      </c>
    </row>
    <row r="85" spans="1:18" s="16" customFormat="1" hidden="1" outlineLevel="2" x14ac:dyDescent="0.35">
      <c r="B85" s="11" t="str">
        <f>CONCATENATE("          ", "6376", " - ", "TRAINING")</f>
        <v xml:space="preserve">          6376 - TRAINING</v>
      </c>
      <c r="D85" s="2">
        <v>75</v>
      </c>
      <c r="F85" s="2">
        <v>240</v>
      </c>
      <c r="G85" s="3"/>
      <c r="H85" s="2">
        <v>120</v>
      </c>
      <c r="I85" s="3"/>
      <c r="J85" s="2">
        <v>498.75</v>
      </c>
      <c r="K85" s="3"/>
      <c r="L85" s="2">
        <v>300.33</v>
      </c>
      <c r="M85" s="3"/>
      <c r="N85" s="2">
        <v>337.96</v>
      </c>
      <c r="O85" s="3"/>
      <c r="P85" s="2"/>
      <c r="Q85" s="3"/>
      <c r="R85" s="2"/>
    </row>
    <row r="86" spans="1:18" s="15" customFormat="1" outlineLevel="1" collapsed="1" x14ac:dyDescent="0.35">
      <c r="A86" s="7"/>
      <c r="B86" s="20" t="str">
        <f>CONCATENATE("     ","Travel                                            ")</f>
        <v xml:space="preserve">     Travel                                            </v>
      </c>
      <c r="C86" s="7"/>
      <c r="D86" s="1">
        <f>SUM(OSRRefD21_16x_0)</f>
        <v>27</v>
      </c>
      <c r="E86" s="19"/>
      <c r="F86" s="1">
        <f>SUM(OSRRefF21_16x_0)</f>
        <v>0</v>
      </c>
      <c r="G86" s="4"/>
      <c r="H86" s="1">
        <f>SUM(OSRRefH21_16x_0)</f>
        <v>0</v>
      </c>
      <c r="I86" s="4"/>
      <c r="J86" s="1">
        <f>SUM(OSRRefJ21_16x_0)</f>
        <v>462.11</v>
      </c>
      <c r="K86" s="4"/>
      <c r="L86" s="1">
        <f>SUM(OSRRefL21_16x_0)</f>
        <v>1355.34</v>
      </c>
      <c r="M86" s="4"/>
      <c r="N86" s="1">
        <f>SUM(OSRRefN21_16x_0)</f>
        <v>0</v>
      </c>
      <c r="O86" s="4"/>
      <c r="P86" s="1">
        <f>SUM(OSRRefP21_16x_0)</f>
        <v>0</v>
      </c>
      <c r="Q86" s="4"/>
      <c r="R86" s="1">
        <f>SUM(OSRRefR21_16x_0)</f>
        <v>0</v>
      </c>
    </row>
    <row r="87" spans="1:18" s="16" customFormat="1" hidden="1" outlineLevel="2" x14ac:dyDescent="0.35">
      <c r="B87" s="11" t="str">
        <f>CONCATENATE("          ", "6292", " - ", "TRAVEL/CONFERENCE")</f>
        <v xml:space="preserve">          6292 - TRAVEL/CONFERENCE</v>
      </c>
      <c r="D87" s="2">
        <v>27</v>
      </c>
      <c r="F87" s="2"/>
      <c r="G87" s="3"/>
      <c r="H87" s="2"/>
      <c r="I87" s="3"/>
      <c r="J87" s="2">
        <v>102.78</v>
      </c>
      <c r="K87" s="3"/>
      <c r="L87" s="2"/>
      <c r="M87" s="3"/>
      <c r="N87" s="2"/>
      <c r="O87" s="3"/>
      <c r="P87" s="2"/>
      <c r="Q87" s="3"/>
      <c r="R87" s="2"/>
    </row>
    <row r="88" spans="1:18" s="16" customFormat="1" hidden="1" outlineLevel="2" x14ac:dyDescent="0.35">
      <c r="B88" s="11" t="str">
        <f>CONCATENATE("          ", "6294", " - ", "TRAVEL OPERATIONAL")</f>
        <v xml:space="preserve">          6294 - TRAVEL OPERATIONAL</v>
      </c>
      <c r="D88" s="2"/>
      <c r="F88" s="2"/>
      <c r="G88" s="3"/>
      <c r="H88" s="2"/>
      <c r="I88" s="3"/>
      <c r="J88" s="2">
        <v>359.33</v>
      </c>
      <c r="K88" s="3"/>
      <c r="L88" s="2">
        <v>1269.53</v>
      </c>
      <c r="M88" s="3"/>
      <c r="N88" s="2"/>
      <c r="O88" s="3"/>
      <c r="P88" s="2"/>
      <c r="Q88" s="3"/>
      <c r="R88" s="2"/>
    </row>
    <row r="89" spans="1:18" s="16" customFormat="1" hidden="1" outlineLevel="2" x14ac:dyDescent="0.35">
      <c r="B89" s="11" t="str">
        <f>CONCATENATE("          ", "6298", " - ", "VEHICLE MILEAGE")</f>
        <v xml:space="preserve">          6298 - VEHICLE MILEAGE</v>
      </c>
      <c r="D89" s="2"/>
      <c r="F89" s="2"/>
      <c r="G89" s="3"/>
      <c r="H89" s="2"/>
      <c r="I89" s="3"/>
      <c r="J89" s="2"/>
      <c r="K89" s="3"/>
      <c r="L89" s="2">
        <v>85.81</v>
      </c>
      <c r="M89" s="3"/>
      <c r="N89" s="2"/>
      <c r="O89" s="3"/>
      <c r="P89" s="2"/>
      <c r="Q89" s="3"/>
      <c r="R89" s="2"/>
    </row>
    <row r="90" spans="1:18" x14ac:dyDescent="0.35">
      <c r="A90" s="12"/>
      <c r="B90" s="12"/>
      <c r="C90" s="12"/>
      <c r="D90" s="1"/>
      <c r="F90" s="1"/>
      <c r="H90" s="1"/>
      <c r="J90" s="1"/>
      <c r="L90" s="1"/>
      <c r="N90" s="1"/>
      <c r="P90" s="1"/>
      <c r="R90" s="1"/>
    </row>
    <row r="91" spans="1:18" s="7" customFormat="1" collapsed="1" x14ac:dyDescent="0.35">
      <c r="A91" s="36"/>
      <c r="B91" s="34" t="s">
        <v>295</v>
      </c>
      <c r="D91" s="6">
        <f>SUM(OSRRefD24x_0)</f>
        <v>16371.68</v>
      </c>
      <c r="E91" s="12"/>
      <c r="F91" s="6">
        <f>SUM(OSRRefF24x_0)</f>
        <v>17482.89</v>
      </c>
      <c r="G91" s="5"/>
      <c r="H91" s="6">
        <f>SUM(OSRRefH24x_0)</f>
        <v>16280.52</v>
      </c>
      <c r="I91" s="5"/>
      <c r="J91" s="6">
        <f>SUM(OSRRefJ24x_0)</f>
        <v>17042.22</v>
      </c>
      <c r="K91" s="5"/>
      <c r="L91" s="6">
        <f>SUM(OSRRefL24x_0)</f>
        <v>13296.87</v>
      </c>
      <c r="M91" s="5"/>
      <c r="N91" s="6">
        <f>SUM(OSRRefN24x_0)</f>
        <v>39607.82</v>
      </c>
      <c r="O91" s="5"/>
      <c r="P91" s="6">
        <f>SUM(OSRRefP24x_0)</f>
        <v>0</v>
      </c>
      <c r="Q91" s="5"/>
      <c r="R91" s="6">
        <f>SUM(OSRRefR24x_0)</f>
        <v>0</v>
      </c>
    </row>
    <row r="92" spans="1:18" s="7" customFormat="1" hidden="1" outlineLevel="1" x14ac:dyDescent="0.35">
      <c r="A92" s="36"/>
      <c r="B92" s="11" t="str">
        <f>CONCATENATE("          ", "9150", " - ", "MISC. INCOME")</f>
        <v xml:space="preserve">          9150 - MISC. INCOME</v>
      </c>
      <c r="D92" s="11">
        <f>--16371.68</f>
        <v>16371.68</v>
      </c>
      <c r="E92" s="16"/>
      <c r="F92" s="11">
        <f>--17482.89</f>
        <v>17482.89</v>
      </c>
      <c r="G92" s="3"/>
      <c r="H92" s="11">
        <f>--16280.52</f>
        <v>16280.52</v>
      </c>
      <c r="I92" s="3"/>
      <c r="J92" s="11">
        <f>--17042.22</f>
        <v>17042.22</v>
      </c>
      <c r="K92" s="3"/>
      <c r="L92" s="11">
        <f>--13296.87</f>
        <v>13296.87</v>
      </c>
      <c r="M92" s="3"/>
      <c r="N92" s="11">
        <f>--39607.82</f>
        <v>39607.82</v>
      </c>
      <c r="O92" s="3"/>
      <c r="P92" s="11"/>
      <c r="Q92" s="3"/>
      <c r="R92" s="11"/>
    </row>
    <row r="93" spans="1:18" x14ac:dyDescent="0.35">
      <c r="A93" s="12"/>
      <c r="B93" s="7"/>
      <c r="C93" s="7"/>
      <c r="D93" s="6"/>
      <c r="F93" s="6"/>
      <c r="H93" s="6"/>
      <c r="J93" s="6"/>
      <c r="L93" s="6"/>
      <c r="N93" s="6"/>
      <c r="P93" s="6"/>
      <c r="R93" s="6"/>
    </row>
    <row r="94" spans="1:18" s="15" customFormat="1" x14ac:dyDescent="0.35">
      <c r="A94" s="7"/>
      <c r="B94" s="22" t="s">
        <v>279</v>
      </c>
      <c r="C94" s="22"/>
      <c r="D94" s="10">
        <f>+D21-D24+D91</f>
        <v>83345.220000000059</v>
      </c>
      <c r="E94" s="12"/>
      <c r="F94" s="10">
        <f>+F21-F24+F91</f>
        <v>144928.70000000007</v>
      </c>
      <c r="G94" s="5"/>
      <c r="H94" s="10">
        <f>+H21-H24+H91</f>
        <v>72892.010000000053</v>
      </c>
      <c r="I94" s="5"/>
      <c r="J94" s="10">
        <f>+J21-J24+J91</f>
        <v>19817.519999999931</v>
      </c>
      <c r="K94" s="5"/>
      <c r="L94" s="10">
        <f>+L21-L24+L91</f>
        <v>51628.640000000079</v>
      </c>
      <c r="M94" s="5"/>
      <c r="N94" s="10">
        <f>+N21-N24+N91</f>
        <v>-46394.989999999969</v>
      </c>
      <c r="O94" s="5"/>
      <c r="P94" s="10">
        <f>+P21-P24+P91</f>
        <v>-12012</v>
      </c>
      <c r="Q94" s="5"/>
      <c r="R94" s="10">
        <f>+R21-R24+R91</f>
        <v>-12012</v>
      </c>
    </row>
    <row r="95" spans="1:18" s="27" customFormat="1" x14ac:dyDescent="0.35">
      <c r="A95" s="18"/>
      <c r="B95" s="31"/>
      <c r="C95" s="18"/>
      <c r="D95" s="9">
        <f>IFERROR(D94/D10, 0)</f>
        <v>0.20016429063110641</v>
      </c>
      <c r="E95" s="18"/>
      <c r="F95" s="9">
        <f>IFERROR(F94/F10, 0)</f>
        <v>0.27496971473509774</v>
      </c>
      <c r="G95" s="14"/>
      <c r="H95" s="9">
        <f>IFERROR(H94/H10, 0)</f>
        <v>0.15223452885903013</v>
      </c>
      <c r="I95" s="14"/>
      <c r="J95" s="9">
        <f>IFERROR(J94/J10, 0)</f>
        <v>3.23460429473406E-2</v>
      </c>
      <c r="K95" s="14"/>
      <c r="L95" s="9">
        <f>IFERROR(L94/L10, 0)</f>
        <v>7.2233953961484867E-2</v>
      </c>
      <c r="M95" s="14"/>
      <c r="N95" s="9">
        <f>IFERROR(N94/N10, 0)</f>
        <v>-0.11825547909524577</v>
      </c>
      <c r="O95" s="14"/>
      <c r="P95" s="9">
        <f>IFERROR(P94/P10, 0)</f>
        <v>0</v>
      </c>
      <c r="Q95" s="14"/>
      <c r="R95" s="9">
        <f>IFERROR(R94/R10, 0)</f>
        <v>0</v>
      </c>
    </row>
    <row r="96" spans="1:18" s="27" customFormat="1" x14ac:dyDescent="0.35">
      <c r="A96" s="18"/>
      <c r="B96" s="31"/>
      <c r="C96" s="18"/>
      <c r="D96" s="13"/>
      <c r="E96" s="18"/>
      <c r="F96" s="13"/>
      <c r="G96" s="14"/>
      <c r="H96" s="13"/>
      <c r="I96" s="14"/>
      <c r="J96" s="13"/>
      <c r="K96" s="14"/>
      <c r="L96" s="13"/>
      <c r="M96" s="14"/>
      <c r="N96" s="13"/>
      <c r="O96" s="14"/>
      <c r="P96" s="13"/>
      <c r="Q96" s="14"/>
      <c r="R96" s="13"/>
    </row>
    <row r="97" spans="1:18" s="15" customFormat="1" x14ac:dyDescent="0.35">
      <c r="A97" s="37"/>
      <c r="B97" s="7" t="s">
        <v>127</v>
      </c>
      <c r="C97" s="7"/>
      <c r="D97" s="6">
        <v>90483.41</v>
      </c>
      <c r="E97" s="12"/>
      <c r="F97" s="6">
        <v>75032.28</v>
      </c>
      <c r="G97" s="5"/>
      <c r="H97" s="6">
        <v>64020.17</v>
      </c>
      <c r="I97" s="5"/>
      <c r="J97" s="6">
        <v>82228.86</v>
      </c>
      <c r="K97" s="5"/>
      <c r="L97" s="6">
        <v>50944.73</v>
      </c>
      <c r="M97" s="5"/>
      <c r="N97" s="6">
        <v>59407.4</v>
      </c>
      <c r="O97" s="5"/>
      <c r="P97" s="6"/>
      <c r="Q97" s="5"/>
      <c r="R97" s="6"/>
    </row>
    <row r="98" spans="1:18" x14ac:dyDescent="0.35">
      <c r="A98" s="12"/>
      <c r="B98" s="7"/>
      <c r="C98" s="7"/>
      <c r="D98" s="6"/>
      <c r="F98" s="6"/>
      <c r="H98" s="6"/>
      <c r="J98" s="6"/>
      <c r="L98" s="6"/>
      <c r="N98" s="6"/>
      <c r="P98" s="6"/>
      <c r="R98" s="6"/>
    </row>
    <row r="99" spans="1:18" s="15" customFormat="1" x14ac:dyDescent="0.35">
      <c r="A99" s="7"/>
      <c r="B99" s="22" t="s">
        <v>126</v>
      </c>
      <c r="C99" s="22"/>
      <c r="D99" s="10">
        <f>+D94-D97</f>
        <v>-7138.1899999999441</v>
      </c>
      <c r="E99" s="12"/>
      <c r="F99" s="10">
        <f>+F94-F97</f>
        <v>69896.420000000071</v>
      </c>
      <c r="G99" s="5"/>
      <c r="H99" s="10">
        <f>+H94-H97</f>
        <v>8871.8400000000547</v>
      </c>
      <c r="I99" s="5"/>
      <c r="J99" s="10">
        <f>+J94-J97</f>
        <v>-62411.340000000069</v>
      </c>
      <c r="K99" s="5"/>
      <c r="L99" s="10">
        <f>+L94-L97</f>
        <v>683.91000000007625</v>
      </c>
      <c r="M99" s="5"/>
      <c r="N99" s="10">
        <f>+N94-N97</f>
        <v>-105802.38999999997</v>
      </c>
      <c r="O99" s="5"/>
      <c r="P99" s="10">
        <f>+P94-P97</f>
        <v>-12012</v>
      </c>
      <c r="Q99" s="5"/>
      <c r="R99" s="10">
        <f>+R94-R97</f>
        <v>-12012</v>
      </c>
    </row>
    <row r="100" spans="1:18" s="27" customFormat="1" x14ac:dyDescent="0.35">
      <c r="A100" s="18"/>
      <c r="B100" s="18"/>
      <c r="C100" s="18"/>
      <c r="D100" s="9">
        <f>IFERROR(D99/D10, 0)</f>
        <v>-1.7143283534917123E-2</v>
      </c>
      <c r="E100" s="18"/>
      <c r="F100" s="9">
        <f>IFERROR(F99/F10, 0)</f>
        <v>0.13261278593132064</v>
      </c>
      <c r="G100" s="14"/>
      <c r="H100" s="9">
        <f>IFERROR(H99/H10, 0)</f>
        <v>1.8528785013785534E-2</v>
      </c>
      <c r="I100" s="14"/>
      <c r="J100" s="9">
        <f>IFERROR(J99/J10, 0)</f>
        <v>-0.10186743265762242</v>
      </c>
      <c r="K100" s="14"/>
      <c r="L100" s="9">
        <f>IFERROR(L99/L10, 0)</f>
        <v>9.5686276945905512E-4</v>
      </c>
      <c r="M100" s="14"/>
      <c r="N100" s="9">
        <f>IFERROR(N99/N10, 0)</f>
        <v>-0.26967809064884041</v>
      </c>
      <c r="O100" s="14"/>
      <c r="P100" s="9">
        <f>IFERROR(P99/P10, 0)</f>
        <v>0</v>
      </c>
      <c r="Q100" s="14"/>
      <c r="R100" s="9">
        <f>IFERROR(R99/R10, 0)</f>
        <v>0</v>
      </c>
    </row>
    <row r="101" spans="1:18" s="27" customFormat="1" x14ac:dyDescent="0.35">
      <c r="A101" s="18"/>
      <c r="B101" s="18"/>
      <c r="C101" s="18"/>
      <c r="D101" s="13"/>
      <c r="E101" s="18"/>
      <c r="F101" s="13"/>
      <c r="G101" s="14"/>
      <c r="H101" s="13"/>
      <c r="I101" s="14"/>
      <c r="J101" s="13"/>
      <c r="K101" s="14"/>
      <c r="L101" s="13"/>
      <c r="M101" s="14"/>
      <c r="N101" s="13"/>
      <c r="O101" s="14"/>
      <c r="P101" s="13"/>
      <c r="Q101" s="14"/>
      <c r="R101" s="13"/>
    </row>
    <row r="102" spans="1:18" x14ac:dyDescent="0.35">
      <c r="A102" s="12"/>
      <c r="B102" s="12"/>
      <c r="C102" s="12"/>
      <c r="D102" s="6"/>
      <c r="F102" s="6"/>
      <c r="H102" s="6"/>
      <c r="J102" s="6"/>
      <c r="L102" s="6"/>
      <c r="N102" s="6"/>
      <c r="P102" s="6"/>
      <c r="R102" s="6"/>
    </row>
    <row r="103" spans="1:18" s="15" customFormat="1" x14ac:dyDescent="0.35">
      <c r="A103" s="7"/>
      <c r="B103" s="22" t="s">
        <v>296</v>
      </c>
      <c r="C103" s="22"/>
      <c r="D103" s="10">
        <f>SUM(D99:D102)</f>
        <v>-7138.2071432834791</v>
      </c>
      <c r="E103" s="12"/>
      <c r="F103" s="10">
        <f>SUM(F99:F102)</f>
        <v>69896.552612786007</v>
      </c>
      <c r="G103" s="5"/>
      <c r="H103" s="10">
        <f>SUM(H99:H102)</f>
        <v>8871.8585287850692</v>
      </c>
      <c r="I103" s="5"/>
      <c r="J103" s="10">
        <f>SUM(J99:J102)</f>
        <v>-62411.441867432724</v>
      </c>
      <c r="K103" s="5"/>
      <c r="L103" s="10">
        <f>SUM(L99:L102)</f>
        <v>683.91095686284575</v>
      </c>
      <c r="M103" s="5"/>
      <c r="N103" s="10">
        <f>SUM(N99:N102)</f>
        <v>-105802.65967809063</v>
      </c>
      <c r="O103" s="5"/>
      <c r="P103" s="10">
        <f>SUM(P99:P102)</f>
        <v>-12012</v>
      </c>
      <c r="Q103" s="5"/>
      <c r="R103" s="10">
        <f>SUM(R99:R102)</f>
        <v>-12012</v>
      </c>
    </row>
    <row r="104" spans="1:18" s="27" customFormat="1" x14ac:dyDescent="0.35">
      <c r="A104" s="18"/>
      <c r="B104" s="41"/>
      <c r="C104" s="18"/>
      <c r="D104" s="9">
        <f>IFERROR(D103/D10, 0)</f>
        <v>-1.714332470672263E-2</v>
      </c>
      <c r="E104" s="18"/>
      <c r="F104" s="9">
        <f>IFERROR(F103/F10, 0)</f>
        <v>0.13261303753434972</v>
      </c>
      <c r="G104" s="14"/>
      <c r="H104" s="9">
        <f>IFERROR(H103/H10, 0)</f>
        <v>1.8528823711042711E-2</v>
      </c>
      <c r="I104" s="14"/>
      <c r="J104" s="9">
        <f>IFERROR(J103/J10, 0)</f>
        <v>-0.10186759892506414</v>
      </c>
      <c r="K104" s="14"/>
      <c r="L104" s="9">
        <f>IFERROR(L103/L10, 0)</f>
        <v>9.5686410821175594E-4</v>
      </c>
      <c r="M104" s="14"/>
      <c r="N104" s="9">
        <f>IFERROR(N103/N10, 0)</f>
        <v>-0.26967877802719337</v>
      </c>
      <c r="O104" s="14"/>
      <c r="P104" s="9">
        <f>IFERROR(P103/P10, 0)</f>
        <v>0</v>
      </c>
      <c r="Q104" s="14"/>
      <c r="R104" s="9">
        <f>IFERROR(R103/R10, 0)</f>
        <v>0</v>
      </c>
    </row>
    <row r="105" spans="1:18" x14ac:dyDescent="0.35">
      <c r="A105" s="12"/>
      <c r="B105" s="40">
        <v>44319.883572604165</v>
      </c>
      <c r="D105" s="24"/>
      <c r="F105" s="24"/>
      <c r="H105" s="24"/>
      <c r="J105" s="24"/>
      <c r="L105" s="24"/>
      <c r="N105" s="24"/>
      <c r="P105" s="24"/>
      <c r="R105" s="24"/>
    </row>
    <row r="106" spans="1:18" x14ac:dyDescent="0.35">
      <c r="A106" s="12"/>
      <c r="B106" s="39" t="s">
        <v>23</v>
      </c>
      <c r="D106" s="24"/>
      <c r="F106" s="24"/>
      <c r="H106" s="24"/>
      <c r="J106" s="24"/>
      <c r="L106" s="24"/>
      <c r="N106" s="24"/>
      <c r="P106" s="24"/>
      <c r="R106" s="24"/>
    </row>
    <row r="107" spans="1:18" x14ac:dyDescent="0.35">
      <c r="A107" s="12"/>
      <c r="D107" s="24"/>
      <c r="F107" s="24"/>
      <c r="H107" s="24"/>
      <c r="J107" s="24"/>
      <c r="L107" s="24"/>
      <c r="N107" s="24"/>
      <c r="P107" s="24"/>
      <c r="R107" s="24"/>
    </row>
    <row r="108" spans="1:18" x14ac:dyDescent="0.35">
      <c r="D108" s="24"/>
      <c r="F108" s="24"/>
      <c r="H108" s="24"/>
      <c r="J108" s="24"/>
      <c r="L108" s="24"/>
      <c r="N108" s="24"/>
      <c r="P108" s="24"/>
      <c r="R108" s="24"/>
    </row>
  </sheetData>
  <pageMargins left="0.5" right="0.5" top="0.5" bottom="0.5" header="0.3" footer="0.3"/>
  <pageSetup scale="59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82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","430", " - ", "Res Hall Management")</f>
        <v>Department 430 - Res Hall Management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x14ac:dyDescent="0.35">
      <c r="A10" s="12"/>
      <c r="B10" s="7" t="s">
        <v>159</v>
      </c>
      <c r="C10" s="12"/>
      <c r="D10" s="8">
        <f>SUM(0)</f>
        <v>0</v>
      </c>
      <c r="F10" s="8">
        <f>SUM(0)</f>
        <v>0</v>
      </c>
      <c r="G10" s="8"/>
      <c r="H10" s="8">
        <f>SUM(0)</f>
        <v>0</v>
      </c>
      <c r="I10" s="8"/>
      <c r="J10" s="8">
        <f>SUM(0)</f>
        <v>0</v>
      </c>
      <c r="K10" s="8"/>
      <c r="L10" s="8">
        <f>SUM(0)</f>
        <v>0</v>
      </c>
      <c r="M10" s="8"/>
      <c r="N10" s="8">
        <f>SUM(0)</f>
        <v>0</v>
      </c>
      <c r="O10" s="8"/>
      <c r="P10" s="8">
        <f>SUM(0)</f>
        <v>0</v>
      </c>
      <c r="Q10" s="8"/>
      <c r="R10" s="8">
        <f>SUM(0)</f>
        <v>0</v>
      </c>
    </row>
    <row r="11" spans="1:18" s="12" customFormat="1" x14ac:dyDescent="0.35">
      <c r="B11" s="7"/>
      <c r="D11" s="6"/>
      <c r="F11" s="6"/>
      <c r="G11" s="5"/>
      <c r="H11" s="6"/>
      <c r="I11" s="5"/>
      <c r="J11" s="6"/>
      <c r="K11" s="5"/>
      <c r="L11" s="6"/>
      <c r="M11" s="5"/>
      <c r="N11" s="6"/>
      <c r="O11" s="5"/>
      <c r="P11" s="6"/>
      <c r="Q11" s="5"/>
      <c r="R11" s="6"/>
    </row>
    <row r="12" spans="1:18" s="12" customFormat="1" x14ac:dyDescent="0.35">
      <c r="B12" s="7" t="s">
        <v>278</v>
      </c>
      <c r="D12" s="8">
        <f>SUM(0)</f>
        <v>0</v>
      </c>
      <c r="E12" s="8"/>
      <c r="F12" s="8">
        <f>SUM(0)</f>
        <v>0</v>
      </c>
      <c r="G12" s="8"/>
      <c r="H12" s="8">
        <f>SUM(0)</f>
        <v>0</v>
      </c>
      <c r="I12" s="8"/>
      <c r="J12" s="8">
        <f>SUM(0)</f>
        <v>0</v>
      </c>
      <c r="K12" s="8"/>
      <c r="L12" s="8">
        <f>SUM(0)</f>
        <v>0</v>
      </c>
      <c r="M12" s="8"/>
      <c r="N12" s="8">
        <f>SUM(0)</f>
        <v>0</v>
      </c>
      <c r="O12" s="8"/>
      <c r="P12" s="8">
        <f>SUM(0)</f>
        <v>0</v>
      </c>
      <c r="Q12" s="8"/>
      <c r="R12" s="8">
        <f>SUM(0)</f>
        <v>0</v>
      </c>
    </row>
    <row r="13" spans="1:18" x14ac:dyDescent="0.35">
      <c r="A13" s="12"/>
      <c r="B13" s="7"/>
      <c r="C13" s="7"/>
      <c r="D13" s="6"/>
      <c r="F13" s="6"/>
      <c r="H13" s="6"/>
      <c r="J13" s="6"/>
      <c r="L13" s="6"/>
      <c r="N13" s="6"/>
      <c r="P13" s="6"/>
      <c r="R13" s="6"/>
    </row>
    <row r="14" spans="1:18" s="15" customFormat="1" x14ac:dyDescent="0.35">
      <c r="A14" s="7"/>
      <c r="B14" s="22" t="s">
        <v>107</v>
      </c>
      <c r="C14" s="22"/>
      <c r="D14" s="10">
        <f>+D10-D12</f>
        <v>0</v>
      </c>
      <c r="E14" s="12"/>
      <c r="F14" s="10">
        <f>+F10-F12</f>
        <v>0</v>
      </c>
      <c r="G14" s="5"/>
      <c r="H14" s="10">
        <f>+H10-H12</f>
        <v>0</v>
      </c>
      <c r="I14" s="5"/>
      <c r="J14" s="10">
        <f>+J10-J12</f>
        <v>0</v>
      </c>
      <c r="K14" s="5"/>
      <c r="L14" s="10">
        <f>+L10-L12</f>
        <v>0</v>
      </c>
      <c r="M14" s="5"/>
      <c r="N14" s="10">
        <f>+N10-N12</f>
        <v>0</v>
      </c>
      <c r="O14" s="5"/>
      <c r="P14" s="10">
        <f>+P10-P12</f>
        <v>0</v>
      </c>
      <c r="Q14" s="5"/>
      <c r="R14" s="10">
        <f>+R10-R12</f>
        <v>0</v>
      </c>
    </row>
    <row r="15" spans="1:18" s="27" customFormat="1" x14ac:dyDescent="0.35">
      <c r="A15" s="18"/>
      <c r="B15" s="31"/>
      <c r="C15" s="18"/>
      <c r="D15" s="9">
        <f>IFERROR(D14/D10, 0)</f>
        <v>0</v>
      </c>
      <c r="E15" s="13"/>
      <c r="F15" s="9">
        <f>IFERROR(F14/F10, 0)</f>
        <v>0</v>
      </c>
      <c r="G15" s="26"/>
      <c r="H15" s="9">
        <f>IFERROR(H14/H10, 0)</f>
        <v>0</v>
      </c>
      <c r="I15" s="26"/>
      <c r="J15" s="9">
        <f>IFERROR(J14/J10, 0)</f>
        <v>0</v>
      </c>
      <c r="K15" s="26"/>
      <c r="L15" s="9">
        <f>IFERROR(L14/L10, 0)</f>
        <v>0</v>
      </c>
      <c r="M15" s="26"/>
      <c r="N15" s="9">
        <f>IFERROR(N14/N10, 0)</f>
        <v>0</v>
      </c>
      <c r="O15" s="26"/>
      <c r="P15" s="9">
        <f>IFERROR(P14/P10, 0)</f>
        <v>0</v>
      </c>
      <c r="Q15" s="26"/>
      <c r="R15" s="9">
        <f>IFERROR(R14/R10, 0)</f>
        <v>0</v>
      </c>
    </row>
    <row r="16" spans="1:18" s="27" customFormat="1" x14ac:dyDescent="0.35">
      <c r="A16" s="18"/>
      <c r="B16" s="31"/>
      <c r="C16" s="18"/>
      <c r="D16" s="13"/>
      <c r="E16" s="13"/>
      <c r="F16" s="13"/>
      <c r="G16" s="26"/>
      <c r="H16" s="13"/>
      <c r="I16" s="26"/>
      <c r="J16" s="13"/>
      <c r="K16" s="26"/>
      <c r="L16" s="13"/>
      <c r="M16" s="26"/>
      <c r="N16" s="13"/>
      <c r="O16" s="26"/>
      <c r="P16" s="13"/>
      <c r="Q16" s="26"/>
      <c r="R16" s="13"/>
    </row>
    <row r="17" spans="1:18" s="15" customFormat="1" x14ac:dyDescent="0.35">
      <c r="A17" s="7"/>
      <c r="B17" s="34" t="s">
        <v>314</v>
      </c>
      <c r="C17" s="7"/>
      <c r="D17" s="8">
        <f>SUM(OSRRefD21x_0)</f>
        <v>10.99</v>
      </c>
      <c r="E17" s="19"/>
      <c r="F17" s="8">
        <f>SUM(OSRRefF21x_0)</f>
        <v>164683.13</v>
      </c>
      <c r="G17" s="4"/>
      <c r="H17" s="8">
        <f>SUM(OSRRefH21x_0)</f>
        <v>189670.98000000004</v>
      </c>
      <c r="I17" s="4"/>
      <c r="J17" s="8">
        <f>SUM(OSRRefJ21x_0)</f>
        <v>163817.10999999999</v>
      </c>
      <c r="K17" s="4"/>
      <c r="L17" s="8">
        <f>SUM(OSRRefL21x_0)</f>
        <v>172290.72999999995</v>
      </c>
      <c r="M17" s="4"/>
      <c r="N17" s="8">
        <f>SUM(OSRRefN21x_0)</f>
        <v>225107.52000000002</v>
      </c>
      <c r="O17" s="4"/>
      <c r="P17" s="8">
        <f>SUM(OSRRefP21x_0)</f>
        <v>216684.92561999999</v>
      </c>
      <c r="Q17" s="4"/>
      <c r="R17" s="8">
        <f>SUM(OSRRefR21x_0)</f>
        <v>218964.02004929999</v>
      </c>
    </row>
    <row r="18" spans="1:18" s="15" customFormat="1" outlineLevel="1" collapsed="1" x14ac:dyDescent="0.35">
      <c r="A18" s="7"/>
      <c r="B18" s="20" t="str">
        <f>CONCATENATE("     ","*Benefits                                         ")</f>
        <v xml:space="preserve">     *Benefits                                         </v>
      </c>
      <c r="C18" s="7"/>
      <c r="D18" s="1">
        <f>SUM(OSRRefD21_0x_0)</f>
        <v>10.99</v>
      </c>
      <c r="E18" s="19"/>
      <c r="F18" s="1">
        <f>SUM(OSRRefF21_0x_0)</f>
        <v>58036.790000000008</v>
      </c>
      <c r="G18" s="4"/>
      <c r="H18" s="1">
        <f>SUM(OSRRefH21_0x_0)</f>
        <v>65857.98</v>
      </c>
      <c r="I18" s="4"/>
      <c r="J18" s="1">
        <f>SUM(OSRRefJ21_0x_0)</f>
        <v>68182.34</v>
      </c>
      <c r="K18" s="4"/>
      <c r="L18" s="1">
        <f>SUM(OSRRefL21_0x_0)</f>
        <v>65762.81</v>
      </c>
      <c r="M18" s="4"/>
      <c r="N18" s="1">
        <f>SUM(OSRRefN21_0x_0)</f>
        <v>70479.14</v>
      </c>
      <c r="O18" s="4"/>
      <c r="P18" s="1">
        <f>SUM(OSRRefP21_0x_0)</f>
        <v>53808.625620000006</v>
      </c>
      <c r="Q18" s="4"/>
      <c r="R18" s="1">
        <f>SUM(OSRRefR21_0x_0)</f>
        <v>53573.250549299992</v>
      </c>
    </row>
    <row r="19" spans="1:18" s="16" customFormat="1" hidden="1" outlineLevel="2" x14ac:dyDescent="0.35">
      <c r="B19" s="11" t="str">
        <f>CONCATENATE("          ", "6111", " - ", "F.I.C.A.")</f>
        <v xml:space="preserve">          6111 - F.I.C.A.</v>
      </c>
      <c r="D19" s="2"/>
      <c r="F19" s="2">
        <v>7137.26</v>
      </c>
      <c r="G19" s="3"/>
      <c r="H19" s="2">
        <v>8620.5499999999993</v>
      </c>
      <c r="I19" s="3"/>
      <c r="J19" s="2">
        <v>8737.18</v>
      </c>
      <c r="K19" s="3"/>
      <c r="L19" s="2">
        <v>8704.31</v>
      </c>
      <c r="M19" s="3"/>
      <c r="N19" s="2">
        <v>9246.1299999999992</v>
      </c>
      <c r="O19" s="3"/>
      <c r="P19" s="2">
        <v>8912.2246200000009</v>
      </c>
      <c r="Q19" s="3"/>
      <c r="R19" s="2">
        <v>9045.9079892999998</v>
      </c>
    </row>
    <row r="20" spans="1:18" s="16" customFormat="1" hidden="1" outlineLevel="2" x14ac:dyDescent="0.35">
      <c r="B20" s="11" t="str">
        <f>CONCATENATE("          ", "6112", " - ", "COMPENSATION INSURANCE")</f>
        <v xml:space="preserve">          6112 - COMPENSATION INSURANCE</v>
      </c>
      <c r="D20" s="2"/>
      <c r="F20" s="2">
        <v>3314.02</v>
      </c>
      <c r="G20" s="3"/>
      <c r="H20" s="2">
        <v>4139.8900000000003</v>
      </c>
      <c r="I20" s="3"/>
      <c r="J20" s="2">
        <v>3149</v>
      </c>
      <c r="K20" s="3"/>
      <c r="L20" s="2">
        <v>3697.9</v>
      </c>
      <c r="M20" s="3"/>
      <c r="N20" s="2">
        <v>4099.1499999999996</v>
      </c>
      <c r="O20" s="3"/>
      <c r="P20" s="2">
        <v>4995.8765999999996</v>
      </c>
      <c r="Q20" s="3"/>
      <c r="R20" s="2">
        <v>4479.8106989999997</v>
      </c>
    </row>
    <row r="21" spans="1:18" s="16" customFormat="1" hidden="1" outlineLevel="2" x14ac:dyDescent="0.35">
      <c r="B21" s="11" t="str">
        <f>CONCATENATE("          ", "6113", " - ", "GROUP INSURANCE")</f>
        <v xml:space="preserve">          6113 - GROUP INSURANCE</v>
      </c>
      <c r="D21" s="2"/>
      <c r="F21" s="2">
        <v>25832.66</v>
      </c>
      <c r="G21" s="3"/>
      <c r="H21" s="2">
        <v>30537.599999999999</v>
      </c>
      <c r="I21" s="3"/>
      <c r="J21" s="2">
        <v>32459.93</v>
      </c>
      <c r="K21" s="3"/>
      <c r="L21" s="2">
        <v>31422.47</v>
      </c>
      <c r="M21" s="3"/>
      <c r="N21" s="2">
        <v>32811</v>
      </c>
      <c r="O21" s="3"/>
      <c r="P21" s="2">
        <v>23760</v>
      </c>
      <c r="Q21" s="3"/>
      <c r="R21" s="2">
        <v>23724</v>
      </c>
    </row>
    <row r="22" spans="1:18" s="16" customFormat="1" hidden="1" outlineLevel="2" x14ac:dyDescent="0.35">
      <c r="B22" s="11" t="str">
        <f>CONCATENATE("          ", "6114", " - ", "STATE UNEMPLOYMENT INSURANCE")</f>
        <v xml:space="preserve">          6114 - STATE UNEMPLOYMENT INSURANCE</v>
      </c>
      <c r="D22" s="2"/>
      <c r="F22" s="2">
        <v>577.91</v>
      </c>
      <c r="G22" s="3"/>
      <c r="H22" s="2">
        <v>324.73</v>
      </c>
      <c r="I22" s="3"/>
      <c r="J22" s="2">
        <v>1481.87</v>
      </c>
      <c r="K22" s="3"/>
      <c r="L22" s="2">
        <v>305.33</v>
      </c>
      <c r="M22" s="3"/>
      <c r="N22" s="2">
        <v>0</v>
      </c>
      <c r="O22" s="3"/>
      <c r="P22" s="2">
        <v>302.78039999999999</v>
      </c>
      <c r="Q22" s="3"/>
      <c r="R22" s="2">
        <v>248.221701</v>
      </c>
    </row>
    <row r="23" spans="1:18" s="16" customFormat="1" hidden="1" outlineLevel="2" x14ac:dyDescent="0.35">
      <c r="B23" s="11" t="str">
        <f>CONCATENATE("          ", "6115", " - ", "P.E.R.S.")</f>
        <v xml:space="preserve">          6115 - P.E.R.S.</v>
      </c>
      <c r="D23" s="2"/>
      <c r="F23" s="2">
        <v>5811.21</v>
      </c>
      <c r="G23" s="3"/>
      <c r="H23" s="2">
        <v>6414.08</v>
      </c>
      <c r="I23" s="3"/>
      <c r="J23" s="2">
        <v>6515.48</v>
      </c>
      <c r="K23" s="3"/>
      <c r="L23" s="2">
        <v>6484.73</v>
      </c>
      <c r="M23" s="3"/>
      <c r="N23" s="2">
        <v>7339.19</v>
      </c>
      <c r="O23" s="3"/>
      <c r="P23" s="2">
        <v>10015.044</v>
      </c>
      <c r="Q23" s="3"/>
      <c r="R23" s="2">
        <v>10165.26966</v>
      </c>
    </row>
    <row r="24" spans="1:18" s="16" customFormat="1" hidden="1" outlineLevel="2" x14ac:dyDescent="0.35">
      <c r="B24" s="11" t="str">
        <f>CONCATENATE("          ", "6116", " - ", "EDUCATIONAL BENEFITS")</f>
        <v xml:space="preserve">          6116 - EDUCATIONAL BENEFITS</v>
      </c>
      <c r="D24" s="2"/>
      <c r="F24" s="2"/>
      <c r="G24" s="3"/>
      <c r="H24" s="2"/>
      <c r="I24" s="3"/>
      <c r="J24" s="2"/>
      <c r="K24" s="3"/>
      <c r="L24" s="2"/>
      <c r="M24" s="3"/>
      <c r="N24" s="2"/>
      <c r="O24" s="3"/>
      <c r="P24" s="2">
        <v>0</v>
      </c>
      <c r="Q24" s="3"/>
      <c r="R24" s="2">
        <v>0</v>
      </c>
    </row>
    <row r="25" spans="1:18" s="16" customFormat="1" hidden="1" outlineLevel="2" x14ac:dyDescent="0.35">
      <c r="B25" s="11" t="str">
        <f>CONCATENATE("          ", "6118", " - ", "VACATION")</f>
        <v xml:space="preserve">          6118 - VACATION</v>
      </c>
      <c r="D25" s="2"/>
      <c r="F25" s="2">
        <v>9016.8700000000008</v>
      </c>
      <c r="G25" s="3"/>
      <c r="H25" s="2">
        <v>9038.9</v>
      </c>
      <c r="I25" s="3"/>
      <c r="J25" s="2">
        <v>9523.3799999999992</v>
      </c>
      <c r="K25" s="3"/>
      <c r="L25" s="2">
        <v>8708.64</v>
      </c>
      <c r="M25" s="3"/>
      <c r="N25" s="2">
        <v>9601.31</v>
      </c>
      <c r="O25" s="3"/>
      <c r="P25" s="2">
        <v>3493.62</v>
      </c>
      <c r="Q25" s="3"/>
      <c r="R25" s="2">
        <v>3546.0243</v>
      </c>
    </row>
    <row r="26" spans="1:18" s="16" customFormat="1" hidden="1" outlineLevel="2" x14ac:dyDescent="0.35">
      <c r="B26" s="11" t="str">
        <f>CONCATENATE("          ", "6119", " - ", "SICK LEAVE")</f>
        <v xml:space="preserve">          6119 - SICK LEAVE</v>
      </c>
      <c r="D26" s="2"/>
      <c r="F26" s="2">
        <v>4513.24</v>
      </c>
      <c r="G26" s="3"/>
      <c r="H26" s="2">
        <v>4513.34</v>
      </c>
      <c r="I26" s="3"/>
      <c r="J26" s="2">
        <v>4893.41</v>
      </c>
      <c r="K26" s="3"/>
      <c r="L26" s="2">
        <v>4861.84</v>
      </c>
      <c r="M26" s="3"/>
      <c r="N26" s="2">
        <v>6149.77</v>
      </c>
      <c r="O26" s="3"/>
      <c r="P26" s="2">
        <v>2329.08</v>
      </c>
      <c r="Q26" s="3"/>
      <c r="R26" s="2">
        <v>2364.0162</v>
      </c>
    </row>
    <row r="27" spans="1:18" s="16" customFormat="1" hidden="1" outlineLevel="2" x14ac:dyDescent="0.35">
      <c r="B27" s="11" t="str">
        <f>CONCATENATE("          ", "6156", " - ", "EMPLOYEE MEALS")</f>
        <v xml:space="preserve">          6156 - EMPLOYEE MEALS</v>
      </c>
      <c r="D27" s="2">
        <v>10.99</v>
      </c>
      <c r="F27" s="2">
        <v>1833.62</v>
      </c>
      <c r="G27" s="3"/>
      <c r="H27" s="2">
        <v>2268.89</v>
      </c>
      <c r="I27" s="3"/>
      <c r="J27" s="2">
        <v>1422.09</v>
      </c>
      <c r="K27" s="3"/>
      <c r="L27" s="2">
        <v>1577.59</v>
      </c>
      <c r="M27" s="3"/>
      <c r="N27" s="2">
        <v>1232.5899999999999</v>
      </c>
      <c r="O27" s="3"/>
      <c r="P27" s="2"/>
      <c r="Q27" s="3"/>
      <c r="R27" s="2"/>
    </row>
    <row r="28" spans="1:18" s="15" customFormat="1" outlineLevel="1" collapsed="1" x14ac:dyDescent="0.35">
      <c r="A28" s="7"/>
      <c r="B28" s="20" t="str">
        <f>CONCATENATE("     ","*Payroll                                          ")</f>
        <v xml:space="preserve">     *Payroll                                          </v>
      </c>
      <c r="C28" s="7"/>
      <c r="D28" s="1">
        <f>SUM(OSRRefD21_1x_0)</f>
        <v>0</v>
      </c>
      <c r="E28" s="19"/>
      <c r="F28" s="1">
        <f>SUM(OSRRefF21_1x_0)</f>
        <v>95876</v>
      </c>
      <c r="G28" s="4"/>
      <c r="H28" s="1">
        <f>SUM(OSRRefH21_1x_0)</f>
        <v>95215.8</v>
      </c>
      <c r="I28" s="4"/>
      <c r="J28" s="1">
        <f>SUM(OSRRefJ21_1x_0)</f>
        <v>84106.51</v>
      </c>
      <c r="K28" s="4"/>
      <c r="L28" s="1">
        <f>SUM(OSRRefL21_1x_0)</f>
        <v>93312.04</v>
      </c>
      <c r="M28" s="4"/>
      <c r="N28" s="1">
        <f>SUM(OSRRefN21_1x_0)</f>
        <v>100143.27</v>
      </c>
      <c r="O28" s="4"/>
      <c r="P28" s="1">
        <f>SUM(OSRRefP21_1x_0)</f>
        <v>110631.3</v>
      </c>
      <c r="Q28" s="4"/>
      <c r="R28" s="1">
        <f>SUM(OSRRefR21_1x_0)</f>
        <v>112290.76949999999</v>
      </c>
    </row>
    <row r="29" spans="1:18" s="16" customFormat="1" hidden="1" outlineLevel="2" x14ac:dyDescent="0.35">
      <c r="B29" s="11" t="str">
        <f>CONCATENATE("          ", "6001", " - ", "ADMINISTRATIVE SALARIES")</f>
        <v xml:space="preserve">          6001 - ADMINISTRATIVE SALARIES</v>
      </c>
      <c r="D29" s="2"/>
      <c r="F29" s="2">
        <v>95840</v>
      </c>
      <c r="G29" s="3"/>
      <c r="H29" s="2">
        <v>95215.8</v>
      </c>
      <c r="I29" s="3"/>
      <c r="J29" s="2">
        <v>84106.51</v>
      </c>
      <c r="K29" s="3"/>
      <c r="L29" s="2">
        <v>93312.04</v>
      </c>
      <c r="M29" s="3"/>
      <c r="N29" s="2">
        <v>100143.27</v>
      </c>
      <c r="O29" s="3"/>
      <c r="P29" s="2">
        <v>0</v>
      </c>
      <c r="Q29" s="3"/>
      <c r="R29" s="2">
        <v>0</v>
      </c>
    </row>
    <row r="30" spans="1:18" s="16" customFormat="1" hidden="1" outlineLevel="2" x14ac:dyDescent="0.35">
      <c r="B30" s="11" t="str">
        <f>CONCATENATE("          ", "6002", " - ", "STAFF SALARIES")</f>
        <v xml:space="preserve">          6002 - STAFF SALARIES</v>
      </c>
      <c r="D30" s="2"/>
      <c r="F30" s="2"/>
      <c r="G30" s="3"/>
      <c r="H30" s="2"/>
      <c r="I30" s="3"/>
      <c r="J30" s="2"/>
      <c r="K30" s="3"/>
      <c r="L30" s="2"/>
      <c r="M30" s="3"/>
      <c r="N30" s="2"/>
      <c r="O30" s="3"/>
      <c r="P30" s="2">
        <v>110631.3</v>
      </c>
      <c r="Q30" s="3"/>
      <c r="R30" s="2">
        <v>112290.76949999999</v>
      </c>
    </row>
    <row r="31" spans="1:18" s="16" customFormat="1" hidden="1" outlineLevel="2" x14ac:dyDescent="0.35">
      <c r="B31" s="11" t="str">
        <f>CONCATENATE("          ", "6003", " - ", "STAFF HOURLY-9 MONTH")</f>
        <v xml:space="preserve">          6003 - STAFF HOURLY-9 MONTH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"6004", " - ", "STAFF HOURLY")</f>
        <v xml:space="preserve">          6004 - STAFF HOURLY</v>
      </c>
      <c r="D32" s="2"/>
      <c r="F32" s="2"/>
      <c r="G32" s="3"/>
      <c r="H32" s="2"/>
      <c r="I32" s="3"/>
      <c r="J32" s="2"/>
      <c r="K32" s="3"/>
      <c r="L32" s="2"/>
      <c r="M32" s="3"/>
      <c r="N32" s="2"/>
      <c r="O32" s="3"/>
      <c r="P32" s="2">
        <v>0</v>
      </c>
      <c r="Q32" s="3"/>
      <c r="R32" s="2">
        <v>0</v>
      </c>
    </row>
    <row r="33" spans="1:18" s="16" customFormat="1" hidden="1" outlineLevel="2" x14ac:dyDescent="0.35">
      <c r="B33" s="11" t="str">
        <f>CONCATENATE("          ", "6005", " - ", "TEMPORARY WAGES-HOURLY")</f>
        <v xml:space="preserve">          6005 - TEMPORARY WAGES-HOURLY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"6006", " - ", "TEMPORARY PART TIME")</f>
        <v xml:space="preserve">          6006 - TEMPORARY PART TIME</v>
      </c>
      <c r="D34" s="2"/>
      <c r="F34" s="2"/>
      <c r="G34" s="3"/>
      <c r="H34" s="2"/>
      <c r="I34" s="3"/>
      <c r="J34" s="2"/>
      <c r="K34" s="3"/>
      <c r="L34" s="2"/>
      <c r="M34" s="3"/>
      <c r="N34" s="2"/>
      <c r="O34" s="3"/>
      <c r="P34" s="2">
        <v>0</v>
      </c>
      <c r="Q34" s="3"/>
      <c r="R34" s="2">
        <v>0</v>
      </c>
    </row>
    <row r="35" spans="1:18" s="16" customFormat="1" hidden="1" outlineLevel="2" x14ac:dyDescent="0.35">
      <c r="B35" s="11" t="str">
        <f>CONCATENATE("          ", "6007", " - ", "STUDENT HOURLY")</f>
        <v xml:space="preserve">          6007 - STUDENT HOURLY</v>
      </c>
      <c r="D35" s="2"/>
      <c r="F35" s="2">
        <v>36</v>
      </c>
      <c r="G35" s="3"/>
      <c r="H35" s="2"/>
      <c r="I35" s="3"/>
      <c r="J35" s="2"/>
      <c r="K35" s="3"/>
      <c r="L35" s="2"/>
      <c r="M35" s="3"/>
      <c r="N35" s="2"/>
      <c r="O35" s="3"/>
      <c r="P35" s="2">
        <v>0</v>
      </c>
      <c r="Q35" s="3"/>
      <c r="R35" s="2">
        <v>0</v>
      </c>
    </row>
    <row r="36" spans="1:18" s="16" customFormat="1" hidden="1" outlineLevel="2" x14ac:dyDescent="0.35">
      <c r="B36" s="11" t="str">
        <f>CONCATENATE("          ", "6008", " - ", "STUDENT HOURLY-FICA EXEMPT")</f>
        <v xml:space="preserve">          6008 - STUDENT HOURLY-FICA EXEMPT</v>
      </c>
      <c r="D36" s="2"/>
      <c r="F36" s="2"/>
      <c r="G36" s="3"/>
      <c r="H36" s="2"/>
      <c r="I36" s="3"/>
      <c r="J36" s="2"/>
      <c r="K36" s="3"/>
      <c r="L36" s="2"/>
      <c r="M36" s="3"/>
      <c r="N36" s="2"/>
      <c r="O36" s="3"/>
      <c r="P36" s="2">
        <v>0</v>
      </c>
      <c r="Q36" s="3"/>
      <c r="R36" s="2">
        <v>0</v>
      </c>
    </row>
    <row r="37" spans="1:18" s="16" customFormat="1" hidden="1" outlineLevel="2" x14ac:dyDescent="0.35">
      <c r="B37" s="11" t="str">
        <f>CONCATENATE("          ", "6009", " - ", "TEMPORARY-SEASONAL")</f>
        <v xml:space="preserve">          6009 - TEMPORARY-SEASONAL</v>
      </c>
      <c r="D37" s="2"/>
      <c r="F37" s="2"/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"6010", " - ", "GRATUITY")</f>
        <v xml:space="preserve">          6010 - GRATUITY</v>
      </c>
      <c r="D38" s="2"/>
      <c r="F38" s="2"/>
      <c r="G38" s="3"/>
      <c r="H38" s="2"/>
      <c r="I38" s="3"/>
      <c r="J38" s="2"/>
      <c r="K38" s="3"/>
      <c r="L38" s="2"/>
      <c r="M38" s="3"/>
      <c r="N38" s="2"/>
      <c r="O38" s="3"/>
      <c r="P38" s="2">
        <v>0</v>
      </c>
      <c r="Q38" s="3"/>
      <c r="R38" s="2">
        <v>0</v>
      </c>
    </row>
    <row r="39" spans="1:18" s="15" customFormat="1" outlineLevel="1" collapsed="1" x14ac:dyDescent="0.35">
      <c r="A39" s="7"/>
      <c r="B39" s="20" t="str">
        <f>CONCATENATE("     ","Advertising/Promo                                 ")</f>
        <v xml:space="preserve">     Advertising/Promo                                 </v>
      </c>
      <c r="C39" s="7"/>
      <c r="D39" s="1">
        <f>SUM(OSRRefD21_2x_0)</f>
        <v>0</v>
      </c>
      <c r="E39" s="19"/>
      <c r="F39" s="1">
        <f>SUM(OSRRefF21_2x_0)</f>
        <v>236.15</v>
      </c>
      <c r="G39" s="4"/>
      <c r="H39" s="1">
        <f>SUM(OSRRefH21_2x_0)</f>
        <v>281.58999999999997</v>
      </c>
      <c r="I39" s="4"/>
      <c r="J39" s="1">
        <f>SUM(OSRRefJ21_2x_0)</f>
        <v>619.26</v>
      </c>
      <c r="K39" s="4"/>
      <c r="L39" s="1">
        <f>SUM(OSRRefL21_2x_0)</f>
        <v>0</v>
      </c>
      <c r="M39" s="4"/>
      <c r="N39" s="1">
        <f>SUM(OSRRefN21_2x_0)</f>
        <v>0</v>
      </c>
      <c r="O39" s="4"/>
      <c r="P39" s="1">
        <f>SUM(OSRRefP21_2x_0)</f>
        <v>0</v>
      </c>
      <c r="Q39" s="4"/>
      <c r="R39" s="1">
        <f>SUM(OSRRefR21_2x_0)</f>
        <v>0</v>
      </c>
    </row>
    <row r="40" spans="1:18" s="16" customFormat="1" hidden="1" outlineLevel="2" x14ac:dyDescent="0.35">
      <c r="B40" s="11" t="str">
        <f>CONCATENATE("          ", "6362", " - ", "ADVERTISING EXPENSE")</f>
        <v xml:space="preserve">          6362 - ADVERTISING EXPENSE</v>
      </c>
      <c r="D40" s="2"/>
      <c r="F40" s="2">
        <v>236.15</v>
      </c>
      <c r="G40" s="3"/>
      <c r="H40" s="2">
        <v>281.58999999999997</v>
      </c>
      <c r="I40" s="3"/>
      <c r="J40" s="2">
        <v>619.26</v>
      </c>
      <c r="K40" s="3"/>
      <c r="L40" s="2"/>
      <c r="M40" s="3"/>
      <c r="N40" s="2"/>
      <c r="O40" s="3"/>
      <c r="P40" s="2"/>
      <c r="Q40" s="3"/>
      <c r="R40" s="2"/>
    </row>
    <row r="41" spans="1:18" s="15" customFormat="1" outlineLevel="1" collapsed="1" x14ac:dyDescent="0.35">
      <c r="A41" s="7"/>
      <c r="B41" s="20" t="str">
        <f>CONCATENATE("     ","Donations                                         ")</f>
        <v xml:space="preserve">     Donations                                         </v>
      </c>
      <c r="C41" s="7"/>
      <c r="D41" s="1">
        <f>SUM(OSRRefD21_3x_0)</f>
        <v>0</v>
      </c>
      <c r="E41" s="19"/>
      <c r="F41" s="1">
        <f>SUM(OSRRefF21_3x_0)</f>
        <v>0</v>
      </c>
      <c r="G41" s="4"/>
      <c r="H41" s="1">
        <f>SUM(OSRRefH21_3x_0)</f>
        <v>0</v>
      </c>
      <c r="I41" s="4"/>
      <c r="J41" s="1">
        <f>SUM(OSRRefJ21_3x_0)</f>
        <v>0</v>
      </c>
      <c r="K41" s="4"/>
      <c r="L41" s="1">
        <f>SUM(OSRRefL21_3x_0)</f>
        <v>276</v>
      </c>
      <c r="M41" s="4"/>
      <c r="N41" s="1">
        <f>SUM(OSRRefN21_3x_0)</f>
        <v>0</v>
      </c>
      <c r="O41" s="4"/>
      <c r="P41" s="1">
        <f>SUM(OSRRefP21_3x_0)</f>
        <v>0</v>
      </c>
      <c r="Q41" s="4"/>
      <c r="R41" s="1">
        <f>SUM(OSRRefR21_3x_0)</f>
        <v>0</v>
      </c>
    </row>
    <row r="42" spans="1:18" s="16" customFormat="1" hidden="1" outlineLevel="2" x14ac:dyDescent="0.35">
      <c r="B42" s="11" t="str">
        <f>CONCATENATE("          ", "6399", " - ", "DONATION-ON CAMPUS")</f>
        <v xml:space="preserve">          6399 - DONATION-ON CAMPUS</v>
      </c>
      <c r="D42" s="2"/>
      <c r="F42" s="2"/>
      <c r="G42" s="3"/>
      <c r="H42" s="2"/>
      <c r="I42" s="3"/>
      <c r="J42" s="2"/>
      <c r="K42" s="3"/>
      <c r="L42" s="2">
        <v>276</v>
      </c>
      <c r="M42" s="3"/>
      <c r="N42" s="2"/>
      <c r="O42" s="3"/>
      <c r="P42" s="2"/>
      <c r="Q42" s="3"/>
      <c r="R42" s="2"/>
    </row>
    <row r="43" spans="1:18" s="15" customFormat="1" outlineLevel="1" collapsed="1" x14ac:dyDescent="0.35">
      <c r="A43" s="7"/>
      <c r="B43" s="20" t="str">
        <f>CONCATENATE("     ","Employees' Appreciation                           ")</f>
        <v xml:space="preserve">     Employees' Appreciation                           </v>
      </c>
      <c r="C43" s="7"/>
      <c r="D43" s="1">
        <f>SUM(OSRRefD21_4x_0)</f>
        <v>0</v>
      </c>
      <c r="E43" s="19"/>
      <c r="F43" s="1">
        <f>SUM(OSRRefF21_4x_0)</f>
        <v>0</v>
      </c>
      <c r="G43" s="4"/>
      <c r="H43" s="1">
        <f>SUM(OSRRefH21_4x_0)</f>
        <v>0</v>
      </c>
      <c r="I43" s="4"/>
      <c r="J43" s="1">
        <f>SUM(OSRRefJ21_4x_0)</f>
        <v>633.73</v>
      </c>
      <c r="K43" s="4"/>
      <c r="L43" s="1">
        <f>SUM(OSRRefL21_4x_0)</f>
        <v>950.9</v>
      </c>
      <c r="M43" s="4"/>
      <c r="N43" s="1">
        <f>SUM(OSRRefN21_4x_0)</f>
        <v>0</v>
      </c>
      <c r="O43" s="4"/>
      <c r="P43" s="1">
        <f>SUM(OSRRefP21_4x_0)</f>
        <v>0</v>
      </c>
      <c r="Q43" s="4"/>
      <c r="R43" s="1">
        <f>SUM(OSRRefR21_4x_0)</f>
        <v>0</v>
      </c>
    </row>
    <row r="44" spans="1:18" s="16" customFormat="1" hidden="1" outlineLevel="2" x14ac:dyDescent="0.35">
      <c r="B44" s="11" t="str">
        <f>CONCATENATE("          ", "6277", " - ", "EMPLOYEE APPRECIATION")</f>
        <v xml:space="preserve">          6277 - EMPLOYEE APPRECIATION</v>
      </c>
      <c r="D44" s="2"/>
      <c r="F44" s="2"/>
      <c r="G44" s="3"/>
      <c r="H44" s="2"/>
      <c r="I44" s="3"/>
      <c r="J44" s="2">
        <v>633.73</v>
      </c>
      <c r="K44" s="3"/>
      <c r="L44" s="2">
        <v>950.9</v>
      </c>
      <c r="M44" s="3"/>
      <c r="N44" s="2"/>
      <c r="O44" s="3"/>
      <c r="P44" s="2"/>
      <c r="Q44" s="3"/>
      <c r="R44" s="2"/>
    </row>
    <row r="45" spans="1:18" s="15" customFormat="1" outlineLevel="1" collapsed="1" x14ac:dyDescent="0.35">
      <c r="A45" s="7"/>
      <c r="B45" s="20" t="str">
        <f>CONCATENATE("     ","General                                           ")</f>
        <v xml:space="preserve">     General                                           </v>
      </c>
      <c r="C45" s="7"/>
      <c r="D45" s="1">
        <f>SUM(OSRRefD21_5x_0)</f>
        <v>0</v>
      </c>
      <c r="E45" s="19"/>
      <c r="F45" s="1">
        <f>SUM(OSRRefF21_5x_0)</f>
        <v>78</v>
      </c>
      <c r="G45" s="4"/>
      <c r="H45" s="1">
        <f>SUM(OSRRefH21_5x_0)</f>
        <v>769.9</v>
      </c>
      <c r="I45" s="4"/>
      <c r="J45" s="1">
        <f>SUM(OSRRefJ21_5x_0)</f>
        <v>330.27</v>
      </c>
      <c r="K45" s="4"/>
      <c r="L45" s="1">
        <f>SUM(OSRRefL21_5x_0)</f>
        <v>323.31</v>
      </c>
      <c r="M45" s="4"/>
      <c r="N45" s="1">
        <f>SUM(OSRRefN21_5x_0)</f>
        <v>293.82</v>
      </c>
      <c r="O45" s="4"/>
      <c r="P45" s="1">
        <f>SUM(OSRRefP21_5x_0)</f>
        <v>0</v>
      </c>
      <c r="Q45" s="4"/>
      <c r="R45" s="1">
        <f>SUM(OSRRefR21_5x_0)</f>
        <v>2400</v>
      </c>
    </row>
    <row r="46" spans="1:18" s="16" customFormat="1" hidden="1" outlineLevel="2" x14ac:dyDescent="0.35">
      <c r="B46" s="11" t="str">
        <f>CONCATENATE("          ", "6279", " - ", "GENERAL EXPENSE")</f>
        <v xml:space="preserve">          6279 - GENERAL EXPENSE</v>
      </c>
      <c r="D46" s="2"/>
      <c r="F46" s="2">
        <v>78</v>
      </c>
      <c r="G46" s="3"/>
      <c r="H46" s="2">
        <v>769.9</v>
      </c>
      <c r="I46" s="3"/>
      <c r="J46" s="2">
        <v>330.27</v>
      </c>
      <c r="K46" s="3"/>
      <c r="L46" s="2">
        <v>323.31</v>
      </c>
      <c r="M46" s="3"/>
      <c r="N46" s="2">
        <v>293.82</v>
      </c>
      <c r="O46" s="3"/>
      <c r="P46" s="2"/>
      <c r="Q46" s="3"/>
      <c r="R46" s="2">
        <v>2400</v>
      </c>
    </row>
    <row r="47" spans="1:18" s="15" customFormat="1" outlineLevel="1" collapsed="1" x14ac:dyDescent="0.35">
      <c r="A47" s="7"/>
      <c r="B47" s="20" t="str">
        <f>CONCATENATE("     ","Professional Services                             ")</f>
        <v xml:space="preserve">     Professional Services                             </v>
      </c>
      <c r="C47" s="7"/>
      <c r="D47" s="1">
        <f>SUM(OSRRefD21_6x_0)</f>
        <v>0</v>
      </c>
      <c r="E47" s="19"/>
      <c r="F47" s="1">
        <f>SUM(OSRRefF21_6x_0)</f>
        <v>500</v>
      </c>
      <c r="G47" s="4"/>
      <c r="H47" s="1">
        <f>SUM(OSRRefH21_6x_0)</f>
        <v>0</v>
      </c>
      <c r="I47" s="4"/>
      <c r="J47" s="1">
        <f>SUM(OSRRefJ21_6x_0)</f>
        <v>0</v>
      </c>
      <c r="K47" s="4"/>
      <c r="L47" s="1">
        <f>SUM(OSRRefL21_6x_0)</f>
        <v>0</v>
      </c>
      <c r="M47" s="4"/>
      <c r="N47" s="1">
        <f>SUM(OSRRefN21_6x_0)</f>
        <v>0</v>
      </c>
      <c r="O47" s="4"/>
      <c r="P47" s="1">
        <f>SUM(OSRRefP21_6x_0)</f>
        <v>0</v>
      </c>
      <c r="Q47" s="4"/>
      <c r="R47" s="1">
        <f>SUM(OSRRefR21_6x_0)</f>
        <v>0</v>
      </c>
    </row>
    <row r="48" spans="1:18" s="16" customFormat="1" hidden="1" outlineLevel="2" x14ac:dyDescent="0.35">
      <c r="B48" s="11" t="str">
        <f>CONCATENATE("          ", "6332", " - ", "CONSULTANT FEES")</f>
        <v xml:space="preserve">          6332 - CONSULTANT FEES</v>
      </c>
      <c r="D48" s="2"/>
      <c r="F48" s="2">
        <v>500</v>
      </c>
      <c r="G48" s="3"/>
      <c r="H48" s="2"/>
      <c r="I48" s="3"/>
      <c r="J48" s="2"/>
      <c r="K48" s="3"/>
      <c r="L48" s="2"/>
      <c r="M48" s="3"/>
      <c r="N48" s="2"/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","Repair and Maintenance                            ")</f>
        <v xml:space="preserve">     Repair and Maintenance                            </v>
      </c>
      <c r="C49" s="7"/>
      <c r="D49" s="1">
        <f>SUM(OSRRefD21_7x_0)</f>
        <v>0</v>
      </c>
      <c r="E49" s="19"/>
      <c r="F49" s="1">
        <f>SUM(OSRRefF21_7x_0)</f>
        <v>0</v>
      </c>
      <c r="G49" s="4"/>
      <c r="H49" s="1">
        <f>SUM(OSRRefH21_7x_0)</f>
        <v>0</v>
      </c>
      <c r="I49" s="4"/>
      <c r="J49" s="1">
        <f>SUM(OSRRefJ21_7x_0)</f>
        <v>0</v>
      </c>
      <c r="K49" s="4"/>
      <c r="L49" s="1">
        <f>SUM(OSRRefL21_7x_0)</f>
        <v>0</v>
      </c>
      <c r="M49" s="4"/>
      <c r="N49" s="1">
        <f>SUM(OSRRefN21_7x_0)</f>
        <v>46585.43</v>
      </c>
      <c r="O49" s="4"/>
      <c r="P49" s="1">
        <f>SUM(OSRRefP21_7x_0)</f>
        <v>40245</v>
      </c>
      <c r="Q49" s="4"/>
      <c r="R49" s="1">
        <f>SUM(OSRRefR21_7x_0)</f>
        <v>42000</v>
      </c>
    </row>
    <row r="50" spans="1:18" s="16" customFormat="1" hidden="1" outlineLevel="2" x14ac:dyDescent="0.35">
      <c r="B50" s="11" t="str">
        <f>CONCATENATE("          ", "6371", " - ", "COMPUTER SOFTWARE MAINTENANCE")</f>
        <v xml:space="preserve">          6371 - COMPUTER SOFTWARE MAINTENANCE</v>
      </c>
      <c r="D50" s="2"/>
      <c r="F50" s="2"/>
      <c r="G50" s="3"/>
      <c r="H50" s="2"/>
      <c r="I50" s="3"/>
      <c r="J50" s="2"/>
      <c r="K50" s="3"/>
      <c r="L50" s="2"/>
      <c r="M50" s="3"/>
      <c r="N50" s="2">
        <v>46585.43</v>
      </c>
      <c r="O50" s="3"/>
      <c r="P50" s="2">
        <v>40245</v>
      </c>
      <c r="Q50" s="3"/>
      <c r="R50" s="2">
        <v>42000</v>
      </c>
    </row>
    <row r="51" spans="1:18" s="15" customFormat="1" outlineLevel="1" collapsed="1" x14ac:dyDescent="0.35">
      <c r="A51" s="7"/>
      <c r="B51" s="20" t="str">
        <f>CONCATENATE("     ","Supplies                                          ")</f>
        <v xml:space="preserve">     Supplies                                          </v>
      </c>
      <c r="C51" s="7"/>
      <c r="D51" s="1">
        <f>SUM(OSRRefD21_8x_0)</f>
        <v>0</v>
      </c>
      <c r="E51" s="19"/>
      <c r="F51" s="1">
        <f>SUM(OSRRefF21_8x_0)</f>
        <v>2084.81</v>
      </c>
      <c r="G51" s="4"/>
      <c r="H51" s="1">
        <f>SUM(OSRRefH21_8x_0)</f>
        <v>5973.12</v>
      </c>
      <c r="I51" s="4"/>
      <c r="J51" s="1">
        <f>SUM(OSRRefJ21_8x_0)</f>
        <v>3125.42</v>
      </c>
      <c r="K51" s="4"/>
      <c r="L51" s="1">
        <f>SUM(OSRRefL21_8x_0)</f>
        <v>1661.26</v>
      </c>
      <c r="M51" s="4"/>
      <c r="N51" s="1">
        <f>SUM(OSRRefN21_8x_0)</f>
        <v>4729.8899999999994</v>
      </c>
      <c r="O51" s="4"/>
      <c r="P51" s="1">
        <f>SUM(OSRRefP21_8x_0)</f>
        <v>4800</v>
      </c>
      <c r="Q51" s="4"/>
      <c r="R51" s="1">
        <f>SUM(OSRRefR21_8x_0)</f>
        <v>4100</v>
      </c>
    </row>
    <row r="52" spans="1:18" s="16" customFormat="1" hidden="1" outlineLevel="2" x14ac:dyDescent="0.35">
      <c r="B52" s="11" t="str">
        <f>CONCATENATE("          ", "6234", " - ", "EXPENDABLE SUPPLIES &amp; EQUIPMEN")</f>
        <v xml:space="preserve">          6234 - EXPENDABLE SUPPLIES &amp; EQUIPMEN</v>
      </c>
      <c r="D52" s="2"/>
      <c r="F52" s="2"/>
      <c r="G52" s="3"/>
      <c r="H52" s="2"/>
      <c r="I52" s="3"/>
      <c r="J52" s="2"/>
      <c r="K52" s="3"/>
      <c r="L52" s="2"/>
      <c r="M52" s="3"/>
      <c r="N52" s="2"/>
      <c r="O52" s="3"/>
      <c r="P52" s="2">
        <v>1200</v>
      </c>
      <c r="Q52" s="3"/>
      <c r="R52" s="2">
        <v>4100</v>
      </c>
    </row>
    <row r="53" spans="1:18" s="16" customFormat="1" hidden="1" outlineLevel="2" x14ac:dyDescent="0.35">
      <c r="B53" s="11" t="str">
        <f>CONCATENATE("          ", "6235", " - ", "COVID-19 EXPENSES")</f>
        <v xml:space="preserve">          6235 - COVID-19 EXPENSES</v>
      </c>
      <c r="D53" s="2"/>
      <c r="F53" s="2"/>
      <c r="G53" s="3"/>
      <c r="H53" s="2"/>
      <c r="I53" s="3"/>
      <c r="J53" s="2"/>
      <c r="K53" s="3"/>
      <c r="L53" s="2"/>
      <c r="M53" s="3"/>
      <c r="N53" s="2">
        <v>529.20000000000005</v>
      </c>
      <c r="O53" s="3"/>
      <c r="P53" s="2">
        <v>2400</v>
      </c>
      <c r="Q53" s="3"/>
      <c r="R53" s="2"/>
    </row>
    <row r="54" spans="1:18" s="16" customFormat="1" hidden="1" outlineLevel="2" x14ac:dyDescent="0.35">
      <c r="B54" s="11" t="str">
        <f>CONCATENATE("          ", "6239", " - ", "KITCHEN SUPPLIES")</f>
        <v xml:space="preserve">          6239 - KITCHEN SUPPLIES</v>
      </c>
      <c r="D54" s="2"/>
      <c r="F54" s="2"/>
      <c r="G54" s="3"/>
      <c r="H54" s="2">
        <v>857.42</v>
      </c>
      <c r="I54" s="3"/>
      <c r="J54" s="2"/>
      <c r="K54" s="3"/>
      <c r="L54" s="2"/>
      <c r="M54" s="3"/>
      <c r="N54" s="2"/>
      <c r="O54" s="3"/>
      <c r="P54" s="2"/>
      <c r="Q54" s="3"/>
      <c r="R54" s="2"/>
    </row>
    <row r="55" spans="1:18" s="16" customFormat="1" hidden="1" outlineLevel="2" x14ac:dyDescent="0.35">
      <c r="B55" s="11" t="str">
        <f>CONCATENATE("          ", "6241", " - ", "OFFICE EXPENSE")</f>
        <v xml:space="preserve">          6241 - OFFICE EXPENSE</v>
      </c>
      <c r="D55" s="2"/>
      <c r="F55" s="2">
        <v>2084.81</v>
      </c>
      <c r="G55" s="3"/>
      <c r="H55" s="2">
        <v>5115.7</v>
      </c>
      <c r="I55" s="3"/>
      <c r="J55" s="2">
        <v>2842.33</v>
      </c>
      <c r="K55" s="3"/>
      <c r="L55" s="2">
        <v>786.37</v>
      </c>
      <c r="M55" s="3"/>
      <c r="N55" s="2">
        <v>4200.6899999999996</v>
      </c>
      <c r="O55" s="3"/>
      <c r="P55" s="2">
        <v>1200</v>
      </c>
      <c r="Q55" s="3"/>
      <c r="R55" s="2"/>
    </row>
    <row r="56" spans="1:18" s="16" customFormat="1" hidden="1" outlineLevel="2" x14ac:dyDescent="0.35">
      <c r="B56" s="11" t="str">
        <f>CONCATENATE("          ", "6245", " - ", "PRINTING")</f>
        <v xml:space="preserve">          6245 - PRINTING</v>
      </c>
      <c r="D56" s="2"/>
      <c r="F56" s="2"/>
      <c r="G56" s="3"/>
      <c r="H56" s="2"/>
      <c r="I56" s="3"/>
      <c r="J56" s="2">
        <v>283.08999999999997</v>
      </c>
      <c r="K56" s="3"/>
      <c r="L56" s="2">
        <v>874.89</v>
      </c>
      <c r="M56" s="3"/>
      <c r="N56" s="2"/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","Telephone/Data Lines                              ")</f>
        <v xml:space="preserve">     Telephone/Data Lines                              </v>
      </c>
      <c r="C57" s="7"/>
      <c r="D57" s="1">
        <f>SUM(OSRRefD21_9x_0)</f>
        <v>0</v>
      </c>
      <c r="E57" s="19"/>
      <c r="F57" s="1">
        <f>SUM(OSRRefF21_9x_0)</f>
        <v>1033.1500000000001</v>
      </c>
      <c r="G57" s="4"/>
      <c r="H57" s="1">
        <f>SUM(OSRRefH21_9x_0)</f>
        <v>999.07</v>
      </c>
      <c r="I57" s="4"/>
      <c r="J57" s="1">
        <f>SUM(OSRRefJ21_9x_0)</f>
        <v>635.16</v>
      </c>
      <c r="K57" s="4"/>
      <c r="L57" s="1">
        <f>SUM(OSRRefL21_9x_0)</f>
        <v>1510</v>
      </c>
      <c r="M57" s="4"/>
      <c r="N57" s="1">
        <f>SUM(OSRRefN21_9x_0)</f>
        <v>-400</v>
      </c>
      <c r="O57" s="4"/>
      <c r="P57" s="1">
        <f>SUM(OSRRefP21_9x_0)</f>
        <v>1200</v>
      </c>
      <c r="Q57" s="4"/>
      <c r="R57" s="1">
        <f>SUM(OSRRefR21_9x_0)</f>
        <v>1000</v>
      </c>
    </row>
    <row r="58" spans="1:18" s="16" customFormat="1" hidden="1" outlineLevel="2" x14ac:dyDescent="0.35">
      <c r="B58" s="11" t="str">
        <f>CONCATENATE("          ", "6303", " - ", "DATA PHONE LINES")</f>
        <v xml:space="preserve">          6303 - DATA PHONE LINES</v>
      </c>
      <c r="D58" s="2"/>
      <c r="F58" s="2"/>
      <c r="G58" s="3"/>
      <c r="H58" s="2"/>
      <c r="I58" s="3"/>
      <c r="J58" s="2"/>
      <c r="K58" s="3"/>
      <c r="L58" s="2"/>
      <c r="M58" s="3"/>
      <c r="N58" s="2"/>
      <c r="O58" s="3"/>
      <c r="P58" s="2">
        <v>600</v>
      </c>
      <c r="Q58" s="3"/>
      <c r="R58" s="2">
        <v>700</v>
      </c>
    </row>
    <row r="59" spans="1:18" s="16" customFormat="1" hidden="1" outlineLevel="2" x14ac:dyDescent="0.35">
      <c r="B59" s="11" t="str">
        <f>CONCATENATE("          ", "6309", " - ", "TELEPHONE")</f>
        <v xml:space="preserve">          6309 - TELEPHONE</v>
      </c>
      <c r="D59" s="2"/>
      <c r="F59" s="2">
        <v>1033.1500000000001</v>
      </c>
      <c r="G59" s="3"/>
      <c r="H59" s="2">
        <v>999.07</v>
      </c>
      <c r="I59" s="3"/>
      <c r="J59" s="2">
        <v>635.16</v>
      </c>
      <c r="K59" s="3"/>
      <c r="L59" s="2">
        <v>1510</v>
      </c>
      <c r="M59" s="3"/>
      <c r="N59" s="2">
        <v>-400</v>
      </c>
      <c r="O59" s="3"/>
      <c r="P59" s="2">
        <v>600</v>
      </c>
      <c r="Q59" s="3"/>
      <c r="R59" s="2">
        <v>300</v>
      </c>
    </row>
    <row r="60" spans="1:18" s="15" customFormat="1" outlineLevel="1" collapsed="1" x14ac:dyDescent="0.35">
      <c r="A60" s="7"/>
      <c r="B60" s="20" t="str">
        <f>CONCATENATE("     ","Training                                          ")</f>
        <v xml:space="preserve">     Training                                          </v>
      </c>
      <c r="C60" s="7"/>
      <c r="D60" s="1">
        <f>SUM(OSRRefD21_10x_0)</f>
        <v>0</v>
      </c>
      <c r="E60" s="19"/>
      <c r="F60" s="1">
        <f>SUM(OSRRefF21_10x_0)</f>
        <v>4546.45</v>
      </c>
      <c r="G60" s="4"/>
      <c r="H60" s="1">
        <f>SUM(OSRRefH21_10x_0)</f>
        <v>17730.580000000002</v>
      </c>
      <c r="I60" s="4"/>
      <c r="J60" s="1">
        <f>SUM(OSRRefJ21_10x_0)</f>
        <v>4318.54</v>
      </c>
      <c r="K60" s="4"/>
      <c r="L60" s="1">
        <f>SUM(OSRRefL21_10x_0)</f>
        <v>6635.8</v>
      </c>
      <c r="M60" s="4"/>
      <c r="N60" s="1">
        <f>SUM(OSRRefN21_10x_0)</f>
        <v>2950.22</v>
      </c>
      <c r="O60" s="4"/>
      <c r="P60" s="1">
        <f>SUM(OSRRefP21_10x_0)</f>
        <v>2400</v>
      </c>
      <c r="Q60" s="4"/>
      <c r="R60" s="1">
        <f>SUM(OSRRefR21_10x_0)</f>
        <v>3600</v>
      </c>
    </row>
    <row r="61" spans="1:18" s="16" customFormat="1" hidden="1" outlineLevel="2" x14ac:dyDescent="0.35">
      <c r="B61" s="11" t="str">
        <f>CONCATENATE("          ", "6376", " - ", "TRAINING")</f>
        <v xml:space="preserve">          6376 - TRAINING</v>
      </c>
      <c r="D61" s="2"/>
      <c r="F61" s="2">
        <v>4546.45</v>
      </c>
      <c r="G61" s="3"/>
      <c r="H61" s="2">
        <v>17730.580000000002</v>
      </c>
      <c r="I61" s="3"/>
      <c r="J61" s="2">
        <v>4318.54</v>
      </c>
      <c r="K61" s="3"/>
      <c r="L61" s="2">
        <v>6635.8</v>
      </c>
      <c r="M61" s="3"/>
      <c r="N61" s="2">
        <v>2950.22</v>
      </c>
      <c r="O61" s="3"/>
      <c r="P61" s="2">
        <v>2400</v>
      </c>
      <c r="Q61" s="3"/>
      <c r="R61" s="2">
        <v>3600</v>
      </c>
    </row>
    <row r="62" spans="1:18" s="15" customFormat="1" outlineLevel="1" collapsed="1" x14ac:dyDescent="0.35">
      <c r="A62" s="7"/>
      <c r="B62" s="20" t="str">
        <f>CONCATENATE("     ","Travel                                            ")</f>
        <v xml:space="preserve">     Travel                                            </v>
      </c>
      <c r="C62" s="7"/>
      <c r="D62" s="1">
        <f>SUM(OSRRefD21_11x_0)</f>
        <v>0</v>
      </c>
      <c r="E62" s="19"/>
      <c r="F62" s="1">
        <f>SUM(OSRRefF21_11x_0)</f>
        <v>2291.7800000000002</v>
      </c>
      <c r="G62" s="4"/>
      <c r="H62" s="1">
        <f>SUM(OSRRefH21_11x_0)</f>
        <v>2842.94</v>
      </c>
      <c r="I62" s="4"/>
      <c r="J62" s="1">
        <f>SUM(OSRRefJ21_11x_0)</f>
        <v>1865.88</v>
      </c>
      <c r="K62" s="4"/>
      <c r="L62" s="1">
        <f>SUM(OSRRefL21_11x_0)</f>
        <v>1858.61</v>
      </c>
      <c r="M62" s="4"/>
      <c r="N62" s="1">
        <f>SUM(OSRRefN21_11x_0)</f>
        <v>325.75</v>
      </c>
      <c r="O62" s="4"/>
      <c r="P62" s="1">
        <f>SUM(OSRRefP21_11x_0)</f>
        <v>3600</v>
      </c>
      <c r="Q62" s="4"/>
      <c r="R62" s="1">
        <f>SUM(OSRRefR21_11x_0)</f>
        <v>0</v>
      </c>
    </row>
    <row r="63" spans="1:18" s="16" customFormat="1" hidden="1" outlineLevel="2" x14ac:dyDescent="0.35">
      <c r="B63" s="11" t="str">
        <f>CONCATENATE("          ", "6292", " - ", "TRAVEL/CONFERENCE")</f>
        <v xml:space="preserve">          6292 - TRAVEL/CONFERENCE</v>
      </c>
      <c r="D63" s="2"/>
      <c r="F63" s="2">
        <v>2291.7800000000002</v>
      </c>
      <c r="G63" s="3"/>
      <c r="H63" s="2">
        <v>2532.94</v>
      </c>
      <c r="I63" s="3"/>
      <c r="J63" s="2">
        <v>1865.88</v>
      </c>
      <c r="K63" s="3"/>
      <c r="L63" s="2">
        <v>1858.61</v>
      </c>
      <c r="M63" s="3"/>
      <c r="N63" s="2">
        <v>325.75</v>
      </c>
      <c r="O63" s="3"/>
      <c r="P63" s="2">
        <v>3600</v>
      </c>
      <c r="Q63" s="3"/>
      <c r="R63" s="2"/>
    </row>
    <row r="64" spans="1:18" s="16" customFormat="1" hidden="1" outlineLevel="2" x14ac:dyDescent="0.35">
      <c r="B64" s="11" t="str">
        <f>CONCATENATE("          ", "6294", " - ", "TRAVEL OPERATIONAL")</f>
        <v xml:space="preserve">          6294 - TRAVEL OPERATIONAL</v>
      </c>
      <c r="D64" s="2"/>
      <c r="F64" s="2"/>
      <c r="G64" s="3"/>
      <c r="H64" s="2">
        <v>310</v>
      </c>
      <c r="I64" s="3"/>
      <c r="J64" s="2"/>
      <c r="K64" s="3"/>
      <c r="L64" s="2"/>
      <c r="M64" s="3"/>
      <c r="N64" s="2"/>
      <c r="O64" s="3"/>
      <c r="P64" s="2"/>
      <c r="Q64" s="3"/>
      <c r="R64" s="2"/>
    </row>
    <row r="65" spans="1:18" x14ac:dyDescent="0.35">
      <c r="A65" s="12"/>
      <c r="B65" s="12"/>
      <c r="C65" s="12"/>
      <c r="D65" s="1"/>
      <c r="F65" s="1"/>
      <c r="H65" s="1"/>
      <c r="J65" s="1"/>
      <c r="L65" s="1"/>
      <c r="N65" s="1"/>
      <c r="P65" s="1"/>
      <c r="R65" s="1"/>
    </row>
    <row r="66" spans="1:18" s="7" customFormat="1" x14ac:dyDescent="0.35">
      <c r="A66" s="36"/>
      <c r="B66" s="34" t="s">
        <v>295</v>
      </c>
      <c r="D66" s="6">
        <f>SUM(0)</f>
        <v>0</v>
      </c>
      <c r="E66" s="12"/>
      <c r="F66" s="6">
        <f>SUM(0)</f>
        <v>0</v>
      </c>
      <c r="G66" s="5"/>
      <c r="H66" s="6">
        <f>SUM(0)</f>
        <v>0</v>
      </c>
      <c r="I66" s="5"/>
      <c r="J66" s="6">
        <f>SUM(0)</f>
        <v>0</v>
      </c>
      <c r="K66" s="5"/>
      <c r="L66" s="6">
        <f>SUM(0)</f>
        <v>0</v>
      </c>
      <c r="M66" s="5"/>
      <c r="N66" s="6">
        <f>SUM(0)</f>
        <v>0</v>
      </c>
      <c r="O66" s="5"/>
      <c r="P66" s="6">
        <f>SUM(0)</f>
        <v>0</v>
      </c>
      <c r="Q66" s="5"/>
      <c r="R66" s="6">
        <f>SUM(0)</f>
        <v>0</v>
      </c>
    </row>
    <row r="67" spans="1:18" x14ac:dyDescent="0.35">
      <c r="A67" s="12"/>
      <c r="B67" s="7"/>
      <c r="C67" s="7"/>
      <c r="D67" s="6"/>
      <c r="F67" s="6"/>
      <c r="H67" s="6"/>
      <c r="J67" s="6"/>
      <c r="L67" s="6"/>
      <c r="N67" s="6"/>
      <c r="P67" s="6"/>
      <c r="R67" s="6"/>
    </row>
    <row r="68" spans="1:18" s="15" customFormat="1" x14ac:dyDescent="0.35">
      <c r="A68" s="7"/>
      <c r="B68" s="22" t="s">
        <v>279</v>
      </c>
      <c r="C68" s="22"/>
      <c r="D68" s="10">
        <f>+D14-D17+D66</f>
        <v>-10.99</v>
      </c>
      <c r="E68" s="12"/>
      <c r="F68" s="10">
        <f>+F14-F17+F66</f>
        <v>-164683.13</v>
      </c>
      <c r="G68" s="5"/>
      <c r="H68" s="10">
        <f>+H14-H17+H66</f>
        <v>-189670.98000000004</v>
      </c>
      <c r="I68" s="5"/>
      <c r="J68" s="10">
        <f>+J14-J17+J66</f>
        <v>-163817.10999999999</v>
      </c>
      <c r="K68" s="5"/>
      <c r="L68" s="10">
        <f>+L14-L17+L66</f>
        <v>-172290.72999999995</v>
      </c>
      <c r="M68" s="5"/>
      <c r="N68" s="10">
        <f>+N14-N17+N66</f>
        <v>-225107.52000000002</v>
      </c>
      <c r="O68" s="5"/>
      <c r="P68" s="10">
        <f>+P14-P17+P66</f>
        <v>-216684.92561999999</v>
      </c>
      <c r="Q68" s="5"/>
      <c r="R68" s="10">
        <f>+R14-R17+R66</f>
        <v>-218964.02004929999</v>
      </c>
    </row>
    <row r="69" spans="1:18" s="27" customFormat="1" x14ac:dyDescent="0.35">
      <c r="A69" s="18"/>
      <c r="B69" s="31"/>
      <c r="C69" s="18"/>
      <c r="D69" s="9">
        <f>IFERROR(D68/D10, 0)</f>
        <v>0</v>
      </c>
      <c r="E69" s="18"/>
      <c r="F69" s="9">
        <f>IFERROR(F68/F10, 0)</f>
        <v>0</v>
      </c>
      <c r="G69" s="14"/>
      <c r="H69" s="9">
        <f>IFERROR(H68/H10, 0)</f>
        <v>0</v>
      </c>
      <c r="I69" s="14"/>
      <c r="J69" s="9">
        <f>IFERROR(J68/J10, 0)</f>
        <v>0</v>
      </c>
      <c r="K69" s="14"/>
      <c r="L69" s="9">
        <f>IFERROR(L68/L10, 0)</f>
        <v>0</v>
      </c>
      <c r="M69" s="14"/>
      <c r="N69" s="9">
        <f>IFERROR(N68/N10, 0)</f>
        <v>0</v>
      </c>
      <c r="O69" s="14"/>
      <c r="P69" s="9">
        <f>IFERROR(P68/P10, 0)</f>
        <v>0</v>
      </c>
      <c r="Q69" s="14"/>
      <c r="R69" s="9">
        <f>IFERROR(R68/R10, 0)</f>
        <v>0</v>
      </c>
    </row>
    <row r="70" spans="1:18" s="27" customFormat="1" x14ac:dyDescent="0.35">
      <c r="A70" s="18"/>
      <c r="B70" s="31"/>
      <c r="C70" s="18"/>
      <c r="D70" s="13"/>
      <c r="E70" s="18"/>
      <c r="F70" s="13"/>
      <c r="G70" s="14"/>
      <c r="H70" s="13"/>
      <c r="I70" s="14"/>
      <c r="J70" s="13"/>
      <c r="K70" s="14"/>
      <c r="L70" s="13"/>
      <c r="M70" s="14"/>
      <c r="N70" s="13"/>
      <c r="O70" s="14"/>
      <c r="P70" s="13"/>
      <c r="Q70" s="14"/>
      <c r="R70" s="13"/>
    </row>
    <row r="71" spans="1:18" s="15" customFormat="1" x14ac:dyDescent="0.35">
      <c r="A71" s="37"/>
      <c r="B71" s="7" t="s">
        <v>127</v>
      </c>
      <c r="C71" s="7"/>
      <c r="D71" s="6"/>
      <c r="E71" s="12"/>
      <c r="F71" s="6"/>
      <c r="G71" s="5"/>
      <c r="H71" s="6"/>
      <c r="I71" s="5"/>
      <c r="J71" s="6"/>
      <c r="K71" s="5"/>
      <c r="L71" s="6"/>
      <c r="M71" s="5"/>
      <c r="N71" s="6"/>
      <c r="O71" s="5"/>
      <c r="P71" s="6"/>
      <c r="Q71" s="5"/>
      <c r="R71" s="6"/>
    </row>
    <row r="72" spans="1:18" x14ac:dyDescent="0.35">
      <c r="A72" s="12"/>
      <c r="B72" s="7"/>
      <c r="C72" s="7"/>
      <c r="D72" s="6"/>
      <c r="F72" s="6"/>
      <c r="H72" s="6"/>
      <c r="J72" s="6"/>
      <c r="L72" s="6"/>
      <c r="N72" s="6"/>
      <c r="P72" s="6"/>
      <c r="R72" s="6"/>
    </row>
    <row r="73" spans="1:18" s="15" customFormat="1" x14ac:dyDescent="0.35">
      <c r="A73" s="7"/>
      <c r="B73" s="22" t="s">
        <v>126</v>
      </c>
      <c r="C73" s="22"/>
      <c r="D73" s="10">
        <f>+D68-D71</f>
        <v>-10.99</v>
      </c>
      <c r="E73" s="12"/>
      <c r="F73" s="10">
        <f>+F68-F71</f>
        <v>-164683.13</v>
      </c>
      <c r="G73" s="5"/>
      <c r="H73" s="10">
        <f>+H68-H71</f>
        <v>-189670.98000000004</v>
      </c>
      <c r="I73" s="5"/>
      <c r="J73" s="10">
        <f>+J68-J71</f>
        <v>-163817.10999999999</v>
      </c>
      <c r="K73" s="5"/>
      <c r="L73" s="10">
        <f>+L68-L71</f>
        <v>-172290.72999999995</v>
      </c>
      <c r="M73" s="5"/>
      <c r="N73" s="10">
        <f>+N68-N71</f>
        <v>-225107.52000000002</v>
      </c>
      <c r="O73" s="5"/>
      <c r="P73" s="10">
        <f>+P68-P71</f>
        <v>-216684.92561999999</v>
      </c>
      <c r="Q73" s="5"/>
      <c r="R73" s="10">
        <f>+R68-R71</f>
        <v>-218964.02004929999</v>
      </c>
    </row>
    <row r="74" spans="1:18" s="27" customFormat="1" x14ac:dyDescent="0.35">
      <c r="A74" s="18"/>
      <c r="B74" s="18"/>
      <c r="C74" s="18"/>
      <c r="D74" s="9">
        <f>IFERROR(D73/D10, 0)</f>
        <v>0</v>
      </c>
      <c r="E74" s="18"/>
      <c r="F74" s="9">
        <f>IFERROR(F73/F10, 0)</f>
        <v>0</v>
      </c>
      <c r="G74" s="14"/>
      <c r="H74" s="9">
        <f>IFERROR(H73/H10, 0)</f>
        <v>0</v>
      </c>
      <c r="I74" s="14"/>
      <c r="J74" s="9">
        <f>IFERROR(J73/J10, 0)</f>
        <v>0</v>
      </c>
      <c r="K74" s="14"/>
      <c r="L74" s="9">
        <f>IFERROR(L73/L10, 0)</f>
        <v>0</v>
      </c>
      <c r="M74" s="14"/>
      <c r="N74" s="9">
        <f>IFERROR(N73/N10, 0)</f>
        <v>0</v>
      </c>
      <c r="O74" s="14"/>
      <c r="P74" s="9">
        <f>IFERROR(P73/P10, 0)</f>
        <v>0</v>
      </c>
      <c r="Q74" s="14"/>
      <c r="R74" s="9">
        <f>IFERROR(R73/R10, 0)</f>
        <v>0</v>
      </c>
    </row>
    <row r="75" spans="1:18" s="27" customFormat="1" x14ac:dyDescent="0.35">
      <c r="A75" s="18"/>
      <c r="B75" s="18"/>
      <c r="C75" s="18"/>
      <c r="D75" s="13"/>
      <c r="E75" s="18"/>
      <c r="F75" s="13"/>
      <c r="G75" s="14"/>
      <c r="H75" s="13"/>
      <c r="I75" s="14"/>
      <c r="J75" s="13"/>
      <c r="K75" s="14"/>
      <c r="L75" s="13"/>
      <c r="M75" s="14"/>
      <c r="N75" s="13"/>
      <c r="O75" s="14"/>
      <c r="P75" s="13"/>
      <c r="Q75" s="14"/>
      <c r="R75" s="13"/>
    </row>
    <row r="76" spans="1:18" x14ac:dyDescent="0.35">
      <c r="A76" s="12"/>
      <c r="B76" s="12"/>
      <c r="C76" s="12"/>
      <c r="D76" s="6"/>
      <c r="F76" s="6"/>
      <c r="H76" s="6"/>
      <c r="J76" s="6"/>
      <c r="L76" s="6"/>
      <c r="N76" s="6"/>
      <c r="P76" s="6"/>
      <c r="R76" s="6"/>
    </row>
    <row r="77" spans="1:18" s="15" customFormat="1" x14ac:dyDescent="0.35">
      <c r="A77" s="7"/>
      <c r="B77" s="22" t="s">
        <v>296</v>
      </c>
      <c r="C77" s="22"/>
      <c r="D77" s="10">
        <f>SUM(D73:D76)</f>
        <v>-10.99</v>
      </c>
      <c r="E77" s="12"/>
      <c r="F77" s="10">
        <f>SUM(F73:F76)</f>
        <v>-164683.13</v>
      </c>
      <c r="G77" s="5"/>
      <c r="H77" s="10">
        <f>SUM(H73:H76)</f>
        <v>-189670.98000000004</v>
      </c>
      <c r="I77" s="5"/>
      <c r="J77" s="10">
        <f>SUM(J73:J76)</f>
        <v>-163817.10999999999</v>
      </c>
      <c r="K77" s="5"/>
      <c r="L77" s="10">
        <f>SUM(L73:L76)</f>
        <v>-172290.72999999995</v>
      </c>
      <c r="M77" s="5"/>
      <c r="N77" s="10">
        <f>SUM(N73:N76)</f>
        <v>-225107.52000000002</v>
      </c>
      <c r="O77" s="5"/>
      <c r="P77" s="10">
        <f>SUM(P73:P76)</f>
        <v>-216684.92561999999</v>
      </c>
      <c r="Q77" s="5"/>
      <c r="R77" s="10">
        <f>SUM(R73:R76)</f>
        <v>-218964.02004929999</v>
      </c>
    </row>
    <row r="78" spans="1:18" s="27" customFormat="1" x14ac:dyDescent="0.35">
      <c r="A78" s="18"/>
      <c r="B78" s="41"/>
      <c r="C78" s="18"/>
      <c r="D78" s="9">
        <f>IFERROR(D77/D10, 0)</f>
        <v>0</v>
      </c>
      <c r="E78" s="18"/>
      <c r="F78" s="9">
        <f>IFERROR(F77/F10, 0)</f>
        <v>0</v>
      </c>
      <c r="G78" s="14"/>
      <c r="H78" s="9">
        <f>IFERROR(H77/H10, 0)</f>
        <v>0</v>
      </c>
      <c r="I78" s="14"/>
      <c r="J78" s="9">
        <f>IFERROR(J77/J10, 0)</f>
        <v>0</v>
      </c>
      <c r="K78" s="14"/>
      <c r="L78" s="9">
        <f>IFERROR(L77/L10, 0)</f>
        <v>0</v>
      </c>
      <c r="M78" s="14"/>
      <c r="N78" s="9">
        <f>IFERROR(N77/N10, 0)</f>
        <v>0</v>
      </c>
      <c r="O78" s="14"/>
      <c r="P78" s="9">
        <f>IFERROR(P77/P10, 0)</f>
        <v>0</v>
      </c>
      <c r="Q78" s="14"/>
      <c r="R78" s="9">
        <f>IFERROR(R77/R10, 0)</f>
        <v>0</v>
      </c>
    </row>
    <row r="79" spans="1:18" x14ac:dyDescent="0.35">
      <c r="A79" s="12"/>
      <c r="B79" s="40">
        <v>44319.883572604165</v>
      </c>
      <c r="D79" s="24"/>
      <c r="F79" s="24"/>
      <c r="H79" s="24"/>
      <c r="J79" s="24"/>
      <c r="L79" s="24"/>
      <c r="N79" s="24"/>
      <c r="P79" s="24"/>
      <c r="R79" s="24"/>
    </row>
    <row r="80" spans="1:18" x14ac:dyDescent="0.35">
      <c r="A80" s="12"/>
      <c r="B80" s="39" t="s">
        <v>23</v>
      </c>
      <c r="D80" s="24"/>
      <c r="F80" s="24"/>
      <c r="H80" s="24"/>
      <c r="J80" s="24"/>
      <c r="L80" s="24"/>
      <c r="N80" s="24"/>
      <c r="P80" s="24"/>
      <c r="R80" s="24"/>
    </row>
    <row r="81" spans="1:18" x14ac:dyDescent="0.35">
      <c r="A81" s="12"/>
      <c r="D81" s="24"/>
      <c r="F81" s="24"/>
      <c r="H81" s="24"/>
      <c r="J81" s="24"/>
      <c r="L81" s="24"/>
      <c r="N81" s="24"/>
      <c r="P81" s="24"/>
      <c r="R81" s="24"/>
    </row>
    <row r="82" spans="1:18" x14ac:dyDescent="0.35">
      <c r="D82" s="24"/>
      <c r="F82" s="24"/>
      <c r="H82" s="24"/>
      <c r="J82" s="24"/>
      <c r="L82" s="24"/>
      <c r="N82" s="24"/>
      <c r="P82" s="24"/>
      <c r="R82" s="24"/>
    </row>
  </sheetData>
  <pageMargins left="0.5" right="0.5" top="0.5" bottom="0.5" header="0.3" footer="0.3"/>
  <pageSetup scale="59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8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","433", " - ", "Hillside Dining Hall")</f>
        <v>Department 433 - Hillside Dining Hall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3688329.84</v>
      </c>
      <c r="F10" s="8">
        <f>SUM(OSRRefF11x_0)</f>
        <v>4269568.37</v>
      </c>
      <c r="G10" s="8"/>
      <c r="H10" s="8">
        <f>SUM(OSRRefH11x_0)</f>
        <v>3938240.54</v>
      </c>
      <c r="I10" s="8"/>
      <c r="J10" s="8">
        <f>SUM(OSRRefJ11x_0)</f>
        <v>4102950.62</v>
      </c>
      <c r="K10" s="8"/>
      <c r="L10" s="8">
        <f>SUM(OSRRefL11x_0)</f>
        <v>4423920.67</v>
      </c>
      <c r="M10" s="8"/>
      <c r="N10" s="8">
        <f>SUM(OSRRefN11x_0)</f>
        <v>3757412.4699999997</v>
      </c>
      <c r="O10" s="8"/>
      <c r="P10" s="8">
        <f>SUM(OSRRefP11x_0)</f>
        <v>1702792</v>
      </c>
      <c r="Q10" s="8"/>
      <c r="R10" s="8">
        <f>SUM(OSRRefR11x_0)</f>
        <v>3564000</v>
      </c>
    </row>
    <row r="11" spans="1:18" s="16" customFormat="1" hidden="1" outlineLevel="1" x14ac:dyDescent="0.35">
      <c r="B11" s="35" t="str">
        <f>CONCATENATE("          ", "4052", " - ", "TAXABLE SALES-FOOD")</f>
        <v xml:space="preserve">          4052 - TAXABLE SALES-FOOD</v>
      </c>
      <c r="D11" s="11">
        <f>-1036.36*-1</f>
        <v>1036.3599999999999</v>
      </c>
      <c r="F11" s="11">
        <f>0*-1</f>
        <v>0</v>
      </c>
      <c r="G11" s="3"/>
      <c r="H11" s="11">
        <f>0*-1</f>
        <v>0</v>
      </c>
      <c r="I11" s="3"/>
      <c r="J11" s="11">
        <f>0</f>
        <v>0</v>
      </c>
      <c r="K11" s="3"/>
      <c r="L11" s="11">
        <f>0</f>
        <v>0</v>
      </c>
      <c r="M11" s="3"/>
      <c r="N11" s="11">
        <f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"4053", " - ", "TAXABLE SALES-FOOD")</f>
        <v xml:space="preserve">          4053 - TAXABLE SALES-FOOD</v>
      </c>
      <c r="D12" s="11">
        <f t="shared" ref="D12:D13" si="0">0*-1</f>
        <v>0</v>
      </c>
      <c r="F12" s="11">
        <f>-2758.18*-1</f>
        <v>2758.18</v>
      </c>
      <c r="G12" s="3"/>
      <c r="H12" s="11">
        <f>-7536.17*-1</f>
        <v>7536.17</v>
      </c>
      <c r="I12" s="3"/>
      <c r="J12" s="11">
        <f>--15809.34</f>
        <v>15809.34</v>
      </c>
      <c r="K12" s="3"/>
      <c r="L12" s="11">
        <f>--17574.25</f>
        <v>17574.25</v>
      </c>
      <c r="M12" s="3"/>
      <c r="N12" s="11">
        <f>--21468.98</f>
        <v>21468.98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"4100", " - ", "NON-TAXABLE SALES")</f>
        <v xml:space="preserve">          4100 - NON-TAXABLE SALES</v>
      </c>
      <c r="D13" s="11">
        <f t="shared" si="0"/>
        <v>0</v>
      </c>
      <c r="F13" s="11">
        <f>0*-1</f>
        <v>0</v>
      </c>
      <c r="G13" s="3"/>
      <c r="H13" s="11">
        <f>0*-1</f>
        <v>0</v>
      </c>
      <c r="I13" s="3"/>
      <c r="J13" s="11">
        <f>0</f>
        <v>0</v>
      </c>
      <c r="K13" s="3"/>
      <c r="L13" s="11">
        <f>0</f>
        <v>0</v>
      </c>
      <c r="M13" s="3"/>
      <c r="N13" s="11">
        <f>0</f>
        <v>0</v>
      </c>
      <c r="O13" s="3"/>
      <c r="P13" s="11">
        <v>1702792</v>
      </c>
      <c r="Q13" s="3"/>
      <c r="R13" s="11">
        <v>3564000</v>
      </c>
    </row>
    <row r="14" spans="1:18" s="16" customFormat="1" hidden="1" outlineLevel="1" x14ac:dyDescent="0.35">
      <c r="B14" s="35" t="str">
        <f>CONCATENATE("          ", "4151", " - ", "NON-TAXABLE SALES-FOOD")</f>
        <v xml:space="preserve">          4151 - NON-TAXABLE SALES-FOOD</v>
      </c>
      <c r="D14" s="11">
        <f>-3568516.53*-1</f>
        <v>3568516.53</v>
      </c>
      <c r="F14" s="11">
        <f>-4055847.85*-1</f>
        <v>4055847.85</v>
      </c>
      <c r="G14" s="3"/>
      <c r="H14" s="11">
        <f>-3475014.25*-1</f>
        <v>3475014.25</v>
      </c>
      <c r="I14" s="3"/>
      <c r="J14" s="11">
        <f>--3871435.08</f>
        <v>3871435.08</v>
      </c>
      <c r="K14" s="3"/>
      <c r="L14" s="11">
        <f>--4159481.9</f>
        <v>4159481.9</v>
      </c>
      <c r="M14" s="3"/>
      <c r="N14" s="11">
        <f>--3486658.53</f>
        <v>3486658.53</v>
      </c>
      <c r="O14" s="3"/>
      <c r="P14" s="11"/>
      <c r="Q14" s="3"/>
      <c r="R14" s="11"/>
    </row>
    <row r="15" spans="1:18" s="16" customFormat="1" hidden="1" outlineLevel="1" x14ac:dyDescent="0.35">
      <c r="B15" s="35" t="str">
        <f>CONCATENATE("          ", "4153", " - ", "NON-TAXABLE SALES-FOOD")</f>
        <v xml:space="preserve">          4153 - NON-TAXABLE SALES-FOOD</v>
      </c>
      <c r="D15" s="11">
        <f>-118776.95*-1</f>
        <v>118776.95</v>
      </c>
      <c r="F15" s="11">
        <f>-210962.34*-1</f>
        <v>210962.34</v>
      </c>
      <c r="G15" s="3"/>
      <c r="H15" s="11">
        <f>-455690.12*-1</f>
        <v>455690.12</v>
      </c>
      <c r="I15" s="3"/>
      <c r="J15" s="11">
        <f>--215706.2</f>
        <v>215706.2</v>
      </c>
      <c r="K15" s="3"/>
      <c r="L15" s="11">
        <f>--245809.62</f>
        <v>245809.62</v>
      </c>
      <c r="M15" s="3"/>
      <c r="N15" s="11">
        <f>--248901.26</f>
        <v>248901.26</v>
      </c>
      <c r="O15" s="3"/>
      <c r="P15" s="11"/>
      <c r="Q15" s="3"/>
      <c r="R15" s="11"/>
    </row>
    <row r="16" spans="1:18" s="16" customFormat="1" hidden="1" outlineLevel="1" x14ac:dyDescent="0.35">
      <c r="B16" s="35" t="str">
        <f>CONCATENATE("          ", "4159", " - ", "NON-TAXABLE SALES-FOOD")</f>
        <v xml:space="preserve">          4159 - NON-TAXABLE SALES-FOOD</v>
      </c>
      <c r="D16" s="11">
        <f>0*-1</f>
        <v>0</v>
      </c>
      <c r="F16" s="11">
        <f>0*-1</f>
        <v>0</v>
      </c>
      <c r="G16" s="3"/>
      <c r="H16" s="11">
        <f>0*-1</f>
        <v>0</v>
      </c>
      <c r="I16" s="3"/>
      <c r="J16" s="11">
        <f>0</f>
        <v>0</v>
      </c>
      <c r="K16" s="3"/>
      <c r="L16" s="11">
        <f>--1054.9</f>
        <v>1054.9000000000001</v>
      </c>
      <c r="M16" s="3"/>
      <c r="N16" s="11">
        <f>--383.7</f>
        <v>383.7</v>
      </c>
      <c r="O16" s="3"/>
      <c r="P16" s="11"/>
      <c r="Q16" s="3"/>
      <c r="R16" s="11"/>
    </row>
    <row r="17" spans="1:18" s="12" customFormat="1" x14ac:dyDescent="0.35">
      <c r="B17" s="7"/>
      <c r="D17" s="6"/>
      <c r="F17" s="6"/>
      <c r="G17" s="5"/>
      <c r="H17" s="6"/>
      <c r="I17" s="5"/>
      <c r="J17" s="6"/>
      <c r="K17" s="5"/>
      <c r="L17" s="6"/>
      <c r="M17" s="5"/>
      <c r="N17" s="6"/>
      <c r="O17" s="5"/>
      <c r="P17" s="6"/>
      <c r="Q17" s="5"/>
      <c r="R17" s="6"/>
    </row>
    <row r="18" spans="1:18" s="12" customFormat="1" collapsed="1" x14ac:dyDescent="0.35">
      <c r="B18" s="7" t="s">
        <v>278</v>
      </c>
      <c r="D18" s="8">
        <f>SUM(OSRRefD14x_0)</f>
        <v>901137.1399999999</v>
      </c>
      <c r="E18" s="8"/>
      <c r="F18" s="8">
        <f>SUM(OSRRefF14x_0)</f>
        <v>1134941.75</v>
      </c>
      <c r="G18" s="8"/>
      <c r="H18" s="8">
        <f>SUM(OSRRefH14x_0)</f>
        <v>1066194.9099999999</v>
      </c>
      <c r="I18" s="8"/>
      <c r="J18" s="8">
        <f>SUM(OSRRefJ14x_0)</f>
        <v>1034879.65</v>
      </c>
      <c r="K18" s="8"/>
      <c r="L18" s="8">
        <f>SUM(OSRRefL14x_0)</f>
        <v>1091407.03</v>
      </c>
      <c r="M18" s="8"/>
      <c r="N18" s="8">
        <f>SUM(OSRRefN14x_0)</f>
        <v>908218.79</v>
      </c>
      <c r="O18" s="8"/>
      <c r="P18" s="8">
        <f>SUM(OSRRefP14x_0)</f>
        <v>458348</v>
      </c>
      <c r="Q18" s="8"/>
      <c r="R18" s="8">
        <f>SUM(OSRRefR14x_0)</f>
        <v>998973</v>
      </c>
    </row>
    <row r="19" spans="1:18" s="44" customFormat="1" hidden="1" outlineLevel="1" x14ac:dyDescent="0.35">
      <c r="A19" s="16"/>
      <c r="B19" s="35" t="str">
        <f>CONCATENATE("          ", "5000", " - ", "PURCHASES @ COST")</f>
        <v xml:space="preserve">          5000 - PURCHASES @ COST</v>
      </c>
      <c r="C19" s="16"/>
      <c r="D19" s="11"/>
      <c r="E19" s="16"/>
      <c r="F19" s="11"/>
      <c r="G19" s="3"/>
      <c r="H19" s="11"/>
      <c r="I19" s="3"/>
      <c r="J19" s="11"/>
      <c r="K19" s="3"/>
      <c r="L19" s="11"/>
      <c r="M19" s="3"/>
      <c r="N19" s="11"/>
      <c r="O19" s="3"/>
      <c r="P19" s="11">
        <v>458348</v>
      </c>
      <c r="Q19" s="3"/>
      <c r="R19" s="11">
        <v>998973</v>
      </c>
    </row>
    <row r="20" spans="1:18" s="44" customFormat="1" hidden="1" outlineLevel="1" x14ac:dyDescent="0.35">
      <c r="A20" s="16"/>
      <c r="B20" s="35" t="str">
        <f>CONCATENATE("          ", "5053", " - ", "PURCHASES @ COST-FOOD")</f>
        <v xml:space="preserve">          5053 - PURCHASES @ COST-FOOD</v>
      </c>
      <c r="C20" s="16"/>
      <c r="D20" s="11">
        <v>908032.69</v>
      </c>
      <c r="E20" s="16"/>
      <c r="F20" s="11">
        <v>1136771.31</v>
      </c>
      <c r="G20" s="3"/>
      <c r="H20" s="11">
        <v>1077695.73</v>
      </c>
      <c r="I20" s="3"/>
      <c r="J20" s="11">
        <v>1035170.35</v>
      </c>
      <c r="K20" s="3"/>
      <c r="L20" s="11">
        <v>1095665.28</v>
      </c>
      <c r="M20" s="3"/>
      <c r="N20" s="11">
        <v>911587.79</v>
      </c>
      <c r="O20" s="3"/>
      <c r="P20" s="11"/>
      <c r="Q20" s="3"/>
      <c r="R20" s="11"/>
    </row>
    <row r="21" spans="1:18" s="44" customFormat="1" hidden="1" outlineLevel="1" x14ac:dyDescent="0.35">
      <c r="A21" s="16"/>
      <c r="B21" s="35" t="str">
        <f>CONCATENATE("          ", "5059", " - ", "PURCHASES @ COST-FOOD")</f>
        <v xml:space="preserve">          5059 - PURCHASES @ COST-FOOD</v>
      </c>
      <c r="C21" s="16"/>
      <c r="D21" s="11">
        <v>-6895.55</v>
      </c>
      <c r="E21" s="16"/>
      <c r="F21" s="11">
        <v>-1829.56</v>
      </c>
      <c r="G21" s="3"/>
      <c r="H21" s="11">
        <v>-11500.82</v>
      </c>
      <c r="I21" s="3"/>
      <c r="J21" s="11">
        <v>-290.7</v>
      </c>
      <c r="K21" s="3"/>
      <c r="L21" s="11">
        <v>-4258.25</v>
      </c>
      <c r="M21" s="3"/>
      <c r="N21" s="11">
        <v>-3369</v>
      </c>
      <c r="O21" s="3"/>
      <c r="P21" s="11"/>
      <c r="Q21" s="3"/>
      <c r="R21" s="11"/>
    </row>
    <row r="22" spans="1:18" x14ac:dyDescent="0.35">
      <c r="A22" s="12"/>
      <c r="B22" s="7"/>
      <c r="C22" s="7"/>
      <c r="D22" s="6"/>
      <c r="F22" s="6"/>
      <c r="H22" s="6"/>
      <c r="J22" s="6"/>
      <c r="L22" s="6"/>
      <c r="N22" s="6"/>
      <c r="P22" s="6"/>
      <c r="R22" s="6"/>
    </row>
    <row r="23" spans="1:18" s="15" customFormat="1" x14ac:dyDescent="0.35">
      <c r="A23" s="7"/>
      <c r="B23" s="22" t="s">
        <v>107</v>
      </c>
      <c r="C23" s="22"/>
      <c r="D23" s="10">
        <f>+D10-D18</f>
        <v>2787192.7</v>
      </c>
      <c r="E23" s="12"/>
      <c r="F23" s="10">
        <f>+F10-F18</f>
        <v>3134626.62</v>
      </c>
      <c r="G23" s="5"/>
      <c r="H23" s="10">
        <f>+H10-H18</f>
        <v>2872045.63</v>
      </c>
      <c r="I23" s="5"/>
      <c r="J23" s="10">
        <f>+J10-J18</f>
        <v>3068070.97</v>
      </c>
      <c r="K23" s="5"/>
      <c r="L23" s="10">
        <f>+L10-L18</f>
        <v>3332513.6399999997</v>
      </c>
      <c r="M23" s="5"/>
      <c r="N23" s="10">
        <f>+N10-N18</f>
        <v>2849193.6799999997</v>
      </c>
      <c r="O23" s="5"/>
      <c r="P23" s="10">
        <f>+P10-P18</f>
        <v>1244444</v>
      </c>
      <c r="Q23" s="5"/>
      <c r="R23" s="10">
        <f>+R10-R18</f>
        <v>2565027</v>
      </c>
    </row>
    <row r="24" spans="1:18" s="27" customFormat="1" x14ac:dyDescent="0.35">
      <c r="A24" s="18"/>
      <c r="B24" s="31"/>
      <c r="C24" s="18"/>
      <c r="D24" s="9">
        <f>IFERROR(D23/D10, 0)</f>
        <v>0.75567880881282579</v>
      </c>
      <c r="E24" s="13"/>
      <c r="F24" s="9">
        <f>IFERROR(F23/F10, 0)</f>
        <v>0.73417880880544373</v>
      </c>
      <c r="G24" s="26"/>
      <c r="H24" s="9">
        <f>IFERROR(H23/H10, 0)</f>
        <v>0.72927125726048203</v>
      </c>
      <c r="I24" s="26"/>
      <c r="J24" s="9">
        <f>IFERROR(J23/J10, 0)</f>
        <v>0.74777184864096657</v>
      </c>
      <c r="K24" s="26"/>
      <c r="L24" s="9">
        <f>IFERROR(L23/L10, 0)</f>
        <v>0.75329416790830472</v>
      </c>
      <c r="M24" s="26"/>
      <c r="N24" s="9">
        <f>IFERROR(N23/N10, 0)</f>
        <v>0.75828610852510425</v>
      </c>
      <c r="O24" s="26"/>
      <c r="P24" s="9">
        <f>IFERROR(P23/P10, 0)</f>
        <v>0.7308256087648991</v>
      </c>
      <c r="Q24" s="26"/>
      <c r="R24" s="9">
        <f>IFERROR(R23/R10, 0)</f>
        <v>0.71970454545454543</v>
      </c>
    </row>
    <row r="25" spans="1:18" s="27" customFormat="1" x14ac:dyDescent="0.35">
      <c r="A25" s="18"/>
      <c r="B25" s="31"/>
      <c r="C25" s="18"/>
      <c r="D25" s="13"/>
      <c r="E25" s="13"/>
      <c r="F25" s="13"/>
      <c r="G25" s="26"/>
      <c r="H25" s="13"/>
      <c r="I25" s="26"/>
      <c r="J25" s="13"/>
      <c r="K25" s="26"/>
      <c r="L25" s="13"/>
      <c r="M25" s="26"/>
      <c r="N25" s="13"/>
      <c r="O25" s="26"/>
      <c r="P25" s="13"/>
      <c r="Q25" s="26"/>
      <c r="R25" s="13"/>
    </row>
    <row r="26" spans="1:18" s="15" customFormat="1" x14ac:dyDescent="0.35">
      <c r="A26" s="7"/>
      <c r="B26" s="34" t="s">
        <v>314</v>
      </c>
      <c r="C26" s="7"/>
      <c r="D26" s="8">
        <f>SUM(OSRRefD21x_0)</f>
        <v>1537611.38</v>
      </c>
      <c r="E26" s="19"/>
      <c r="F26" s="8">
        <f>SUM(OSRRefF21x_0)</f>
        <v>1599220.9100000001</v>
      </c>
      <c r="G26" s="4"/>
      <c r="H26" s="8">
        <f>SUM(OSRRefH21x_0)</f>
        <v>1651269.7000000002</v>
      </c>
      <c r="I26" s="4"/>
      <c r="J26" s="8">
        <f>SUM(OSRRefJ21x_0)</f>
        <v>1754578.0399999991</v>
      </c>
      <c r="K26" s="4"/>
      <c r="L26" s="8">
        <f>SUM(OSRRefL21x_0)</f>
        <v>1817220.32</v>
      </c>
      <c r="M26" s="4"/>
      <c r="N26" s="8">
        <f>SUM(OSRRefN21x_0)</f>
        <v>1729167.5999999999</v>
      </c>
      <c r="O26" s="4"/>
      <c r="P26" s="8">
        <f>SUM(OSRRefP21x_0)</f>
        <v>1501303.5583199998</v>
      </c>
      <c r="Q26" s="4"/>
      <c r="R26" s="8">
        <f>SUM(OSRRefR21x_0)</f>
        <v>1910379.7516600001</v>
      </c>
    </row>
    <row r="27" spans="1:18" s="15" customFormat="1" outlineLevel="1" collapsed="1" x14ac:dyDescent="0.35">
      <c r="A27" s="7"/>
      <c r="B27" s="20" t="str">
        <f>CONCATENATE("     ","*Benefits                                         ")</f>
        <v xml:space="preserve">     *Benefits                                         </v>
      </c>
      <c r="C27" s="7"/>
      <c r="D27" s="1">
        <f>SUM(OSRRefD21_0x_0)</f>
        <v>281020.28000000009</v>
      </c>
      <c r="E27" s="19"/>
      <c r="F27" s="1">
        <f>SUM(OSRRefF21_0x_0)</f>
        <v>291982.95</v>
      </c>
      <c r="G27" s="4"/>
      <c r="H27" s="1">
        <f>SUM(OSRRefH21_0x_0)</f>
        <v>310502.06</v>
      </c>
      <c r="I27" s="4"/>
      <c r="J27" s="1">
        <f>SUM(OSRRefJ21_0x_0)</f>
        <v>334675.44</v>
      </c>
      <c r="K27" s="4"/>
      <c r="L27" s="1">
        <f>SUM(OSRRefL21_0x_0)</f>
        <v>327310.92</v>
      </c>
      <c r="M27" s="4"/>
      <c r="N27" s="1">
        <f>SUM(OSRRefN21_0x_0)</f>
        <v>303187.06</v>
      </c>
      <c r="O27" s="4"/>
      <c r="P27" s="1">
        <f>SUM(OSRRefP21_0x_0)</f>
        <v>382307.07831999991</v>
      </c>
      <c r="Q27" s="4"/>
      <c r="R27" s="1">
        <f>SUM(OSRRefR21_0x_0)</f>
        <v>418700.27165999997</v>
      </c>
    </row>
    <row r="28" spans="1:18" s="16" customFormat="1" hidden="1" outlineLevel="2" x14ac:dyDescent="0.35">
      <c r="B28" s="11" t="str">
        <f>CONCATENATE("          ", "6111", " - ", "F.I.C.A.")</f>
        <v xml:space="preserve">          6111 - F.I.C.A.</v>
      </c>
      <c r="D28" s="2">
        <v>38253.160000000003</v>
      </c>
      <c r="F28" s="2">
        <v>38147.129999999997</v>
      </c>
      <c r="G28" s="3"/>
      <c r="H28" s="2">
        <v>40337.589999999997</v>
      </c>
      <c r="I28" s="3"/>
      <c r="J28" s="2">
        <v>43276.1</v>
      </c>
      <c r="K28" s="3"/>
      <c r="L28" s="2">
        <v>46511.69</v>
      </c>
      <c r="M28" s="3"/>
      <c r="N28" s="2">
        <v>47604.73</v>
      </c>
      <c r="O28" s="3"/>
      <c r="P28" s="2">
        <v>43205.317620000002</v>
      </c>
      <c r="Q28" s="3"/>
      <c r="R28" s="2">
        <v>57797.139660000001</v>
      </c>
    </row>
    <row r="29" spans="1:18" s="16" customFormat="1" hidden="1" outlineLevel="2" x14ac:dyDescent="0.35">
      <c r="B29" s="11" t="str">
        <f>CONCATENATE("          ", "6112", " - ", "COMPENSATION INSURANCE")</f>
        <v xml:space="preserve">          6112 - COMPENSATION INSURANCE</v>
      </c>
      <c r="D29" s="2">
        <v>13822.11</v>
      </c>
      <c r="F29" s="2">
        <v>27223.68</v>
      </c>
      <c r="G29" s="3"/>
      <c r="H29" s="2">
        <v>32242.93</v>
      </c>
      <c r="I29" s="3"/>
      <c r="J29" s="2">
        <v>23745.52</v>
      </c>
      <c r="K29" s="3"/>
      <c r="L29" s="2">
        <v>29627.61</v>
      </c>
      <c r="M29" s="3"/>
      <c r="N29" s="2">
        <v>32114.02</v>
      </c>
      <c r="O29" s="3"/>
      <c r="P29" s="2">
        <v>28752.75546</v>
      </c>
      <c r="Q29" s="3"/>
      <c r="R29" s="2">
        <v>35212.965799999998</v>
      </c>
    </row>
    <row r="30" spans="1:18" s="16" customFormat="1" hidden="1" outlineLevel="2" x14ac:dyDescent="0.35">
      <c r="B30" s="11" t="str">
        <f>CONCATENATE("          ", "6113", " - ", "GROUP INSURANCE")</f>
        <v xml:space="preserve">          6113 - GROUP INSURANCE</v>
      </c>
      <c r="D30" s="2">
        <v>144554.51</v>
      </c>
      <c r="F30" s="2">
        <v>145023.88</v>
      </c>
      <c r="G30" s="3"/>
      <c r="H30" s="2">
        <v>161699.71</v>
      </c>
      <c r="I30" s="3"/>
      <c r="J30" s="2">
        <v>184400.96</v>
      </c>
      <c r="K30" s="3"/>
      <c r="L30" s="2">
        <v>172385.95</v>
      </c>
      <c r="M30" s="3"/>
      <c r="N30" s="2">
        <v>147328.03</v>
      </c>
      <c r="O30" s="3"/>
      <c r="P30" s="2">
        <v>237600</v>
      </c>
      <c r="Q30" s="3"/>
      <c r="R30" s="2">
        <v>256128</v>
      </c>
    </row>
    <row r="31" spans="1:18" s="16" customFormat="1" hidden="1" outlineLevel="2" x14ac:dyDescent="0.35">
      <c r="B31" s="11" t="str">
        <f>CONCATENATE("          ", "6114", " - ", "STATE UNEMPLOYMENT INSURANCE")</f>
        <v xml:space="preserve">          6114 - STATE UNEMPLOYMENT INSURANCE</v>
      </c>
      <c r="D31" s="2">
        <v>3941.45</v>
      </c>
      <c r="F31" s="2">
        <v>4747.2700000000004</v>
      </c>
      <c r="G31" s="3"/>
      <c r="H31" s="2">
        <v>2554.96</v>
      </c>
      <c r="I31" s="3"/>
      <c r="J31" s="2">
        <v>1360.6</v>
      </c>
      <c r="K31" s="3"/>
      <c r="L31" s="2">
        <v>2433.2199999999998</v>
      </c>
      <c r="M31" s="3"/>
      <c r="N31" s="2">
        <v>0</v>
      </c>
      <c r="O31" s="3"/>
      <c r="P31" s="2">
        <v>1742.59124</v>
      </c>
      <c r="Q31" s="3"/>
      <c r="R31" s="2">
        <v>1951.1142</v>
      </c>
    </row>
    <row r="32" spans="1:18" s="16" customFormat="1" hidden="1" outlineLevel="2" x14ac:dyDescent="0.35">
      <c r="B32" s="11" t="str">
        <f>CONCATENATE("          ", "6115", " - ", "P.E.R.S.")</f>
        <v xml:space="preserve">          6115 - P.E.R.S.</v>
      </c>
      <c r="D32" s="2">
        <v>18641.259999999998</v>
      </c>
      <c r="F32" s="2">
        <v>14658.95</v>
      </c>
      <c r="G32" s="3"/>
      <c r="H32" s="2">
        <v>15843.81</v>
      </c>
      <c r="I32" s="3"/>
      <c r="J32" s="2">
        <v>13553.47</v>
      </c>
      <c r="K32" s="3"/>
      <c r="L32" s="2">
        <v>13788.77</v>
      </c>
      <c r="M32" s="3"/>
      <c r="N32" s="2">
        <v>14731.47</v>
      </c>
      <c r="O32" s="3"/>
      <c r="P32" s="2">
        <v>16199.132</v>
      </c>
      <c r="Q32" s="3"/>
      <c r="R32" s="2">
        <v>16199.132</v>
      </c>
    </row>
    <row r="33" spans="1:18" s="16" customFormat="1" hidden="1" outlineLevel="2" x14ac:dyDescent="0.35">
      <c r="B33" s="11" t="str">
        <f>CONCATENATE("          ", "6116", " - ", "EDUCATIONAL BENEFITS")</f>
        <v xml:space="preserve">          6116 - EDUCATIONAL BENEFITS</v>
      </c>
      <c r="D33" s="2"/>
      <c r="F33" s="2"/>
      <c r="G33" s="3"/>
      <c r="H33" s="2"/>
      <c r="I33" s="3"/>
      <c r="J33" s="2"/>
      <c r="K33" s="3"/>
      <c r="L33" s="2"/>
      <c r="M33" s="3"/>
      <c r="N33" s="2"/>
      <c r="O33" s="3"/>
      <c r="P33" s="2">
        <v>0</v>
      </c>
      <c r="Q33" s="3"/>
      <c r="R33" s="2">
        <v>0</v>
      </c>
    </row>
    <row r="34" spans="1:18" s="16" customFormat="1" hidden="1" outlineLevel="2" x14ac:dyDescent="0.35">
      <c r="B34" s="11" t="str">
        <f>CONCATENATE("          ", "6117", " - ", "RETIREMENT STAFF HOURLY")</f>
        <v xml:space="preserve">          6117 - RETIREMENT STAFF HOURLY</v>
      </c>
      <c r="D34" s="2">
        <v>5280.62</v>
      </c>
      <c r="F34" s="2">
        <v>4014.77</v>
      </c>
      <c r="G34" s="3"/>
      <c r="H34" s="2">
        <v>4198.05</v>
      </c>
      <c r="I34" s="3"/>
      <c r="J34" s="2">
        <v>3316.13</v>
      </c>
      <c r="K34" s="3"/>
      <c r="L34" s="2">
        <v>4590.41</v>
      </c>
      <c r="M34" s="3"/>
      <c r="N34" s="2">
        <v>6026.81</v>
      </c>
      <c r="O34" s="3"/>
      <c r="P34" s="2"/>
      <c r="Q34" s="3"/>
      <c r="R34" s="2"/>
    </row>
    <row r="35" spans="1:18" s="16" customFormat="1" hidden="1" outlineLevel="2" x14ac:dyDescent="0.35">
      <c r="B35" s="11" t="str">
        <f>CONCATENATE("          ", "6118", " - ", "VACATION")</f>
        <v xml:space="preserve">          6118 - VACATION</v>
      </c>
      <c r="D35" s="2">
        <v>26411.48</v>
      </c>
      <c r="F35" s="2">
        <v>28806.33</v>
      </c>
      <c r="G35" s="3"/>
      <c r="H35" s="2">
        <v>26115.23</v>
      </c>
      <c r="I35" s="3"/>
      <c r="J35" s="2">
        <v>30271.33</v>
      </c>
      <c r="K35" s="3"/>
      <c r="L35" s="2">
        <v>31323.47</v>
      </c>
      <c r="M35" s="3"/>
      <c r="N35" s="2">
        <v>29874.38</v>
      </c>
      <c r="O35" s="3"/>
      <c r="P35" s="2">
        <v>16383.66</v>
      </c>
      <c r="Q35" s="3"/>
      <c r="R35" s="2">
        <v>23538.86</v>
      </c>
    </row>
    <row r="36" spans="1:18" s="16" customFormat="1" hidden="1" outlineLevel="2" x14ac:dyDescent="0.35">
      <c r="B36" s="11" t="str">
        <f>CONCATENATE("          ", "6119", " - ", "SICK LEAVE")</f>
        <v xml:space="preserve">          6119 - SICK LEAVE</v>
      </c>
      <c r="D36" s="2">
        <v>17993.8</v>
      </c>
      <c r="F36" s="2">
        <v>18102.939999999999</v>
      </c>
      <c r="G36" s="3"/>
      <c r="H36" s="2">
        <v>16365.51</v>
      </c>
      <c r="I36" s="3"/>
      <c r="J36" s="2">
        <v>21422.87</v>
      </c>
      <c r="K36" s="3"/>
      <c r="L36" s="2">
        <v>14039.63</v>
      </c>
      <c r="M36" s="3"/>
      <c r="N36" s="2">
        <v>13240.17</v>
      </c>
      <c r="O36" s="3"/>
      <c r="P36" s="2">
        <v>17423.621999999999</v>
      </c>
      <c r="Q36" s="3"/>
      <c r="R36" s="2">
        <v>27873.06</v>
      </c>
    </row>
    <row r="37" spans="1:18" s="16" customFormat="1" hidden="1" outlineLevel="2" x14ac:dyDescent="0.35">
      <c r="B37" s="11" t="str">
        <f>CONCATENATE("          ", "6156", " - ", "EMPLOYEE MEALS")</f>
        <v xml:space="preserve">          6156 - EMPLOYEE MEALS</v>
      </c>
      <c r="D37" s="2">
        <v>12121.89</v>
      </c>
      <c r="F37" s="2">
        <v>11258</v>
      </c>
      <c r="G37" s="3"/>
      <c r="H37" s="2">
        <v>11144.27</v>
      </c>
      <c r="I37" s="3"/>
      <c r="J37" s="2">
        <v>13328.46</v>
      </c>
      <c r="K37" s="3"/>
      <c r="L37" s="2">
        <v>12610.17</v>
      </c>
      <c r="M37" s="3"/>
      <c r="N37" s="2">
        <v>12267.45</v>
      </c>
      <c r="O37" s="3"/>
      <c r="P37" s="2">
        <v>21000</v>
      </c>
      <c r="Q37" s="3"/>
      <c r="R37" s="2"/>
    </row>
    <row r="38" spans="1:18" s="15" customFormat="1" outlineLevel="1" collapsed="1" x14ac:dyDescent="0.35">
      <c r="A38" s="7"/>
      <c r="B38" s="20" t="str">
        <f>CONCATENATE("     ","*Payroll                                          ")</f>
        <v xml:space="preserve">     *Payroll                                          </v>
      </c>
      <c r="C38" s="7"/>
      <c r="D38" s="1">
        <f>SUM(OSRRefD21_1x_0)</f>
        <v>654424.67999999993</v>
      </c>
      <c r="E38" s="19"/>
      <c r="F38" s="1">
        <f>SUM(OSRRefF21_1x_0)</f>
        <v>757557.71000000008</v>
      </c>
      <c r="G38" s="4"/>
      <c r="H38" s="1">
        <f>SUM(OSRRefH21_1x_0)</f>
        <v>816331.16</v>
      </c>
      <c r="I38" s="4"/>
      <c r="J38" s="1">
        <f>SUM(OSRRefJ21_1x_0)</f>
        <v>815225.28999999992</v>
      </c>
      <c r="K38" s="4"/>
      <c r="L38" s="1">
        <f>SUM(OSRRefL21_1x_0)</f>
        <v>873828.17</v>
      </c>
      <c r="M38" s="4"/>
      <c r="N38" s="1">
        <f>SUM(OSRRefN21_1x_0)</f>
        <v>877301.56</v>
      </c>
      <c r="O38" s="4"/>
      <c r="P38" s="1">
        <f>SUM(OSRRefP21_1x_0)</f>
        <v>642826.48</v>
      </c>
      <c r="Q38" s="4"/>
      <c r="R38" s="1">
        <f>SUM(OSRRefR21_1x_0)</f>
        <v>889179.48</v>
      </c>
    </row>
    <row r="39" spans="1:18" s="16" customFormat="1" hidden="1" outlineLevel="2" x14ac:dyDescent="0.35">
      <c r="B39" s="11" t="str">
        <f>CONCATENATE("          ", "6001", " - ", "ADMINISTRATIVE SALARIES")</f>
        <v xml:space="preserve">          6001 - ADMINISTRATIVE SALARIES</v>
      </c>
      <c r="D39" s="2">
        <v>19382.099999999999</v>
      </c>
      <c r="F39" s="2">
        <v>-388</v>
      </c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"6002", " - ", "STAFF SALARIES")</f>
        <v xml:space="preserve">          6002 - STAFF SALARIES</v>
      </c>
      <c r="D40" s="2">
        <v>126487.74</v>
      </c>
      <c r="F40" s="2">
        <v>179283.42</v>
      </c>
      <c r="G40" s="3"/>
      <c r="H40" s="2">
        <v>183087.98</v>
      </c>
      <c r="I40" s="3"/>
      <c r="J40" s="2">
        <v>159638.45000000001</v>
      </c>
      <c r="K40" s="3"/>
      <c r="L40" s="2">
        <v>168037.74</v>
      </c>
      <c r="M40" s="3"/>
      <c r="N40" s="2">
        <v>156872.18</v>
      </c>
      <c r="O40" s="3"/>
      <c r="P40" s="2">
        <v>177060.28</v>
      </c>
      <c r="Q40" s="3"/>
      <c r="R40" s="2">
        <v>177060.28</v>
      </c>
    </row>
    <row r="41" spans="1:18" s="16" customFormat="1" hidden="1" outlineLevel="2" x14ac:dyDescent="0.35">
      <c r="B41" s="11" t="str">
        <f>CONCATENATE("          ", "6003", " - ", "STAFF HOURLY-9 MONTH")</f>
        <v xml:space="preserve">          6003 - STAFF HOURLY-9 MONTH</v>
      </c>
      <c r="D41" s="2"/>
      <c r="F41" s="2"/>
      <c r="G41" s="3"/>
      <c r="H41" s="2"/>
      <c r="I41" s="3"/>
      <c r="J41" s="2"/>
      <c r="K41" s="3"/>
      <c r="L41" s="2"/>
      <c r="M41" s="3"/>
      <c r="N41" s="2"/>
      <c r="O41" s="3"/>
      <c r="P41" s="2">
        <v>0</v>
      </c>
      <c r="Q41" s="3"/>
      <c r="R41" s="2">
        <v>0</v>
      </c>
    </row>
    <row r="42" spans="1:18" s="16" customFormat="1" hidden="1" outlineLevel="2" x14ac:dyDescent="0.35">
      <c r="B42" s="11" t="str">
        <f>CONCATENATE("          ", "6004", " - ", "STAFF HOURLY")</f>
        <v xml:space="preserve">          6004 - STAFF HOURLY</v>
      </c>
      <c r="D42" s="2">
        <v>198070.87</v>
      </c>
      <c r="F42" s="2">
        <v>162667.28</v>
      </c>
      <c r="G42" s="3"/>
      <c r="H42" s="2">
        <v>142779.21</v>
      </c>
      <c r="I42" s="3"/>
      <c r="J42" s="2">
        <v>222850.02</v>
      </c>
      <c r="K42" s="3"/>
      <c r="L42" s="2">
        <v>227883.76</v>
      </c>
      <c r="M42" s="3"/>
      <c r="N42" s="2">
        <v>222140.89</v>
      </c>
      <c r="O42" s="3"/>
      <c r="P42" s="2">
        <v>360092.8</v>
      </c>
      <c r="Q42" s="3"/>
      <c r="R42" s="2">
        <v>538239.19999999995</v>
      </c>
    </row>
    <row r="43" spans="1:18" s="16" customFormat="1" hidden="1" outlineLevel="2" x14ac:dyDescent="0.35">
      <c r="B43" s="11" t="str">
        <f>CONCATENATE("          ", "6005", " - ", "TEMPORARY WAGES-HOURLY")</f>
        <v xml:space="preserve">          6005 - TEMPORARY WAGES-HOURLY</v>
      </c>
      <c r="D43" s="2">
        <v>105216.29</v>
      </c>
      <c r="F43" s="2">
        <v>107459.94</v>
      </c>
      <c r="G43" s="3"/>
      <c r="H43" s="2">
        <v>110517.73</v>
      </c>
      <c r="I43" s="3"/>
      <c r="J43" s="2">
        <v>96027.89</v>
      </c>
      <c r="K43" s="3"/>
      <c r="L43" s="2">
        <v>117625.16</v>
      </c>
      <c r="M43" s="3"/>
      <c r="N43" s="2">
        <v>132250.51</v>
      </c>
      <c r="O43" s="3"/>
      <c r="P43" s="2">
        <v>0</v>
      </c>
      <c r="Q43" s="3"/>
      <c r="R43" s="2">
        <v>0</v>
      </c>
    </row>
    <row r="44" spans="1:18" s="16" customFormat="1" hidden="1" outlineLevel="2" x14ac:dyDescent="0.35">
      <c r="B44" s="11" t="str">
        <f>CONCATENATE("          ", "6006", " - ", "TEMPORARY PART TIME")</f>
        <v xml:space="preserve">          6006 - TEMPORARY PART TIME</v>
      </c>
      <c r="D44" s="2"/>
      <c r="F44" s="2">
        <v>2718.63</v>
      </c>
      <c r="G44" s="3"/>
      <c r="H44" s="2">
        <v>19624.580000000002</v>
      </c>
      <c r="I44" s="3"/>
      <c r="J44" s="2">
        <v>2131.88</v>
      </c>
      <c r="K44" s="3"/>
      <c r="L44" s="2">
        <v>1974.94</v>
      </c>
      <c r="M44" s="3"/>
      <c r="N44" s="2">
        <v>10133.07</v>
      </c>
      <c r="O44" s="3"/>
      <c r="P44" s="2">
        <v>0</v>
      </c>
      <c r="Q44" s="3"/>
      <c r="R44" s="2">
        <v>0</v>
      </c>
    </row>
    <row r="45" spans="1:18" s="16" customFormat="1" hidden="1" outlineLevel="2" x14ac:dyDescent="0.35">
      <c r="B45" s="11" t="str">
        <f>CONCATENATE("          ", "6007", " - ", "STUDENT HOURLY")</f>
        <v xml:space="preserve">          6007 - STUDENT HOURLY</v>
      </c>
      <c r="D45" s="2">
        <v>187395.68</v>
      </c>
      <c r="F45" s="2">
        <v>259227.56</v>
      </c>
      <c r="G45" s="3"/>
      <c r="H45" s="2">
        <v>295703.03999999998</v>
      </c>
      <c r="I45" s="3"/>
      <c r="J45" s="2">
        <v>292251.96999999997</v>
      </c>
      <c r="K45" s="3"/>
      <c r="L45" s="2">
        <v>321201.67</v>
      </c>
      <c r="M45" s="3"/>
      <c r="N45" s="2">
        <v>326051.69</v>
      </c>
      <c r="O45" s="3"/>
      <c r="P45" s="2">
        <v>0</v>
      </c>
      <c r="Q45" s="3"/>
      <c r="R45" s="2">
        <v>0</v>
      </c>
    </row>
    <row r="46" spans="1:18" s="16" customFormat="1" hidden="1" outlineLevel="2" x14ac:dyDescent="0.35">
      <c r="B46" s="11" t="str">
        <f>CONCATENATE("          ", "6008", " - ", "STUDENT HOURLY-FICA EXEMPT")</f>
        <v xml:space="preserve">          6008 - STUDENT HOURLY-FICA EXEMPT</v>
      </c>
      <c r="D46" s="2">
        <v>17872</v>
      </c>
      <c r="F46" s="2">
        <v>46588.88</v>
      </c>
      <c r="G46" s="3"/>
      <c r="H46" s="2">
        <v>64618.62</v>
      </c>
      <c r="I46" s="3"/>
      <c r="J46" s="2">
        <v>42325.08</v>
      </c>
      <c r="K46" s="3"/>
      <c r="L46" s="2">
        <v>37104.9</v>
      </c>
      <c r="M46" s="3"/>
      <c r="N46" s="2">
        <v>29853.22</v>
      </c>
      <c r="O46" s="3"/>
      <c r="P46" s="2">
        <v>105673.4</v>
      </c>
      <c r="Q46" s="3"/>
      <c r="R46" s="2">
        <v>173880</v>
      </c>
    </row>
    <row r="47" spans="1:18" s="16" customFormat="1" hidden="1" outlineLevel="2" x14ac:dyDescent="0.35">
      <c r="B47" s="11" t="str">
        <f>CONCATENATE("          ", "6009", " - ", "TEMPORARY-SEASONAL")</f>
        <v xml:space="preserve">          6009 - TEMPORARY-SEASONAL</v>
      </c>
      <c r="D47" s="2"/>
      <c r="F47" s="2"/>
      <c r="G47" s="3"/>
      <c r="H47" s="2"/>
      <c r="I47" s="3"/>
      <c r="J47" s="2"/>
      <c r="K47" s="3"/>
      <c r="L47" s="2"/>
      <c r="M47" s="3"/>
      <c r="N47" s="2"/>
      <c r="O47" s="3"/>
      <c r="P47" s="2">
        <v>0</v>
      </c>
      <c r="Q47" s="3"/>
      <c r="R47" s="2">
        <v>0</v>
      </c>
    </row>
    <row r="48" spans="1:18" s="16" customFormat="1" hidden="1" outlineLevel="2" x14ac:dyDescent="0.35">
      <c r="B48" s="11" t="str">
        <f>CONCATENATE("          ", "6010", " - ", "GRATUITY")</f>
        <v xml:space="preserve">          6010 - GRATUITY</v>
      </c>
      <c r="D48" s="2"/>
      <c r="F48" s="2"/>
      <c r="G48" s="3"/>
      <c r="H48" s="2"/>
      <c r="I48" s="3"/>
      <c r="J48" s="2"/>
      <c r="K48" s="3"/>
      <c r="L48" s="2"/>
      <c r="M48" s="3"/>
      <c r="N48" s="2"/>
      <c r="O48" s="3"/>
      <c r="P48" s="2">
        <v>0</v>
      </c>
      <c r="Q48" s="3"/>
      <c r="R48" s="2">
        <v>0</v>
      </c>
    </row>
    <row r="49" spans="1:18" s="15" customFormat="1" outlineLevel="1" collapsed="1" x14ac:dyDescent="0.35">
      <c r="A49" s="7"/>
      <c r="B49" s="20" t="str">
        <f>CONCATENATE("     ","Advertising/Promo                                 ")</f>
        <v xml:space="preserve">     Advertising/Promo                                 </v>
      </c>
      <c r="C49" s="7"/>
      <c r="D49" s="1">
        <f>SUM(OSRRefD21_2x_0)</f>
        <v>5327.95</v>
      </c>
      <c r="E49" s="19"/>
      <c r="F49" s="1">
        <f>SUM(OSRRefF21_2x_0)</f>
        <v>2460.1999999999998</v>
      </c>
      <c r="G49" s="4"/>
      <c r="H49" s="1">
        <f>SUM(OSRRefH21_2x_0)</f>
        <v>2187.42</v>
      </c>
      <c r="I49" s="4"/>
      <c r="J49" s="1">
        <f>SUM(OSRRefJ21_2x_0)</f>
        <v>2929.63</v>
      </c>
      <c r="K49" s="4"/>
      <c r="L49" s="1">
        <f>SUM(OSRRefL21_2x_0)</f>
        <v>5357.6</v>
      </c>
      <c r="M49" s="4"/>
      <c r="N49" s="1">
        <f>SUM(OSRRefN21_2x_0)</f>
        <v>2828.94</v>
      </c>
      <c r="O49" s="4"/>
      <c r="P49" s="1">
        <f>SUM(OSRRefP21_2x_0)</f>
        <v>6000</v>
      </c>
      <c r="Q49" s="4"/>
      <c r="R49" s="1">
        <f>SUM(OSRRefR21_2x_0)</f>
        <v>7200</v>
      </c>
    </row>
    <row r="50" spans="1:18" s="16" customFormat="1" hidden="1" outlineLevel="2" x14ac:dyDescent="0.35">
      <c r="B50" s="11" t="str">
        <f>CONCATENATE("          ", "6362", " - ", "ADVERTISING EXPENSE")</f>
        <v xml:space="preserve">          6362 - ADVERTISING EXPENSE</v>
      </c>
      <c r="D50" s="2">
        <v>5327.95</v>
      </c>
      <c r="F50" s="2">
        <v>2460.1999999999998</v>
      </c>
      <c r="G50" s="3"/>
      <c r="H50" s="2">
        <v>2187.42</v>
      </c>
      <c r="I50" s="3"/>
      <c r="J50" s="2">
        <v>2929.63</v>
      </c>
      <c r="K50" s="3"/>
      <c r="L50" s="2">
        <v>5357.6</v>
      </c>
      <c r="M50" s="3"/>
      <c r="N50" s="2">
        <v>2828.94</v>
      </c>
      <c r="O50" s="3"/>
      <c r="P50" s="2">
        <v>6000</v>
      </c>
      <c r="Q50" s="3"/>
      <c r="R50" s="2">
        <v>7200</v>
      </c>
    </row>
    <row r="51" spans="1:18" s="15" customFormat="1" outlineLevel="1" collapsed="1" x14ac:dyDescent="0.35">
      <c r="A51" s="7"/>
      <c r="B51" s="20" t="str">
        <f>CONCATENATE("     ","Bad Debts/Over/Short                              ")</f>
        <v xml:space="preserve">     Bad Debts/Over/Short                              </v>
      </c>
      <c r="C51" s="7"/>
      <c r="D51" s="1">
        <f>SUM(OSRRefD21_3x_0)</f>
        <v>3458.71</v>
      </c>
      <c r="E51" s="19"/>
      <c r="F51" s="1">
        <f>SUM(OSRRefF21_3x_0)</f>
        <v>-4.21</v>
      </c>
      <c r="G51" s="4"/>
      <c r="H51" s="1">
        <f>SUM(OSRRefH21_3x_0)</f>
        <v>4664.2700000000004</v>
      </c>
      <c r="I51" s="4"/>
      <c r="J51" s="1">
        <f>SUM(OSRRefJ21_3x_0)</f>
        <v>21402.46</v>
      </c>
      <c r="K51" s="4"/>
      <c r="L51" s="1">
        <f>SUM(OSRRefL21_3x_0)</f>
        <v>77.45</v>
      </c>
      <c r="M51" s="4"/>
      <c r="N51" s="1">
        <f>SUM(OSRRefN21_3x_0)</f>
        <v>1.65</v>
      </c>
      <c r="O51" s="4"/>
      <c r="P51" s="1">
        <f>SUM(OSRRefP21_3x_0)</f>
        <v>180</v>
      </c>
      <c r="Q51" s="4"/>
      <c r="R51" s="1">
        <f>SUM(OSRRefR21_3x_0)</f>
        <v>180</v>
      </c>
    </row>
    <row r="52" spans="1:18" s="16" customFormat="1" hidden="1" outlineLevel="2" x14ac:dyDescent="0.35">
      <c r="B52" s="11" t="str">
        <f>CONCATENATE("          ", "6272", " - ", "CASH (OVER/SHORT)")</f>
        <v xml:space="preserve">          6272 - CASH (OVER/SHORT)</v>
      </c>
      <c r="D52" s="2">
        <v>3458.71</v>
      </c>
      <c r="F52" s="2">
        <v>-4.21</v>
      </c>
      <c r="G52" s="3"/>
      <c r="H52" s="2">
        <v>4664.2700000000004</v>
      </c>
      <c r="I52" s="3"/>
      <c r="J52" s="2">
        <v>21402.46</v>
      </c>
      <c r="K52" s="3"/>
      <c r="L52" s="2">
        <v>77.45</v>
      </c>
      <c r="M52" s="3"/>
      <c r="N52" s="2">
        <v>1.65</v>
      </c>
      <c r="O52" s="3"/>
      <c r="P52" s="2">
        <v>180</v>
      </c>
      <c r="Q52" s="3"/>
      <c r="R52" s="2">
        <v>180</v>
      </c>
    </row>
    <row r="53" spans="1:18" s="15" customFormat="1" outlineLevel="1" collapsed="1" x14ac:dyDescent="0.35">
      <c r="A53" s="7"/>
      <c r="B53" s="20" t="str">
        <f>CONCATENATE("     ","Bank/card Fees                                    ")</f>
        <v xml:space="preserve">     Bank/card Fees                                    </v>
      </c>
      <c r="C53" s="7"/>
      <c r="D53" s="1">
        <f>SUM(OSRRefD21_4x_0)</f>
        <v>762.04</v>
      </c>
      <c r="E53" s="19"/>
      <c r="F53" s="1">
        <f>SUM(OSRRefF21_4x_0)</f>
        <v>1850.61</v>
      </c>
      <c r="G53" s="4"/>
      <c r="H53" s="1">
        <f>SUM(OSRRefH21_4x_0)</f>
        <v>3319.45</v>
      </c>
      <c r="I53" s="4"/>
      <c r="J53" s="1">
        <f>SUM(OSRRefJ21_4x_0)</f>
        <v>2980.65</v>
      </c>
      <c r="K53" s="4"/>
      <c r="L53" s="1">
        <f>SUM(OSRRefL21_4x_0)</f>
        <v>2364.91</v>
      </c>
      <c r="M53" s="4"/>
      <c r="N53" s="1">
        <f>SUM(OSRRefN21_4x_0)</f>
        <v>1859.94</v>
      </c>
      <c r="O53" s="4"/>
      <c r="P53" s="1">
        <f>SUM(OSRRefP21_4x_0)</f>
        <v>3000</v>
      </c>
      <c r="Q53" s="4"/>
      <c r="R53" s="1">
        <f>SUM(OSRRefR21_4x_0)</f>
        <v>3000</v>
      </c>
    </row>
    <row r="54" spans="1:18" s="16" customFormat="1" hidden="1" outlineLevel="2" x14ac:dyDescent="0.35">
      <c r="B54" s="11" t="str">
        <f>CONCATENATE("          ", "6381", " - ", "BANK/CREDIT CARD FEES")</f>
        <v xml:space="preserve">          6381 - BANK/CREDIT CARD FEES</v>
      </c>
      <c r="D54" s="2">
        <v>762.04</v>
      </c>
      <c r="F54" s="2">
        <v>1850.61</v>
      </c>
      <c r="G54" s="3"/>
      <c r="H54" s="2">
        <v>3319.45</v>
      </c>
      <c r="I54" s="3"/>
      <c r="J54" s="2">
        <v>2980.65</v>
      </c>
      <c r="K54" s="3"/>
      <c r="L54" s="2">
        <v>2364.91</v>
      </c>
      <c r="M54" s="3"/>
      <c r="N54" s="2">
        <v>1859.94</v>
      </c>
      <c r="O54" s="3"/>
      <c r="P54" s="2">
        <v>3000</v>
      </c>
      <c r="Q54" s="3"/>
      <c r="R54" s="2">
        <v>3000</v>
      </c>
    </row>
    <row r="55" spans="1:18" s="15" customFormat="1" outlineLevel="1" collapsed="1" x14ac:dyDescent="0.35">
      <c r="A55" s="7"/>
      <c r="B55" s="20" t="str">
        <f>CONCATENATE("     ","Depreciation                                      ")</f>
        <v xml:space="preserve">     Depreciation                                      </v>
      </c>
      <c r="C55" s="7"/>
      <c r="D55" s="1">
        <f>SUM(OSRRefD21_5x_0)</f>
        <v>1474.2</v>
      </c>
      <c r="E55" s="19"/>
      <c r="F55" s="1">
        <f>SUM(OSRRefF21_5x_0)</f>
        <v>1474.2</v>
      </c>
      <c r="G55" s="4"/>
      <c r="H55" s="1">
        <f>SUM(OSRRefH21_5x_0)</f>
        <v>1474.2</v>
      </c>
      <c r="I55" s="4"/>
      <c r="J55" s="1">
        <f>SUM(OSRRefJ21_5x_0)</f>
        <v>245.7</v>
      </c>
      <c r="K55" s="4"/>
      <c r="L55" s="1">
        <f>SUM(OSRRefL21_5x_0)</f>
        <v>0</v>
      </c>
      <c r="M55" s="4"/>
      <c r="N55" s="1">
        <f>SUM(OSRRefN21_5x_0)</f>
        <v>0</v>
      </c>
      <c r="O55" s="4"/>
      <c r="P55" s="1">
        <f>SUM(OSRRefP21_5x_0)</f>
        <v>0</v>
      </c>
      <c r="Q55" s="4"/>
      <c r="R55" s="1">
        <f>SUM(OSRRefR21_5x_0)</f>
        <v>0</v>
      </c>
    </row>
    <row r="56" spans="1:18" s="16" customFormat="1" hidden="1" outlineLevel="2" x14ac:dyDescent="0.35">
      <c r="B56" s="11" t="str">
        <f>CONCATENATE("          ", "6322", " - ", "EQUIPMENT DEPRECIATION EXPENSE")</f>
        <v xml:space="preserve">          6322 - EQUIPMENT DEPRECIATION EXPENSE</v>
      </c>
      <c r="D56" s="2">
        <v>1474.2</v>
      </c>
      <c r="F56" s="2">
        <v>1474.2</v>
      </c>
      <c r="G56" s="3"/>
      <c r="H56" s="2">
        <v>1474.2</v>
      </c>
      <c r="I56" s="3"/>
      <c r="J56" s="2">
        <v>245.7</v>
      </c>
      <c r="K56" s="3"/>
      <c r="L56" s="2"/>
      <c r="M56" s="3"/>
      <c r="N56" s="2"/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","Discounts and Markdowns                           ")</f>
        <v xml:space="preserve">     Discounts and Markdowns                           </v>
      </c>
      <c r="C57" s="7"/>
      <c r="D57" s="1">
        <f>SUM(OSRRefD21_6x_0)</f>
        <v>0</v>
      </c>
      <c r="E57" s="19"/>
      <c r="F57" s="1">
        <f>SUM(OSRRefF21_6x_0)</f>
        <v>-0.03</v>
      </c>
      <c r="G57" s="4"/>
      <c r="H57" s="1">
        <f>SUM(OSRRefH21_6x_0)</f>
        <v>0</v>
      </c>
      <c r="I57" s="4"/>
      <c r="J57" s="1">
        <f>SUM(OSRRefJ21_6x_0)</f>
        <v>0</v>
      </c>
      <c r="K57" s="4"/>
      <c r="L57" s="1">
        <f>SUM(OSRRefL21_6x_0)</f>
        <v>0</v>
      </c>
      <c r="M57" s="4"/>
      <c r="N57" s="1">
        <f>SUM(OSRRefN21_6x_0)</f>
        <v>0</v>
      </c>
      <c r="O57" s="4"/>
      <c r="P57" s="1">
        <f>SUM(OSRRefP21_6x_0)</f>
        <v>0</v>
      </c>
      <c r="Q57" s="4"/>
      <c r="R57" s="1">
        <f>SUM(OSRRefR21_6x_0)</f>
        <v>0</v>
      </c>
    </row>
    <row r="58" spans="1:18" s="16" customFormat="1" hidden="1" outlineLevel="2" x14ac:dyDescent="0.35">
      <c r="B58" s="11" t="str">
        <f>CONCATENATE("          ", "6382", " - ", "DISCOUNTS/MARK DOWNS")</f>
        <v xml:space="preserve">          6382 - DISCOUNTS/MARK DOWNS</v>
      </c>
      <c r="D58" s="2"/>
      <c r="F58" s="2">
        <v>-0.03</v>
      </c>
      <c r="G58" s="3"/>
      <c r="H58" s="2"/>
      <c r="I58" s="3"/>
      <c r="J58" s="2"/>
      <c r="K58" s="3"/>
      <c r="L58" s="2"/>
      <c r="M58" s="3"/>
      <c r="N58" s="2"/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","Donations                                         ")</f>
        <v xml:space="preserve">     Donations                                         </v>
      </c>
      <c r="C59" s="7"/>
      <c r="D59" s="1">
        <f>SUM(OSRRefD21_7x_0)</f>
        <v>36584.730000000003</v>
      </c>
      <c r="E59" s="19"/>
      <c r="F59" s="1">
        <f>SUM(OSRRefF21_7x_0)</f>
        <v>31693.09</v>
      </c>
      <c r="G59" s="4"/>
      <c r="H59" s="1">
        <f>SUM(OSRRefH21_7x_0)</f>
        <v>26174.25</v>
      </c>
      <c r="I59" s="4"/>
      <c r="J59" s="1">
        <f>SUM(OSRRefJ21_7x_0)</f>
        <v>66851.490000000005</v>
      </c>
      <c r="K59" s="4"/>
      <c r="L59" s="1">
        <f>SUM(OSRRefL21_7x_0)</f>
        <v>80130.759999999995</v>
      </c>
      <c r="M59" s="4"/>
      <c r="N59" s="1">
        <f>SUM(OSRRefN21_7x_0)</f>
        <v>90514.12</v>
      </c>
      <c r="O59" s="4"/>
      <c r="P59" s="1">
        <f>SUM(OSRRefP21_7x_0)</f>
        <v>71000</v>
      </c>
      <c r="Q59" s="4"/>
      <c r="R59" s="1">
        <f>SUM(OSRRefR21_7x_0)</f>
        <v>60000</v>
      </c>
    </row>
    <row r="60" spans="1:18" s="16" customFormat="1" hidden="1" outlineLevel="2" x14ac:dyDescent="0.35">
      <c r="B60" s="11" t="str">
        <f>CONCATENATE("          ", "6399", " - ", "DONATION-ON CAMPUS")</f>
        <v xml:space="preserve">          6399 - DONATION-ON CAMPUS</v>
      </c>
      <c r="D60" s="2">
        <v>36584.730000000003</v>
      </c>
      <c r="F60" s="2">
        <v>31693.09</v>
      </c>
      <c r="G60" s="3"/>
      <c r="H60" s="2">
        <v>26174.25</v>
      </c>
      <c r="I60" s="3"/>
      <c r="J60" s="2">
        <v>66851.490000000005</v>
      </c>
      <c r="K60" s="3"/>
      <c r="L60" s="2">
        <v>80130.759999999995</v>
      </c>
      <c r="M60" s="3"/>
      <c r="N60" s="2">
        <v>90514.12</v>
      </c>
      <c r="O60" s="3"/>
      <c r="P60" s="2">
        <v>71000</v>
      </c>
      <c r="Q60" s="3"/>
      <c r="R60" s="2">
        <v>60000</v>
      </c>
    </row>
    <row r="61" spans="1:18" s="15" customFormat="1" outlineLevel="1" collapsed="1" x14ac:dyDescent="0.35">
      <c r="A61" s="7"/>
      <c r="B61" s="20" t="str">
        <f>CONCATENATE("     ","Employees' Appreciation                           ")</f>
        <v xml:space="preserve">     Employees' Appreciation                           </v>
      </c>
      <c r="C61" s="7"/>
      <c r="D61" s="1">
        <f>SUM(OSRRefD21_8x_0)</f>
        <v>86.6</v>
      </c>
      <c r="E61" s="19"/>
      <c r="F61" s="1">
        <f>SUM(OSRRefF21_8x_0)</f>
        <v>161.33000000000001</v>
      </c>
      <c r="G61" s="4"/>
      <c r="H61" s="1">
        <f>SUM(OSRRefH21_8x_0)</f>
        <v>47.01</v>
      </c>
      <c r="I61" s="4"/>
      <c r="J61" s="1">
        <f>SUM(OSRRefJ21_8x_0)</f>
        <v>810.16</v>
      </c>
      <c r="K61" s="4"/>
      <c r="L61" s="1">
        <f>SUM(OSRRefL21_8x_0)</f>
        <v>708.83</v>
      </c>
      <c r="M61" s="4"/>
      <c r="N61" s="1">
        <f>SUM(OSRRefN21_8x_0)</f>
        <v>172.29</v>
      </c>
      <c r="O61" s="4"/>
      <c r="P61" s="1">
        <f>SUM(OSRRefP21_8x_0)</f>
        <v>1200</v>
      </c>
      <c r="Q61" s="4"/>
      <c r="R61" s="1">
        <f>SUM(OSRRefR21_8x_0)</f>
        <v>700</v>
      </c>
    </row>
    <row r="62" spans="1:18" s="16" customFormat="1" hidden="1" outlineLevel="2" x14ac:dyDescent="0.35">
      <c r="B62" s="11" t="str">
        <f>CONCATENATE("          ", "6277", " - ", "EMPLOYEE APPRECIATION")</f>
        <v xml:space="preserve">          6277 - EMPLOYEE APPRECIATION</v>
      </c>
      <c r="D62" s="2">
        <v>86.6</v>
      </c>
      <c r="F62" s="2">
        <v>161.33000000000001</v>
      </c>
      <c r="G62" s="3"/>
      <c r="H62" s="2">
        <v>47.01</v>
      </c>
      <c r="I62" s="3"/>
      <c r="J62" s="2">
        <v>810.16</v>
      </c>
      <c r="K62" s="3"/>
      <c r="L62" s="2">
        <v>708.83</v>
      </c>
      <c r="M62" s="3"/>
      <c r="N62" s="2">
        <v>172.29</v>
      </c>
      <c r="O62" s="3"/>
      <c r="P62" s="2">
        <v>1200</v>
      </c>
      <c r="Q62" s="3"/>
      <c r="R62" s="2">
        <v>700</v>
      </c>
    </row>
    <row r="63" spans="1:18" s="15" customFormat="1" outlineLevel="1" collapsed="1" x14ac:dyDescent="0.35">
      <c r="A63" s="7"/>
      <c r="B63" s="20" t="str">
        <f>CONCATENATE("     ","Equipment Rental                                  ")</f>
        <v xml:space="preserve">     Equipment Rental                                  </v>
      </c>
      <c r="C63" s="7"/>
      <c r="D63" s="1">
        <f>SUM(OSRRefD21_9x_0)</f>
        <v>2053.3200000000002</v>
      </c>
      <c r="E63" s="19"/>
      <c r="F63" s="1">
        <f>SUM(OSRRefF21_9x_0)</f>
        <v>1765.7</v>
      </c>
      <c r="G63" s="4"/>
      <c r="H63" s="1">
        <f>SUM(OSRRefH21_9x_0)</f>
        <v>1484.42</v>
      </c>
      <c r="I63" s="4"/>
      <c r="J63" s="1">
        <f>SUM(OSRRefJ21_9x_0)</f>
        <v>2718.18</v>
      </c>
      <c r="K63" s="4"/>
      <c r="L63" s="1">
        <f>SUM(OSRRefL21_9x_0)</f>
        <v>3329.96</v>
      </c>
      <c r="M63" s="4"/>
      <c r="N63" s="1">
        <f>SUM(OSRRefN21_9x_0)</f>
        <v>2831.1</v>
      </c>
      <c r="O63" s="4"/>
      <c r="P63" s="1">
        <f>SUM(OSRRefP21_9x_0)</f>
        <v>4800</v>
      </c>
      <c r="Q63" s="4"/>
      <c r="R63" s="1">
        <f>SUM(OSRRefR21_9x_0)</f>
        <v>6000</v>
      </c>
    </row>
    <row r="64" spans="1:18" s="16" customFormat="1" hidden="1" outlineLevel="2" x14ac:dyDescent="0.35">
      <c r="B64" s="11" t="str">
        <f>CONCATENATE("          ", "6351", " - ", "EQUIPMENT RENTAL")</f>
        <v xml:space="preserve">          6351 - EQUIPMENT RENTAL</v>
      </c>
      <c r="D64" s="2">
        <v>2053.3200000000002</v>
      </c>
      <c r="F64" s="2">
        <v>1765.7</v>
      </c>
      <c r="G64" s="3"/>
      <c r="H64" s="2">
        <v>1484.42</v>
      </c>
      <c r="I64" s="3"/>
      <c r="J64" s="2">
        <v>2718.18</v>
      </c>
      <c r="K64" s="3"/>
      <c r="L64" s="2">
        <v>3329.96</v>
      </c>
      <c r="M64" s="3"/>
      <c r="N64" s="2">
        <v>2831.1</v>
      </c>
      <c r="O64" s="3"/>
      <c r="P64" s="2">
        <v>4800</v>
      </c>
      <c r="Q64" s="3"/>
      <c r="R64" s="2">
        <v>6000</v>
      </c>
    </row>
    <row r="65" spans="1:18" s="15" customFormat="1" outlineLevel="1" collapsed="1" x14ac:dyDescent="0.35">
      <c r="A65" s="7"/>
      <c r="B65" s="20" t="str">
        <f>CONCATENATE("     ","General                                           ")</f>
        <v xml:space="preserve">     General                                           </v>
      </c>
      <c r="C65" s="7"/>
      <c r="D65" s="1">
        <f>SUM(OSRRefD21_10x_0)</f>
        <v>2477.5100000000002</v>
      </c>
      <c r="E65" s="19"/>
      <c r="F65" s="1">
        <f>SUM(OSRRefF21_10x_0)</f>
        <v>1691.79</v>
      </c>
      <c r="G65" s="4"/>
      <c r="H65" s="1">
        <f>SUM(OSRRefH21_10x_0)</f>
        <v>1716.93</v>
      </c>
      <c r="I65" s="4"/>
      <c r="J65" s="1">
        <f>SUM(OSRRefJ21_10x_0)</f>
        <v>1832.67</v>
      </c>
      <c r="K65" s="4"/>
      <c r="L65" s="1">
        <f>SUM(OSRRefL21_10x_0)</f>
        <v>2472.6</v>
      </c>
      <c r="M65" s="4"/>
      <c r="N65" s="1">
        <f>SUM(OSRRefN21_10x_0)</f>
        <v>2391.19</v>
      </c>
      <c r="O65" s="4"/>
      <c r="P65" s="1">
        <f>SUM(OSRRefP21_10x_0)</f>
        <v>3150</v>
      </c>
      <c r="Q65" s="4"/>
      <c r="R65" s="1">
        <f>SUM(OSRRefR21_10x_0)</f>
        <v>3450</v>
      </c>
    </row>
    <row r="66" spans="1:18" s="16" customFormat="1" hidden="1" outlineLevel="2" x14ac:dyDescent="0.35">
      <c r="B66" s="11" t="str">
        <f>CONCATENATE("          ", "6279", " - ", "GENERAL EXPENSE")</f>
        <v xml:space="preserve">          6279 - GENERAL EXPENSE</v>
      </c>
      <c r="D66" s="2">
        <v>2477.5100000000002</v>
      </c>
      <c r="F66" s="2">
        <v>1691.79</v>
      </c>
      <c r="G66" s="3"/>
      <c r="H66" s="2">
        <v>1716.93</v>
      </c>
      <c r="I66" s="3"/>
      <c r="J66" s="2">
        <v>1832.67</v>
      </c>
      <c r="K66" s="3"/>
      <c r="L66" s="2">
        <v>2472.6</v>
      </c>
      <c r="M66" s="3"/>
      <c r="N66" s="2">
        <v>2391.19</v>
      </c>
      <c r="O66" s="3"/>
      <c r="P66" s="2">
        <v>3150</v>
      </c>
      <c r="Q66" s="3"/>
      <c r="R66" s="2">
        <v>3450</v>
      </c>
    </row>
    <row r="67" spans="1:18" s="15" customFormat="1" outlineLevel="1" collapsed="1" x14ac:dyDescent="0.35">
      <c r="A67" s="7"/>
      <c r="B67" s="20" t="str">
        <f>CONCATENATE("     ","Professional Services                             ")</f>
        <v xml:space="preserve">     Professional Services                             </v>
      </c>
      <c r="C67" s="7"/>
      <c r="D67" s="1">
        <f>SUM(OSRRefD21_11x_0)</f>
        <v>0</v>
      </c>
      <c r="E67" s="19"/>
      <c r="F67" s="1">
        <f>SUM(OSRRefF21_11x_0)</f>
        <v>0</v>
      </c>
      <c r="G67" s="4"/>
      <c r="H67" s="1">
        <f>SUM(OSRRefH21_11x_0)</f>
        <v>750</v>
      </c>
      <c r="I67" s="4"/>
      <c r="J67" s="1">
        <f>SUM(OSRRefJ21_11x_0)</f>
        <v>0</v>
      </c>
      <c r="K67" s="4"/>
      <c r="L67" s="1">
        <f>SUM(OSRRefL21_11x_0)</f>
        <v>0</v>
      </c>
      <c r="M67" s="4"/>
      <c r="N67" s="1">
        <f>SUM(OSRRefN21_11x_0)</f>
        <v>0</v>
      </c>
      <c r="O67" s="4"/>
      <c r="P67" s="1">
        <f>SUM(OSRRefP21_11x_0)</f>
        <v>0</v>
      </c>
      <c r="Q67" s="4"/>
      <c r="R67" s="1">
        <f>SUM(OSRRefR21_11x_0)</f>
        <v>0</v>
      </c>
    </row>
    <row r="68" spans="1:18" s="16" customFormat="1" hidden="1" outlineLevel="2" x14ac:dyDescent="0.35">
      <c r="B68" s="11" t="str">
        <f>CONCATENATE("          ", "6336", " - ", "PROFESSIONAL SERVICES")</f>
        <v xml:space="preserve">          6336 - PROFESSIONAL SERVICES</v>
      </c>
      <c r="D68" s="2"/>
      <c r="F68" s="2"/>
      <c r="G68" s="3"/>
      <c r="H68" s="2">
        <v>750</v>
      </c>
      <c r="I68" s="3"/>
      <c r="J68" s="2"/>
      <c r="K68" s="3"/>
      <c r="L68" s="2"/>
      <c r="M68" s="3"/>
      <c r="N68" s="2"/>
      <c r="O68" s="3"/>
      <c r="P68" s="2"/>
      <c r="Q68" s="3"/>
      <c r="R68" s="2"/>
    </row>
    <row r="69" spans="1:18" s="15" customFormat="1" outlineLevel="1" collapsed="1" x14ac:dyDescent="0.35">
      <c r="A69" s="7"/>
      <c r="B69" s="20" t="str">
        <f>CONCATENATE("     ","R/H Commissions                                   ")</f>
        <v xml:space="preserve">     R/H Commissions                                   </v>
      </c>
      <c r="C69" s="7"/>
      <c r="D69" s="1">
        <f>SUM(OSRRefD21_12x_0)</f>
        <v>290105.13</v>
      </c>
      <c r="E69" s="19"/>
      <c r="F69" s="1">
        <f>SUM(OSRRefF21_12x_0)</f>
        <v>341053.47</v>
      </c>
      <c r="G69" s="4"/>
      <c r="H69" s="1">
        <f>SUM(OSRRefH21_12x_0)</f>
        <v>314973.58</v>
      </c>
      <c r="I69" s="4"/>
      <c r="J69" s="1">
        <f>SUM(OSRRefJ21_12x_0)</f>
        <v>318542.67</v>
      </c>
      <c r="K69" s="4"/>
      <c r="L69" s="1">
        <f>SUM(OSRRefL21_12x_0)</f>
        <v>342604.02</v>
      </c>
      <c r="M69" s="4"/>
      <c r="N69" s="1">
        <f>SUM(OSRRefN21_12x_0)</f>
        <v>289579.68</v>
      </c>
      <c r="O69" s="4"/>
      <c r="P69" s="1">
        <f>SUM(OSRRefP21_12x_0)</f>
        <v>136224</v>
      </c>
      <c r="Q69" s="4"/>
      <c r="R69" s="1">
        <f>SUM(OSRRefR21_12x_0)</f>
        <v>285120</v>
      </c>
    </row>
    <row r="70" spans="1:18" s="16" customFormat="1" hidden="1" outlineLevel="2" x14ac:dyDescent="0.35">
      <c r="B70" s="11" t="str">
        <f>CONCATENATE("          ", "6387", " - ", "COMMISSION DUE HOUSING")</f>
        <v xml:space="preserve">          6387 - COMMISSION DUE HOUSING</v>
      </c>
      <c r="D70" s="2">
        <v>290105.13</v>
      </c>
      <c r="F70" s="2">
        <v>341053.47</v>
      </c>
      <c r="G70" s="3"/>
      <c r="H70" s="2">
        <v>314973.58</v>
      </c>
      <c r="I70" s="3"/>
      <c r="J70" s="2">
        <v>318542.67</v>
      </c>
      <c r="K70" s="3"/>
      <c r="L70" s="2">
        <v>342604.02</v>
      </c>
      <c r="M70" s="3"/>
      <c r="N70" s="2">
        <v>289579.68</v>
      </c>
      <c r="O70" s="3"/>
      <c r="P70" s="2">
        <v>136224</v>
      </c>
      <c r="Q70" s="3"/>
      <c r="R70" s="2">
        <v>285120</v>
      </c>
    </row>
    <row r="71" spans="1:18" s="15" customFormat="1" outlineLevel="1" collapsed="1" x14ac:dyDescent="0.35">
      <c r="A71" s="7"/>
      <c r="B71" s="20" t="str">
        <f>CONCATENATE("     ","Repair and Maintenance                            ")</f>
        <v xml:space="preserve">     Repair and Maintenance                            </v>
      </c>
      <c r="C71" s="7"/>
      <c r="D71" s="1">
        <f>SUM(OSRRefD21_13x_0)</f>
        <v>5569.22</v>
      </c>
      <c r="E71" s="19"/>
      <c r="F71" s="1">
        <f>SUM(OSRRefF21_13x_0)</f>
        <v>13638.199999999999</v>
      </c>
      <c r="G71" s="4"/>
      <c r="H71" s="1">
        <f>SUM(OSRRefH21_13x_0)</f>
        <v>7181.83</v>
      </c>
      <c r="I71" s="4"/>
      <c r="J71" s="1">
        <f>SUM(OSRRefJ21_13x_0)</f>
        <v>9326.7099999999991</v>
      </c>
      <c r="K71" s="4"/>
      <c r="L71" s="1">
        <f>SUM(OSRRefL21_13x_0)</f>
        <v>19888.88</v>
      </c>
      <c r="M71" s="4"/>
      <c r="N71" s="1">
        <f>SUM(OSRRefN21_13x_0)</f>
        <v>8675.0700000000015</v>
      </c>
      <c r="O71" s="4"/>
      <c r="P71" s="1">
        <f>SUM(OSRRefP21_13x_0)</f>
        <v>17600</v>
      </c>
      <c r="Q71" s="4"/>
      <c r="R71" s="1">
        <f>SUM(OSRRefR21_13x_0)</f>
        <v>10200</v>
      </c>
    </row>
    <row r="72" spans="1:18" s="16" customFormat="1" hidden="1" outlineLevel="2" x14ac:dyDescent="0.35">
      <c r="B72" s="11" t="str">
        <f>CONCATENATE("          ", "6371", " - ", "COMPUTER SOFTWARE MAINTENANCE")</f>
        <v xml:space="preserve">          6371 - COMPUTER SOFTWARE MAINTENANCE</v>
      </c>
      <c r="D72" s="2">
        <v>1516</v>
      </c>
      <c r="F72" s="2">
        <v>10656.3</v>
      </c>
      <c r="G72" s="3"/>
      <c r="H72" s="2">
        <v>5470</v>
      </c>
      <c r="I72" s="3"/>
      <c r="J72" s="2">
        <v>8659.5</v>
      </c>
      <c r="K72" s="3"/>
      <c r="L72" s="2">
        <v>19293.669999999998</v>
      </c>
      <c r="M72" s="3"/>
      <c r="N72" s="2">
        <v>8238.75</v>
      </c>
      <c r="O72" s="3"/>
      <c r="P72" s="2">
        <v>8000</v>
      </c>
      <c r="Q72" s="3"/>
      <c r="R72" s="2">
        <v>0</v>
      </c>
    </row>
    <row r="73" spans="1:18" s="16" customFormat="1" hidden="1" outlineLevel="2" x14ac:dyDescent="0.35">
      <c r="B73" s="11" t="str">
        <f>CONCATENATE("          ", "6373", " - ", "MAINTENANCE CONTRACTS")</f>
        <v xml:space="preserve">          6373 - MAINTENANCE CONTRACTS</v>
      </c>
      <c r="D73" s="2">
        <v>3451.93</v>
      </c>
      <c r="F73" s="2">
        <v>2796.27</v>
      </c>
      <c r="G73" s="3"/>
      <c r="H73" s="2">
        <v>724.32</v>
      </c>
      <c r="I73" s="3"/>
      <c r="J73" s="2">
        <v>163.97</v>
      </c>
      <c r="K73" s="3"/>
      <c r="L73" s="2">
        <v>269.88</v>
      </c>
      <c r="M73" s="3"/>
      <c r="N73" s="2">
        <v>284.54000000000002</v>
      </c>
      <c r="O73" s="3"/>
      <c r="P73" s="2">
        <v>7200</v>
      </c>
      <c r="Q73" s="3"/>
      <c r="R73" s="2">
        <v>7200</v>
      </c>
    </row>
    <row r="74" spans="1:18" s="16" customFormat="1" hidden="1" outlineLevel="2" x14ac:dyDescent="0.35">
      <c r="B74" s="11" t="str">
        <f>CONCATENATE("          ", "6375", " - ", "OUTSIDE REPAIRS &amp; MAINTENANCE")</f>
        <v xml:space="preserve">          6375 - OUTSIDE REPAIRS &amp; MAINTENANCE</v>
      </c>
      <c r="D74" s="2">
        <v>601.29</v>
      </c>
      <c r="F74" s="2">
        <v>185.63</v>
      </c>
      <c r="G74" s="3"/>
      <c r="H74" s="2">
        <v>987.51</v>
      </c>
      <c r="I74" s="3"/>
      <c r="J74" s="2">
        <v>503.24</v>
      </c>
      <c r="K74" s="3"/>
      <c r="L74" s="2">
        <v>325.33</v>
      </c>
      <c r="M74" s="3"/>
      <c r="N74" s="2">
        <v>151.78</v>
      </c>
      <c r="O74" s="3"/>
      <c r="P74" s="2">
        <v>2400</v>
      </c>
      <c r="Q74" s="3"/>
      <c r="R74" s="2">
        <v>3000</v>
      </c>
    </row>
    <row r="75" spans="1:18" s="15" customFormat="1" outlineLevel="1" collapsed="1" x14ac:dyDescent="0.35">
      <c r="A75" s="7"/>
      <c r="B75" s="20" t="str">
        <f>CONCATENATE("     ","Services                                          ")</f>
        <v xml:space="preserve">     Services                                          </v>
      </c>
      <c r="C75" s="7"/>
      <c r="D75" s="1">
        <f>SUM(OSRRefD21_14x_0)</f>
        <v>41262.57</v>
      </c>
      <c r="E75" s="19"/>
      <c r="F75" s="1">
        <f>SUM(OSRRefF21_14x_0)</f>
        <v>59943.72</v>
      </c>
      <c r="G75" s="4"/>
      <c r="H75" s="1">
        <f>SUM(OSRRefH21_14x_0)</f>
        <v>83080.47</v>
      </c>
      <c r="I75" s="4"/>
      <c r="J75" s="1">
        <f>SUM(OSRRefJ21_14x_0)</f>
        <v>70694.33</v>
      </c>
      <c r="K75" s="4"/>
      <c r="L75" s="1">
        <f>SUM(OSRRefL21_14x_0)</f>
        <v>72326.990000000005</v>
      </c>
      <c r="M75" s="4"/>
      <c r="N75" s="1">
        <f>SUM(OSRRefN21_14x_0)</f>
        <v>75782.44</v>
      </c>
      <c r="O75" s="4"/>
      <c r="P75" s="1">
        <f>SUM(OSRRefP21_14x_0)</f>
        <v>80916</v>
      </c>
      <c r="Q75" s="4"/>
      <c r="R75" s="1">
        <f>SUM(OSRRefR21_14x_0)</f>
        <v>85800</v>
      </c>
    </row>
    <row r="76" spans="1:18" s="16" customFormat="1" hidden="1" outlineLevel="2" x14ac:dyDescent="0.35">
      <c r="B76" s="11" t="str">
        <f>CONCATENATE("          ", "6282", " - ", "JANITORIAL/EXTERMINATOR EXPENS")</f>
        <v xml:space="preserve">          6282 - JANITORIAL/EXTERMINATOR EXPENS</v>
      </c>
      <c r="D76" s="2">
        <v>2593.88</v>
      </c>
      <c r="F76" s="2">
        <v>4968.03</v>
      </c>
      <c r="G76" s="3"/>
      <c r="H76" s="2">
        <v>5002.95</v>
      </c>
      <c r="I76" s="3"/>
      <c r="J76" s="2">
        <v>4732.88</v>
      </c>
      <c r="K76" s="3"/>
      <c r="L76" s="2">
        <v>4590.5200000000004</v>
      </c>
      <c r="M76" s="3"/>
      <c r="N76" s="2">
        <v>5545.16</v>
      </c>
      <c r="O76" s="3"/>
      <c r="P76" s="2">
        <v>5400</v>
      </c>
      <c r="Q76" s="3"/>
      <c r="R76" s="2">
        <v>5400</v>
      </c>
    </row>
    <row r="77" spans="1:18" s="16" customFormat="1" hidden="1" outlineLevel="2" x14ac:dyDescent="0.35">
      <c r="B77" s="11" t="str">
        <f>CONCATENATE("          ", "6284", " - ", "TRASH REMOVAL EXPENSE")</f>
        <v xml:space="preserve">          6284 - TRASH REMOVAL EXPENSE</v>
      </c>
      <c r="D77" s="2"/>
      <c r="F77" s="2"/>
      <c r="G77" s="3"/>
      <c r="H77" s="2">
        <v>5970.33</v>
      </c>
      <c r="I77" s="3"/>
      <c r="J77" s="2">
        <v>3275.69</v>
      </c>
      <c r="K77" s="3"/>
      <c r="L77" s="2"/>
      <c r="M77" s="3"/>
      <c r="N77" s="2"/>
      <c r="O77" s="3"/>
      <c r="P77" s="2">
        <v>6000</v>
      </c>
      <c r="Q77" s="3"/>
      <c r="R77" s="2">
        <v>6000</v>
      </c>
    </row>
    <row r="78" spans="1:18" s="16" customFormat="1" hidden="1" outlineLevel="2" x14ac:dyDescent="0.35">
      <c r="B78" s="11" t="str">
        <f>CONCATENATE("          ", "6285", " - ", "JANITORIAL SERVICES")</f>
        <v xml:space="preserve">          6285 - JANITORIAL SERVICES</v>
      </c>
      <c r="D78" s="2">
        <v>16389.689999999999</v>
      </c>
      <c r="F78" s="2">
        <v>33349.85</v>
      </c>
      <c r="G78" s="3"/>
      <c r="H78" s="2">
        <v>51841.09</v>
      </c>
      <c r="I78" s="3"/>
      <c r="J78" s="2">
        <v>44983.32</v>
      </c>
      <c r="K78" s="3"/>
      <c r="L78" s="2">
        <v>49515.08</v>
      </c>
      <c r="M78" s="3"/>
      <c r="N78" s="2">
        <v>52956.08</v>
      </c>
      <c r="O78" s="3"/>
      <c r="P78" s="2">
        <v>51516</v>
      </c>
      <c r="Q78" s="3"/>
      <c r="R78" s="2">
        <v>56400</v>
      </c>
    </row>
    <row r="79" spans="1:18" s="16" customFormat="1" hidden="1" outlineLevel="2" x14ac:dyDescent="0.35">
      <c r="B79" s="11" t="str">
        <f>CONCATENATE("          ", "6286", " - ", "LAUNDRY EXPENSE")</f>
        <v xml:space="preserve">          6286 - LAUNDRY EXPENSE</v>
      </c>
      <c r="D79" s="2">
        <v>22279</v>
      </c>
      <c r="F79" s="2">
        <v>21625.84</v>
      </c>
      <c r="G79" s="3"/>
      <c r="H79" s="2">
        <v>20266.099999999999</v>
      </c>
      <c r="I79" s="3"/>
      <c r="J79" s="2">
        <v>17702.439999999999</v>
      </c>
      <c r="K79" s="3"/>
      <c r="L79" s="2">
        <v>18221.39</v>
      </c>
      <c r="M79" s="3"/>
      <c r="N79" s="2">
        <v>17281.2</v>
      </c>
      <c r="O79" s="3"/>
      <c r="P79" s="2">
        <v>18000</v>
      </c>
      <c r="Q79" s="3"/>
      <c r="R79" s="2">
        <v>18000</v>
      </c>
    </row>
    <row r="80" spans="1:18" s="15" customFormat="1" outlineLevel="1" collapsed="1" x14ac:dyDescent="0.35">
      <c r="A80" s="7"/>
      <c r="B80" s="20" t="str">
        <f>CONCATENATE("     ","Subscriptions &amp; Dues                              ")</f>
        <v xml:space="preserve">     Subscriptions &amp; Dues                              </v>
      </c>
      <c r="C80" s="7"/>
      <c r="D80" s="1">
        <f>SUM(OSRRefD21_15x_0)</f>
        <v>0</v>
      </c>
      <c r="E80" s="19"/>
      <c r="F80" s="1">
        <f>SUM(OSRRefF21_15x_0)</f>
        <v>1800</v>
      </c>
      <c r="G80" s="4"/>
      <c r="H80" s="1">
        <f>SUM(OSRRefH21_15x_0)</f>
        <v>0</v>
      </c>
      <c r="I80" s="4"/>
      <c r="J80" s="1">
        <f>SUM(OSRRefJ21_15x_0)</f>
        <v>0</v>
      </c>
      <c r="K80" s="4"/>
      <c r="L80" s="1">
        <f>SUM(OSRRefL21_15x_0)</f>
        <v>0</v>
      </c>
      <c r="M80" s="4"/>
      <c r="N80" s="1">
        <f>SUM(OSRRefN21_15x_0)</f>
        <v>0</v>
      </c>
      <c r="O80" s="4"/>
      <c r="P80" s="1">
        <f>SUM(OSRRefP21_15x_0)</f>
        <v>0</v>
      </c>
      <c r="Q80" s="4"/>
      <c r="R80" s="1">
        <f>SUM(OSRRefR21_15x_0)</f>
        <v>0</v>
      </c>
    </row>
    <row r="81" spans="1:18" s="16" customFormat="1" hidden="1" outlineLevel="2" x14ac:dyDescent="0.35">
      <c r="B81" s="11" t="str">
        <f>CONCATENATE("          ", "6275", " - ", "SUBSCRIPTIONS")</f>
        <v xml:space="preserve">          6275 - SUBSCRIPTIONS</v>
      </c>
      <c r="D81" s="2"/>
      <c r="F81" s="2">
        <v>1800</v>
      </c>
      <c r="G81" s="3"/>
      <c r="H81" s="2"/>
      <c r="I81" s="3"/>
      <c r="J81" s="2"/>
      <c r="K81" s="3"/>
      <c r="L81" s="2"/>
      <c r="M81" s="3"/>
      <c r="N81" s="2"/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","Supplies                                          ")</f>
        <v xml:space="preserve">     Supplies                                          </v>
      </c>
      <c r="C82" s="7"/>
      <c r="D82" s="1">
        <f>SUM(OSRRefD21_16x_0)</f>
        <v>210462.89</v>
      </c>
      <c r="E82" s="19"/>
      <c r="F82" s="1">
        <f>SUM(OSRRefF21_16x_0)</f>
        <v>89014.080000000016</v>
      </c>
      <c r="G82" s="4"/>
      <c r="H82" s="1">
        <f>SUM(OSRRefH21_16x_0)</f>
        <v>74716.98000000001</v>
      </c>
      <c r="I82" s="4"/>
      <c r="J82" s="1">
        <f>SUM(OSRRefJ21_16x_0)</f>
        <v>100704.61999999998</v>
      </c>
      <c r="K82" s="4"/>
      <c r="L82" s="1">
        <f>SUM(OSRRefL21_16x_0)</f>
        <v>82169.73</v>
      </c>
      <c r="M82" s="4"/>
      <c r="N82" s="1">
        <f>SUM(OSRRefN21_16x_0)</f>
        <v>69918.37000000001</v>
      </c>
      <c r="O82" s="4"/>
      <c r="P82" s="1">
        <f>SUM(OSRRefP21_16x_0)</f>
        <v>147000</v>
      </c>
      <c r="Q82" s="4"/>
      <c r="R82" s="1">
        <f>SUM(OSRRefR21_16x_0)</f>
        <v>136750</v>
      </c>
    </row>
    <row r="83" spans="1:18" s="16" customFormat="1" hidden="1" outlineLevel="2" x14ac:dyDescent="0.35">
      <c r="B83" s="11" t="str">
        <f>CONCATENATE("          ", "6235", " - ", "COVID-19 EXPENSES")</f>
        <v xml:space="preserve">          6235 - COVID-19 EXPENSES</v>
      </c>
      <c r="D83" s="2"/>
      <c r="F83" s="2"/>
      <c r="G83" s="3"/>
      <c r="H83" s="2"/>
      <c r="I83" s="3"/>
      <c r="J83" s="2"/>
      <c r="K83" s="3"/>
      <c r="L83" s="2"/>
      <c r="M83" s="3"/>
      <c r="N83" s="2">
        <v>356.6</v>
      </c>
      <c r="O83" s="3"/>
      <c r="P83" s="2">
        <v>60000</v>
      </c>
      <c r="Q83" s="3"/>
      <c r="R83" s="2"/>
    </row>
    <row r="84" spans="1:18" s="16" customFormat="1" hidden="1" outlineLevel="2" x14ac:dyDescent="0.35">
      <c r="B84" s="11" t="str">
        <f>CONCATENATE("          ", "6237", " - ", "JANITORIAL SUPPLIES")</f>
        <v xml:space="preserve">          6237 - JANITORIAL SUPPLIES</v>
      </c>
      <c r="D84" s="2">
        <v>20644.830000000002</v>
      </c>
      <c r="F84" s="2">
        <v>34264.89</v>
      </c>
      <c r="G84" s="3"/>
      <c r="H84" s="2">
        <v>31372.98</v>
      </c>
      <c r="I84" s="3"/>
      <c r="J84" s="2">
        <v>50312.68</v>
      </c>
      <c r="K84" s="3"/>
      <c r="L84" s="2">
        <v>37979.29</v>
      </c>
      <c r="M84" s="3"/>
      <c r="N84" s="2">
        <v>29825.119999999999</v>
      </c>
      <c r="O84" s="3"/>
      <c r="P84" s="2">
        <v>48000</v>
      </c>
      <c r="Q84" s="3"/>
      <c r="R84" s="2">
        <v>48000</v>
      </c>
    </row>
    <row r="85" spans="1:18" s="16" customFormat="1" hidden="1" outlineLevel="2" x14ac:dyDescent="0.35">
      <c r="B85" s="11" t="str">
        <f>CONCATENATE("          ", "6239", " - ", "KITCHEN SUPPLIES")</f>
        <v xml:space="preserve">          6239 - KITCHEN SUPPLIES</v>
      </c>
      <c r="D85" s="2">
        <v>95102.6</v>
      </c>
      <c r="F85" s="2">
        <v>8342.7000000000007</v>
      </c>
      <c r="G85" s="3"/>
      <c r="H85" s="2">
        <v>3838.53</v>
      </c>
      <c r="I85" s="3"/>
      <c r="J85" s="2">
        <v>11791.53</v>
      </c>
      <c r="K85" s="3"/>
      <c r="L85" s="2">
        <v>7673.08</v>
      </c>
      <c r="M85" s="3"/>
      <c r="N85" s="2">
        <v>6074.3</v>
      </c>
      <c r="O85" s="3"/>
      <c r="P85" s="2">
        <v>18000</v>
      </c>
      <c r="Q85" s="3"/>
      <c r="R85" s="2">
        <v>18000</v>
      </c>
    </row>
    <row r="86" spans="1:18" s="16" customFormat="1" hidden="1" outlineLevel="2" x14ac:dyDescent="0.35">
      <c r="B86" s="11" t="str">
        <f>CONCATENATE("          ", "6241", " - ", "OFFICE EXPENSE")</f>
        <v xml:space="preserve">          6241 - OFFICE EXPENSE</v>
      </c>
      <c r="D86" s="2">
        <v>5953.04</v>
      </c>
      <c r="F86" s="2">
        <v>3015.93</v>
      </c>
      <c r="G86" s="3"/>
      <c r="H86" s="2">
        <v>2946.32</v>
      </c>
      <c r="I86" s="3"/>
      <c r="J86" s="2">
        <v>6113.61</v>
      </c>
      <c r="K86" s="3"/>
      <c r="L86" s="2">
        <v>4623.78</v>
      </c>
      <c r="M86" s="3"/>
      <c r="N86" s="2">
        <v>2608.59</v>
      </c>
      <c r="O86" s="3"/>
      <c r="P86" s="2">
        <v>6000</v>
      </c>
      <c r="Q86" s="3"/>
      <c r="R86" s="2">
        <v>6000</v>
      </c>
    </row>
    <row r="87" spans="1:18" s="16" customFormat="1" hidden="1" outlineLevel="2" x14ac:dyDescent="0.35">
      <c r="B87" s="11" t="str">
        <f>CONCATENATE("          ", "6243", " - ", "PAPER SUPPLIES")</f>
        <v xml:space="preserve">          6243 - PAPER SUPPLIES</v>
      </c>
      <c r="D87" s="2">
        <v>76567.77</v>
      </c>
      <c r="F87" s="2">
        <v>35656.800000000003</v>
      </c>
      <c r="G87" s="3"/>
      <c r="H87" s="2">
        <v>32741.46</v>
      </c>
      <c r="I87" s="3"/>
      <c r="J87" s="2">
        <v>27660.85</v>
      </c>
      <c r="K87" s="3"/>
      <c r="L87" s="2">
        <v>27053.07</v>
      </c>
      <c r="M87" s="3"/>
      <c r="N87" s="2">
        <v>27008.63</v>
      </c>
      <c r="O87" s="3"/>
      <c r="P87" s="2">
        <v>6000</v>
      </c>
      <c r="Q87" s="3"/>
      <c r="R87" s="2">
        <v>60000</v>
      </c>
    </row>
    <row r="88" spans="1:18" s="16" customFormat="1" hidden="1" outlineLevel="2" x14ac:dyDescent="0.35">
      <c r="B88" s="11" t="str">
        <f>CONCATENATE("          ", "6244", " - ", "SAFETY SUPPLY EXPENSE")</f>
        <v xml:space="preserve">          6244 - SAFETY SUPPLY EXPENSE</v>
      </c>
      <c r="D88" s="2"/>
      <c r="F88" s="2"/>
      <c r="G88" s="3"/>
      <c r="H88" s="2"/>
      <c r="I88" s="3"/>
      <c r="J88" s="2"/>
      <c r="K88" s="3"/>
      <c r="L88" s="2"/>
      <c r="M88" s="3"/>
      <c r="N88" s="2"/>
      <c r="O88" s="3"/>
      <c r="P88" s="2">
        <v>1200</v>
      </c>
      <c r="Q88" s="3"/>
      <c r="R88" s="2">
        <v>2400</v>
      </c>
    </row>
    <row r="89" spans="1:18" s="16" customFormat="1" hidden="1" outlineLevel="2" x14ac:dyDescent="0.35">
      <c r="B89" s="11" t="str">
        <f>CONCATENATE("          ", "6245", " - ", "PRINTING")</f>
        <v xml:space="preserve">          6245 - PRINTING</v>
      </c>
      <c r="D89" s="2"/>
      <c r="F89" s="2">
        <v>203.69</v>
      </c>
      <c r="G89" s="3"/>
      <c r="H89" s="2"/>
      <c r="I89" s="3"/>
      <c r="J89" s="2">
        <v>118.41</v>
      </c>
      <c r="K89" s="3"/>
      <c r="L89" s="2">
        <v>1522.08</v>
      </c>
      <c r="M89" s="3"/>
      <c r="N89" s="2">
        <v>441</v>
      </c>
      <c r="O89" s="3"/>
      <c r="P89" s="2">
        <v>1800</v>
      </c>
      <c r="Q89" s="3"/>
      <c r="R89" s="2"/>
    </row>
    <row r="90" spans="1:18" s="16" customFormat="1" hidden="1" outlineLevel="2" x14ac:dyDescent="0.35">
      <c r="B90" s="11" t="str">
        <f>CONCATENATE("          ", "6247", " - ", "STORE SUPPLIES")</f>
        <v xml:space="preserve">          6247 - STORE SUPPLIES</v>
      </c>
      <c r="D90" s="2">
        <v>7657.39</v>
      </c>
      <c r="F90" s="2">
        <v>3265.35</v>
      </c>
      <c r="G90" s="3"/>
      <c r="H90" s="2">
        <v>120</v>
      </c>
      <c r="I90" s="3"/>
      <c r="J90" s="2">
        <v>1052.53</v>
      </c>
      <c r="K90" s="3"/>
      <c r="L90" s="2"/>
      <c r="M90" s="3"/>
      <c r="N90" s="2">
        <v>82.5</v>
      </c>
      <c r="O90" s="3"/>
      <c r="P90" s="2"/>
      <c r="Q90" s="3"/>
      <c r="R90" s="2"/>
    </row>
    <row r="91" spans="1:18" s="16" customFormat="1" hidden="1" outlineLevel="2" x14ac:dyDescent="0.35">
      <c r="B91" s="11" t="str">
        <f>CONCATENATE("          ", "6248", " - ", "UNIFORMS")</f>
        <v xml:space="preserve">          6248 - UNIFORMS</v>
      </c>
      <c r="D91" s="2">
        <v>4537.26</v>
      </c>
      <c r="F91" s="2">
        <v>4264.72</v>
      </c>
      <c r="G91" s="3"/>
      <c r="H91" s="2">
        <v>3697.69</v>
      </c>
      <c r="I91" s="3"/>
      <c r="J91" s="2">
        <v>3655.01</v>
      </c>
      <c r="K91" s="3"/>
      <c r="L91" s="2">
        <v>3318.43</v>
      </c>
      <c r="M91" s="3"/>
      <c r="N91" s="2">
        <v>3521.63</v>
      </c>
      <c r="O91" s="3"/>
      <c r="P91" s="2">
        <v>6000</v>
      </c>
      <c r="Q91" s="3"/>
      <c r="R91" s="2">
        <v>2350</v>
      </c>
    </row>
    <row r="92" spans="1:18" s="15" customFormat="1" outlineLevel="1" collapsed="1" x14ac:dyDescent="0.35">
      <c r="A92" s="7"/>
      <c r="B92" s="20" t="str">
        <f>CONCATENATE("     ","Telephone/Data Lines                              ")</f>
        <v xml:space="preserve">     Telephone/Data Lines                              </v>
      </c>
      <c r="C92" s="7"/>
      <c r="D92" s="1">
        <f>SUM(OSRRefD21_17x_0)</f>
        <v>565.6</v>
      </c>
      <c r="E92" s="19"/>
      <c r="F92" s="1">
        <f>SUM(OSRRefF21_17x_0)</f>
        <v>1217.79</v>
      </c>
      <c r="G92" s="4"/>
      <c r="H92" s="1">
        <f>SUM(OSRRefH21_17x_0)</f>
        <v>1395.52</v>
      </c>
      <c r="I92" s="4"/>
      <c r="J92" s="1">
        <f>SUM(OSRRefJ21_17x_0)</f>
        <v>2224.67</v>
      </c>
      <c r="K92" s="4"/>
      <c r="L92" s="1">
        <f>SUM(OSRRefL21_17x_0)</f>
        <v>2119.3000000000002</v>
      </c>
      <c r="M92" s="4"/>
      <c r="N92" s="1">
        <f>SUM(OSRRefN21_17x_0)</f>
        <v>2015.85</v>
      </c>
      <c r="O92" s="4"/>
      <c r="P92" s="1">
        <f>SUM(OSRRefP21_17x_0)</f>
        <v>2100</v>
      </c>
      <c r="Q92" s="4"/>
      <c r="R92" s="1">
        <f>SUM(OSRRefR21_17x_0)</f>
        <v>2100</v>
      </c>
    </row>
    <row r="93" spans="1:18" s="16" customFormat="1" hidden="1" outlineLevel="2" x14ac:dyDescent="0.35">
      <c r="B93" s="11" t="str">
        <f>CONCATENATE("          ", "6309", " - ", "TELEPHONE")</f>
        <v xml:space="preserve">          6309 - TELEPHONE</v>
      </c>
      <c r="D93" s="2">
        <v>565.6</v>
      </c>
      <c r="F93" s="2">
        <v>1217.79</v>
      </c>
      <c r="G93" s="3"/>
      <c r="H93" s="2">
        <v>1395.52</v>
      </c>
      <c r="I93" s="3"/>
      <c r="J93" s="2">
        <v>2224.67</v>
      </c>
      <c r="K93" s="3"/>
      <c r="L93" s="2">
        <v>2119.3000000000002</v>
      </c>
      <c r="M93" s="3"/>
      <c r="N93" s="2">
        <v>2015.85</v>
      </c>
      <c r="O93" s="3"/>
      <c r="P93" s="2">
        <v>2100</v>
      </c>
      <c r="Q93" s="3"/>
      <c r="R93" s="2">
        <v>2100</v>
      </c>
    </row>
    <row r="94" spans="1:18" s="15" customFormat="1" outlineLevel="1" collapsed="1" x14ac:dyDescent="0.35">
      <c r="A94" s="7"/>
      <c r="B94" s="20" t="str">
        <f>CONCATENATE("     ","Training                                          ")</f>
        <v xml:space="preserve">     Training                                          </v>
      </c>
      <c r="C94" s="7"/>
      <c r="D94" s="1">
        <f>SUM(OSRRefD21_18x_0)</f>
        <v>1685.9</v>
      </c>
      <c r="E94" s="19"/>
      <c r="F94" s="1">
        <f>SUM(OSRRefF21_18x_0)</f>
        <v>1319.96</v>
      </c>
      <c r="G94" s="4"/>
      <c r="H94" s="1">
        <f>SUM(OSRRefH21_18x_0)</f>
        <v>774.35</v>
      </c>
      <c r="I94" s="4"/>
      <c r="J94" s="1">
        <f>SUM(OSRRefJ21_18x_0)</f>
        <v>2244.69</v>
      </c>
      <c r="K94" s="4"/>
      <c r="L94" s="1">
        <f>SUM(OSRRefL21_18x_0)</f>
        <v>2121.6999999999998</v>
      </c>
      <c r="M94" s="4"/>
      <c r="N94" s="1">
        <f>SUM(OSRRefN21_18x_0)</f>
        <v>678.48</v>
      </c>
      <c r="O94" s="4"/>
      <c r="P94" s="1">
        <f>SUM(OSRRefP21_18x_0)</f>
        <v>3000</v>
      </c>
      <c r="Q94" s="4"/>
      <c r="R94" s="1">
        <f>SUM(OSRRefR21_18x_0)</f>
        <v>2000</v>
      </c>
    </row>
    <row r="95" spans="1:18" s="16" customFormat="1" hidden="1" outlineLevel="2" x14ac:dyDescent="0.35">
      <c r="B95" s="11" t="str">
        <f>CONCATENATE("          ", "6376", " - ", "TRAINING")</f>
        <v xml:space="preserve">          6376 - TRAINING</v>
      </c>
      <c r="D95" s="2">
        <v>1685.9</v>
      </c>
      <c r="F95" s="2">
        <v>1319.96</v>
      </c>
      <c r="G95" s="3"/>
      <c r="H95" s="2">
        <v>774.35</v>
      </c>
      <c r="I95" s="3"/>
      <c r="J95" s="2">
        <v>2244.69</v>
      </c>
      <c r="K95" s="3"/>
      <c r="L95" s="2">
        <v>2121.6999999999998</v>
      </c>
      <c r="M95" s="3"/>
      <c r="N95" s="2">
        <v>678.48</v>
      </c>
      <c r="O95" s="3"/>
      <c r="P95" s="2">
        <v>3000</v>
      </c>
      <c r="Q95" s="3"/>
      <c r="R95" s="2">
        <v>2000</v>
      </c>
    </row>
    <row r="96" spans="1:18" s="15" customFormat="1" outlineLevel="1" collapsed="1" x14ac:dyDescent="0.35">
      <c r="A96" s="7"/>
      <c r="B96" s="20" t="str">
        <f>CONCATENATE("     ","Travel                                            ")</f>
        <v xml:space="preserve">     Travel                                            </v>
      </c>
      <c r="C96" s="7"/>
      <c r="D96" s="1">
        <f>SUM(OSRRefD21_19x_0)</f>
        <v>429</v>
      </c>
      <c r="E96" s="19"/>
      <c r="F96" s="1">
        <f>SUM(OSRRefF21_19x_0)</f>
        <v>600.35</v>
      </c>
      <c r="G96" s="4"/>
      <c r="H96" s="1">
        <f>SUM(OSRRefH21_19x_0)</f>
        <v>495.8</v>
      </c>
      <c r="I96" s="4"/>
      <c r="J96" s="1">
        <f>SUM(OSRRefJ21_19x_0)</f>
        <v>1168.6799999999998</v>
      </c>
      <c r="K96" s="4"/>
      <c r="L96" s="1">
        <f>SUM(OSRRefL21_19x_0)</f>
        <v>408.5</v>
      </c>
      <c r="M96" s="4"/>
      <c r="N96" s="1">
        <f>SUM(OSRRefN21_19x_0)</f>
        <v>1429.86</v>
      </c>
      <c r="O96" s="4"/>
      <c r="P96" s="1">
        <f>SUM(OSRRefP21_19x_0)</f>
        <v>0</v>
      </c>
      <c r="Q96" s="4"/>
      <c r="R96" s="1">
        <f>SUM(OSRRefR21_19x_0)</f>
        <v>0</v>
      </c>
    </row>
    <row r="97" spans="1:18" s="16" customFormat="1" hidden="1" outlineLevel="2" x14ac:dyDescent="0.35">
      <c r="B97" s="11" t="str">
        <f>CONCATENATE("          ", "6292", " - ", "TRAVEL/CONFERENCE")</f>
        <v xml:space="preserve">          6292 - TRAVEL/CONFERENCE</v>
      </c>
      <c r="D97" s="2"/>
      <c r="F97" s="2"/>
      <c r="G97" s="3"/>
      <c r="H97" s="2"/>
      <c r="I97" s="3"/>
      <c r="J97" s="2">
        <v>467</v>
      </c>
      <c r="K97" s="3"/>
      <c r="L97" s="2"/>
      <c r="M97" s="3"/>
      <c r="N97" s="2">
        <v>1429.86</v>
      </c>
      <c r="O97" s="3"/>
      <c r="P97" s="2"/>
      <c r="Q97" s="3"/>
      <c r="R97" s="2"/>
    </row>
    <row r="98" spans="1:18" s="16" customFormat="1" hidden="1" outlineLevel="2" x14ac:dyDescent="0.35">
      <c r="B98" s="11" t="str">
        <f>CONCATENATE("          ", "6294", " - ", "TRAVEL OPERATIONAL")</f>
        <v xml:space="preserve">          6294 - TRAVEL OPERATIONAL</v>
      </c>
      <c r="D98" s="2">
        <v>429</v>
      </c>
      <c r="F98" s="2">
        <v>600.35</v>
      </c>
      <c r="G98" s="3"/>
      <c r="H98" s="2">
        <v>495.8</v>
      </c>
      <c r="I98" s="3"/>
      <c r="J98" s="2">
        <v>701.68</v>
      </c>
      <c r="K98" s="3"/>
      <c r="L98" s="2">
        <v>408.5</v>
      </c>
      <c r="M98" s="3"/>
      <c r="N98" s="2"/>
      <c r="O98" s="3"/>
      <c r="P98" s="2"/>
      <c r="Q98" s="3"/>
      <c r="R98" s="2"/>
    </row>
    <row r="99" spans="1:18" s="15" customFormat="1" outlineLevel="1" collapsed="1" x14ac:dyDescent="0.35">
      <c r="A99" s="7"/>
      <c r="B99" s="20" t="str">
        <f>CONCATENATE("     ","Utilities                                         ")</f>
        <v xml:space="preserve">     Utilities                                         </v>
      </c>
      <c r="C99" s="7"/>
      <c r="D99" s="1">
        <f>SUM(OSRRefD21_20x_0)</f>
        <v>-138.94999999999999</v>
      </c>
      <c r="E99" s="19"/>
      <c r="F99" s="1">
        <f>SUM(OSRRefF21_20x_0)</f>
        <v>0</v>
      </c>
      <c r="G99" s="4"/>
      <c r="H99" s="1">
        <f>SUM(OSRRefH21_20x_0)</f>
        <v>0</v>
      </c>
      <c r="I99" s="4"/>
      <c r="J99" s="1">
        <f>SUM(OSRRefJ21_20x_0)</f>
        <v>0</v>
      </c>
      <c r="K99" s="4"/>
      <c r="L99" s="1">
        <f>SUM(OSRRefL21_20x_0)</f>
        <v>0</v>
      </c>
      <c r="M99" s="4"/>
      <c r="N99" s="1">
        <f>SUM(OSRRefN21_20x_0)</f>
        <v>0</v>
      </c>
      <c r="O99" s="4"/>
      <c r="P99" s="1">
        <f>SUM(OSRRefP21_20x_0)</f>
        <v>0</v>
      </c>
      <c r="Q99" s="4"/>
      <c r="R99" s="1">
        <f>SUM(OSRRefR21_20x_0)</f>
        <v>0</v>
      </c>
    </row>
    <row r="100" spans="1:18" s="16" customFormat="1" hidden="1" outlineLevel="2" x14ac:dyDescent="0.35">
      <c r="B100" s="11" t="str">
        <f>CONCATENATE("          ", "6274", " - ", "UTILITIES")</f>
        <v xml:space="preserve">          6274 - UTILITIES</v>
      </c>
      <c r="D100" s="2">
        <v>-138.94999999999999</v>
      </c>
      <c r="F100" s="2"/>
      <c r="G100" s="3"/>
      <c r="H100" s="2"/>
      <c r="I100" s="3"/>
      <c r="J100" s="2"/>
      <c r="K100" s="3"/>
      <c r="L100" s="2"/>
      <c r="M100" s="3"/>
      <c r="N100" s="2"/>
      <c r="O100" s="3"/>
      <c r="P100" s="2"/>
      <c r="Q100" s="3"/>
      <c r="R100" s="2"/>
    </row>
    <row r="101" spans="1:18" x14ac:dyDescent="0.35">
      <c r="A101" s="12"/>
      <c r="B101" s="12"/>
      <c r="C101" s="12"/>
      <c r="D101" s="1"/>
      <c r="F101" s="1"/>
      <c r="H101" s="1"/>
      <c r="J101" s="1"/>
      <c r="L101" s="1"/>
      <c r="N101" s="1"/>
      <c r="P101" s="1"/>
      <c r="R101" s="1"/>
    </row>
    <row r="102" spans="1:18" s="7" customFormat="1" x14ac:dyDescent="0.35">
      <c r="A102" s="36"/>
      <c r="B102" s="34" t="s">
        <v>295</v>
      </c>
      <c r="D102" s="6">
        <f>SUM(0)</f>
        <v>0</v>
      </c>
      <c r="E102" s="12"/>
      <c r="F102" s="6">
        <f>SUM(0)</f>
        <v>0</v>
      </c>
      <c r="G102" s="5"/>
      <c r="H102" s="6">
        <f>SUM(0)</f>
        <v>0</v>
      </c>
      <c r="I102" s="5"/>
      <c r="J102" s="6">
        <f>SUM(0)</f>
        <v>0</v>
      </c>
      <c r="K102" s="5"/>
      <c r="L102" s="6">
        <f>SUM(0)</f>
        <v>0</v>
      </c>
      <c r="M102" s="5"/>
      <c r="N102" s="6">
        <f>SUM(0)</f>
        <v>0</v>
      </c>
      <c r="O102" s="5"/>
      <c r="P102" s="6">
        <f>SUM(0)</f>
        <v>0</v>
      </c>
      <c r="Q102" s="5"/>
      <c r="R102" s="6">
        <f>SUM(0)</f>
        <v>0</v>
      </c>
    </row>
    <row r="103" spans="1:18" x14ac:dyDescent="0.35">
      <c r="A103" s="12"/>
      <c r="B103" s="7"/>
      <c r="C103" s="7"/>
      <c r="D103" s="6"/>
      <c r="F103" s="6"/>
      <c r="H103" s="6"/>
      <c r="J103" s="6"/>
      <c r="L103" s="6"/>
      <c r="N103" s="6"/>
      <c r="P103" s="6"/>
      <c r="R103" s="6"/>
    </row>
    <row r="104" spans="1:18" s="15" customFormat="1" x14ac:dyDescent="0.35">
      <c r="A104" s="7"/>
      <c r="B104" s="22" t="s">
        <v>279</v>
      </c>
      <c r="C104" s="22"/>
      <c r="D104" s="10">
        <f>+D23-D26+D102</f>
        <v>1249581.3200000003</v>
      </c>
      <c r="E104" s="12"/>
      <c r="F104" s="10">
        <f>+F23-F26+F102</f>
        <v>1535405.71</v>
      </c>
      <c r="G104" s="5"/>
      <c r="H104" s="10">
        <f>+H23-H26+H102</f>
        <v>1220775.9299999997</v>
      </c>
      <c r="I104" s="5"/>
      <c r="J104" s="10">
        <f>+J23-J26+J102</f>
        <v>1313492.9300000011</v>
      </c>
      <c r="K104" s="5"/>
      <c r="L104" s="10">
        <f>+L23-L26+L102</f>
        <v>1515293.3199999996</v>
      </c>
      <c r="M104" s="5"/>
      <c r="N104" s="10">
        <f>+N23-N26+N102</f>
        <v>1120026.0799999998</v>
      </c>
      <c r="O104" s="5"/>
      <c r="P104" s="10">
        <f>+P23-P26+P102</f>
        <v>-256859.55831999984</v>
      </c>
      <c r="Q104" s="5"/>
      <c r="R104" s="10">
        <f>+R23-R26+R102</f>
        <v>654647.24833999993</v>
      </c>
    </row>
    <row r="105" spans="1:18" s="27" customFormat="1" x14ac:dyDescent="0.35">
      <c r="A105" s="18"/>
      <c r="B105" s="31"/>
      <c r="C105" s="18"/>
      <c r="D105" s="9">
        <f>IFERROR(D104/D10, 0)</f>
        <v>0.33879326801206056</v>
      </c>
      <c r="E105" s="18"/>
      <c r="F105" s="9">
        <f>IFERROR(F104/F10, 0)</f>
        <v>0.35961614311846701</v>
      </c>
      <c r="G105" s="14"/>
      <c r="H105" s="9">
        <f>IFERROR(H104/H10, 0)</f>
        <v>0.30998003235221372</v>
      </c>
      <c r="I105" s="14"/>
      <c r="J105" s="9">
        <f>IFERROR(J104/J10, 0)</f>
        <v>0.32013374072730155</v>
      </c>
      <c r="K105" s="14"/>
      <c r="L105" s="9">
        <f>IFERROR(L104/L10, 0)</f>
        <v>0.34252271526378875</v>
      </c>
      <c r="M105" s="14"/>
      <c r="N105" s="9">
        <f>IFERROR(N104/N10, 0)</f>
        <v>0.29808441020051224</v>
      </c>
      <c r="O105" s="14"/>
      <c r="P105" s="9">
        <f>IFERROR(P104/P10, 0)</f>
        <v>-0.15084611527420838</v>
      </c>
      <c r="Q105" s="14"/>
      <c r="R105" s="9">
        <f>IFERROR(R104/R10, 0)</f>
        <v>0.18368329078002243</v>
      </c>
    </row>
    <row r="106" spans="1:18" s="27" customFormat="1" x14ac:dyDescent="0.35">
      <c r="A106" s="18"/>
      <c r="B106" s="31"/>
      <c r="C106" s="18"/>
      <c r="D106" s="13"/>
      <c r="E106" s="18"/>
      <c r="F106" s="13"/>
      <c r="G106" s="14"/>
      <c r="H106" s="13"/>
      <c r="I106" s="14"/>
      <c r="J106" s="13"/>
      <c r="K106" s="14"/>
      <c r="L106" s="13"/>
      <c r="M106" s="14"/>
      <c r="N106" s="13"/>
      <c r="O106" s="14"/>
      <c r="P106" s="13"/>
      <c r="Q106" s="14"/>
      <c r="R106" s="13"/>
    </row>
    <row r="107" spans="1:18" s="15" customFormat="1" x14ac:dyDescent="0.35">
      <c r="A107" s="37"/>
      <c r="B107" s="7" t="s">
        <v>127</v>
      </c>
      <c r="C107" s="7"/>
      <c r="D107" s="6">
        <v>801501.99</v>
      </c>
      <c r="E107" s="12"/>
      <c r="F107" s="6">
        <v>607802.64</v>
      </c>
      <c r="G107" s="5"/>
      <c r="H107" s="6">
        <v>526565.41</v>
      </c>
      <c r="I107" s="5"/>
      <c r="J107" s="6">
        <v>550671.26</v>
      </c>
      <c r="K107" s="5"/>
      <c r="L107" s="6">
        <v>315324.2</v>
      </c>
      <c r="M107" s="5"/>
      <c r="N107" s="6">
        <v>568957.25</v>
      </c>
      <c r="O107" s="5"/>
      <c r="P107" s="6">
        <v>287734</v>
      </c>
      <c r="Q107" s="5"/>
      <c r="R107" s="6">
        <v>404137</v>
      </c>
    </row>
    <row r="108" spans="1:18" x14ac:dyDescent="0.35">
      <c r="A108" s="12"/>
      <c r="B108" s="7"/>
      <c r="C108" s="7"/>
      <c r="D108" s="6"/>
      <c r="F108" s="6"/>
      <c r="H108" s="6"/>
      <c r="J108" s="6"/>
      <c r="L108" s="6"/>
      <c r="N108" s="6"/>
      <c r="P108" s="6"/>
      <c r="R108" s="6"/>
    </row>
    <row r="109" spans="1:18" s="15" customFormat="1" x14ac:dyDescent="0.35">
      <c r="A109" s="7"/>
      <c r="B109" s="22" t="s">
        <v>126</v>
      </c>
      <c r="C109" s="22"/>
      <c r="D109" s="10">
        <f>+D104-D107</f>
        <v>448079.33000000031</v>
      </c>
      <c r="E109" s="12"/>
      <c r="F109" s="10">
        <f>+F104-F107</f>
        <v>927603.07</v>
      </c>
      <c r="G109" s="5"/>
      <c r="H109" s="10">
        <f>+H104-H107</f>
        <v>694210.51999999967</v>
      </c>
      <c r="I109" s="5"/>
      <c r="J109" s="10">
        <f>+J104-J107</f>
        <v>762821.67000000109</v>
      </c>
      <c r="K109" s="5"/>
      <c r="L109" s="10">
        <f>+L104-L107</f>
        <v>1199969.1199999996</v>
      </c>
      <c r="M109" s="5"/>
      <c r="N109" s="10">
        <f>+N104-N107</f>
        <v>551068.82999999984</v>
      </c>
      <c r="O109" s="5"/>
      <c r="P109" s="10">
        <f>+P104-P107</f>
        <v>-544593.55831999984</v>
      </c>
      <c r="Q109" s="5"/>
      <c r="R109" s="10">
        <f>+R104-R107</f>
        <v>250510.24833999993</v>
      </c>
    </row>
    <row r="110" spans="1:18" s="27" customFormat="1" x14ac:dyDescent="0.35">
      <c r="A110" s="18"/>
      <c r="B110" s="18"/>
      <c r="C110" s="18"/>
      <c r="D110" s="9">
        <f>IFERROR(D109/D10, 0)</f>
        <v>0.12148569933756259</v>
      </c>
      <c r="E110" s="18"/>
      <c r="F110" s="9">
        <f>IFERROR(F109/F10, 0)</f>
        <v>0.21725921442499349</v>
      </c>
      <c r="G110" s="14"/>
      <c r="H110" s="9">
        <f>IFERROR(H109/H10, 0)</f>
        <v>0.17627428110320545</v>
      </c>
      <c r="I110" s="14"/>
      <c r="J110" s="9">
        <f>IFERROR(J109/J10, 0)</f>
        <v>0.18592026584029447</v>
      </c>
      <c r="K110" s="14"/>
      <c r="L110" s="9">
        <f>IFERROR(L109/L10, 0)</f>
        <v>0.27124562339857683</v>
      </c>
      <c r="M110" s="14"/>
      <c r="N110" s="9">
        <f>IFERROR(N109/N10, 0)</f>
        <v>0.14666178770626156</v>
      </c>
      <c r="O110" s="14"/>
      <c r="P110" s="9">
        <f>IFERROR(P109/P10, 0)</f>
        <v>-0.31982388824941616</v>
      </c>
      <c r="Q110" s="14"/>
      <c r="R110" s="9">
        <f>IFERROR(R109/R10, 0)</f>
        <v>7.0289070802469114E-2</v>
      </c>
    </row>
    <row r="111" spans="1:18" s="27" customFormat="1" x14ac:dyDescent="0.35">
      <c r="A111" s="18"/>
      <c r="B111" s="18"/>
      <c r="C111" s="18"/>
      <c r="D111" s="13"/>
      <c r="E111" s="18"/>
      <c r="F111" s="13"/>
      <c r="G111" s="14"/>
      <c r="H111" s="13"/>
      <c r="I111" s="14"/>
      <c r="J111" s="13"/>
      <c r="K111" s="14"/>
      <c r="L111" s="13"/>
      <c r="M111" s="14"/>
      <c r="N111" s="13"/>
      <c r="O111" s="14"/>
      <c r="P111" s="13"/>
      <c r="Q111" s="14"/>
      <c r="R111" s="13"/>
    </row>
    <row r="112" spans="1:18" x14ac:dyDescent="0.35">
      <c r="A112" s="12"/>
      <c r="B112" s="12"/>
      <c r="C112" s="12"/>
      <c r="D112" s="6"/>
      <c r="F112" s="6"/>
      <c r="H112" s="6"/>
      <c r="J112" s="6"/>
      <c r="L112" s="6"/>
      <c r="N112" s="6"/>
      <c r="P112" s="6"/>
      <c r="R112" s="6"/>
    </row>
    <row r="113" spans="1:18" s="15" customFormat="1" x14ac:dyDescent="0.35">
      <c r="A113" s="7"/>
      <c r="B113" s="22" t="s">
        <v>296</v>
      </c>
      <c r="C113" s="22"/>
      <c r="D113" s="10">
        <f>SUM(D109:D112)</f>
        <v>448079.45148569962</v>
      </c>
      <c r="E113" s="12"/>
      <c r="F113" s="10">
        <f>SUM(F109:F112)</f>
        <v>927603.28725921432</v>
      </c>
      <c r="G113" s="5"/>
      <c r="H113" s="10">
        <f>SUM(H109:H112)</f>
        <v>694210.69627428078</v>
      </c>
      <c r="I113" s="5"/>
      <c r="J113" s="10">
        <f>SUM(J109:J112)</f>
        <v>762821.85592026694</v>
      </c>
      <c r="K113" s="5"/>
      <c r="L113" s="10">
        <f>SUM(L109:L112)</f>
        <v>1199969.3912456231</v>
      </c>
      <c r="M113" s="5"/>
      <c r="N113" s="10">
        <f>SUM(N109:N112)</f>
        <v>551068.9766617876</v>
      </c>
      <c r="O113" s="5"/>
      <c r="P113" s="10">
        <f>SUM(P109:P112)</f>
        <v>-544593.87814388808</v>
      </c>
      <c r="Q113" s="5"/>
      <c r="R113" s="10">
        <f>SUM(R109:R112)</f>
        <v>250510.31862907074</v>
      </c>
    </row>
    <row r="114" spans="1:18" s="27" customFormat="1" x14ac:dyDescent="0.35">
      <c r="A114" s="18"/>
      <c r="B114" s="41"/>
      <c r="C114" s="18"/>
      <c r="D114" s="9">
        <f>IFERROR(D113/D10, 0)</f>
        <v>0.1214857322754246</v>
      </c>
      <c r="E114" s="18"/>
      <c r="F114" s="9">
        <f>IFERROR(F113/F10, 0)</f>
        <v>0.21725926531051529</v>
      </c>
      <c r="G114" s="14"/>
      <c r="H114" s="9">
        <f>IFERROR(H113/H10, 0)</f>
        <v>0.17627432586285874</v>
      </c>
      <c r="I114" s="14"/>
      <c r="J114" s="9">
        <f>IFERROR(J113/J10, 0)</f>
        <v>0.18592031115409011</v>
      </c>
      <c r="K114" s="14"/>
      <c r="L114" s="9">
        <f>IFERROR(L113/L10, 0)</f>
        <v>0.27124568471197813</v>
      </c>
      <c r="M114" s="14"/>
      <c r="N114" s="9">
        <f>IFERROR(N113/N10, 0)</f>
        <v>0.14666182673891739</v>
      </c>
      <c r="O114" s="14"/>
      <c r="P114" s="9">
        <f>IFERROR(P113/P10, 0)</f>
        <v>-0.31982407607264307</v>
      </c>
      <c r="Q114" s="14"/>
      <c r="R114" s="9">
        <f>IFERROR(R113/R10, 0)</f>
        <v>7.0289090524430622E-2</v>
      </c>
    </row>
    <row r="115" spans="1:18" x14ac:dyDescent="0.35">
      <c r="A115" s="12"/>
      <c r="B115" s="40">
        <v>44319.883572604165</v>
      </c>
      <c r="D115" s="24"/>
      <c r="F115" s="24"/>
      <c r="H115" s="24"/>
      <c r="J115" s="24"/>
      <c r="L115" s="24"/>
      <c r="N115" s="24"/>
      <c r="P115" s="24"/>
      <c r="R115" s="24"/>
    </row>
    <row r="116" spans="1:18" x14ac:dyDescent="0.35">
      <c r="A116" s="12"/>
      <c r="B116" s="39" t="s">
        <v>23</v>
      </c>
      <c r="D116" s="24"/>
      <c r="F116" s="24"/>
      <c r="H116" s="24"/>
      <c r="J116" s="24"/>
      <c r="L116" s="24"/>
      <c r="N116" s="24"/>
      <c r="P116" s="24"/>
      <c r="R116" s="24"/>
    </row>
    <row r="117" spans="1:18" x14ac:dyDescent="0.35">
      <c r="A117" s="12"/>
      <c r="D117" s="24"/>
      <c r="F117" s="24"/>
      <c r="H117" s="24"/>
      <c r="J117" s="24"/>
      <c r="L117" s="24"/>
      <c r="N117" s="24"/>
      <c r="P117" s="24"/>
      <c r="R117" s="24"/>
    </row>
    <row r="118" spans="1:18" x14ac:dyDescent="0.35">
      <c r="D118" s="24"/>
      <c r="F118" s="24"/>
      <c r="H118" s="24"/>
      <c r="J118" s="24"/>
      <c r="L118" s="24"/>
      <c r="N118" s="24"/>
      <c r="P118" s="24"/>
      <c r="R118" s="24"/>
    </row>
  </sheetData>
  <pageMargins left="0.5" right="0.5" top="0.5" bottom="0.5" header="0.3" footer="0.3"/>
  <pageSetup scale="59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80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","435", " - ", "Ground Floor Coffee House")</f>
        <v>Department 435 - Ground Floor Coffee House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4299.3899999999994</v>
      </c>
      <c r="F10" s="8">
        <f>SUM(OSRRefF11x_0)</f>
        <v>12348.84</v>
      </c>
      <c r="G10" s="8"/>
      <c r="H10" s="8">
        <f>SUM(OSRRefH11x_0)</f>
        <v>25229.13</v>
      </c>
      <c r="I10" s="8"/>
      <c r="J10" s="8">
        <f>SUM(OSRRefJ11x_0)</f>
        <v>10525.3</v>
      </c>
      <c r="K10" s="8"/>
      <c r="L10" s="8">
        <f>SUM(OSRRefL11x_0)</f>
        <v>10529.93</v>
      </c>
      <c r="M10" s="8"/>
      <c r="N10" s="8">
        <f>SUM(OSRRefN11x_0)</f>
        <v>5179.0200000000004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"4055", " - ", "TAXABLE SALES-FOOD")</f>
        <v xml:space="preserve">          4055 - TAXABLE SALES-FOOD</v>
      </c>
      <c r="D11" s="11">
        <f>-184.24*-1</f>
        <v>184.24</v>
      </c>
      <c r="F11" s="11">
        <f>-1590.09*-1</f>
        <v>1590.09</v>
      </c>
      <c r="G11" s="3"/>
      <c r="H11" s="11">
        <f>-4791.02*-1</f>
        <v>4791.0200000000004</v>
      </c>
      <c r="I11" s="3"/>
      <c r="J11" s="11">
        <f>--2016.13</f>
        <v>2016.13</v>
      </c>
      <c r="K11" s="3"/>
      <c r="L11" s="11">
        <f>--1808.05</f>
        <v>1808.05</v>
      </c>
      <c r="M11" s="3"/>
      <c r="N11" s="11">
        <f>--973.49</f>
        <v>973.49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"4153", " - ", "NON-TAXABLE SALES-FOOD")</f>
        <v xml:space="preserve">          4153 - NON-TAXABLE SALES-FOOD</v>
      </c>
      <c r="D12" s="11">
        <f>0*-1</f>
        <v>0</v>
      </c>
      <c r="F12" s="11">
        <f>-268.01*-1</f>
        <v>268.01</v>
      </c>
      <c r="G12" s="3"/>
      <c r="H12" s="11">
        <f>-6.88*-1</f>
        <v>6.88</v>
      </c>
      <c r="I12" s="3"/>
      <c r="J12" s="11">
        <f>0</f>
        <v>0</v>
      </c>
      <c r="K12" s="3"/>
      <c r="L12" s="11">
        <f>--252.75</f>
        <v>252.75</v>
      </c>
      <c r="M12" s="3"/>
      <c r="N12" s="11">
        <f>--471.63</f>
        <v>471.63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"4155", " - ", "NON-TAXABLE SALES-FOOD")</f>
        <v xml:space="preserve">          4155 - NON-TAXABLE SALES-FOOD</v>
      </c>
      <c r="D13" s="11">
        <f>-4115.15*-1</f>
        <v>4115.1499999999996</v>
      </c>
      <c r="F13" s="11">
        <f>-10490.74*-1</f>
        <v>10490.74</v>
      </c>
      <c r="G13" s="3"/>
      <c r="H13" s="11">
        <f>-20431.23*-1</f>
        <v>20431.23</v>
      </c>
      <c r="I13" s="3"/>
      <c r="J13" s="11">
        <f>--8509.17</f>
        <v>8509.17</v>
      </c>
      <c r="K13" s="3"/>
      <c r="L13" s="11">
        <f>--8469.13</f>
        <v>8469.1299999999992</v>
      </c>
      <c r="M13" s="3"/>
      <c r="N13" s="11">
        <f>--3733.9</f>
        <v>3733.9</v>
      </c>
      <c r="O13" s="3"/>
      <c r="P13" s="11"/>
      <c r="Q13" s="3"/>
      <c r="R13" s="11"/>
    </row>
    <row r="14" spans="1:18" s="12" customFormat="1" x14ac:dyDescent="0.35">
      <c r="B14" s="7"/>
      <c r="D14" s="6"/>
      <c r="F14" s="6"/>
      <c r="G14" s="5"/>
      <c r="H14" s="6"/>
      <c r="I14" s="5"/>
      <c r="J14" s="6"/>
      <c r="K14" s="5"/>
      <c r="L14" s="6"/>
      <c r="M14" s="5"/>
      <c r="N14" s="6"/>
      <c r="O14" s="5"/>
      <c r="P14" s="6"/>
      <c r="Q14" s="5"/>
      <c r="R14" s="6"/>
    </row>
    <row r="15" spans="1:18" s="12" customFormat="1" collapsed="1" x14ac:dyDescent="0.35">
      <c r="B15" s="7" t="s">
        <v>278</v>
      </c>
      <c r="D15" s="8">
        <f>SUM(OSRRefD14x_0)</f>
        <v>2419.91</v>
      </c>
      <c r="E15" s="8"/>
      <c r="F15" s="8">
        <f>SUM(OSRRefF14x_0)</f>
        <v>10868.16</v>
      </c>
      <c r="G15" s="8"/>
      <c r="H15" s="8">
        <f>SUM(OSRRefH14x_0)</f>
        <v>10181.700000000001</v>
      </c>
      <c r="I15" s="8"/>
      <c r="J15" s="8">
        <f>SUM(OSRRefJ14x_0)</f>
        <v>6234.03</v>
      </c>
      <c r="K15" s="8"/>
      <c r="L15" s="8">
        <f>SUM(OSRRefL14x_0)</f>
        <v>16727.900000000001</v>
      </c>
      <c r="M15" s="8"/>
      <c r="N15" s="8">
        <f>SUM(OSRRefN14x_0)</f>
        <v>6466.4699999999993</v>
      </c>
      <c r="O15" s="8"/>
      <c r="P15" s="8">
        <f>SUM(OSRRefP14x_0)</f>
        <v>0</v>
      </c>
      <c r="Q15" s="8"/>
      <c r="R15" s="8">
        <f>SUM(OSRRefR14x_0)</f>
        <v>0</v>
      </c>
    </row>
    <row r="16" spans="1:18" s="44" customFormat="1" hidden="1" outlineLevel="1" x14ac:dyDescent="0.35">
      <c r="A16" s="16"/>
      <c r="B16" s="35" t="str">
        <f>CONCATENATE("          ", "5053", " - ", "PURCHASES @ COST-FOOD")</f>
        <v xml:space="preserve">          5053 - PURCHASES @ COST-FOOD</v>
      </c>
      <c r="C16" s="16"/>
      <c r="D16" s="11">
        <v>2419.91</v>
      </c>
      <c r="E16" s="16"/>
      <c r="F16" s="11">
        <v>8604.57</v>
      </c>
      <c r="G16" s="3"/>
      <c r="H16" s="11">
        <v>13134.5</v>
      </c>
      <c r="I16" s="3"/>
      <c r="J16" s="11">
        <v>5684.73</v>
      </c>
      <c r="K16" s="3"/>
      <c r="L16" s="11">
        <v>4288.88</v>
      </c>
      <c r="M16" s="3"/>
      <c r="N16" s="11">
        <v>3948.48</v>
      </c>
      <c r="O16" s="3"/>
      <c r="P16" s="11"/>
      <c r="Q16" s="3"/>
      <c r="R16" s="11"/>
    </row>
    <row r="17" spans="1:18" s="44" customFormat="1" hidden="1" outlineLevel="1" x14ac:dyDescent="0.35">
      <c r="A17" s="16"/>
      <c r="B17" s="35" t="str">
        <f>CONCATENATE("          ", "5059", " - ", "PURCHASES @ COST-FOOD")</f>
        <v xml:space="preserve">          5059 - PURCHASES @ COST-FOOD</v>
      </c>
      <c r="C17" s="16"/>
      <c r="D17" s="11"/>
      <c r="E17" s="16"/>
      <c r="F17" s="11">
        <v>2263.59</v>
      </c>
      <c r="G17" s="3"/>
      <c r="H17" s="11">
        <v>-2952.8</v>
      </c>
      <c r="I17" s="3"/>
      <c r="J17" s="11">
        <v>549.29999999999995</v>
      </c>
      <c r="K17" s="3"/>
      <c r="L17" s="11">
        <v>12439.02</v>
      </c>
      <c r="M17" s="3"/>
      <c r="N17" s="11">
        <v>2517.9899999999998</v>
      </c>
      <c r="O17" s="3"/>
      <c r="P17" s="11"/>
      <c r="Q17" s="3"/>
      <c r="R17" s="11"/>
    </row>
    <row r="18" spans="1:18" x14ac:dyDescent="0.35">
      <c r="A18" s="12"/>
      <c r="B18" s="7"/>
      <c r="C18" s="7"/>
      <c r="D18" s="6"/>
      <c r="F18" s="6"/>
      <c r="H18" s="6"/>
      <c r="J18" s="6"/>
      <c r="L18" s="6"/>
      <c r="N18" s="6"/>
      <c r="P18" s="6"/>
      <c r="R18" s="6"/>
    </row>
    <row r="19" spans="1:18" s="15" customFormat="1" x14ac:dyDescent="0.35">
      <c r="A19" s="7"/>
      <c r="B19" s="22" t="s">
        <v>107</v>
      </c>
      <c r="C19" s="22"/>
      <c r="D19" s="10">
        <f>+D10-D15</f>
        <v>1879.4799999999996</v>
      </c>
      <c r="E19" s="12"/>
      <c r="F19" s="10">
        <f>+F10-F15</f>
        <v>1480.6800000000003</v>
      </c>
      <c r="G19" s="5"/>
      <c r="H19" s="10">
        <f>+H10-H15</f>
        <v>15047.43</v>
      </c>
      <c r="I19" s="5"/>
      <c r="J19" s="10">
        <f>+J10-J15</f>
        <v>4291.2699999999995</v>
      </c>
      <c r="K19" s="5"/>
      <c r="L19" s="10">
        <f>+L10-L15</f>
        <v>-6197.9700000000012</v>
      </c>
      <c r="M19" s="5"/>
      <c r="N19" s="10">
        <f>+N10-N15</f>
        <v>-1287.4499999999989</v>
      </c>
      <c r="O19" s="5"/>
      <c r="P19" s="10">
        <f>+P10-P15</f>
        <v>0</v>
      </c>
      <c r="Q19" s="5"/>
      <c r="R19" s="10">
        <f>+R10-R15</f>
        <v>0</v>
      </c>
    </row>
    <row r="20" spans="1:18" s="27" customFormat="1" x14ac:dyDescent="0.35">
      <c r="A20" s="18"/>
      <c r="B20" s="31"/>
      <c r="C20" s="18"/>
      <c r="D20" s="9">
        <f>IFERROR(D19/D10, 0)</f>
        <v>0.43715038645017079</v>
      </c>
      <c r="E20" s="13"/>
      <c r="F20" s="9">
        <f>IFERROR(F19/F10, 0)</f>
        <v>0.11990437968262609</v>
      </c>
      <c r="G20" s="26"/>
      <c r="H20" s="9">
        <f>IFERROR(H19/H10, 0)</f>
        <v>0.59643079250057374</v>
      </c>
      <c r="I20" s="26"/>
      <c r="J20" s="9">
        <f>IFERROR(J19/J10, 0)</f>
        <v>0.40770999401442237</v>
      </c>
      <c r="K20" s="26"/>
      <c r="L20" s="9">
        <f>IFERROR(L19/L10, 0)</f>
        <v>-0.58860505245523964</v>
      </c>
      <c r="M20" s="26"/>
      <c r="N20" s="9">
        <f>IFERROR(N19/N10, 0)</f>
        <v>-0.24858950148869841</v>
      </c>
      <c r="O20" s="26"/>
      <c r="P20" s="9">
        <f>IFERROR(P19/P10, 0)</f>
        <v>0</v>
      </c>
      <c r="Q20" s="26"/>
      <c r="R20" s="9">
        <f>IFERROR(R19/R10, 0)</f>
        <v>0</v>
      </c>
    </row>
    <row r="21" spans="1:18" s="27" customFormat="1" x14ac:dyDescent="0.35">
      <c r="A21" s="18"/>
      <c r="B21" s="31"/>
      <c r="C21" s="18"/>
      <c r="D21" s="13"/>
      <c r="E21" s="13"/>
      <c r="F21" s="13"/>
      <c r="G21" s="26"/>
      <c r="H21" s="13"/>
      <c r="I21" s="26"/>
      <c r="J21" s="13"/>
      <c r="K21" s="26"/>
      <c r="L21" s="13"/>
      <c r="M21" s="26"/>
      <c r="N21" s="13"/>
      <c r="O21" s="26"/>
      <c r="P21" s="13"/>
      <c r="Q21" s="26"/>
      <c r="R21" s="13"/>
    </row>
    <row r="22" spans="1:18" s="15" customFormat="1" x14ac:dyDescent="0.35">
      <c r="A22" s="7"/>
      <c r="B22" s="34" t="s">
        <v>314</v>
      </c>
      <c r="C22" s="7"/>
      <c r="D22" s="8">
        <f>SUM(OSRRefD21x_0)</f>
        <v>7845.23</v>
      </c>
      <c r="E22" s="19"/>
      <c r="F22" s="8">
        <f>SUM(OSRRefF21x_0)</f>
        <v>20984.840000000004</v>
      </c>
      <c r="G22" s="4"/>
      <c r="H22" s="8">
        <f>SUM(OSRRefH21x_0)</f>
        <v>21636.299999999996</v>
      </c>
      <c r="I22" s="4"/>
      <c r="J22" s="8">
        <f>SUM(OSRRefJ21x_0)</f>
        <v>24203.119999999999</v>
      </c>
      <c r="K22" s="4"/>
      <c r="L22" s="8">
        <f>SUM(OSRRefL21x_0)</f>
        <v>22565.199999999997</v>
      </c>
      <c r="M22" s="4"/>
      <c r="N22" s="8">
        <f>SUM(OSRRefN21x_0)</f>
        <v>16005.319999999998</v>
      </c>
      <c r="O22" s="4"/>
      <c r="P22" s="8">
        <f>SUM(OSRRefP21x_0)</f>
        <v>0</v>
      </c>
      <c r="Q22" s="4"/>
      <c r="R22" s="8">
        <f>SUM(OSRRefR21x_0)</f>
        <v>0</v>
      </c>
    </row>
    <row r="23" spans="1:18" s="15" customFormat="1" outlineLevel="1" collapsed="1" x14ac:dyDescent="0.35">
      <c r="A23" s="7"/>
      <c r="B23" s="20" t="str">
        <f>CONCATENATE("     ","*Benefits                                         ")</f>
        <v xml:space="preserve">     *Benefits                                         </v>
      </c>
      <c r="C23" s="7"/>
      <c r="D23" s="1">
        <f>SUM(OSRRefD21_0x_0)</f>
        <v>2.75</v>
      </c>
      <c r="E23" s="19"/>
      <c r="F23" s="1">
        <f>SUM(OSRRefF21_0x_0)</f>
        <v>644.92999999999995</v>
      </c>
      <c r="G23" s="4"/>
      <c r="H23" s="1">
        <f>SUM(OSRRefH21_0x_0)</f>
        <v>1191.4699999999998</v>
      </c>
      <c r="I23" s="4"/>
      <c r="J23" s="1">
        <f>SUM(OSRRefJ21_0x_0)</f>
        <v>1144.73</v>
      </c>
      <c r="K23" s="4"/>
      <c r="L23" s="1">
        <f>SUM(OSRRefL21_0x_0)</f>
        <v>1350.27</v>
      </c>
      <c r="M23" s="4"/>
      <c r="N23" s="1">
        <f>SUM(OSRRefN21_0x_0)</f>
        <v>823.68000000000006</v>
      </c>
      <c r="O23" s="4"/>
      <c r="P23" s="1">
        <f>SUM(OSRRefP21_0x_0)</f>
        <v>0</v>
      </c>
      <c r="Q23" s="4"/>
      <c r="R23" s="1">
        <f>SUM(OSRRefR21_0x_0)</f>
        <v>0</v>
      </c>
    </row>
    <row r="24" spans="1:18" s="16" customFormat="1" hidden="1" outlineLevel="2" x14ac:dyDescent="0.35">
      <c r="B24" s="11" t="str">
        <f>CONCATENATE("          ", "6111", " - ", "F.I.C.A.")</f>
        <v xml:space="preserve">          6111 - F.I.C.A.</v>
      </c>
      <c r="D24" s="2">
        <v>2.75</v>
      </c>
      <c r="F24" s="2">
        <v>501.62</v>
      </c>
      <c r="G24" s="3"/>
      <c r="H24" s="2">
        <v>882.74</v>
      </c>
      <c r="I24" s="3"/>
      <c r="J24" s="2">
        <v>911.96</v>
      </c>
      <c r="K24" s="3"/>
      <c r="L24" s="2">
        <v>1098.75</v>
      </c>
      <c r="M24" s="3"/>
      <c r="N24" s="2">
        <v>602.38</v>
      </c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"6112", " - ", "COMPENSATION INSURANCE")</f>
        <v xml:space="preserve">          6112 - COMPENSATION INSURANCE</v>
      </c>
      <c r="D25" s="2"/>
      <c r="F25" s="2">
        <v>115.41</v>
      </c>
      <c r="G25" s="3"/>
      <c r="H25" s="2">
        <v>256.88</v>
      </c>
      <c r="I25" s="3"/>
      <c r="J25" s="2">
        <v>176.04</v>
      </c>
      <c r="K25" s="3"/>
      <c r="L25" s="2">
        <v>199.45</v>
      </c>
      <c r="M25" s="3"/>
      <c r="N25" s="2">
        <v>221.3</v>
      </c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"6114", " - ", "STATE UNEMPLOYMENT INSURANCE")</f>
        <v xml:space="preserve">          6114 - STATE UNEMPLOYMENT INSURANCE</v>
      </c>
      <c r="D26" s="2"/>
      <c r="F26" s="2">
        <v>27.9</v>
      </c>
      <c r="G26" s="3"/>
      <c r="H26" s="2">
        <v>51.85</v>
      </c>
      <c r="I26" s="3"/>
      <c r="J26" s="2">
        <v>56.73</v>
      </c>
      <c r="K26" s="3"/>
      <c r="L26" s="2">
        <v>52.07</v>
      </c>
      <c r="M26" s="3"/>
      <c r="N26" s="2">
        <v>0</v>
      </c>
      <c r="O26" s="3"/>
      <c r="P26" s="2"/>
      <c r="Q26" s="3"/>
      <c r="R26" s="2"/>
    </row>
    <row r="27" spans="1:18" s="15" customFormat="1" outlineLevel="1" collapsed="1" x14ac:dyDescent="0.35">
      <c r="A27" s="7"/>
      <c r="B27" s="20" t="str">
        <f>CONCATENATE("     ","*Payroll                                          ")</f>
        <v xml:space="preserve">     *Payroll                                          </v>
      </c>
      <c r="C27" s="7"/>
      <c r="D27" s="1">
        <f>SUM(OSRRefD21_1x_0)</f>
        <v>3373.88</v>
      </c>
      <c r="E27" s="19"/>
      <c r="F27" s="1">
        <f>SUM(OSRRefF21_1x_0)</f>
        <v>10659.79</v>
      </c>
      <c r="G27" s="4"/>
      <c r="H27" s="1">
        <f>SUM(OSRRefH21_1x_0)</f>
        <v>15807.71</v>
      </c>
      <c r="I27" s="4"/>
      <c r="J27" s="1">
        <f>SUM(OSRRefJ21_1x_0)</f>
        <v>19446.22</v>
      </c>
      <c r="K27" s="4"/>
      <c r="L27" s="1">
        <f>SUM(OSRRefL21_1x_0)</f>
        <v>17827.21</v>
      </c>
      <c r="M27" s="4"/>
      <c r="N27" s="1">
        <f>SUM(OSRRefN21_1x_0)</f>
        <v>10914.98</v>
      </c>
      <c r="O27" s="4"/>
      <c r="P27" s="1">
        <f>SUM(OSRRefP21_1x_0)</f>
        <v>0</v>
      </c>
      <c r="Q27" s="4"/>
      <c r="R27" s="1">
        <f>SUM(OSRRefR21_1x_0)</f>
        <v>0</v>
      </c>
    </row>
    <row r="28" spans="1:18" s="16" customFormat="1" hidden="1" outlineLevel="2" x14ac:dyDescent="0.35">
      <c r="B28" s="11" t="str">
        <f>CONCATENATE("          ", "6005", " - ", "TEMPORARY WAGES-HOURLY")</f>
        <v xml:space="preserve">          6005 - TEMPORARY WAGES-HOURLY</v>
      </c>
      <c r="D28" s="2">
        <v>36</v>
      </c>
      <c r="F28" s="2">
        <v>5633.04</v>
      </c>
      <c r="G28" s="3"/>
      <c r="H28" s="2">
        <v>6102.54</v>
      </c>
      <c r="I28" s="3"/>
      <c r="J28" s="2">
        <v>11764.1</v>
      </c>
      <c r="K28" s="3"/>
      <c r="L28" s="2">
        <v>13228.56</v>
      </c>
      <c r="M28" s="3"/>
      <c r="N28" s="2">
        <v>7765.17</v>
      </c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"6006", " - ", "TEMPORARY PART TIME")</f>
        <v xml:space="preserve">          6006 - TEMPORARY PART TIME</v>
      </c>
      <c r="D29" s="2"/>
      <c r="F29" s="2"/>
      <c r="G29" s="3"/>
      <c r="H29" s="2">
        <v>5436.47</v>
      </c>
      <c r="I29" s="3"/>
      <c r="J29" s="2">
        <v>78.75</v>
      </c>
      <c r="K29" s="3"/>
      <c r="L29" s="2">
        <v>942</v>
      </c>
      <c r="M29" s="3"/>
      <c r="N29" s="2">
        <v>73.31</v>
      </c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"6007", " - ", "STUDENT HOURLY")</f>
        <v xml:space="preserve">          6007 - STUDENT HOURLY</v>
      </c>
      <c r="D30" s="2">
        <v>3337.88</v>
      </c>
      <c r="F30" s="2">
        <v>5026.75</v>
      </c>
      <c r="G30" s="3"/>
      <c r="H30" s="2">
        <v>4268.7</v>
      </c>
      <c r="I30" s="3"/>
      <c r="J30" s="2">
        <v>4461.13</v>
      </c>
      <c r="K30" s="3"/>
      <c r="L30" s="2">
        <v>3656.65</v>
      </c>
      <c r="M30" s="3"/>
      <c r="N30" s="2">
        <v>3076.5</v>
      </c>
      <c r="O30" s="3"/>
      <c r="P30" s="2"/>
      <c r="Q30" s="3"/>
      <c r="R30" s="2"/>
    </row>
    <row r="31" spans="1:18" s="16" customFormat="1" hidden="1" outlineLevel="2" x14ac:dyDescent="0.35">
      <c r="B31" s="11" t="str">
        <f>CONCATENATE("          ", "6008", " - ", "STUDENT HOURLY-FICA EXEMPT")</f>
        <v xml:space="preserve">          6008 - STUDENT HOURLY-FICA EXEMPT</v>
      </c>
      <c r="D31" s="2"/>
      <c r="F31" s="2"/>
      <c r="G31" s="3"/>
      <c r="H31" s="2"/>
      <c r="I31" s="3"/>
      <c r="J31" s="2">
        <v>3142.24</v>
      </c>
      <c r="K31" s="3"/>
      <c r="L31" s="2"/>
      <c r="M31" s="3"/>
      <c r="N31" s="2"/>
      <c r="O31" s="3"/>
      <c r="P31" s="2"/>
      <c r="Q31" s="3"/>
      <c r="R31" s="2"/>
    </row>
    <row r="32" spans="1:18" s="15" customFormat="1" outlineLevel="1" collapsed="1" x14ac:dyDescent="0.35">
      <c r="A32" s="7"/>
      <c r="B32" s="20" t="str">
        <f>CONCATENATE("     ","Advertising/Promo                                 ")</f>
        <v xml:space="preserve">     Advertising/Promo                                 </v>
      </c>
      <c r="C32" s="7"/>
      <c r="D32" s="1">
        <f>SUM(OSRRefD21_2x_0)</f>
        <v>287.91000000000003</v>
      </c>
      <c r="E32" s="19"/>
      <c r="F32" s="1">
        <f>SUM(OSRRefF21_2x_0)</f>
        <v>665.16</v>
      </c>
      <c r="G32" s="4"/>
      <c r="H32" s="1">
        <f>SUM(OSRRefH21_2x_0)</f>
        <v>210.94</v>
      </c>
      <c r="I32" s="4"/>
      <c r="J32" s="1">
        <f>SUM(OSRRefJ21_2x_0)</f>
        <v>12</v>
      </c>
      <c r="K32" s="4"/>
      <c r="L32" s="1">
        <f>SUM(OSRRefL21_2x_0)</f>
        <v>12</v>
      </c>
      <c r="M32" s="4"/>
      <c r="N32" s="1">
        <f>SUM(OSRRefN21_2x_0)</f>
        <v>0</v>
      </c>
      <c r="O32" s="4"/>
      <c r="P32" s="1">
        <f>SUM(OSRRefP21_2x_0)</f>
        <v>0</v>
      </c>
      <c r="Q32" s="4"/>
      <c r="R32" s="1">
        <f>SUM(OSRRefR21_2x_0)</f>
        <v>0</v>
      </c>
    </row>
    <row r="33" spans="1:18" s="16" customFormat="1" hidden="1" outlineLevel="2" x14ac:dyDescent="0.35">
      <c r="B33" s="11" t="str">
        <f>CONCATENATE("          ", "6362", " - ", "ADVERTISING EXPENSE")</f>
        <v xml:space="preserve">          6362 - ADVERTISING EXPENSE</v>
      </c>
      <c r="D33" s="2">
        <v>287.91000000000003</v>
      </c>
      <c r="F33" s="2">
        <v>665.16</v>
      </c>
      <c r="G33" s="3"/>
      <c r="H33" s="2">
        <v>210.94</v>
      </c>
      <c r="I33" s="3"/>
      <c r="J33" s="2">
        <v>12</v>
      </c>
      <c r="K33" s="3"/>
      <c r="L33" s="2">
        <v>12</v>
      </c>
      <c r="M33" s="3"/>
      <c r="N33" s="2"/>
      <c r="O33" s="3"/>
      <c r="P33" s="2"/>
      <c r="Q33" s="3"/>
      <c r="R33" s="2"/>
    </row>
    <row r="34" spans="1:18" s="15" customFormat="1" outlineLevel="1" collapsed="1" x14ac:dyDescent="0.35">
      <c r="A34" s="7"/>
      <c r="B34" s="20" t="str">
        <f>CONCATENATE("     ","Bad Debts/Over/Short                              ")</f>
        <v xml:space="preserve">     Bad Debts/Over/Short                              </v>
      </c>
      <c r="C34" s="7"/>
      <c r="D34" s="1">
        <f>SUM(OSRRefD21_3x_0)</f>
        <v>-1.48</v>
      </c>
      <c r="E34" s="19"/>
      <c r="F34" s="1">
        <f>SUM(OSRRefF21_3x_0)</f>
        <v>23.04</v>
      </c>
      <c r="G34" s="4"/>
      <c r="H34" s="1">
        <f>SUM(OSRRefH21_3x_0)</f>
        <v>24.19</v>
      </c>
      <c r="I34" s="4"/>
      <c r="J34" s="1">
        <f>SUM(OSRRefJ21_3x_0)</f>
        <v>32.06</v>
      </c>
      <c r="K34" s="4"/>
      <c r="L34" s="1">
        <f>SUM(OSRRefL21_3x_0)</f>
        <v>0.97</v>
      </c>
      <c r="M34" s="4"/>
      <c r="N34" s="1">
        <f>SUM(OSRRefN21_3x_0)</f>
        <v>-1.41</v>
      </c>
      <c r="O34" s="4"/>
      <c r="P34" s="1">
        <f>SUM(OSRRefP21_3x_0)</f>
        <v>0</v>
      </c>
      <c r="Q34" s="4"/>
      <c r="R34" s="1">
        <f>SUM(OSRRefR21_3x_0)</f>
        <v>0</v>
      </c>
    </row>
    <row r="35" spans="1:18" s="16" customFormat="1" hidden="1" outlineLevel="2" x14ac:dyDescent="0.35">
      <c r="B35" s="11" t="str">
        <f>CONCATENATE("          ", "6272", " - ", "CASH (OVER/SHORT)")</f>
        <v xml:space="preserve">          6272 - CASH (OVER/SHORT)</v>
      </c>
      <c r="D35" s="2">
        <v>-1.48</v>
      </c>
      <c r="F35" s="2">
        <v>23.04</v>
      </c>
      <c r="G35" s="3"/>
      <c r="H35" s="2">
        <v>24.19</v>
      </c>
      <c r="I35" s="3"/>
      <c r="J35" s="2">
        <v>32.06</v>
      </c>
      <c r="K35" s="3"/>
      <c r="L35" s="2">
        <v>0.97</v>
      </c>
      <c r="M35" s="3"/>
      <c r="N35" s="2">
        <v>-1.41</v>
      </c>
      <c r="O35" s="3"/>
      <c r="P35" s="2"/>
      <c r="Q35" s="3"/>
      <c r="R35" s="2"/>
    </row>
    <row r="36" spans="1:18" s="15" customFormat="1" outlineLevel="1" collapsed="1" x14ac:dyDescent="0.35">
      <c r="A36" s="7"/>
      <c r="B36" s="20" t="str">
        <f>CONCATENATE("     ","Bank/card Fees                                    ")</f>
        <v xml:space="preserve">     Bank/card Fees                                    </v>
      </c>
      <c r="C36" s="7"/>
      <c r="D36" s="1">
        <f>SUM(OSRRefD21_4x_0)</f>
        <v>98.17</v>
      </c>
      <c r="E36" s="19"/>
      <c r="F36" s="1">
        <f>SUM(OSRRefF21_4x_0)</f>
        <v>241.43</v>
      </c>
      <c r="G36" s="4"/>
      <c r="H36" s="1">
        <f>SUM(OSRRefH21_4x_0)</f>
        <v>301.39999999999998</v>
      </c>
      <c r="I36" s="4"/>
      <c r="J36" s="1">
        <f>SUM(OSRRefJ21_4x_0)</f>
        <v>216.29</v>
      </c>
      <c r="K36" s="4"/>
      <c r="L36" s="1">
        <f>SUM(OSRRefL21_4x_0)</f>
        <v>216.05</v>
      </c>
      <c r="M36" s="4"/>
      <c r="N36" s="1">
        <f>SUM(OSRRefN21_4x_0)</f>
        <v>125.26</v>
      </c>
      <c r="O36" s="4"/>
      <c r="P36" s="1">
        <f>SUM(OSRRefP21_4x_0)</f>
        <v>0</v>
      </c>
      <c r="Q36" s="4"/>
      <c r="R36" s="1">
        <f>SUM(OSRRefR21_4x_0)</f>
        <v>0</v>
      </c>
    </row>
    <row r="37" spans="1:18" s="16" customFormat="1" hidden="1" outlineLevel="2" x14ac:dyDescent="0.35">
      <c r="B37" s="11" t="str">
        <f>CONCATENATE("          ", "6381", " - ", "BANK/CREDIT CARD FEES")</f>
        <v xml:space="preserve">          6381 - BANK/CREDIT CARD FEES</v>
      </c>
      <c r="D37" s="2">
        <v>98.17</v>
      </c>
      <c r="F37" s="2">
        <v>241.43</v>
      </c>
      <c r="G37" s="3"/>
      <c r="H37" s="2">
        <v>301.39999999999998</v>
      </c>
      <c r="I37" s="3"/>
      <c r="J37" s="2">
        <v>216.29</v>
      </c>
      <c r="K37" s="3"/>
      <c r="L37" s="2">
        <v>216.05</v>
      </c>
      <c r="M37" s="3"/>
      <c r="N37" s="2">
        <v>125.26</v>
      </c>
      <c r="O37" s="3"/>
      <c r="P37" s="2"/>
      <c r="Q37" s="3"/>
      <c r="R37" s="2"/>
    </row>
    <row r="38" spans="1:18" s="15" customFormat="1" outlineLevel="1" collapsed="1" x14ac:dyDescent="0.35">
      <c r="A38" s="7"/>
      <c r="B38" s="20" t="str">
        <f>CONCATENATE("     ","Depreciation                                      ")</f>
        <v xml:space="preserve">     Depreciation                                      </v>
      </c>
      <c r="C38" s="7"/>
      <c r="D38" s="1">
        <f>SUM(OSRRefD21_5x_0)</f>
        <v>1985.83</v>
      </c>
      <c r="E38" s="19"/>
      <c r="F38" s="1">
        <f>SUM(OSRRefF21_5x_0)</f>
        <v>1985.83</v>
      </c>
      <c r="G38" s="4"/>
      <c r="H38" s="1">
        <f>SUM(OSRRefH21_5x_0)</f>
        <v>16.809999999999999</v>
      </c>
      <c r="I38" s="4"/>
      <c r="J38" s="1">
        <f>SUM(OSRRefJ21_5x_0)</f>
        <v>0</v>
      </c>
      <c r="K38" s="4"/>
      <c r="L38" s="1">
        <f>SUM(OSRRefL21_5x_0)</f>
        <v>0</v>
      </c>
      <c r="M38" s="4"/>
      <c r="N38" s="1">
        <f>SUM(OSRRefN21_5x_0)</f>
        <v>0</v>
      </c>
      <c r="O38" s="4"/>
      <c r="P38" s="1">
        <f>SUM(OSRRefP21_5x_0)</f>
        <v>0</v>
      </c>
      <c r="Q38" s="4"/>
      <c r="R38" s="1">
        <f>SUM(OSRRefR21_5x_0)</f>
        <v>0</v>
      </c>
    </row>
    <row r="39" spans="1:18" s="16" customFormat="1" hidden="1" outlineLevel="2" x14ac:dyDescent="0.35">
      <c r="B39" s="11" t="str">
        <f>CONCATENATE("          ", "6322", " - ", "EQUIPMENT DEPRECIATION EXPENSE")</f>
        <v xml:space="preserve">          6322 - EQUIPMENT DEPRECIATION EXPENSE</v>
      </c>
      <c r="D39" s="2">
        <v>1985.83</v>
      </c>
      <c r="F39" s="2">
        <v>1985.83</v>
      </c>
      <c r="G39" s="3"/>
      <c r="H39" s="2">
        <v>16.809999999999999</v>
      </c>
      <c r="I39" s="3"/>
      <c r="J39" s="2"/>
      <c r="K39" s="3"/>
      <c r="L39" s="2"/>
      <c r="M39" s="3"/>
      <c r="N39" s="2"/>
      <c r="O39" s="3"/>
      <c r="P39" s="2"/>
      <c r="Q39" s="3"/>
      <c r="R39" s="2"/>
    </row>
    <row r="40" spans="1:18" s="15" customFormat="1" outlineLevel="1" collapsed="1" x14ac:dyDescent="0.35">
      <c r="A40" s="7"/>
      <c r="B40" s="20" t="str">
        <f>CONCATENATE("     ","Employees' Appreciation                           ")</f>
        <v xml:space="preserve">     Employees' Appreciation                           </v>
      </c>
      <c r="C40" s="7"/>
      <c r="D40" s="1">
        <f>SUM(OSRRefD21_6x_0)</f>
        <v>0</v>
      </c>
      <c r="E40" s="19"/>
      <c r="F40" s="1">
        <f>SUM(OSRRefF21_6x_0)</f>
        <v>0</v>
      </c>
      <c r="G40" s="4"/>
      <c r="H40" s="1">
        <f>SUM(OSRRefH21_6x_0)</f>
        <v>0</v>
      </c>
      <c r="I40" s="4"/>
      <c r="J40" s="1">
        <f>SUM(OSRRefJ21_6x_0)</f>
        <v>0</v>
      </c>
      <c r="K40" s="4"/>
      <c r="L40" s="1">
        <f>SUM(OSRRefL21_6x_0)</f>
        <v>0</v>
      </c>
      <c r="M40" s="4"/>
      <c r="N40" s="1">
        <f>SUM(OSRRefN21_6x_0)</f>
        <v>40.799999999999997</v>
      </c>
      <c r="O40" s="4"/>
      <c r="P40" s="1">
        <f>SUM(OSRRefP21_6x_0)</f>
        <v>0</v>
      </c>
      <c r="Q40" s="4"/>
      <c r="R40" s="1">
        <f>SUM(OSRRefR21_6x_0)</f>
        <v>0</v>
      </c>
    </row>
    <row r="41" spans="1:18" s="16" customFormat="1" hidden="1" outlineLevel="2" x14ac:dyDescent="0.35">
      <c r="B41" s="11" t="str">
        <f>CONCATENATE("          ", "6277", " - ", "EMPLOYEE APPRECIATION")</f>
        <v xml:space="preserve">          6277 - EMPLOYEE APPRECIATION</v>
      </c>
      <c r="D41" s="2"/>
      <c r="F41" s="2"/>
      <c r="G41" s="3"/>
      <c r="H41" s="2"/>
      <c r="I41" s="3"/>
      <c r="J41" s="2"/>
      <c r="K41" s="3"/>
      <c r="L41" s="2"/>
      <c r="M41" s="3"/>
      <c r="N41" s="2">
        <v>40.799999999999997</v>
      </c>
      <c r="O41" s="3"/>
      <c r="P41" s="2"/>
      <c r="Q41" s="3"/>
      <c r="R41" s="2"/>
    </row>
    <row r="42" spans="1:18" s="15" customFormat="1" outlineLevel="1" collapsed="1" x14ac:dyDescent="0.35">
      <c r="A42" s="7"/>
      <c r="B42" s="20" t="str">
        <f>CONCATENATE("     ","General                                           ")</f>
        <v xml:space="preserve">     General                                           </v>
      </c>
      <c r="C42" s="7"/>
      <c r="D42" s="1">
        <f>SUM(OSRRefD21_7x_0)</f>
        <v>971.2</v>
      </c>
      <c r="E42" s="19"/>
      <c r="F42" s="1">
        <f>SUM(OSRRefF21_7x_0)</f>
        <v>993.8</v>
      </c>
      <c r="G42" s="4"/>
      <c r="H42" s="1">
        <f>SUM(OSRRefH21_7x_0)</f>
        <v>993.8</v>
      </c>
      <c r="I42" s="4"/>
      <c r="J42" s="1">
        <f>SUM(OSRRefJ21_7x_0)</f>
        <v>1014</v>
      </c>
      <c r="K42" s="4"/>
      <c r="L42" s="1">
        <f>SUM(OSRRefL21_7x_0)</f>
        <v>1115.22</v>
      </c>
      <c r="M42" s="4"/>
      <c r="N42" s="1">
        <f>SUM(OSRRefN21_7x_0)</f>
        <v>1154.05</v>
      </c>
      <c r="O42" s="4"/>
      <c r="P42" s="1">
        <f>SUM(OSRRefP21_7x_0)</f>
        <v>0</v>
      </c>
      <c r="Q42" s="4"/>
      <c r="R42" s="1">
        <f>SUM(OSRRefR21_7x_0)</f>
        <v>0</v>
      </c>
    </row>
    <row r="43" spans="1:18" s="16" customFormat="1" hidden="1" outlineLevel="2" x14ac:dyDescent="0.35">
      <c r="B43" s="11" t="str">
        <f>CONCATENATE("          ", "6279", " - ", "GENERAL EXPENSE")</f>
        <v xml:space="preserve">          6279 - GENERAL EXPENSE</v>
      </c>
      <c r="D43" s="2">
        <v>971.2</v>
      </c>
      <c r="F43" s="2">
        <v>993.8</v>
      </c>
      <c r="G43" s="3"/>
      <c r="H43" s="2">
        <v>993.8</v>
      </c>
      <c r="I43" s="3"/>
      <c r="J43" s="2">
        <v>1014</v>
      </c>
      <c r="K43" s="3"/>
      <c r="L43" s="2">
        <v>1115.22</v>
      </c>
      <c r="M43" s="3"/>
      <c r="N43" s="2">
        <v>1154.05</v>
      </c>
      <c r="O43" s="3"/>
      <c r="P43" s="2"/>
      <c r="Q43" s="3"/>
      <c r="R43" s="2"/>
    </row>
    <row r="44" spans="1:18" s="15" customFormat="1" outlineLevel="1" collapsed="1" x14ac:dyDescent="0.35">
      <c r="A44" s="7"/>
      <c r="B44" s="20" t="str">
        <f>CONCATENATE("     ","R/H Commissions                                   ")</f>
        <v xml:space="preserve">     R/H Commissions                                   </v>
      </c>
      <c r="C44" s="7"/>
      <c r="D44" s="1">
        <f>SUM(OSRRefD21_8x_0)</f>
        <v>343.96</v>
      </c>
      <c r="E44" s="19"/>
      <c r="F44" s="1">
        <f>SUM(OSRRefF21_8x_0)</f>
        <v>943.51</v>
      </c>
      <c r="G44" s="4"/>
      <c r="H44" s="1">
        <f>SUM(OSRRefH21_8x_0)</f>
        <v>1976.85</v>
      </c>
      <c r="I44" s="4"/>
      <c r="J44" s="1">
        <f>SUM(OSRRefJ21_8x_0)</f>
        <v>842.03</v>
      </c>
      <c r="K44" s="4"/>
      <c r="L44" s="1">
        <f>SUM(OSRRefL21_8x_0)</f>
        <v>792.32</v>
      </c>
      <c r="M44" s="4"/>
      <c r="N44" s="1">
        <f>SUM(OSRRefN21_8x_0)</f>
        <v>414.32</v>
      </c>
      <c r="O44" s="4"/>
      <c r="P44" s="1">
        <f>SUM(OSRRefP21_8x_0)</f>
        <v>0</v>
      </c>
      <c r="Q44" s="4"/>
      <c r="R44" s="1">
        <f>SUM(OSRRefR21_8x_0)</f>
        <v>0</v>
      </c>
    </row>
    <row r="45" spans="1:18" s="16" customFormat="1" hidden="1" outlineLevel="2" x14ac:dyDescent="0.35">
      <c r="B45" s="11" t="str">
        <f>CONCATENATE("          ", "6387", " - ", "COMMISSION DUE HOUSING")</f>
        <v xml:space="preserve">          6387 - COMMISSION DUE HOUSING</v>
      </c>
      <c r="D45" s="2">
        <v>343.96</v>
      </c>
      <c r="F45" s="2">
        <v>943.51</v>
      </c>
      <c r="G45" s="3"/>
      <c r="H45" s="2">
        <v>1976.85</v>
      </c>
      <c r="I45" s="3"/>
      <c r="J45" s="2">
        <v>842.03</v>
      </c>
      <c r="K45" s="3"/>
      <c r="L45" s="2">
        <v>792.32</v>
      </c>
      <c r="M45" s="3"/>
      <c r="N45" s="2">
        <v>414.32</v>
      </c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","Repair and Maintenance                            ")</f>
        <v xml:space="preserve">     Repair and Maintenance                            </v>
      </c>
      <c r="C46" s="7"/>
      <c r="D46" s="1">
        <f>SUM(OSRRefD21_9x_0)</f>
        <v>276.07</v>
      </c>
      <c r="E46" s="19"/>
      <c r="F46" s="1">
        <f>SUM(OSRRefF21_9x_0)</f>
        <v>111.94</v>
      </c>
      <c r="G46" s="4"/>
      <c r="H46" s="1">
        <f>SUM(OSRRefH21_9x_0)</f>
        <v>0</v>
      </c>
      <c r="I46" s="4"/>
      <c r="J46" s="1">
        <f>SUM(OSRRefJ21_9x_0)</f>
        <v>793.88</v>
      </c>
      <c r="K46" s="4"/>
      <c r="L46" s="1">
        <f>SUM(OSRRefL21_9x_0)</f>
        <v>0</v>
      </c>
      <c r="M46" s="4"/>
      <c r="N46" s="1">
        <f>SUM(OSRRefN21_9x_0)</f>
        <v>0</v>
      </c>
      <c r="O46" s="4"/>
      <c r="P46" s="1">
        <f>SUM(OSRRefP21_9x_0)</f>
        <v>0</v>
      </c>
      <c r="Q46" s="4"/>
      <c r="R46" s="1">
        <f>SUM(OSRRefR21_9x_0)</f>
        <v>0</v>
      </c>
    </row>
    <row r="47" spans="1:18" s="16" customFormat="1" hidden="1" outlineLevel="2" x14ac:dyDescent="0.35">
      <c r="B47" s="11" t="str">
        <f>CONCATENATE("          ", "6373", " - ", "MAINTENANCE CONTRACTS")</f>
        <v xml:space="preserve">          6373 - MAINTENANCE CONTRACTS</v>
      </c>
      <c r="D47" s="2">
        <v>276.07</v>
      </c>
      <c r="F47" s="2"/>
      <c r="G47" s="3"/>
      <c r="H47" s="2"/>
      <c r="I47" s="3"/>
      <c r="J47" s="2"/>
      <c r="K47" s="3"/>
      <c r="L47" s="2"/>
      <c r="M47" s="3"/>
      <c r="N47" s="2"/>
      <c r="O47" s="3"/>
      <c r="P47" s="2"/>
      <c r="Q47" s="3"/>
      <c r="R47" s="2"/>
    </row>
    <row r="48" spans="1:18" s="16" customFormat="1" hidden="1" outlineLevel="2" x14ac:dyDescent="0.35">
      <c r="B48" s="11" t="str">
        <f>CONCATENATE("          ", "6375", " - ", "OUTSIDE REPAIRS &amp; MAINTENANCE")</f>
        <v xml:space="preserve">          6375 - OUTSIDE REPAIRS &amp; MAINTENANCE</v>
      </c>
      <c r="D48" s="2"/>
      <c r="F48" s="2">
        <v>111.94</v>
      </c>
      <c r="G48" s="3"/>
      <c r="H48" s="2"/>
      <c r="I48" s="3"/>
      <c r="J48" s="2">
        <v>793.88</v>
      </c>
      <c r="K48" s="3"/>
      <c r="L48" s="2"/>
      <c r="M48" s="3"/>
      <c r="N48" s="2"/>
      <c r="O48" s="3"/>
      <c r="P48" s="2"/>
      <c r="Q48" s="3"/>
      <c r="R48" s="2"/>
    </row>
    <row r="49" spans="1:18" s="15" customFormat="1" outlineLevel="1" collapsed="1" x14ac:dyDescent="0.35">
      <c r="A49" s="7"/>
      <c r="B49" s="20" t="str">
        <f>CONCATENATE("     ","Supplies                                          ")</f>
        <v xml:space="preserve">     Supplies                                          </v>
      </c>
      <c r="C49" s="7"/>
      <c r="D49" s="1">
        <f>SUM(OSRRefD21_10x_0)</f>
        <v>50.94</v>
      </c>
      <c r="E49" s="19"/>
      <c r="F49" s="1">
        <f>SUM(OSRRefF21_10x_0)</f>
        <v>4181.41</v>
      </c>
      <c r="G49" s="4"/>
      <c r="H49" s="1">
        <f>SUM(OSRRefH21_10x_0)</f>
        <v>217.67</v>
      </c>
      <c r="I49" s="4"/>
      <c r="J49" s="1">
        <f>SUM(OSRRefJ21_10x_0)</f>
        <v>243.91</v>
      </c>
      <c r="K49" s="4"/>
      <c r="L49" s="1">
        <f>SUM(OSRRefL21_10x_0)</f>
        <v>405.15999999999997</v>
      </c>
      <c r="M49" s="4"/>
      <c r="N49" s="1">
        <f>SUM(OSRRefN21_10x_0)</f>
        <v>1592.1399999999999</v>
      </c>
      <c r="O49" s="4"/>
      <c r="P49" s="1">
        <f>SUM(OSRRefP21_10x_0)</f>
        <v>0</v>
      </c>
      <c r="Q49" s="4"/>
      <c r="R49" s="1">
        <f>SUM(OSRRefR21_10x_0)</f>
        <v>0</v>
      </c>
    </row>
    <row r="50" spans="1:18" s="16" customFormat="1" hidden="1" outlineLevel="2" x14ac:dyDescent="0.35">
      <c r="B50" s="11" t="str">
        <f>CONCATENATE("          ", "6234", " - ", "EXPENDABLE SUPPLIES &amp; EQUIPMEN")</f>
        <v xml:space="preserve">          6234 - EXPENDABLE SUPPLIES &amp; EQUIPMEN</v>
      </c>
      <c r="D50" s="2"/>
      <c r="F50" s="2">
        <v>183.33</v>
      </c>
      <c r="G50" s="3"/>
      <c r="H50" s="2"/>
      <c r="I50" s="3"/>
      <c r="J50" s="2"/>
      <c r="K50" s="3"/>
      <c r="L50" s="2"/>
      <c r="M50" s="3"/>
      <c r="N50" s="2"/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"6237", " - ", "JANITORIAL SUPPLIES")</f>
        <v xml:space="preserve">          6237 - JANITORIAL SUPPLIES</v>
      </c>
      <c r="D51" s="2"/>
      <c r="F51" s="2"/>
      <c r="G51" s="3"/>
      <c r="H51" s="2"/>
      <c r="I51" s="3"/>
      <c r="J51" s="2"/>
      <c r="K51" s="3"/>
      <c r="L51" s="2">
        <v>240.67</v>
      </c>
      <c r="M51" s="3"/>
      <c r="N51" s="2">
        <v>47.13</v>
      </c>
      <c r="O51" s="3"/>
      <c r="P51" s="2"/>
      <c r="Q51" s="3"/>
      <c r="R51" s="2"/>
    </row>
    <row r="52" spans="1:18" s="16" customFormat="1" hidden="1" outlineLevel="2" x14ac:dyDescent="0.35">
      <c r="B52" s="11" t="str">
        <f>CONCATENATE("          ", "6241", " - ", "OFFICE EXPENSE")</f>
        <v xml:space="preserve">          6241 - OFFICE EXPENSE</v>
      </c>
      <c r="D52" s="2"/>
      <c r="F52" s="2">
        <v>359.85</v>
      </c>
      <c r="G52" s="3"/>
      <c r="H52" s="2">
        <v>6</v>
      </c>
      <c r="I52" s="3"/>
      <c r="J52" s="2"/>
      <c r="K52" s="3"/>
      <c r="L52" s="2"/>
      <c r="M52" s="3"/>
      <c r="N52" s="2"/>
      <c r="O52" s="3"/>
      <c r="P52" s="2"/>
      <c r="Q52" s="3"/>
      <c r="R52" s="2"/>
    </row>
    <row r="53" spans="1:18" s="16" customFormat="1" hidden="1" outlineLevel="2" x14ac:dyDescent="0.35">
      <c r="B53" s="11" t="str">
        <f>CONCATENATE("          ", "6243", " - ", "PAPER SUPPLIES")</f>
        <v xml:space="preserve">          6243 - PAPER SUPPLIES</v>
      </c>
      <c r="D53" s="2">
        <v>10.52</v>
      </c>
      <c r="F53" s="2"/>
      <c r="G53" s="3"/>
      <c r="H53" s="2"/>
      <c r="I53" s="3"/>
      <c r="J53" s="2"/>
      <c r="K53" s="3"/>
      <c r="L53" s="2">
        <v>230.39</v>
      </c>
      <c r="M53" s="3"/>
      <c r="N53" s="2"/>
      <c r="O53" s="3"/>
      <c r="P53" s="2"/>
      <c r="Q53" s="3"/>
      <c r="R53" s="2"/>
    </row>
    <row r="54" spans="1:18" s="16" customFormat="1" hidden="1" outlineLevel="2" x14ac:dyDescent="0.35">
      <c r="B54" s="11" t="str">
        <f>CONCATENATE("          ", "6245", " - ", "PRINTING")</f>
        <v xml:space="preserve">          6245 - PRINTING</v>
      </c>
      <c r="D54" s="2"/>
      <c r="F54" s="2">
        <v>60.81</v>
      </c>
      <c r="G54" s="3"/>
      <c r="H54" s="2"/>
      <c r="I54" s="3"/>
      <c r="J54" s="2"/>
      <c r="K54" s="3"/>
      <c r="L54" s="2"/>
      <c r="M54" s="3"/>
      <c r="N54" s="2"/>
      <c r="O54" s="3"/>
      <c r="P54" s="2"/>
      <c r="Q54" s="3"/>
      <c r="R54" s="2"/>
    </row>
    <row r="55" spans="1:18" s="16" customFormat="1" hidden="1" outlineLevel="2" x14ac:dyDescent="0.35">
      <c r="B55" s="11" t="str">
        <f>CONCATENATE("          ", "6247", " - ", "STORE SUPPLIES")</f>
        <v xml:space="preserve">          6247 - STORE SUPPLIES</v>
      </c>
      <c r="D55" s="2">
        <v>40.42</v>
      </c>
      <c r="F55" s="2">
        <v>3577.42</v>
      </c>
      <c r="G55" s="3"/>
      <c r="H55" s="2">
        <v>211.67</v>
      </c>
      <c r="I55" s="3"/>
      <c r="J55" s="2">
        <v>243.91</v>
      </c>
      <c r="K55" s="3"/>
      <c r="L55" s="2">
        <v>-65.900000000000006</v>
      </c>
      <c r="M55" s="3"/>
      <c r="N55" s="2">
        <v>431.41</v>
      </c>
      <c r="O55" s="3"/>
      <c r="P55" s="2"/>
      <c r="Q55" s="3"/>
      <c r="R55" s="2"/>
    </row>
    <row r="56" spans="1:18" s="16" customFormat="1" hidden="1" outlineLevel="2" x14ac:dyDescent="0.35">
      <c r="B56" s="11" t="str">
        <f>CONCATENATE("          ", "6248", " - ", "UNIFORMS")</f>
        <v xml:space="preserve">          6248 - UNIFORMS</v>
      </c>
      <c r="D56" s="2"/>
      <c r="F56" s="2"/>
      <c r="G56" s="3"/>
      <c r="H56" s="2"/>
      <c r="I56" s="3"/>
      <c r="J56" s="2"/>
      <c r="K56" s="3"/>
      <c r="L56" s="2"/>
      <c r="M56" s="3"/>
      <c r="N56" s="2">
        <v>1113.5999999999999</v>
      </c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","Telephone/Data Lines                              ")</f>
        <v xml:space="preserve">     Telephone/Data Lines                              </v>
      </c>
      <c r="C57" s="7"/>
      <c r="D57" s="1">
        <f>SUM(OSRRefD21_11x_0)</f>
        <v>456</v>
      </c>
      <c r="E57" s="19"/>
      <c r="F57" s="1">
        <f>SUM(OSRRefF21_11x_0)</f>
        <v>454</v>
      </c>
      <c r="G57" s="4"/>
      <c r="H57" s="1">
        <f>SUM(OSRRefH21_11x_0)</f>
        <v>563.70000000000005</v>
      </c>
      <c r="I57" s="4"/>
      <c r="J57" s="1">
        <f>SUM(OSRRefJ21_11x_0)</f>
        <v>458</v>
      </c>
      <c r="K57" s="4"/>
      <c r="L57" s="1">
        <f>SUM(OSRRefL21_11x_0)</f>
        <v>846</v>
      </c>
      <c r="M57" s="4"/>
      <c r="N57" s="1">
        <f>SUM(OSRRefN21_11x_0)</f>
        <v>941.5</v>
      </c>
      <c r="O57" s="4"/>
      <c r="P57" s="1">
        <f>SUM(OSRRefP21_11x_0)</f>
        <v>0</v>
      </c>
      <c r="Q57" s="4"/>
      <c r="R57" s="1">
        <f>SUM(OSRRefR21_11x_0)</f>
        <v>0</v>
      </c>
    </row>
    <row r="58" spans="1:18" s="16" customFormat="1" hidden="1" outlineLevel="2" x14ac:dyDescent="0.35">
      <c r="B58" s="11" t="str">
        <f>CONCATENATE("          ", "6309", " - ", "TELEPHONE")</f>
        <v xml:space="preserve">          6309 - TELEPHONE</v>
      </c>
      <c r="D58" s="2">
        <v>456</v>
      </c>
      <c r="F58" s="2">
        <v>454</v>
      </c>
      <c r="G58" s="3"/>
      <c r="H58" s="2">
        <v>563.70000000000005</v>
      </c>
      <c r="I58" s="3"/>
      <c r="J58" s="2">
        <v>458</v>
      </c>
      <c r="K58" s="3"/>
      <c r="L58" s="2">
        <v>846</v>
      </c>
      <c r="M58" s="3"/>
      <c r="N58" s="2">
        <v>941.5</v>
      </c>
      <c r="O58" s="3"/>
      <c r="P58" s="2"/>
      <c r="Q58" s="3"/>
      <c r="R58" s="2"/>
    </row>
    <row r="59" spans="1:18" s="15" customFormat="1" outlineLevel="1" collapsed="1" x14ac:dyDescent="0.35">
      <c r="A59" s="7"/>
      <c r="B59" s="20" t="str">
        <f>CONCATENATE("     ","Training                                          ")</f>
        <v xml:space="preserve">     Training                                          </v>
      </c>
      <c r="C59" s="7"/>
      <c r="D59" s="1">
        <f>SUM(OSRRefD21_12x_0)</f>
        <v>0</v>
      </c>
      <c r="E59" s="19"/>
      <c r="F59" s="1">
        <f>SUM(OSRRefF21_12x_0)</f>
        <v>80</v>
      </c>
      <c r="G59" s="4"/>
      <c r="H59" s="1">
        <f>SUM(OSRRefH21_12x_0)</f>
        <v>0</v>
      </c>
      <c r="I59" s="4"/>
      <c r="J59" s="1">
        <f>SUM(OSRRefJ21_12x_0)</f>
        <v>0</v>
      </c>
      <c r="K59" s="4"/>
      <c r="L59" s="1">
        <f>SUM(OSRRefL21_12x_0)</f>
        <v>0</v>
      </c>
      <c r="M59" s="4"/>
      <c r="N59" s="1">
        <f>SUM(OSRRefN21_12x_0)</f>
        <v>0</v>
      </c>
      <c r="O59" s="4"/>
      <c r="P59" s="1">
        <f>SUM(OSRRefP21_12x_0)</f>
        <v>0</v>
      </c>
      <c r="Q59" s="4"/>
      <c r="R59" s="1">
        <f>SUM(OSRRefR21_12x_0)</f>
        <v>0</v>
      </c>
    </row>
    <row r="60" spans="1:18" s="16" customFormat="1" hidden="1" outlineLevel="2" x14ac:dyDescent="0.35">
      <c r="B60" s="11" t="str">
        <f>CONCATENATE("          ", "6376", " - ", "TRAINING")</f>
        <v xml:space="preserve">          6376 - TRAINING</v>
      </c>
      <c r="D60" s="2"/>
      <c r="F60" s="2">
        <v>80</v>
      </c>
      <c r="G60" s="3"/>
      <c r="H60" s="2"/>
      <c r="I60" s="3"/>
      <c r="J60" s="2"/>
      <c r="K60" s="3"/>
      <c r="L60" s="2"/>
      <c r="M60" s="3"/>
      <c r="N60" s="2"/>
      <c r="O60" s="3"/>
      <c r="P60" s="2"/>
      <c r="Q60" s="3"/>
      <c r="R60" s="2"/>
    </row>
    <row r="61" spans="1:18" s="15" customFormat="1" outlineLevel="1" collapsed="1" x14ac:dyDescent="0.35">
      <c r="A61" s="7"/>
      <c r="B61" s="20" t="str">
        <f>CONCATENATE("     ","Travel                                            ")</f>
        <v xml:space="preserve">     Travel                                            </v>
      </c>
      <c r="C61" s="7"/>
      <c r="D61" s="1">
        <f>SUM(OSRRefD21_13x_0)</f>
        <v>0</v>
      </c>
      <c r="E61" s="19"/>
      <c r="F61" s="1">
        <f>SUM(OSRRefF21_13x_0)</f>
        <v>0</v>
      </c>
      <c r="G61" s="4"/>
      <c r="H61" s="1">
        <f>SUM(OSRRefH21_13x_0)</f>
        <v>331.76</v>
      </c>
      <c r="I61" s="4"/>
      <c r="J61" s="1">
        <f>SUM(OSRRefJ21_13x_0)</f>
        <v>0</v>
      </c>
      <c r="K61" s="4"/>
      <c r="L61" s="1">
        <f>SUM(OSRRefL21_13x_0)</f>
        <v>0</v>
      </c>
      <c r="M61" s="4"/>
      <c r="N61" s="1">
        <f>SUM(OSRRefN21_13x_0)</f>
        <v>0</v>
      </c>
      <c r="O61" s="4"/>
      <c r="P61" s="1">
        <f>SUM(OSRRefP21_13x_0)</f>
        <v>0</v>
      </c>
      <c r="Q61" s="4"/>
      <c r="R61" s="1">
        <f>SUM(OSRRefR21_13x_0)</f>
        <v>0</v>
      </c>
    </row>
    <row r="62" spans="1:18" s="16" customFormat="1" hidden="1" outlineLevel="2" x14ac:dyDescent="0.35">
      <c r="B62" s="11" t="str">
        <f>CONCATENATE("          ", "6294", " - ", "TRAVEL OPERATIONAL")</f>
        <v xml:space="preserve">          6294 - TRAVEL OPERATIONAL</v>
      </c>
      <c r="D62" s="2"/>
      <c r="F62" s="2"/>
      <c r="G62" s="3"/>
      <c r="H62" s="2">
        <v>331.76</v>
      </c>
      <c r="I62" s="3"/>
      <c r="J62" s="2"/>
      <c r="K62" s="3"/>
      <c r="L62" s="2"/>
      <c r="M62" s="3"/>
      <c r="N62" s="2"/>
      <c r="O62" s="3"/>
      <c r="P62" s="2"/>
      <c r="Q62" s="3"/>
      <c r="R62" s="2"/>
    </row>
    <row r="63" spans="1:18" x14ac:dyDescent="0.35">
      <c r="A63" s="12"/>
      <c r="B63" s="12"/>
      <c r="C63" s="12"/>
      <c r="D63" s="1"/>
      <c r="F63" s="1"/>
      <c r="H63" s="1"/>
      <c r="J63" s="1"/>
      <c r="L63" s="1"/>
      <c r="N63" s="1"/>
      <c r="P63" s="1"/>
      <c r="R63" s="1"/>
    </row>
    <row r="64" spans="1:18" s="7" customFormat="1" x14ac:dyDescent="0.35">
      <c r="A64" s="36"/>
      <c r="B64" s="34" t="s">
        <v>295</v>
      </c>
      <c r="D64" s="6">
        <f>SUM(0)</f>
        <v>0</v>
      </c>
      <c r="E64" s="12"/>
      <c r="F64" s="6">
        <f>SUM(0)</f>
        <v>0</v>
      </c>
      <c r="G64" s="5"/>
      <c r="H64" s="6">
        <f>SUM(0)</f>
        <v>0</v>
      </c>
      <c r="I64" s="5"/>
      <c r="J64" s="6">
        <f>SUM(0)</f>
        <v>0</v>
      </c>
      <c r="K64" s="5"/>
      <c r="L64" s="6">
        <f>SUM(0)</f>
        <v>0</v>
      </c>
      <c r="M64" s="5"/>
      <c r="N64" s="6">
        <f>SUM(0)</f>
        <v>0</v>
      </c>
      <c r="O64" s="5"/>
      <c r="P64" s="6">
        <f>SUM(0)</f>
        <v>0</v>
      </c>
      <c r="Q64" s="5"/>
      <c r="R64" s="6">
        <f>SUM(0)</f>
        <v>0</v>
      </c>
    </row>
    <row r="65" spans="1:18" x14ac:dyDescent="0.35">
      <c r="A65" s="12"/>
      <c r="B65" s="7"/>
      <c r="C65" s="7"/>
      <c r="D65" s="6"/>
      <c r="F65" s="6"/>
      <c r="H65" s="6"/>
      <c r="J65" s="6"/>
      <c r="L65" s="6"/>
      <c r="N65" s="6"/>
      <c r="P65" s="6"/>
      <c r="R65" s="6"/>
    </row>
    <row r="66" spans="1:18" s="15" customFormat="1" x14ac:dyDescent="0.35">
      <c r="A66" s="7"/>
      <c r="B66" s="22" t="s">
        <v>279</v>
      </c>
      <c r="C66" s="22"/>
      <c r="D66" s="10">
        <f>+D19-D22+D64</f>
        <v>-5965.75</v>
      </c>
      <c r="E66" s="12"/>
      <c r="F66" s="10">
        <f>+F19-F22+F64</f>
        <v>-19504.160000000003</v>
      </c>
      <c r="G66" s="5"/>
      <c r="H66" s="10">
        <f>+H19-H22+H64</f>
        <v>-6588.8699999999953</v>
      </c>
      <c r="I66" s="5"/>
      <c r="J66" s="10">
        <f>+J19-J22+J64</f>
        <v>-19911.849999999999</v>
      </c>
      <c r="K66" s="5"/>
      <c r="L66" s="10">
        <f>+L19-L22+L64</f>
        <v>-28763.17</v>
      </c>
      <c r="M66" s="5"/>
      <c r="N66" s="10">
        <f>+N19-N22+N64</f>
        <v>-17292.769999999997</v>
      </c>
      <c r="O66" s="5"/>
      <c r="P66" s="10">
        <f>+P19-P22+P64</f>
        <v>0</v>
      </c>
      <c r="Q66" s="5"/>
      <c r="R66" s="10">
        <f>+R19-R22+R64</f>
        <v>0</v>
      </c>
    </row>
    <row r="67" spans="1:18" s="27" customFormat="1" x14ac:dyDescent="0.35">
      <c r="A67" s="18"/>
      <c r="B67" s="31"/>
      <c r="C67" s="18"/>
      <c r="D67" s="9">
        <f>IFERROR(D66/D10, 0)</f>
        <v>-1.3875805637543932</v>
      </c>
      <c r="E67" s="18"/>
      <c r="F67" s="9">
        <f>IFERROR(F66/F10, 0)</f>
        <v>-1.5794325620868035</v>
      </c>
      <c r="G67" s="14"/>
      <c r="H67" s="9">
        <f>IFERROR(H66/H10, 0)</f>
        <v>-0.26116120532099185</v>
      </c>
      <c r="I67" s="14"/>
      <c r="J67" s="9">
        <f>IFERROR(J66/J10, 0)</f>
        <v>-1.891808309501867</v>
      </c>
      <c r="K67" s="14"/>
      <c r="L67" s="9">
        <f>IFERROR(L66/L10, 0)</f>
        <v>-2.731563267752017</v>
      </c>
      <c r="M67" s="14"/>
      <c r="N67" s="9">
        <f>IFERROR(N66/N10, 0)</f>
        <v>-3.3390042903869834</v>
      </c>
      <c r="O67" s="14"/>
      <c r="P67" s="9">
        <f>IFERROR(P66/P10, 0)</f>
        <v>0</v>
      </c>
      <c r="Q67" s="14"/>
      <c r="R67" s="9">
        <f>IFERROR(R66/R10, 0)</f>
        <v>0</v>
      </c>
    </row>
    <row r="68" spans="1:18" s="27" customFormat="1" x14ac:dyDescent="0.35">
      <c r="A68" s="18"/>
      <c r="B68" s="31"/>
      <c r="C68" s="18"/>
      <c r="D68" s="13"/>
      <c r="E68" s="18"/>
      <c r="F68" s="13"/>
      <c r="G68" s="14"/>
      <c r="H68" s="13"/>
      <c r="I68" s="14"/>
      <c r="J68" s="13"/>
      <c r="K68" s="14"/>
      <c r="L68" s="13"/>
      <c r="M68" s="14"/>
      <c r="N68" s="13"/>
      <c r="O68" s="14"/>
      <c r="P68" s="13"/>
      <c r="Q68" s="14"/>
      <c r="R68" s="13"/>
    </row>
    <row r="69" spans="1:18" s="15" customFormat="1" x14ac:dyDescent="0.35">
      <c r="A69" s="37"/>
      <c r="B69" s="7" t="s">
        <v>127</v>
      </c>
      <c r="C69" s="7"/>
      <c r="D69" s="6">
        <v>934.31</v>
      </c>
      <c r="E69" s="12"/>
      <c r="F69" s="6">
        <v>1757.94</v>
      </c>
      <c r="G69" s="5"/>
      <c r="H69" s="6">
        <v>3373.28</v>
      </c>
      <c r="I69" s="5"/>
      <c r="J69" s="6">
        <v>1412.64</v>
      </c>
      <c r="K69" s="5"/>
      <c r="L69" s="6">
        <v>750.54</v>
      </c>
      <c r="M69" s="5"/>
      <c r="N69" s="6">
        <v>784.22</v>
      </c>
      <c r="O69" s="5"/>
      <c r="P69" s="6"/>
      <c r="Q69" s="5"/>
      <c r="R69" s="6"/>
    </row>
    <row r="70" spans="1:18" x14ac:dyDescent="0.35">
      <c r="A70" s="12"/>
      <c r="B70" s="7"/>
      <c r="C70" s="7"/>
      <c r="D70" s="6"/>
      <c r="F70" s="6"/>
      <c r="H70" s="6"/>
      <c r="J70" s="6"/>
      <c r="L70" s="6"/>
      <c r="N70" s="6"/>
      <c r="P70" s="6"/>
      <c r="R70" s="6"/>
    </row>
    <row r="71" spans="1:18" s="15" customFormat="1" x14ac:dyDescent="0.35">
      <c r="A71" s="7"/>
      <c r="B71" s="22" t="s">
        <v>126</v>
      </c>
      <c r="C71" s="22"/>
      <c r="D71" s="10">
        <f>+D66-D69</f>
        <v>-6900.0599999999995</v>
      </c>
      <c r="E71" s="12"/>
      <c r="F71" s="10">
        <f>+F66-F69</f>
        <v>-21262.100000000002</v>
      </c>
      <c r="G71" s="5"/>
      <c r="H71" s="10">
        <f>+H66-H69</f>
        <v>-9962.149999999996</v>
      </c>
      <c r="I71" s="5"/>
      <c r="J71" s="10">
        <f>+J66-J69</f>
        <v>-21324.489999999998</v>
      </c>
      <c r="K71" s="5"/>
      <c r="L71" s="10">
        <f>+L66-L69</f>
        <v>-29513.71</v>
      </c>
      <c r="M71" s="5"/>
      <c r="N71" s="10">
        <f>+N66-N69</f>
        <v>-18076.989999999998</v>
      </c>
      <c r="O71" s="5"/>
      <c r="P71" s="10">
        <f>+P66-P69</f>
        <v>0</v>
      </c>
      <c r="Q71" s="5"/>
      <c r="R71" s="10">
        <f>+R66-R69</f>
        <v>0</v>
      </c>
    </row>
    <row r="72" spans="1:18" s="27" customFormat="1" x14ac:dyDescent="0.35">
      <c r="A72" s="18"/>
      <c r="B72" s="18"/>
      <c r="C72" s="18"/>
      <c r="D72" s="9">
        <f>IFERROR(D71/D10, 0)</f>
        <v>-1.6048927871163119</v>
      </c>
      <c r="E72" s="18"/>
      <c r="F72" s="9">
        <f>IFERROR(F71/F10, 0)</f>
        <v>-1.7217892530796417</v>
      </c>
      <c r="G72" s="14"/>
      <c r="H72" s="9">
        <f>IFERROR(H71/H10, 0)</f>
        <v>-0.39486696528972642</v>
      </c>
      <c r="I72" s="14"/>
      <c r="J72" s="9">
        <f>IFERROR(J71/J10, 0)</f>
        <v>-2.026022061128899</v>
      </c>
      <c r="K72" s="14"/>
      <c r="L72" s="9">
        <f>IFERROR(L71/L10, 0)</f>
        <v>-2.802840094853432</v>
      </c>
      <c r="M72" s="14"/>
      <c r="N72" s="9">
        <f>IFERROR(N71/N10, 0)</f>
        <v>-3.4904267602751093</v>
      </c>
      <c r="O72" s="14"/>
      <c r="P72" s="9">
        <f>IFERROR(P71/P10, 0)</f>
        <v>0</v>
      </c>
      <c r="Q72" s="14"/>
      <c r="R72" s="9">
        <f>IFERROR(R71/R10, 0)</f>
        <v>0</v>
      </c>
    </row>
    <row r="73" spans="1:18" s="27" customFormat="1" x14ac:dyDescent="0.35">
      <c r="A73" s="18"/>
      <c r="B73" s="18"/>
      <c r="C73" s="18"/>
      <c r="D73" s="13"/>
      <c r="E73" s="18"/>
      <c r="F73" s="13"/>
      <c r="G73" s="14"/>
      <c r="H73" s="13"/>
      <c r="I73" s="14"/>
      <c r="J73" s="13"/>
      <c r="K73" s="14"/>
      <c r="L73" s="13"/>
      <c r="M73" s="14"/>
      <c r="N73" s="13"/>
      <c r="O73" s="14"/>
      <c r="P73" s="13"/>
      <c r="Q73" s="14"/>
      <c r="R73" s="13"/>
    </row>
    <row r="74" spans="1:18" x14ac:dyDescent="0.35">
      <c r="A74" s="12"/>
      <c r="B74" s="12"/>
      <c r="C74" s="12"/>
      <c r="D74" s="6"/>
      <c r="F74" s="6"/>
      <c r="H74" s="6"/>
      <c r="J74" s="6"/>
      <c r="L74" s="6"/>
      <c r="N74" s="6"/>
      <c r="P74" s="6"/>
      <c r="R74" s="6"/>
    </row>
    <row r="75" spans="1:18" s="15" customFormat="1" x14ac:dyDescent="0.35">
      <c r="A75" s="7"/>
      <c r="B75" s="22" t="s">
        <v>296</v>
      </c>
      <c r="C75" s="22"/>
      <c r="D75" s="10">
        <f>SUM(D71:D74)</f>
        <v>-6901.6648927871156</v>
      </c>
      <c r="E75" s="12"/>
      <c r="F75" s="10">
        <f>SUM(F71:F74)</f>
        <v>-21263.821789253081</v>
      </c>
      <c r="G75" s="5"/>
      <c r="H75" s="10">
        <f>SUM(H71:H74)</f>
        <v>-9962.5448669652851</v>
      </c>
      <c r="I75" s="5"/>
      <c r="J75" s="10">
        <f>SUM(J71:J74)</f>
        <v>-21326.516022061125</v>
      </c>
      <c r="K75" s="5"/>
      <c r="L75" s="10">
        <f>SUM(L71:L74)</f>
        <v>-29516.512840094852</v>
      </c>
      <c r="M75" s="5"/>
      <c r="N75" s="10">
        <f>SUM(N71:N74)</f>
        <v>-18080.480426760274</v>
      </c>
      <c r="O75" s="5"/>
      <c r="P75" s="10">
        <f>SUM(P71:P74)</f>
        <v>0</v>
      </c>
      <c r="Q75" s="5"/>
      <c r="R75" s="10">
        <f>SUM(R71:R74)</f>
        <v>0</v>
      </c>
    </row>
    <row r="76" spans="1:18" s="27" customFormat="1" x14ac:dyDescent="0.35">
      <c r="A76" s="18"/>
      <c r="B76" s="41"/>
      <c r="C76" s="18"/>
      <c r="D76" s="9">
        <f>IFERROR(D75/D10, 0)</f>
        <v>-1.6052660709512552</v>
      </c>
      <c r="E76" s="18"/>
      <c r="F76" s="9">
        <f>IFERROR(F75/F10, 0)</f>
        <v>-1.7219286823096809</v>
      </c>
      <c r="G76" s="14"/>
      <c r="H76" s="9">
        <f>IFERROR(H75/H10, 0)</f>
        <v>-0.39488261652166701</v>
      </c>
      <c r="I76" s="14"/>
      <c r="J76" s="9">
        <f>IFERROR(J75/J10, 0)</f>
        <v>-2.0262145518000558</v>
      </c>
      <c r="K76" s="14"/>
      <c r="L76" s="9">
        <f>IFERROR(L75/L10, 0)</f>
        <v>-2.8031062732700835</v>
      </c>
      <c r="M76" s="14"/>
      <c r="N76" s="9">
        <f>IFERROR(N75/N10, 0)</f>
        <v>-3.4911007153400204</v>
      </c>
      <c r="O76" s="14"/>
      <c r="P76" s="9">
        <f>IFERROR(P75/P10, 0)</f>
        <v>0</v>
      </c>
      <c r="Q76" s="14"/>
      <c r="R76" s="9">
        <f>IFERROR(R75/R10, 0)</f>
        <v>0</v>
      </c>
    </row>
    <row r="77" spans="1:18" x14ac:dyDescent="0.35">
      <c r="A77" s="12"/>
      <c r="B77" s="40">
        <v>44319.883572604165</v>
      </c>
      <c r="D77" s="24"/>
      <c r="F77" s="24"/>
      <c r="H77" s="24"/>
      <c r="J77" s="24"/>
      <c r="L77" s="24"/>
      <c r="N77" s="24"/>
      <c r="P77" s="24"/>
      <c r="R77" s="24"/>
    </row>
    <row r="78" spans="1:18" x14ac:dyDescent="0.35">
      <c r="A78" s="12"/>
      <c r="B78" s="39" t="s">
        <v>23</v>
      </c>
      <c r="D78" s="24"/>
      <c r="F78" s="24"/>
      <c r="H78" s="24"/>
      <c r="J78" s="24"/>
      <c r="L78" s="24"/>
      <c r="N78" s="24"/>
      <c r="P78" s="24"/>
      <c r="R78" s="24"/>
    </row>
    <row r="79" spans="1:18" x14ac:dyDescent="0.35">
      <c r="A79" s="12"/>
      <c r="D79" s="24"/>
      <c r="F79" s="24"/>
      <c r="H79" s="24"/>
      <c r="J79" s="24"/>
      <c r="L79" s="24"/>
      <c r="N79" s="24"/>
      <c r="P79" s="24"/>
      <c r="R79" s="24"/>
    </row>
    <row r="80" spans="1:18" x14ac:dyDescent="0.35">
      <c r="D80" s="24"/>
      <c r="F80" s="24"/>
      <c r="H80" s="24"/>
      <c r="J80" s="24"/>
      <c r="L80" s="24"/>
      <c r="N80" s="24"/>
      <c r="P80" s="24"/>
      <c r="R80" s="24"/>
    </row>
  </sheetData>
  <pageMargins left="0.5" right="0.5" top="0.5" bottom="0.5" header="0.3" footer="0.3"/>
  <pageSetup scale="59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119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","444", " - ", "Parkside Dining Hall")</f>
        <v>Department 444 - Parkside Dining Hall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3618392.1100000003</v>
      </c>
      <c r="F10" s="8">
        <f>SUM(OSRRefF11x_0)</f>
        <v>4013271.07</v>
      </c>
      <c r="G10" s="8"/>
      <c r="H10" s="8">
        <f>SUM(OSRRefH11x_0)</f>
        <v>3804779.57</v>
      </c>
      <c r="I10" s="8"/>
      <c r="J10" s="8">
        <f>SUM(OSRRefJ11x_0)</f>
        <v>3654635.83</v>
      </c>
      <c r="K10" s="8"/>
      <c r="L10" s="8">
        <f>SUM(OSRRefL11x_0)</f>
        <v>4110084.8600000003</v>
      </c>
      <c r="M10" s="8"/>
      <c r="N10" s="8">
        <f>SUM(OSRRefN11x_0)</f>
        <v>3313755.62</v>
      </c>
      <c r="O10" s="8"/>
      <c r="P10" s="8">
        <f>SUM(OSRRefP11x_0)</f>
        <v>1667519</v>
      </c>
      <c r="Q10" s="8"/>
      <c r="R10" s="8">
        <f>SUM(OSRRefR11x_0)</f>
        <v>4356000</v>
      </c>
    </row>
    <row r="11" spans="1:18" s="16" customFormat="1" hidden="1" outlineLevel="1" x14ac:dyDescent="0.35">
      <c r="B11" s="35" t="str">
        <f>CONCATENATE("          ", "4053", " - ", "TAXABLE SALES-FOOD")</f>
        <v xml:space="preserve">          4053 - TAXABLE SALES-FOOD</v>
      </c>
      <c r="D11" s="11">
        <f t="shared" ref="D11:D12" si="0">0*-1</f>
        <v>0</v>
      </c>
      <c r="F11" s="11">
        <f>-7450.28*-1</f>
        <v>7450.28</v>
      </c>
      <c r="G11" s="3"/>
      <c r="H11" s="11">
        <f>-1427.71*-1</f>
        <v>1427.71</v>
      </c>
      <c r="I11" s="3"/>
      <c r="J11" s="11">
        <f>--2411.54</f>
        <v>2411.54</v>
      </c>
      <c r="K11" s="3"/>
      <c r="L11" s="11">
        <f>--2971.99</f>
        <v>2971.99</v>
      </c>
      <c r="M11" s="3"/>
      <c r="N11" s="11">
        <f>--4314.79</f>
        <v>4314.79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"4100", " - ", "NON-TAXABLE SALES")</f>
        <v xml:space="preserve">          4100 - NON-TAXABLE SALES</v>
      </c>
      <c r="D12" s="11">
        <f t="shared" si="0"/>
        <v>0</v>
      </c>
      <c r="F12" s="11">
        <f>0*-1</f>
        <v>0</v>
      </c>
      <c r="G12" s="3"/>
      <c r="H12" s="11">
        <f>0*-1</f>
        <v>0</v>
      </c>
      <c r="I12" s="3"/>
      <c r="J12" s="11">
        <f>0</f>
        <v>0</v>
      </c>
      <c r="K12" s="3"/>
      <c r="L12" s="11">
        <f>0</f>
        <v>0</v>
      </c>
      <c r="M12" s="3"/>
      <c r="N12" s="11">
        <f>0</f>
        <v>0</v>
      </c>
      <c r="O12" s="3"/>
      <c r="P12" s="11">
        <v>1667519</v>
      </c>
      <c r="Q12" s="3"/>
      <c r="R12" s="11">
        <v>4356000</v>
      </c>
    </row>
    <row r="13" spans="1:18" s="16" customFormat="1" hidden="1" outlineLevel="1" x14ac:dyDescent="0.35">
      <c r="B13" s="35" t="str">
        <f>CONCATENATE("          ", "4151", " - ", "NON-TAXABLE SALES-FOOD")</f>
        <v xml:space="preserve">          4151 - NON-TAXABLE SALES-FOOD</v>
      </c>
      <c r="D13" s="11">
        <f>-3510956.97*-1</f>
        <v>3510956.97</v>
      </c>
      <c r="F13" s="11">
        <f>-3936963.97*-1</f>
        <v>3936963.97</v>
      </c>
      <c r="G13" s="3"/>
      <c r="H13" s="11">
        <f>-3429976.03*-1</f>
        <v>3429976.03</v>
      </c>
      <c r="I13" s="3"/>
      <c r="J13" s="11">
        <f>--3577127.91</f>
        <v>3577127.91</v>
      </c>
      <c r="K13" s="3"/>
      <c r="L13" s="11">
        <f>--4043342.02</f>
        <v>4043342.02</v>
      </c>
      <c r="M13" s="3"/>
      <c r="N13" s="11">
        <f>--3263328.39</f>
        <v>3263328.39</v>
      </c>
      <c r="O13" s="3"/>
      <c r="P13" s="11"/>
      <c r="Q13" s="3"/>
      <c r="R13" s="11"/>
    </row>
    <row r="14" spans="1:18" s="16" customFormat="1" hidden="1" outlineLevel="1" x14ac:dyDescent="0.35">
      <c r="B14" s="35" t="str">
        <f>CONCATENATE("          ", "4153", " - ", "NON-TAXABLE SALES-FOOD")</f>
        <v xml:space="preserve">          4153 - NON-TAXABLE SALES-FOOD</v>
      </c>
      <c r="D14" s="11">
        <f>-107435.14*-1</f>
        <v>107435.14</v>
      </c>
      <c r="F14" s="11">
        <f>-68856.82*-1</f>
        <v>68856.820000000007</v>
      </c>
      <c r="G14" s="3"/>
      <c r="H14" s="11">
        <f>-373375.83*-1</f>
        <v>373375.83</v>
      </c>
      <c r="I14" s="3"/>
      <c r="J14" s="11">
        <f>--75096.38</f>
        <v>75096.38</v>
      </c>
      <c r="K14" s="3"/>
      <c r="L14" s="11">
        <f>--63770.85</f>
        <v>63770.85</v>
      </c>
      <c r="M14" s="3"/>
      <c r="N14" s="11">
        <f>--46112.44</f>
        <v>46112.44</v>
      </c>
      <c r="O14" s="3"/>
      <c r="P14" s="11"/>
      <c r="Q14" s="3"/>
      <c r="R14" s="11"/>
    </row>
    <row r="15" spans="1:18" s="12" customFormat="1" x14ac:dyDescent="0.35">
      <c r="B15" s="7"/>
      <c r="D15" s="6"/>
      <c r="F15" s="6"/>
      <c r="G15" s="5"/>
      <c r="H15" s="6"/>
      <c r="I15" s="5"/>
      <c r="J15" s="6"/>
      <c r="K15" s="5"/>
      <c r="L15" s="6"/>
      <c r="M15" s="5"/>
      <c r="N15" s="6"/>
      <c r="O15" s="5"/>
      <c r="P15" s="6"/>
      <c r="Q15" s="5"/>
      <c r="R15" s="6"/>
    </row>
    <row r="16" spans="1:18" s="12" customFormat="1" collapsed="1" x14ac:dyDescent="0.35">
      <c r="B16" s="7" t="s">
        <v>278</v>
      </c>
      <c r="D16" s="8">
        <f>SUM(OSRRefD14x_0)</f>
        <v>1166028.6299999999</v>
      </c>
      <c r="E16" s="8"/>
      <c r="F16" s="8">
        <f>SUM(OSRRefF14x_0)</f>
        <v>1025224.85</v>
      </c>
      <c r="G16" s="8"/>
      <c r="H16" s="8">
        <f>SUM(OSRRefH14x_0)</f>
        <v>1042769.17</v>
      </c>
      <c r="I16" s="8"/>
      <c r="J16" s="8">
        <f>SUM(OSRRefJ14x_0)</f>
        <v>980375.23</v>
      </c>
      <c r="K16" s="8"/>
      <c r="L16" s="8">
        <f>SUM(OSRRefL14x_0)</f>
        <v>1092401.31</v>
      </c>
      <c r="M16" s="8"/>
      <c r="N16" s="8">
        <f>SUM(OSRRefN14x_0)</f>
        <v>849805.55</v>
      </c>
      <c r="O16" s="8"/>
      <c r="P16" s="8">
        <f>SUM(OSRRefP14x_0)</f>
        <v>450809</v>
      </c>
      <c r="Q16" s="8"/>
      <c r="R16" s="8">
        <f>SUM(OSRRefR14x_0)</f>
        <v>1220868</v>
      </c>
    </row>
    <row r="17" spans="1:18" s="44" customFormat="1" hidden="1" outlineLevel="1" x14ac:dyDescent="0.35">
      <c r="A17" s="16"/>
      <c r="B17" s="35" t="str">
        <f>CONCATENATE("          ", "5000", " - ", "PURCHASES @ COST")</f>
        <v xml:space="preserve">          5000 - PURCHASES @ COST</v>
      </c>
      <c r="C17" s="16"/>
      <c r="D17" s="11"/>
      <c r="E17" s="16"/>
      <c r="F17" s="11"/>
      <c r="G17" s="3"/>
      <c r="H17" s="11"/>
      <c r="I17" s="3"/>
      <c r="J17" s="11"/>
      <c r="K17" s="3"/>
      <c r="L17" s="11"/>
      <c r="M17" s="3"/>
      <c r="N17" s="11"/>
      <c r="O17" s="3"/>
      <c r="P17" s="11">
        <v>450809</v>
      </c>
      <c r="Q17" s="3"/>
      <c r="R17" s="11">
        <v>1220868</v>
      </c>
    </row>
    <row r="18" spans="1:18" s="44" customFormat="1" hidden="1" outlineLevel="1" x14ac:dyDescent="0.35">
      <c r="A18" s="16"/>
      <c r="B18" s="35" t="str">
        <f>CONCATENATE("          ", "5053", " - ", "PURCHASES @ COST-FOOD")</f>
        <v xml:space="preserve">          5053 - PURCHASES @ COST-FOOD</v>
      </c>
      <c r="C18" s="16"/>
      <c r="D18" s="11">
        <v>1166411.1599999999</v>
      </c>
      <c r="E18" s="16"/>
      <c r="F18" s="11">
        <v>1024278.41</v>
      </c>
      <c r="G18" s="3"/>
      <c r="H18" s="11">
        <v>1045300.99</v>
      </c>
      <c r="I18" s="3"/>
      <c r="J18" s="11">
        <v>982419.28</v>
      </c>
      <c r="K18" s="3"/>
      <c r="L18" s="11">
        <v>1100879.56</v>
      </c>
      <c r="M18" s="3"/>
      <c r="N18" s="11">
        <v>830847.8</v>
      </c>
      <c r="O18" s="3"/>
      <c r="P18" s="11"/>
      <c r="Q18" s="3"/>
      <c r="R18" s="11"/>
    </row>
    <row r="19" spans="1:18" s="44" customFormat="1" hidden="1" outlineLevel="1" x14ac:dyDescent="0.35">
      <c r="A19" s="16"/>
      <c r="B19" s="35" t="str">
        <f>CONCATENATE("          ", "5059", " - ", "PURCHASES @ COST-FOOD")</f>
        <v xml:space="preserve">          5059 - PURCHASES @ COST-FOOD</v>
      </c>
      <c r="C19" s="16"/>
      <c r="D19" s="11">
        <v>-382.53</v>
      </c>
      <c r="E19" s="16"/>
      <c r="F19" s="11">
        <v>946.44</v>
      </c>
      <c r="G19" s="3"/>
      <c r="H19" s="11">
        <v>-2531.8200000000002</v>
      </c>
      <c r="I19" s="3"/>
      <c r="J19" s="11">
        <v>-2044.05</v>
      </c>
      <c r="K19" s="3"/>
      <c r="L19" s="11">
        <v>-8478.25</v>
      </c>
      <c r="M19" s="3"/>
      <c r="N19" s="11">
        <v>18957.75</v>
      </c>
      <c r="O19" s="3"/>
      <c r="P19" s="11"/>
      <c r="Q19" s="3"/>
      <c r="R19" s="11"/>
    </row>
    <row r="20" spans="1:18" x14ac:dyDescent="0.35">
      <c r="A20" s="12"/>
      <c r="B20" s="7"/>
      <c r="C20" s="7"/>
      <c r="D20" s="6"/>
      <c r="F20" s="6"/>
      <c r="H20" s="6"/>
      <c r="J20" s="6"/>
      <c r="L20" s="6"/>
      <c r="N20" s="6"/>
      <c r="P20" s="6"/>
      <c r="R20" s="6"/>
    </row>
    <row r="21" spans="1:18" s="15" customFormat="1" x14ac:dyDescent="0.35">
      <c r="A21" s="7"/>
      <c r="B21" s="22" t="s">
        <v>107</v>
      </c>
      <c r="C21" s="22"/>
      <c r="D21" s="10">
        <f>+D10-D16</f>
        <v>2452363.4800000004</v>
      </c>
      <c r="E21" s="12"/>
      <c r="F21" s="10">
        <f>+F10-F16</f>
        <v>2988046.2199999997</v>
      </c>
      <c r="G21" s="5"/>
      <c r="H21" s="10">
        <f>+H10-H16</f>
        <v>2762010.4</v>
      </c>
      <c r="I21" s="5"/>
      <c r="J21" s="10">
        <f>+J10-J16</f>
        <v>2674260.6</v>
      </c>
      <c r="K21" s="5"/>
      <c r="L21" s="10">
        <f>+L10-L16</f>
        <v>3017683.5500000003</v>
      </c>
      <c r="M21" s="5"/>
      <c r="N21" s="10">
        <f>+N10-N16</f>
        <v>2463950.0700000003</v>
      </c>
      <c r="O21" s="5"/>
      <c r="P21" s="10">
        <f>+P10-P16</f>
        <v>1216710</v>
      </c>
      <c r="Q21" s="5"/>
      <c r="R21" s="10">
        <f>+R10-R16</f>
        <v>3135132</v>
      </c>
    </row>
    <row r="22" spans="1:18" s="27" customFormat="1" x14ac:dyDescent="0.35">
      <c r="A22" s="18"/>
      <c r="B22" s="31"/>
      <c r="C22" s="18"/>
      <c r="D22" s="9">
        <f>IFERROR(D21/D10, 0)</f>
        <v>0.67774951012702722</v>
      </c>
      <c r="E22" s="13"/>
      <c r="F22" s="9">
        <f>IFERROR(F21/F10, 0)</f>
        <v>0.74454133993994076</v>
      </c>
      <c r="G22" s="26"/>
      <c r="H22" s="9">
        <f>IFERROR(H21/H10, 0)</f>
        <v>0.72593177848671009</v>
      </c>
      <c r="I22" s="26"/>
      <c r="J22" s="9">
        <f>IFERROR(J21/J10, 0)</f>
        <v>0.73174475498971947</v>
      </c>
      <c r="K22" s="26"/>
      <c r="L22" s="9">
        <f>IFERROR(L21/L10, 0)</f>
        <v>0.73421441473595273</v>
      </c>
      <c r="M22" s="26"/>
      <c r="N22" s="9">
        <f>IFERROR(N21/N10, 0)</f>
        <v>0.74355213617110372</v>
      </c>
      <c r="O22" s="26"/>
      <c r="P22" s="9">
        <f>IFERROR(P21/P10, 0)</f>
        <v>0.72965285552968207</v>
      </c>
      <c r="Q22" s="26"/>
      <c r="R22" s="9">
        <f>IFERROR(R21/R10, 0)</f>
        <v>0.71972727272727277</v>
      </c>
    </row>
    <row r="23" spans="1:18" s="27" customFormat="1" x14ac:dyDescent="0.35">
      <c r="A23" s="18"/>
      <c r="B23" s="31"/>
      <c r="C23" s="18"/>
      <c r="D23" s="13"/>
      <c r="E23" s="13"/>
      <c r="F23" s="13"/>
      <c r="G23" s="26"/>
      <c r="H23" s="13"/>
      <c r="I23" s="26"/>
      <c r="J23" s="13"/>
      <c r="K23" s="26"/>
      <c r="L23" s="13"/>
      <c r="M23" s="26"/>
      <c r="N23" s="13"/>
      <c r="O23" s="26"/>
      <c r="P23" s="13"/>
      <c r="Q23" s="26"/>
      <c r="R23" s="13"/>
    </row>
    <row r="24" spans="1:18" s="15" customFormat="1" x14ac:dyDescent="0.35">
      <c r="A24" s="7"/>
      <c r="B24" s="34" t="s">
        <v>314</v>
      </c>
      <c r="C24" s="7"/>
      <c r="D24" s="8">
        <f>SUM(OSRRefD21x_0)</f>
        <v>1669322.3999999997</v>
      </c>
      <c r="E24" s="19"/>
      <c r="F24" s="8">
        <f>SUM(OSRRefF21x_0)</f>
        <v>1653379.5099999998</v>
      </c>
      <c r="G24" s="4"/>
      <c r="H24" s="8">
        <f>SUM(OSRRefH21x_0)</f>
        <v>1772552.2</v>
      </c>
      <c r="I24" s="4"/>
      <c r="J24" s="8">
        <f>SUM(OSRRefJ21x_0)</f>
        <v>1858128.1599999997</v>
      </c>
      <c r="K24" s="4"/>
      <c r="L24" s="8">
        <f>SUM(OSRRefL21x_0)</f>
        <v>1970508.9800000002</v>
      </c>
      <c r="M24" s="4"/>
      <c r="N24" s="8">
        <f>SUM(OSRRefN21x_0)</f>
        <v>1753369</v>
      </c>
      <c r="O24" s="4"/>
      <c r="P24" s="8">
        <f>SUM(OSRRefP21x_0)</f>
        <v>1475913.8934017499</v>
      </c>
      <c r="Q24" s="4"/>
      <c r="R24" s="8">
        <f>SUM(OSRRefR21x_0)</f>
        <v>2418278.4799858602</v>
      </c>
    </row>
    <row r="25" spans="1:18" s="15" customFormat="1" outlineLevel="1" collapsed="1" x14ac:dyDescent="0.35">
      <c r="A25" s="7"/>
      <c r="B25" s="20" t="str">
        <f>CONCATENATE("     ","*Benefits                                         ")</f>
        <v xml:space="preserve">     *Benefits                                         </v>
      </c>
      <c r="C25" s="7"/>
      <c r="D25" s="1">
        <f>SUM(OSRRefD21_0x_0)</f>
        <v>290344.46000000002</v>
      </c>
      <c r="E25" s="19"/>
      <c r="F25" s="1">
        <f>SUM(OSRRefF21_0x_0)</f>
        <v>298982.46000000008</v>
      </c>
      <c r="G25" s="4"/>
      <c r="H25" s="1">
        <f>SUM(OSRRefH21_0x_0)</f>
        <v>340020.44999999995</v>
      </c>
      <c r="I25" s="4"/>
      <c r="J25" s="1">
        <f>SUM(OSRRefJ21_0x_0)</f>
        <v>383086.62000000005</v>
      </c>
      <c r="K25" s="4"/>
      <c r="L25" s="1">
        <f>SUM(OSRRefL21_0x_0)</f>
        <v>383472.38</v>
      </c>
      <c r="M25" s="4"/>
      <c r="N25" s="1">
        <f>SUM(OSRRefN21_0x_0)</f>
        <v>372049.08</v>
      </c>
      <c r="O25" s="4"/>
      <c r="P25" s="1">
        <f>SUM(OSRRefP21_0x_0)</f>
        <v>444603.21593675</v>
      </c>
      <c r="Q25" s="4"/>
      <c r="R25" s="1">
        <f>SUM(OSRRefR21_0x_0)</f>
        <v>488789.44558586</v>
      </c>
    </row>
    <row r="26" spans="1:18" s="16" customFormat="1" hidden="1" outlineLevel="2" x14ac:dyDescent="0.35">
      <c r="B26" s="11" t="str">
        <f>CONCATENATE("          ", "6111", " - ", "F.I.C.A.")</f>
        <v xml:space="preserve">          6111 - F.I.C.A.</v>
      </c>
      <c r="D26" s="2">
        <v>42566.04</v>
      </c>
      <c r="F26" s="2">
        <v>42860.14</v>
      </c>
      <c r="G26" s="3"/>
      <c r="H26" s="2">
        <v>47871.9</v>
      </c>
      <c r="I26" s="3"/>
      <c r="J26" s="2">
        <v>57441.24</v>
      </c>
      <c r="K26" s="3"/>
      <c r="L26" s="2">
        <v>57199.46</v>
      </c>
      <c r="M26" s="3"/>
      <c r="N26" s="2">
        <v>51185.29</v>
      </c>
      <c r="O26" s="3"/>
      <c r="P26" s="2">
        <v>41963.266331999999</v>
      </c>
      <c r="Q26" s="3"/>
      <c r="R26" s="2">
        <v>48055.158565860002</v>
      </c>
    </row>
    <row r="27" spans="1:18" s="16" customFormat="1" hidden="1" outlineLevel="2" x14ac:dyDescent="0.35">
      <c r="B27" s="11" t="str">
        <f>CONCATENATE("          ", "6112", " - ", "COMPENSATION INSURANCE")</f>
        <v xml:space="preserve">          6112 - COMPENSATION INSURANCE</v>
      </c>
      <c r="D27" s="2">
        <v>18210.830000000002</v>
      </c>
      <c r="F27" s="2">
        <v>29752.85</v>
      </c>
      <c r="G27" s="3"/>
      <c r="H27" s="2">
        <v>36766.370000000003</v>
      </c>
      <c r="I27" s="3"/>
      <c r="J27" s="2">
        <v>30216.53</v>
      </c>
      <c r="K27" s="3"/>
      <c r="L27" s="2">
        <v>35270.25</v>
      </c>
      <c r="M27" s="3"/>
      <c r="N27" s="2">
        <v>33455.5</v>
      </c>
      <c r="O27" s="3"/>
      <c r="P27" s="2">
        <v>31747.974880049998</v>
      </c>
      <c r="Q27" s="3"/>
      <c r="R27" s="2">
        <v>49920.116209799999</v>
      </c>
    </row>
    <row r="28" spans="1:18" s="16" customFormat="1" hidden="1" outlineLevel="2" x14ac:dyDescent="0.35">
      <c r="B28" s="11" t="str">
        <f>CONCATENATE("          ", "6113", " - ", "GROUP INSURANCE")</f>
        <v xml:space="preserve">          6113 - GROUP INSURANCE</v>
      </c>
      <c r="D28" s="2">
        <v>135035.39000000001</v>
      </c>
      <c r="F28" s="2">
        <v>134854.20000000001</v>
      </c>
      <c r="G28" s="3"/>
      <c r="H28" s="2">
        <v>163350.78</v>
      </c>
      <c r="I28" s="3"/>
      <c r="J28" s="2">
        <v>194412.74</v>
      </c>
      <c r="K28" s="3"/>
      <c r="L28" s="2">
        <v>194408.66</v>
      </c>
      <c r="M28" s="3"/>
      <c r="N28" s="2">
        <v>210134.7</v>
      </c>
      <c r="O28" s="3"/>
      <c r="P28" s="2">
        <v>247080</v>
      </c>
      <c r="Q28" s="3"/>
      <c r="R28" s="2">
        <v>271224</v>
      </c>
    </row>
    <row r="29" spans="1:18" s="16" customFormat="1" hidden="1" outlineLevel="2" x14ac:dyDescent="0.35">
      <c r="B29" s="11" t="str">
        <f>CONCATENATE("          ", "6114", " - ", "STATE UNEMPLOYMENT INSURANCE")</f>
        <v xml:space="preserve">          6114 - STATE UNEMPLOYMENT INSURANCE</v>
      </c>
      <c r="D29" s="2">
        <v>5245.98</v>
      </c>
      <c r="F29" s="2">
        <v>5191.1099999999997</v>
      </c>
      <c r="G29" s="3"/>
      <c r="H29" s="2">
        <v>2936.29</v>
      </c>
      <c r="I29" s="3"/>
      <c r="J29" s="2">
        <v>3190.19</v>
      </c>
      <c r="K29" s="3"/>
      <c r="L29" s="2">
        <v>2917.81</v>
      </c>
      <c r="M29" s="3"/>
      <c r="N29" s="2">
        <v>0</v>
      </c>
      <c r="O29" s="3"/>
      <c r="P29" s="2">
        <v>1924.1196897</v>
      </c>
      <c r="Q29" s="3"/>
      <c r="R29" s="2">
        <v>2766.0222702000001</v>
      </c>
    </row>
    <row r="30" spans="1:18" s="16" customFormat="1" hidden="1" outlineLevel="2" x14ac:dyDescent="0.35">
      <c r="B30" s="11" t="str">
        <f>CONCATENATE("          ", "6115", " - ", "P.E.R.S.")</f>
        <v xml:space="preserve">          6115 - P.E.R.S.</v>
      </c>
      <c r="D30" s="2">
        <v>19083.47</v>
      </c>
      <c r="F30" s="2">
        <v>10833.26</v>
      </c>
      <c r="G30" s="3"/>
      <c r="H30" s="2">
        <v>12870.53</v>
      </c>
      <c r="I30" s="3"/>
      <c r="J30" s="2">
        <v>13027.55</v>
      </c>
      <c r="K30" s="3"/>
      <c r="L30" s="2">
        <v>13523.15</v>
      </c>
      <c r="M30" s="3"/>
      <c r="N30" s="2">
        <v>16454.14</v>
      </c>
      <c r="O30" s="3"/>
      <c r="P30" s="2">
        <v>23120.498</v>
      </c>
      <c r="Q30" s="3"/>
      <c r="R30" s="2">
        <v>18286.720939999999</v>
      </c>
    </row>
    <row r="31" spans="1:18" s="16" customFormat="1" hidden="1" outlineLevel="2" x14ac:dyDescent="0.35">
      <c r="B31" s="11" t="str">
        <f>CONCATENATE("          ", "6116", " - ", "EDUCATIONAL BENEFITS")</f>
        <v xml:space="preserve">          6116 - EDUCATIONAL BENEFITS</v>
      </c>
      <c r="D31" s="2"/>
      <c r="F31" s="2"/>
      <c r="G31" s="3"/>
      <c r="H31" s="2"/>
      <c r="I31" s="3"/>
      <c r="J31" s="2"/>
      <c r="K31" s="3"/>
      <c r="L31" s="2"/>
      <c r="M31" s="3"/>
      <c r="N31" s="2"/>
      <c r="O31" s="3"/>
      <c r="P31" s="2">
        <v>0</v>
      </c>
      <c r="Q31" s="3"/>
      <c r="R31" s="2">
        <v>0</v>
      </c>
    </row>
    <row r="32" spans="1:18" s="16" customFormat="1" hidden="1" outlineLevel="2" x14ac:dyDescent="0.35">
      <c r="B32" s="11" t="str">
        <f>CONCATENATE("          ", "6117", " - ", "RETIREMENT STAFF HOURLY")</f>
        <v xml:space="preserve">          6117 - RETIREMENT STAFF HOURLY</v>
      </c>
      <c r="D32" s="2">
        <v>7270.83</v>
      </c>
      <c r="F32" s="2">
        <v>8604.92</v>
      </c>
      <c r="G32" s="3"/>
      <c r="H32" s="2">
        <v>7777.12</v>
      </c>
      <c r="I32" s="3"/>
      <c r="J32" s="2">
        <v>8376.15</v>
      </c>
      <c r="K32" s="3"/>
      <c r="L32" s="2">
        <v>8810.68</v>
      </c>
      <c r="M32" s="3"/>
      <c r="N32" s="2">
        <v>8419.14</v>
      </c>
      <c r="O32" s="3"/>
      <c r="P32" s="2"/>
      <c r="Q32" s="3"/>
      <c r="R32" s="2"/>
    </row>
    <row r="33" spans="1:18" s="16" customFormat="1" hidden="1" outlineLevel="2" x14ac:dyDescent="0.35">
      <c r="B33" s="11" t="str">
        <f>CONCATENATE("          ", "6118", " - ", "VACATION")</f>
        <v xml:space="preserve">          6118 - VACATION</v>
      </c>
      <c r="D33" s="2">
        <v>30790.07</v>
      </c>
      <c r="F33" s="2">
        <v>34615.49</v>
      </c>
      <c r="G33" s="3"/>
      <c r="H33" s="2">
        <v>35215.730000000003</v>
      </c>
      <c r="I33" s="3"/>
      <c r="J33" s="2">
        <v>36925.51</v>
      </c>
      <c r="K33" s="3"/>
      <c r="L33" s="2">
        <v>32979.14</v>
      </c>
      <c r="M33" s="3"/>
      <c r="N33" s="2">
        <v>34542.699999999997</v>
      </c>
      <c r="O33" s="3"/>
      <c r="P33" s="2">
        <v>42690.267999999996</v>
      </c>
      <c r="Q33" s="3"/>
      <c r="R33" s="2">
        <v>25583.562300000001</v>
      </c>
    </row>
    <row r="34" spans="1:18" s="16" customFormat="1" hidden="1" outlineLevel="2" x14ac:dyDescent="0.35">
      <c r="B34" s="11" t="str">
        <f>CONCATENATE("          ", "6119", " - ", "SICK LEAVE")</f>
        <v xml:space="preserve">          6119 - SICK LEAVE</v>
      </c>
      <c r="D34" s="2">
        <v>18324.009999999998</v>
      </c>
      <c r="F34" s="2">
        <v>19050.59</v>
      </c>
      <c r="G34" s="3"/>
      <c r="H34" s="2">
        <v>19216.88</v>
      </c>
      <c r="I34" s="3"/>
      <c r="J34" s="2">
        <v>22724.02</v>
      </c>
      <c r="K34" s="3"/>
      <c r="L34" s="2">
        <v>23283.040000000001</v>
      </c>
      <c r="M34" s="3"/>
      <c r="N34" s="2">
        <v>3302.8</v>
      </c>
      <c r="O34" s="3"/>
      <c r="P34" s="2">
        <v>32977.089034999997</v>
      </c>
      <c r="Q34" s="3"/>
      <c r="R34" s="2">
        <v>45653.865299999998</v>
      </c>
    </row>
    <row r="35" spans="1:18" s="16" customFormat="1" hidden="1" outlineLevel="2" x14ac:dyDescent="0.35">
      <c r="B35" s="11" t="str">
        <f>CONCATENATE("          ", "6156", " - ", "EMPLOYEE MEALS")</f>
        <v xml:space="preserve">          6156 - EMPLOYEE MEALS</v>
      </c>
      <c r="D35" s="2">
        <v>13817.84</v>
      </c>
      <c r="F35" s="2">
        <v>13219.9</v>
      </c>
      <c r="G35" s="3"/>
      <c r="H35" s="2">
        <v>14014.85</v>
      </c>
      <c r="I35" s="3"/>
      <c r="J35" s="2">
        <v>16772.689999999999</v>
      </c>
      <c r="K35" s="3"/>
      <c r="L35" s="2">
        <v>15080.19</v>
      </c>
      <c r="M35" s="3"/>
      <c r="N35" s="2">
        <v>14554.81</v>
      </c>
      <c r="O35" s="3"/>
      <c r="P35" s="2">
        <v>23100</v>
      </c>
      <c r="Q35" s="3"/>
      <c r="R35" s="2">
        <v>27300</v>
      </c>
    </row>
    <row r="36" spans="1:18" s="15" customFormat="1" outlineLevel="1" collapsed="1" x14ac:dyDescent="0.35">
      <c r="A36" s="7"/>
      <c r="B36" s="20" t="str">
        <f>CONCATENATE("     ","*Payroll                                          ")</f>
        <v xml:space="preserve">     *Payroll                                          </v>
      </c>
      <c r="C36" s="7"/>
      <c r="D36" s="1">
        <f>SUM(OSRRefD21_1x_0)</f>
        <v>811997.29999999993</v>
      </c>
      <c r="E36" s="19"/>
      <c r="F36" s="1">
        <f>SUM(OSRRefF21_1x_0)</f>
        <v>787585.11</v>
      </c>
      <c r="G36" s="4"/>
      <c r="H36" s="1">
        <f>SUM(OSRRefH21_1x_0)</f>
        <v>897553.64</v>
      </c>
      <c r="I36" s="4"/>
      <c r="J36" s="1">
        <f>SUM(OSRRefJ21_1x_0)</f>
        <v>931347.65</v>
      </c>
      <c r="K36" s="4"/>
      <c r="L36" s="1">
        <f>SUM(OSRRefL21_1x_0)</f>
        <v>1031140.0499999999</v>
      </c>
      <c r="M36" s="4"/>
      <c r="N36" s="1">
        <f>SUM(OSRRefN21_1x_0)</f>
        <v>935181.37</v>
      </c>
      <c r="O36" s="4"/>
      <c r="P36" s="1">
        <f>SUM(OSRRefP21_1x_0)</f>
        <v>664378.67746499996</v>
      </c>
      <c r="Q36" s="4"/>
      <c r="R36" s="1">
        <f>SUM(OSRRefR21_1x_0)</f>
        <v>1245916.0344000002</v>
      </c>
    </row>
    <row r="37" spans="1:18" s="16" customFormat="1" hidden="1" outlineLevel="2" x14ac:dyDescent="0.35">
      <c r="B37" s="11" t="str">
        <f>CONCATENATE("          ", "6001", " - ", "ADMINISTRATIVE SALARIES")</f>
        <v xml:space="preserve">          6001 - ADMINISTRATIVE SALARIES</v>
      </c>
      <c r="D37" s="2">
        <v>19382.099999999999</v>
      </c>
      <c r="F37" s="2">
        <v>-388</v>
      </c>
      <c r="G37" s="3"/>
      <c r="H37" s="2"/>
      <c r="I37" s="3"/>
      <c r="J37" s="2"/>
      <c r="K37" s="3"/>
      <c r="L37" s="2"/>
      <c r="M37" s="3"/>
      <c r="N37" s="2"/>
      <c r="O37" s="3"/>
      <c r="P37" s="2">
        <v>0</v>
      </c>
      <c r="Q37" s="3"/>
      <c r="R37" s="2">
        <v>0</v>
      </c>
    </row>
    <row r="38" spans="1:18" s="16" customFormat="1" hidden="1" outlineLevel="2" x14ac:dyDescent="0.35">
      <c r="B38" s="11" t="str">
        <f>CONCATENATE("          ", "6002", " - ", "STAFF SALARIES")</f>
        <v xml:space="preserve">          6002 - STAFF SALARIES</v>
      </c>
      <c r="D38" s="2">
        <v>109747.51</v>
      </c>
      <c r="F38" s="2">
        <v>106183.73</v>
      </c>
      <c r="G38" s="3"/>
      <c r="H38" s="2">
        <v>121622</v>
      </c>
      <c r="I38" s="3"/>
      <c r="J38" s="2">
        <v>132091.85999999999</v>
      </c>
      <c r="K38" s="3"/>
      <c r="L38" s="2">
        <v>166732.10999999999</v>
      </c>
      <c r="M38" s="3"/>
      <c r="N38" s="2">
        <v>172840.85</v>
      </c>
      <c r="O38" s="3"/>
      <c r="P38" s="2">
        <v>231606.55</v>
      </c>
      <c r="Q38" s="3"/>
      <c r="R38" s="2">
        <v>199878.11259999999</v>
      </c>
    </row>
    <row r="39" spans="1:18" s="16" customFormat="1" hidden="1" outlineLevel="2" x14ac:dyDescent="0.35">
      <c r="B39" s="11" t="str">
        <f>CONCATENATE("          ", "6003", " - ", "STAFF HOURLY-9 MONTH")</f>
        <v xml:space="preserve">          6003 - STAFF HOURLY-9 MONTH</v>
      </c>
      <c r="D39" s="2"/>
      <c r="F39" s="2"/>
      <c r="G39" s="3"/>
      <c r="H39" s="2"/>
      <c r="I39" s="3"/>
      <c r="J39" s="2"/>
      <c r="K39" s="3"/>
      <c r="L39" s="2"/>
      <c r="M39" s="3"/>
      <c r="N39" s="2"/>
      <c r="O39" s="3"/>
      <c r="P39" s="2">
        <v>0</v>
      </c>
      <c r="Q39" s="3"/>
      <c r="R39" s="2">
        <v>0</v>
      </c>
    </row>
    <row r="40" spans="1:18" s="16" customFormat="1" hidden="1" outlineLevel="2" x14ac:dyDescent="0.35">
      <c r="B40" s="11" t="str">
        <f>CONCATENATE("          ", "6004", " - ", "STAFF HOURLY")</f>
        <v xml:space="preserve">          6004 - STAFF HOURLY</v>
      </c>
      <c r="D40" s="2">
        <v>208804.43</v>
      </c>
      <c r="F40" s="2">
        <v>208016.31</v>
      </c>
      <c r="G40" s="3"/>
      <c r="H40" s="2">
        <v>243324.52</v>
      </c>
      <c r="I40" s="3"/>
      <c r="J40" s="2">
        <v>246625.99</v>
      </c>
      <c r="K40" s="3"/>
      <c r="L40" s="2">
        <v>236169.2</v>
      </c>
      <c r="M40" s="3"/>
      <c r="N40" s="2">
        <v>230880.56</v>
      </c>
      <c r="O40" s="3"/>
      <c r="P40" s="2">
        <v>237549.31200000001</v>
      </c>
      <c r="Q40" s="3"/>
      <c r="R40" s="2">
        <v>347223.0528</v>
      </c>
    </row>
    <row r="41" spans="1:18" s="16" customFormat="1" hidden="1" outlineLevel="2" x14ac:dyDescent="0.35">
      <c r="B41" s="11" t="str">
        <f>CONCATENATE("          ", "6005", " - ", "TEMPORARY WAGES-HOURLY")</f>
        <v xml:space="preserve">          6005 - TEMPORARY WAGES-HOURLY</v>
      </c>
      <c r="D41" s="2">
        <v>121512.49</v>
      </c>
      <c r="F41" s="2">
        <v>142487.76</v>
      </c>
      <c r="G41" s="3"/>
      <c r="H41" s="2">
        <v>149212.51</v>
      </c>
      <c r="I41" s="3"/>
      <c r="J41" s="2">
        <v>200231.2</v>
      </c>
      <c r="K41" s="3"/>
      <c r="L41" s="2">
        <v>222060.67</v>
      </c>
      <c r="M41" s="3"/>
      <c r="N41" s="2">
        <v>146126.23000000001</v>
      </c>
      <c r="O41" s="3"/>
      <c r="P41" s="2">
        <v>59678.391065000003</v>
      </c>
      <c r="Q41" s="3"/>
      <c r="R41" s="2">
        <v>157817.54500000001</v>
      </c>
    </row>
    <row r="42" spans="1:18" s="16" customFormat="1" hidden="1" outlineLevel="2" x14ac:dyDescent="0.35">
      <c r="B42" s="11" t="str">
        <f>CONCATENATE("          ", "6006", " - ", "TEMPORARY PART TIME")</f>
        <v xml:space="preserve">          6006 - TEMPORARY PART TIME</v>
      </c>
      <c r="D42" s="2">
        <v>1163.25</v>
      </c>
      <c r="F42" s="2">
        <v>8966.92</v>
      </c>
      <c r="G42" s="3"/>
      <c r="H42" s="2">
        <v>38667.879999999997</v>
      </c>
      <c r="I42" s="3"/>
      <c r="J42" s="2">
        <v>28428.35</v>
      </c>
      <c r="K42" s="3"/>
      <c r="L42" s="2">
        <v>28882.58</v>
      </c>
      <c r="M42" s="3"/>
      <c r="N42" s="2">
        <v>13546.1</v>
      </c>
      <c r="O42" s="3"/>
      <c r="P42" s="2">
        <v>0</v>
      </c>
      <c r="Q42" s="3"/>
      <c r="R42" s="2">
        <v>0</v>
      </c>
    </row>
    <row r="43" spans="1:18" s="16" customFormat="1" hidden="1" outlineLevel="2" x14ac:dyDescent="0.35">
      <c r="B43" s="11" t="str">
        <f>CONCATENATE("          ", "6007", " - ", "STUDENT HOURLY")</f>
        <v xml:space="preserve">          6007 - STUDENT HOURLY</v>
      </c>
      <c r="D43" s="2">
        <v>293981.38</v>
      </c>
      <c r="F43" s="2">
        <v>264727.23</v>
      </c>
      <c r="G43" s="3"/>
      <c r="H43" s="2">
        <v>259152.87</v>
      </c>
      <c r="I43" s="3"/>
      <c r="J43" s="2">
        <v>233508.65</v>
      </c>
      <c r="K43" s="3"/>
      <c r="L43" s="2">
        <v>265970.34999999998</v>
      </c>
      <c r="M43" s="3"/>
      <c r="N43" s="2">
        <v>291246.51</v>
      </c>
      <c r="O43" s="3"/>
      <c r="P43" s="2">
        <v>9252.83</v>
      </c>
      <c r="Q43" s="3"/>
      <c r="R43" s="2">
        <v>30264</v>
      </c>
    </row>
    <row r="44" spans="1:18" s="16" customFormat="1" hidden="1" outlineLevel="2" x14ac:dyDescent="0.35">
      <c r="B44" s="11" t="str">
        <f>CONCATENATE("          ", "6008", " - ", "STUDENT HOURLY-FICA EXEMPT")</f>
        <v xml:space="preserve">          6008 - STUDENT HOURLY-FICA EXEMPT</v>
      </c>
      <c r="D44" s="2">
        <v>57406.14</v>
      </c>
      <c r="F44" s="2">
        <v>57591.16</v>
      </c>
      <c r="G44" s="3"/>
      <c r="H44" s="2">
        <v>85573.86</v>
      </c>
      <c r="I44" s="3"/>
      <c r="J44" s="2">
        <v>90461.6</v>
      </c>
      <c r="K44" s="3"/>
      <c r="L44" s="2">
        <v>111325.14</v>
      </c>
      <c r="M44" s="3"/>
      <c r="N44" s="2">
        <v>80541.119999999995</v>
      </c>
      <c r="O44" s="3"/>
      <c r="P44" s="2">
        <v>126291.5944</v>
      </c>
      <c r="Q44" s="3"/>
      <c r="R44" s="2">
        <v>510733.32400000002</v>
      </c>
    </row>
    <row r="45" spans="1:18" s="16" customFormat="1" hidden="1" outlineLevel="2" x14ac:dyDescent="0.35">
      <c r="B45" s="11" t="str">
        <f>CONCATENATE("          ", "6009", " - ", "TEMPORARY-SEASONAL")</f>
        <v xml:space="preserve">          6009 - TEMPORARY-SEASONAL</v>
      </c>
      <c r="D45" s="2"/>
      <c r="F45" s="2"/>
      <c r="G45" s="3"/>
      <c r="H45" s="2"/>
      <c r="I45" s="3"/>
      <c r="J45" s="2"/>
      <c r="K45" s="3"/>
      <c r="L45" s="2"/>
      <c r="M45" s="3"/>
      <c r="N45" s="2"/>
      <c r="O45" s="3"/>
      <c r="P45" s="2">
        <v>0</v>
      </c>
      <c r="Q45" s="3"/>
      <c r="R45" s="2">
        <v>0</v>
      </c>
    </row>
    <row r="46" spans="1:18" s="16" customFormat="1" hidden="1" outlineLevel="2" x14ac:dyDescent="0.35">
      <c r="B46" s="11" t="str">
        <f>CONCATENATE("          ", "6010", " - ", "GRATUITY")</f>
        <v xml:space="preserve">          6010 - GRATUITY</v>
      </c>
      <c r="D46" s="2"/>
      <c r="F46" s="2"/>
      <c r="G46" s="3"/>
      <c r="H46" s="2"/>
      <c r="I46" s="3"/>
      <c r="J46" s="2"/>
      <c r="K46" s="3"/>
      <c r="L46" s="2"/>
      <c r="M46" s="3"/>
      <c r="N46" s="2"/>
      <c r="O46" s="3"/>
      <c r="P46" s="2">
        <v>0</v>
      </c>
      <c r="Q46" s="3"/>
      <c r="R46" s="2">
        <v>0</v>
      </c>
    </row>
    <row r="47" spans="1:18" s="15" customFormat="1" outlineLevel="1" collapsed="1" x14ac:dyDescent="0.35">
      <c r="A47" s="7"/>
      <c r="B47" s="20" t="str">
        <f>CONCATENATE("     ","Advertising/Promo                                 ")</f>
        <v xml:space="preserve">     Advertising/Promo                                 </v>
      </c>
      <c r="C47" s="7"/>
      <c r="D47" s="1">
        <f>SUM(OSRRefD21_2x_0)</f>
        <v>4028.75</v>
      </c>
      <c r="E47" s="19"/>
      <c r="F47" s="1">
        <f>SUM(OSRRefF21_2x_0)</f>
        <v>2253.14</v>
      </c>
      <c r="G47" s="4"/>
      <c r="H47" s="1">
        <f>SUM(OSRRefH21_2x_0)</f>
        <v>2068.9899999999998</v>
      </c>
      <c r="I47" s="4"/>
      <c r="J47" s="1">
        <f>SUM(OSRRefJ21_2x_0)</f>
        <v>3257.88</v>
      </c>
      <c r="K47" s="4"/>
      <c r="L47" s="1">
        <f>SUM(OSRRefL21_2x_0)</f>
        <v>4045.78</v>
      </c>
      <c r="M47" s="4"/>
      <c r="N47" s="1">
        <f>SUM(OSRRefN21_2x_0)</f>
        <v>2628.74</v>
      </c>
      <c r="O47" s="4"/>
      <c r="P47" s="1">
        <f>SUM(OSRRefP21_2x_0)</f>
        <v>4428</v>
      </c>
      <c r="Q47" s="4"/>
      <c r="R47" s="1">
        <f>SUM(OSRRefR21_2x_0)</f>
        <v>4428</v>
      </c>
    </row>
    <row r="48" spans="1:18" s="16" customFormat="1" hidden="1" outlineLevel="2" x14ac:dyDescent="0.35">
      <c r="B48" s="11" t="str">
        <f>CONCATENATE("          ", "6362", " - ", "ADVERTISING EXPENSE")</f>
        <v xml:space="preserve">          6362 - ADVERTISING EXPENSE</v>
      </c>
      <c r="D48" s="2">
        <v>4028.75</v>
      </c>
      <c r="F48" s="2">
        <v>2253.14</v>
      </c>
      <c r="G48" s="3"/>
      <c r="H48" s="2">
        <v>2068.9899999999998</v>
      </c>
      <c r="I48" s="3"/>
      <c r="J48" s="2">
        <v>3257.88</v>
      </c>
      <c r="K48" s="3"/>
      <c r="L48" s="2">
        <v>4045.78</v>
      </c>
      <c r="M48" s="3"/>
      <c r="N48" s="2">
        <v>2628.74</v>
      </c>
      <c r="O48" s="3"/>
      <c r="P48" s="2">
        <v>4428</v>
      </c>
      <c r="Q48" s="3"/>
      <c r="R48" s="2">
        <v>4428</v>
      </c>
    </row>
    <row r="49" spans="1:18" s="15" customFormat="1" outlineLevel="1" collapsed="1" x14ac:dyDescent="0.35">
      <c r="A49" s="7"/>
      <c r="B49" s="20" t="str">
        <f>CONCATENATE("     ","Bad Debts/Over/Short                              ")</f>
        <v xml:space="preserve">     Bad Debts/Over/Short                              </v>
      </c>
      <c r="C49" s="7"/>
      <c r="D49" s="1">
        <f>SUM(OSRRefD21_3x_0)</f>
        <v>3186.79</v>
      </c>
      <c r="E49" s="19"/>
      <c r="F49" s="1">
        <f>SUM(OSRRefF21_3x_0)</f>
        <v>-79.540000000000006</v>
      </c>
      <c r="G49" s="4"/>
      <c r="H49" s="1">
        <f>SUM(OSRRefH21_3x_0)</f>
        <v>4755.43</v>
      </c>
      <c r="I49" s="4"/>
      <c r="J49" s="1">
        <f>SUM(OSRRefJ21_3x_0)</f>
        <v>19257.97</v>
      </c>
      <c r="K49" s="4"/>
      <c r="L49" s="1">
        <f>SUM(OSRRefL21_3x_0)</f>
        <v>34.83</v>
      </c>
      <c r="M49" s="4"/>
      <c r="N49" s="1">
        <f>SUM(OSRRefN21_3x_0)</f>
        <v>16.690000000000001</v>
      </c>
      <c r="O49" s="4"/>
      <c r="P49" s="1">
        <f>SUM(OSRRefP21_3x_0)</f>
        <v>80</v>
      </c>
      <c r="Q49" s="4"/>
      <c r="R49" s="1">
        <f>SUM(OSRRefR21_3x_0)</f>
        <v>80</v>
      </c>
    </row>
    <row r="50" spans="1:18" s="16" customFormat="1" hidden="1" outlineLevel="2" x14ac:dyDescent="0.35">
      <c r="B50" s="11" t="str">
        <f>CONCATENATE("          ", "6272", " - ", "CASH (OVER/SHORT)")</f>
        <v xml:space="preserve">          6272 - CASH (OVER/SHORT)</v>
      </c>
      <c r="D50" s="2">
        <v>3186.79</v>
      </c>
      <c r="F50" s="2">
        <v>-79.540000000000006</v>
      </c>
      <c r="G50" s="3"/>
      <c r="H50" s="2">
        <v>4755.43</v>
      </c>
      <c r="I50" s="3"/>
      <c r="J50" s="2">
        <v>19257.97</v>
      </c>
      <c r="K50" s="3"/>
      <c r="L50" s="2">
        <v>34.83</v>
      </c>
      <c r="M50" s="3"/>
      <c r="N50" s="2">
        <v>16.690000000000001</v>
      </c>
      <c r="O50" s="3"/>
      <c r="P50" s="2">
        <v>80</v>
      </c>
      <c r="Q50" s="3"/>
      <c r="R50" s="2">
        <v>80</v>
      </c>
    </row>
    <row r="51" spans="1:18" s="15" customFormat="1" outlineLevel="1" collapsed="1" x14ac:dyDescent="0.35">
      <c r="A51" s="7"/>
      <c r="B51" s="20" t="str">
        <f>CONCATENATE("     ","Bank/card Fees                                    ")</f>
        <v xml:space="preserve">     Bank/card Fees                                    </v>
      </c>
      <c r="C51" s="7"/>
      <c r="D51" s="1">
        <f>SUM(OSRRefD21_4x_0)</f>
        <v>1443.38</v>
      </c>
      <c r="E51" s="19"/>
      <c r="F51" s="1">
        <f>SUM(OSRRefF21_4x_0)</f>
        <v>1503.3</v>
      </c>
      <c r="G51" s="4"/>
      <c r="H51" s="1">
        <f>SUM(OSRRefH21_4x_0)</f>
        <v>2058.0500000000002</v>
      </c>
      <c r="I51" s="4"/>
      <c r="J51" s="1">
        <f>SUM(OSRRefJ21_4x_0)</f>
        <v>1866.1</v>
      </c>
      <c r="K51" s="4"/>
      <c r="L51" s="1">
        <f>SUM(OSRRefL21_4x_0)</f>
        <v>1558.43</v>
      </c>
      <c r="M51" s="4"/>
      <c r="N51" s="1">
        <f>SUM(OSRRefN21_4x_0)</f>
        <v>1125.75</v>
      </c>
      <c r="O51" s="4"/>
      <c r="P51" s="1">
        <f>SUM(OSRRefP21_4x_0)</f>
        <v>1485</v>
      </c>
      <c r="Q51" s="4"/>
      <c r="R51" s="1">
        <f>SUM(OSRRefR21_4x_0)</f>
        <v>1620</v>
      </c>
    </row>
    <row r="52" spans="1:18" s="16" customFormat="1" hidden="1" outlineLevel="2" x14ac:dyDescent="0.35">
      <c r="B52" s="11" t="str">
        <f>CONCATENATE("          ", "6381", " - ", "BANK/CREDIT CARD FEES")</f>
        <v xml:space="preserve">          6381 - BANK/CREDIT CARD FEES</v>
      </c>
      <c r="D52" s="2">
        <v>1443.38</v>
      </c>
      <c r="F52" s="2">
        <v>1503.3</v>
      </c>
      <c r="G52" s="3"/>
      <c r="H52" s="2">
        <v>2058.0500000000002</v>
      </c>
      <c r="I52" s="3"/>
      <c r="J52" s="2">
        <v>1866.1</v>
      </c>
      <c r="K52" s="3"/>
      <c r="L52" s="2">
        <v>1558.43</v>
      </c>
      <c r="M52" s="3"/>
      <c r="N52" s="2">
        <v>1125.75</v>
      </c>
      <c r="O52" s="3"/>
      <c r="P52" s="2">
        <v>1485</v>
      </c>
      <c r="Q52" s="3"/>
      <c r="R52" s="2">
        <v>1620</v>
      </c>
    </row>
    <row r="53" spans="1:18" s="15" customFormat="1" outlineLevel="1" collapsed="1" x14ac:dyDescent="0.35">
      <c r="A53" s="7"/>
      <c r="B53" s="20" t="str">
        <f>CONCATENATE("     ","Depreciation                                      ")</f>
        <v xml:space="preserve">     Depreciation                                      </v>
      </c>
      <c r="C53" s="7"/>
      <c r="D53" s="1">
        <f>SUM(OSRRefD21_5x_0)</f>
        <v>1547.6</v>
      </c>
      <c r="E53" s="19"/>
      <c r="F53" s="1">
        <f>SUM(OSRRefF21_5x_0)</f>
        <v>1547.6</v>
      </c>
      <c r="G53" s="4"/>
      <c r="H53" s="1">
        <f>SUM(OSRRefH21_5x_0)</f>
        <v>1547.6</v>
      </c>
      <c r="I53" s="4"/>
      <c r="J53" s="1">
        <f>SUM(OSRRefJ21_5x_0)</f>
        <v>257.93</v>
      </c>
      <c r="K53" s="4"/>
      <c r="L53" s="1">
        <f>SUM(OSRRefL21_5x_0)</f>
        <v>0</v>
      </c>
      <c r="M53" s="4"/>
      <c r="N53" s="1">
        <f>SUM(OSRRefN21_5x_0)</f>
        <v>0</v>
      </c>
      <c r="O53" s="4"/>
      <c r="P53" s="1">
        <f>SUM(OSRRefP21_5x_0)</f>
        <v>0</v>
      </c>
      <c r="Q53" s="4"/>
      <c r="R53" s="1">
        <f>SUM(OSRRefR21_5x_0)</f>
        <v>3276</v>
      </c>
    </row>
    <row r="54" spans="1:18" s="16" customFormat="1" hidden="1" outlineLevel="2" x14ac:dyDescent="0.35">
      <c r="B54" s="11" t="str">
        <f>CONCATENATE("          ", "6322", " - ", "EQUIPMENT DEPRECIATION EXPENSE")</f>
        <v xml:space="preserve">          6322 - EQUIPMENT DEPRECIATION EXPENSE</v>
      </c>
      <c r="D54" s="2">
        <v>1547.6</v>
      </c>
      <c r="F54" s="2">
        <v>1547.6</v>
      </c>
      <c r="G54" s="3"/>
      <c r="H54" s="2">
        <v>1547.6</v>
      </c>
      <c r="I54" s="3"/>
      <c r="J54" s="2">
        <v>257.93</v>
      </c>
      <c r="K54" s="3"/>
      <c r="L54" s="2"/>
      <c r="M54" s="3"/>
      <c r="N54" s="2"/>
      <c r="O54" s="3"/>
      <c r="P54" s="2"/>
      <c r="Q54" s="3"/>
      <c r="R54" s="2">
        <v>3276</v>
      </c>
    </row>
    <row r="55" spans="1:18" s="15" customFormat="1" outlineLevel="1" collapsed="1" x14ac:dyDescent="0.35">
      <c r="A55" s="7"/>
      <c r="B55" s="20" t="str">
        <f>CONCATENATE("     ","Donations                                         ")</f>
        <v xml:space="preserve">     Donations                                         </v>
      </c>
      <c r="C55" s="7"/>
      <c r="D55" s="1">
        <f>SUM(OSRRefD21_6x_0)</f>
        <v>65069.78</v>
      </c>
      <c r="E55" s="19"/>
      <c r="F55" s="1">
        <f>SUM(OSRRefF21_6x_0)</f>
        <v>56003.09</v>
      </c>
      <c r="G55" s="4"/>
      <c r="H55" s="1">
        <f>SUM(OSRRefH21_6x_0)</f>
        <v>35273.599999999999</v>
      </c>
      <c r="I55" s="4"/>
      <c r="J55" s="1">
        <f>SUM(OSRRefJ21_6x_0)</f>
        <v>33071.449999999997</v>
      </c>
      <c r="K55" s="4"/>
      <c r="L55" s="1">
        <f>SUM(OSRRefL21_6x_0)</f>
        <v>30256.06</v>
      </c>
      <c r="M55" s="4"/>
      <c r="N55" s="1">
        <f>SUM(OSRRefN21_6x_0)</f>
        <v>27751.46</v>
      </c>
      <c r="O55" s="4"/>
      <c r="P55" s="1">
        <f>SUM(OSRRefP21_6x_0)</f>
        <v>33000</v>
      </c>
      <c r="Q55" s="4"/>
      <c r="R55" s="1">
        <f>SUM(OSRRefR21_6x_0)</f>
        <v>65000</v>
      </c>
    </row>
    <row r="56" spans="1:18" s="16" customFormat="1" hidden="1" outlineLevel="2" x14ac:dyDescent="0.35">
      <c r="B56" s="11" t="str">
        <f>CONCATENATE("          ", "6399", " - ", "DONATION-ON CAMPUS")</f>
        <v xml:space="preserve">          6399 - DONATION-ON CAMPUS</v>
      </c>
      <c r="D56" s="2">
        <v>65069.78</v>
      </c>
      <c r="F56" s="2">
        <v>56003.09</v>
      </c>
      <c r="G56" s="3"/>
      <c r="H56" s="2">
        <v>35273.599999999999</v>
      </c>
      <c r="I56" s="3"/>
      <c r="J56" s="2">
        <v>33071.449999999997</v>
      </c>
      <c r="K56" s="3"/>
      <c r="L56" s="2">
        <v>30256.06</v>
      </c>
      <c r="M56" s="3"/>
      <c r="N56" s="2">
        <v>27751.46</v>
      </c>
      <c r="O56" s="3"/>
      <c r="P56" s="2">
        <v>33000</v>
      </c>
      <c r="Q56" s="3"/>
      <c r="R56" s="2">
        <v>65000</v>
      </c>
    </row>
    <row r="57" spans="1:18" s="15" customFormat="1" outlineLevel="1" collapsed="1" x14ac:dyDescent="0.35">
      <c r="A57" s="7"/>
      <c r="B57" s="20" t="str">
        <f>CONCATENATE("     ","Employees' Appreciation                           ")</f>
        <v xml:space="preserve">     Employees' Appreciation                           </v>
      </c>
      <c r="C57" s="7"/>
      <c r="D57" s="1">
        <f>SUM(OSRRefD21_7x_0)</f>
        <v>419.69</v>
      </c>
      <c r="E57" s="19"/>
      <c r="F57" s="1">
        <f>SUM(OSRRefF21_7x_0)</f>
        <v>363.13</v>
      </c>
      <c r="G57" s="4"/>
      <c r="H57" s="1">
        <f>SUM(OSRRefH21_7x_0)</f>
        <v>1209.32</v>
      </c>
      <c r="I57" s="4"/>
      <c r="J57" s="1">
        <f>SUM(OSRRefJ21_7x_0)</f>
        <v>1499.88</v>
      </c>
      <c r="K57" s="4"/>
      <c r="L57" s="1">
        <f>SUM(OSRRefL21_7x_0)</f>
        <v>965.35</v>
      </c>
      <c r="M57" s="4"/>
      <c r="N57" s="1">
        <f>SUM(OSRRefN21_7x_0)</f>
        <v>1564</v>
      </c>
      <c r="O57" s="4"/>
      <c r="P57" s="1">
        <f>SUM(OSRRefP21_7x_0)</f>
        <v>1500</v>
      </c>
      <c r="Q57" s="4"/>
      <c r="R57" s="1">
        <f>SUM(OSRRefR21_7x_0)</f>
        <v>1800</v>
      </c>
    </row>
    <row r="58" spans="1:18" s="16" customFormat="1" hidden="1" outlineLevel="2" x14ac:dyDescent="0.35">
      <c r="B58" s="11" t="str">
        <f>CONCATENATE("          ", "6277", " - ", "EMPLOYEE APPRECIATION")</f>
        <v xml:space="preserve">          6277 - EMPLOYEE APPRECIATION</v>
      </c>
      <c r="D58" s="2">
        <v>419.69</v>
      </c>
      <c r="F58" s="2">
        <v>363.13</v>
      </c>
      <c r="G58" s="3"/>
      <c r="H58" s="2">
        <v>1209.32</v>
      </c>
      <c r="I58" s="3"/>
      <c r="J58" s="2">
        <v>1499.88</v>
      </c>
      <c r="K58" s="3"/>
      <c r="L58" s="2">
        <v>965.35</v>
      </c>
      <c r="M58" s="3"/>
      <c r="N58" s="2">
        <v>1564</v>
      </c>
      <c r="O58" s="3"/>
      <c r="P58" s="2">
        <v>1500</v>
      </c>
      <c r="Q58" s="3"/>
      <c r="R58" s="2">
        <v>1800</v>
      </c>
    </row>
    <row r="59" spans="1:18" s="15" customFormat="1" outlineLevel="1" collapsed="1" x14ac:dyDescent="0.35">
      <c r="A59" s="7"/>
      <c r="B59" s="20" t="str">
        <f>CONCATENATE("     ","Equipment Rental                                  ")</f>
        <v xml:space="preserve">     Equipment Rental                                  </v>
      </c>
      <c r="C59" s="7"/>
      <c r="D59" s="1">
        <f>SUM(OSRRefD21_8x_0)</f>
        <v>3840.96</v>
      </c>
      <c r="E59" s="19"/>
      <c r="F59" s="1">
        <f>SUM(OSRRefF21_8x_0)</f>
        <v>3443.17</v>
      </c>
      <c r="G59" s="4"/>
      <c r="H59" s="1">
        <f>SUM(OSRRefH21_8x_0)</f>
        <v>3087.73</v>
      </c>
      <c r="I59" s="4"/>
      <c r="J59" s="1">
        <f>SUM(OSRRefJ21_8x_0)</f>
        <v>2743.23</v>
      </c>
      <c r="K59" s="4"/>
      <c r="L59" s="1">
        <f>SUM(OSRRefL21_8x_0)</f>
        <v>3334.88</v>
      </c>
      <c r="M59" s="4"/>
      <c r="N59" s="1">
        <f>SUM(OSRRefN21_8x_0)</f>
        <v>3081.17</v>
      </c>
      <c r="O59" s="4"/>
      <c r="P59" s="1">
        <f>SUM(OSRRefP21_8x_0)</f>
        <v>3480</v>
      </c>
      <c r="Q59" s="4"/>
      <c r="R59" s="1">
        <f>SUM(OSRRefR21_8x_0)</f>
        <v>3540</v>
      </c>
    </row>
    <row r="60" spans="1:18" s="16" customFormat="1" hidden="1" outlineLevel="2" x14ac:dyDescent="0.35">
      <c r="B60" s="11" t="str">
        <f>CONCATENATE("          ", "6351", " - ", "EQUIPMENT RENTAL")</f>
        <v xml:space="preserve">          6351 - EQUIPMENT RENTAL</v>
      </c>
      <c r="D60" s="2">
        <v>3840.96</v>
      </c>
      <c r="F60" s="2">
        <v>3443.17</v>
      </c>
      <c r="G60" s="3"/>
      <c r="H60" s="2">
        <v>3087.73</v>
      </c>
      <c r="I60" s="3"/>
      <c r="J60" s="2">
        <v>2743.23</v>
      </c>
      <c r="K60" s="3"/>
      <c r="L60" s="2">
        <v>3334.88</v>
      </c>
      <c r="M60" s="3"/>
      <c r="N60" s="2">
        <v>3081.17</v>
      </c>
      <c r="O60" s="3"/>
      <c r="P60" s="2">
        <v>3480</v>
      </c>
      <c r="Q60" s="3"/>
      <c r="R60" s="2">
        <v>3540</v>
      </c>
    </row>
    <row r="61" spans="1:18" s="15" customFormat="1" outlineLevel="1" collapsed="1" x14ac:dyDescent="0.35">
      <c r="A61" s="7"/>
      <c r="B61" s="20" t="str">
        <f>CONCATENATE("     ","Freight out/Postage                               ")</f>
        <v xml:space="preserve">     Freight out/Postage                               </v>
      </c>
      <c r="C61" s="7"/>
      <c r="D61" s="1">
        <f>SUM(OSRRefD21_9x_0)</f>
        <v>0</v>
      </c>
      <c r="E61" s="19"/>
      <c r="F61" s="1">
        <f>SUM(OSRRefF21_9x_0)</f>
        <v>0</v>
      </c>
      <c r="G61" s="4"/>
      <c r="H61" s="1">
        <f>SUM(OSRRefH21_9x_0)</f>
        <v>0</v>
      </c>
      <c r="I61" s="4"/>
      <c r="J61" s="1">
        <f>SUM(OSRRefJ21_9x_0)</f>
        <v>0</v>
      </c>
      <c r="K61" s="4"/>
      <c r="L61" s="1">
        <f>SUM(OSRRefL21_9x_0)</f>
        <v>7.4</v>
      </c>
      <c r="M61" s="4"/>
      <c r="N61" s="1">
        <f>SUM(OSRRefN21_9x_0)</f>
        <v>0</v>
      </c>
      <c r="O61" s="4"/>
      <c r="P61" s="1">
        <f>SUM(OSRRefP21_9x_0)</f>
        <v>0</v>
      </c>
      <c r="Q61" s="4"/>
      <c r="R61" s="1">
        <f>SUM(OSRRefR21_9x_0)</f>
        <v>0</v>
      </c>
    </row>
    <row r="62" spans="1:18" s="16" customFormat="1" hidden="1" outlineLevel="2" x14ac:dyDescent="0.35">
      <c r="B62" s="11" t="str">
        <f>CONCATENATE("          ", "6307", " - ", "POSTAGE")</f>
        <v xml:space="preserve">          6307 - POSTAGE</v>
      </c>
      <c r="D62" s="2"/>
      <c r="F62" s="2"/>
      <c r="G62" s="3"/>
      <c r="H62" s="2"/>
      <c r="I62" s="3"/>
      <c r="J62" s="2"/>
      <c r="K62" s="3"/>
      <c r="L62" s="2">
        <v>7.4</v>
      </c>
      <c r="M62" s="3"/>
      <c r="N62" s="2"/>
      <c r="O62" s="3"/>
      <c r="P62" s="2"/>
      <c r="Q62" s="3"/>
      <c r="R62" s="2"/>
    </row>
    <row r="63" spans="1:18" s="15" customFormat="1" outlineLevel="1" collapsed="1" x14ac:dyDescent="0.35">
      <c r="A63" s="7"/>
      <c r="B63" s="20" t="str">
        <f>CONCATENATE("     ","General                                           ")</f>
        <v xml:space="preserve">     General                                           </v>
      </c>
      <c r="C63" s="7"/>
      <c r="D63" s="1">
        <f>SUM(OSRRefD21_10x_0)</f>
        <v>1652.8</v>
      </c>
      <c r="E63" s="19"/>
      <c r="F63" s="1">
        <f>SUM(OSRRefF21_10x_0)</f>
        <v>3648.63</v>
      </c>
      <c r="G63" s="4"/>
      <c r="H63" s="1">
        <f>SUM(OSRRefH21_10x_0)</f>
        <v>1971.9</v>
      </c>
      <c r="I63" s="4"/>
      <c r="J63" s="1">
        <f>SUM(OSRRefJ21_10x_0)</f>
        <v>2070.9899999999998</v>
      </c>
      <c r="K63" s="4"/>
      <c r="L63" s="1">
        <f>SUM(OSRRefL21_10x_0)</f>
        <v>3225.6</v>
      </c>
      <c r="M63" s="4"/>
      <c r="N63" s="1">
        <f>SUM(OSRRefN21_10x_0)</f>
        <v>3224.62</v>
      </c>
      <c r="O63" s="4"/>
      <c r="P63" s="1">
        <f>SUM(OSRRefP21_10x_0)</f>
        <v>4720</v>
      </c>
      <c r="Q63" s="4"/>
      <c r="R63" s="1">
        <f>SUM(OSRRefR21_10x_0)</f>
        <v>3800</v>
      </c>
    </row>
    <row r="64" spans="1:18" s="16" customFormat="1" hidden="1" outlineLevel="2" x14ac:dyDescent="0.35">
      <c r="B64" s="11" t="str">
        <f>CONCATENATE("          ", "6279", " - ", "GENERAL EXPENSE")</f>
        <v xml:space="preserve">          6279 - GENERAL EXPENSE</v>
      </c>
      <c r="D64" s="2">
        <v>1652.8</v>
      </c>
      <c r="F64" s="2">
        <v>3648.63</v>
      </c>
      <c r="G64" s="3"/>
      <c r="H64" s="2">
        <v>1971.9</v>
      </c>
      <c r="I64" s="3"/>
      <c r="J64" s="2">
        <v>2070.9899999999998</v>
      </c>
      <c r="K64" s="3"/>
      <c r="L64" s="2">
        <v>3225.6</v>
      </c>
      <c r="M64" s="3"/>
      <c r="N64" s="2">
        <v>3224.62</v>
      </c>
      <c r="O64" s="3"/>
      <c r="P64" s="2">
        <v>4720</v>
      </c>
      <c r="Q64" s="3"/>
      <c r="R64" s="2">
        <v>3800</v>
      </c>
    </row>
    <row r="65" spans="1:18" s="15" customFormat="1" outlineLevel="1" collapsed="1" x14ac:dyDescent="0.35">
      <c r="A65" s="7"/>
      <c r="B65" s="20" t="str">
        <f>CONCATENATE("     ","Professional Services                             ")</f>
        <v xml:space="preserve">     Professional Services                             </v>
      </c>
      <c r="C65" s="7"/>
      <c r="D65" s="1">
        <f>SUM(OSRRefD21_11x_0)</f>
        <v>0</v>
      </c>
      <c r="E65" s="19"/>
      <c r="F65" s="1">
        <f>SUM(OSRRefF21_11x_0)</f>
        <v>0</v>
      </c>
      <c r="G65" s="4"/>
      <c r="H65" s="1">
        <f>SUM(OSRRefH21_11x_0)</f>
        <v>750</v>
      </c>
      <c r="I65" s="4"/>
      <c r="J65" s="1">
        <f>SUM(OSRRefJ21_11x_0)</f>
        <v>0</v>
      </c>
      <c r="K65" s="4"/>
      <c r="L65" s="1">
        <f>SUM(OSRRefL21_11x_0)</f>
        <v>0</v>
      </c>
      <c r="M65" s="4"/>
      <c r="N65" s="1">
        <f>SUM(OSRRefN21_11x_0)</f>
        <v>0</v>
      </c>
      <c r="O65" s="4"/>
      <c r="P65" s="1">
        <f>SUM(OSRRefP21_11x_0)</f>
        <v>0</v>
      </c>
      <c r="Q65" s="4"/>
      <c r="R65" s="1">
        <f>SUM(OSRRefR21_11x_0)</f>
        <v>0</v>
      </c>
    </row>
    <row r="66" spans="1:18" s="16" customFormat="1" hidden="1" outlineLevel="2" x14ac:dyDescent="0.35">
      <c r="B66" s="11" t="str">
        <f>CONCATENATE("          ", "6336", " - ", "PROFESSIONAL SERVICES")</f>
        <v xml:space="preserve">          6336 - PROFESSIONAL SERVICES</v>
      </c>
      <c r="D66" s="2"/>
      <c r="F66" s="2"/>
      <c r="G66" s="3"/>
      <c r="H66" s="2">
        <v>750</v>
      </c>
      <c r="I66" s="3"/>
      <c r="J66" s="2"/>
      <c r="K66" s="3"/>
      <c r="L66" s="2"/>
      <c r="M66" s="3"/>
      <c r="N66" s="2"/>
      <c r="O66" s="3"/>
      <c r="P66" s="2"/>
      <c r="Q66" s="3"/>
      <c r="R66" s="2"/>
    </row>
    <row r="67" spans="1:18" s="15" customFormat="1" outlineLevel="1" collapsed="1" x14ac:dyDescent="0.35">
      <c r="A67" s="7"/>
      <c r="B67" s="20" t="str">
        <f>CONCATENATE("     ","R/H Commissions                                   ")</f>
        <v xml:space="preserve">     R/H Commissions                                   </v>
      </c>
      <c r="C67" s="7"/>
      <c r="D67" s="1">
        <f>SUM(OSRRefD21_12x_0)</f>
        <v>287961.89</v>
      </c>
      <c r="E67" s="19"/>
      <c r="F67" s="1">
        <f>SUM(OSRRefF21_12x_0)</f>
        <v>315732.61</v>
      </c>
      <c r="G67" s="4"/>
      <c r="H67" s="1">
        <f>SUM(OSRRefH21_12x_0)</f>
        <v>300765.13</v>
      </c>
      <c r="I67" s="4"/>
      <c r="J67" s="1">
        <f>SUM(OSRRefJ21_12x_0)</f>
        <v>286581.7</v>
      </c>
      <c r="K67" s="4"/>
      <c r="L67" s="1">
        <f>SUM(OSRRefL21_12x_0)</f>
        <v>321417.73</v>
      </c>
      <c r="M67" s="4"/>
      <c r="N67" s="1">
        <f>SUM(OSRRefN21_12x_0)</f>
        <v>259594.55</v>
      </c>
      <c r="O67" s="4"/>
      <c r="P67" s="1">
        <f>SUM(OSRRefP21_12x_0)</f>
        <v>135678</v>
      </c>
      <c r="Q67" s="4"/>
      <c r="R67" s="1">
        <f>SUM(OSRRefR21_12x_0)</f>
        <v>342000</v>
      </c>
    </row>
    <row r="68" spans="1:18" s="16" customFormat="1" hidden="1" outlineLevel="2" x14ac:dyDescent="0.35">
      <c r="B68" s="11" t="str">
        <f>CONCATENATE("          ", "6387", " - ", "COMMISSION DUE HOUSING")</f>
        <v xml:space="preserve">          6387 - COMMISSION DUE HOUSING</v>
      </c>
      <c r="D68" s="2">
        <v>287961.89</v>
      </c>
      <c r="F68" s="2">
        <v>315732.61</v>
      </c>
      <c r="G68" s="3"/>
      <c r="H68" s="2">
        <v>300765.13</v>
      </c>
      <c r="I68" s="3"/>
      <c r="J68" s="2">
        <v>286581.7</v>
      </c>
      <c r="K68" s="3"/>
      <c r="L68" s="2">
        <v>321417.73</v>
      </c>
      <c r="M68" s="3"/>
      <c r="N68" s="2">
        <v>259594.55</v>
      </c>
      <c r="O68" s="3"/>
      <c r="P68" s="2">
        <v>135678</v>
      </c>
      <c r="Q68" s="3"/>
      <c r="R68" s="2">
        <v>342000</v>
      </c>
    </row>
    <row r="69" spans="1:18" s="15" customFormat="1" outlineLevel="1" collapsed="1" x14ac:dyDescent="0.35">
      <c r="A69" s="7"/>
      <c r="B69" s="20" t="str">
        <f>CONCATENATE("     ","Repair and Maintenance                            ")</f>
        <v xml:space="preserve">     Repair and Maintenance                            </v>
      </c>
      <c r="C69" s="7"/>
      <c r="D69" s="1">
        <f>SUM(OSRRefD21_13x_0)</f>
        <v>13912.06</v>
      </c>
      <c r="E69" s="19"/>
      <c r="F69" s="1">
        <f>SUM(OSRRefF21_13x_0)</f>
        <v>7911.01</v>
      </c>
      <c r="G69" s="4"/>
      <c r="H69" s="1">
        <f>SUM(OSRRefH21_13x_0)</f>
        <v>6620.71</v>
      </c>
      <c r="I69" s="4"/>
      <c r="J69" s="1">
        <f>SUM(OSRRefJ21_13x_0)</f>
        <v>9687.2899999999991</v>
      </c>
      <c r="K69" s="4"/>
      <c r="L69" s="1">
        <f>SUM(OSRRefL21_13x_0)</f>
        <v>21605.72</v>
      </c>
      <c r="M69" s="4"/>
      <c r="N69" s="1">
        <f>SUM(OSRRefN21_13x_0)</f>
        <v>9519.0399999999991</v>
      </c>
      <c r="O69" s="4"/>
      <c r="P69" s="1">
        <f>SUM(OSRRefP21_13x_0)</f>
        <v>15039</v>
      </c>
      <c r="Q69" s="4"/>
      <c r="R69" s="1">
        <f>SUM(OSRRefR21_13x_0)</f>
        <v>8400</v>
      </c>
    </row>
    <row r="70" spans="1:18" s="16" customFormat="1" hidden="1" outlineLevel="2" x14ac:dyDescent="0.35">
      <c r="B70" s="11" t="str">
        <f>CONCATENATE("          ", "6371", " - ", "COMPUTER SOFTWARE MAINTENANCE")</f>
        <v xml:space="preserve">          6371 - COMPUTER SOFTWARE MAINTENANCE</v>
      </c>
      <c r="D70" s="2">
        <v>9291</v>
      </c>
      <c r="F70" s="2">
        <v>5470</v>
      </c>
      <c r="G70" s="3"/>
      <c r="H70" s="2">
        <v>5470</v>
      </c>
      <c r="I70" s="3"/>
      <c r="J70" s="2">
        <v>8659.5</v>
      </c>
      <c r="K70" s="3"/>
      <c r="L70" s="2">
        <v>19122.23</v>
      </c>
      <c r="M70" s="3"/>
      <c r="N70" s="2">
        <v>8238.75</v>
      </c>
      <c r="O70" s="3"/>
      <c r="P70" s="2">
        <v>8500</v>
      </c>
      <c r="Q70" s="3"/>
      <c r="R70" s="2"/>
    </row>
    <row r="71" spans="1:18" s="16" customFormat="1" hidden="1" outlineLevel="2" x14ac:dyDescent="0.35">
      <c r="B71" s="11" t="str">
        <f>CONCATENATE("          ", "6372", " - ", "COMPUTER HARDWARE MAINTENANCE")</f>
        <v xml:space="preserve">          6372 - COMPUTER HARDWARE MAINTENANCE</v>
      </c>
      <c r="D71" s="2"/>
      <c r="F71" s="2"/>
      <c r="G71" s="3"/>
      <c r="H71" s="2"/>
      <c r="I71" s="3"/>
      <c r="J71" s="2"/>
      <c r="K71" s="3"/>
      <c r="L71" s="2"/>
      <c r="M71" s="3"/>
      <c r="N71" s="2"/>
      <c r="O71" s="3"/>
      <c r="P71" s="2">
        <v>3083</v>
      </c>
      <c r="Q71" s="3"/>
      <c r="R71" s="2"/>
    </row>
    <row r="72" spans="1:18" s="16" customFormat="1" hidden="1" outlineLevel="2" x14ac:dyDescent="0.35">
      <c r="B72" s="11" t="str">
        <f>CONCATENATE("          ", "6373", " - ", "MAINTENANCE CONTRACTS")</f>
        <v xml:space="preserve">          6373 - MAINTENANCE CONTRACTS</v>
      </c>
      <c r="D72" s="2">
        <v>1819.24</v>
      </c>
      <c r="F72" s="2">
        <v>1947.01</v>
      </c>
      <c r="G72" s="3"/>
      <c r="H72" s="2">
        <v>797.92</v>
      </c>
      <c r="I72" s="3"/>
      <c r="J72" s="2">
        <v>306.98</v>
      </c>
      <c r="K72" s="3"/>
      <c r="L72" s="2">
        <v>380.95</v>
      </c>
      <c r="M72" s="3"/>
      <c r="N72" s="2">
        <v>372.88</v>
      </c>
      <c r="O72" s="3"/>
      <c r="P72" s="2">
        <v>456</v>
      </c>
      <c r="Q72" s="3"/>
      <c r="R72" s="2">
        <v>6000</v>
      </c>
    </row>
    <row r="73" spans="1:18" s="16" customFormat="1" hidden="1" outlineLevel="2" x14ac:dyDescent="0.35">
      <c r="B73" s="11" t="str">
        <f>CONCATENATE("          ", "6375", " - ", "OUTSIDE REPAIRS &amp; MAINTENANCE")</f>
        <v xml:space="preserve">          6375 - OUTSIDE REPAIRS &amp; MAINTENANCE</v>
      </c>
      <c r="D73" s="2">
        <v>2801.82</v>
      </c>
      <c r="F73" s="2">
        <v>494</v>
      </c>
      <c r="G73" s="3"/>
      <c r="H73" s="2">
        <v>352.79</v>
      </c>
      <c r="I73" s="3"/>
      <c r="J73" s="2">
        <v>720.81</v>
      </c>
      <c r="K73" s="3"/>
      <c r="L73" s="2">
        <v>2102.54</v>
      </c>
      <c r="M73" s="3"/>
      <c r="N73" s="2">
        <v>907.41</v>
      </c>
      <c r="O73" s="3"/>
      <c r="P73" s="2">
        <v>3000</v>
      </c>
      <c r="Q73" s="3"/>
      <c r="R73" s="2">
        <v>2400</v>
      </c>
    </row>
    <row r="74" spans="1:18" s="15" customFormat="1" outlineLevel="1" collapsed="1" x14ac:dyDescent="0.35">
      <c r="A74" s="7"/>
      <c r="B74" s="20" t="str">
        <f>CONCATENATE("     ","Services                                          ")</f>
        <v xml:space="preserve">     Services                                          </v>
      </c>
      <c r="C74" s="7"/>
      <c r="D74" s="1">
        <f>SUM(OSRRefD21_14x_0)</f>
        <v>66605.929999999993</v>
      </c>
      <c r="E74" s="19"/>
      <c r="F74" s="1">
        <f>SUM(OSRRefF21_14x_0)</f>
        <v>70516.84</v>
      </c>
      <c r="G74" s="4"/>
      <c r="H74" s="1">
        <f>SUM(OSRRefH21_14x_0)</f>
        <v>80890.37</v>
      </c>
      <c r="I74" s="4"/>
      <c r="J74" s="1">
        <f>SUM(OSRRefJ21_14x_0)</f>
        <v>75931.320000000007</v>
      </c>
      <c r="K74" s="4"/>
      <c r="L74" s="1">
        <f>SUM(OSRRefL21_14x_0)</f>
        <v>66565.13</v>
      </c>
      <c r="M74" s="4"/>
      <c r="N74" s="1">
        <f>SUM(OSRRefN21_14x_0)</f>
        <v>55562.11</v>
      </c>
      <c r="O74" s="4"/>
      <c r="P74" s="1">
        <f>SUM(OSRRefP21_14x_0)</f>
        <v>76452</v>
      </c>
      <c r="Q74" s="4"/>
      <c r="R74" s="1">
        <f>SUM(OSRRefR21_14x_0)</f>
        <v>87428</v>
      </c>
    </row>
    <row r="75" spans="1:18" s="16" customFormat="1" hidden="1" outlineLevel="2" x14ac:dyDescent="0.35">
      <c r="B75" s="11" t="str">
        <f>CONCATENATE("          ", "6282", " - ", "JANITORIAL/EXTERMINATOR EXPENS")</f>
        <v xml:space="preserve">          6282 - JANITORIAL/EXTERMINATOR EXPENS</v>
      </c>
      <c r="D75" s="2">
        <v>5002.67</v>
      </c>
      <c r="F75" s="2">
        <v>4668.21</v>
      </c>
      <c r="G75" s="3"/>
      <c r="H75" s="2">
        <v>4586.3999999999996</v>
      </c>
      <c r="I75" s="3"/>
      <c r="J75" s="2">
        <v>4943.3599999999997</v>
      </c>
      <c r="K75" s="3"/>
      <c r="L75" s="2">
        <v>4648.8599999999997</v>
      </c>
      <c r="M75" s="3"/>
      <c r="N75" s="2">
        <v>5477.42</v>
      </c>
      <c r="O75" s="3"/>
      <c r="P75" s="2">
        <v>5400</v>
      </c>
      <c r="Q75" s="3"/>
      <c r="R75" s="2">
        <v>5400</v>
      </c>
    </row>
    <row r="76" spans="1:18" s="16" customFormat="1" hidden="1" outlineLevel="2" x14ac:dyDescent="0.35">
      <c r="B76" s="11" t="str">
        <f>CONCATENATE("          ", "6284", " - ", "TRASH REMOVAL EXPENSE")</f>
        <v xml:space="preserve">          6284 - TRASH REMOVAL EXPENSE</v>
      </c>
      <c r="D76" s="2"/>
      <c r="F76" s="2"/>
      <c r="G76" s="3"/>
      <c r="H76" s="2">
        <v>5330.46</v>
      </c>
      <c r="I76" s="3"/>
      <c r="J76" s="2">
        <v>2850.23</v>
      </c>
      <c r="K76" s="3"/>
      <c r="L76" s="2"/>
      <c r="M76" s="3"/>
      <c r="N76" s="2"/>
      <c r="O76" s="3"/>
      <c r="P76" s="2"/>
      <c r="Q76" s="3"/>
      <c r="R76" s="2">
        <v>600</v>
      </c>
    </row>
    <row r="77" spans="1:18" s="16" customFormat="1" hidden="1" outlineLevel="2" x14ac:dyDescent="0.35">
      <c r="B77" s="11" t="str">
        <f>CONCATENATE("          ", "6285", " - ", "JANITORIAL SERVICES")</f>
        <v xml:space="preserve">          6285 - JANITORIAL SERVICES</v>
      </c>
      <c r="D77" s="2">
        <v>41381.379999999997</v>
      </c>
      <c r="F77" s="2">
        <v>45574.46</v>
      </c>
      <c r="G77" s="3"/>
      <c r="H77" s="2">
        <v>48676.4</v>
      </c>
      <c r="I77" s="3"/>
      <c r="J77" s="2">
        <v>49016.52</v>
      </c>
      <c r="K77" s="3"/>
      <c r="L77" s="2">
        <v>48677.4</v>
      </c>
      <c r="M77" s="3"/>
      <c r="N77" s="2">
        <v>38570.82</v>
      </c>
      <c r="O77" s="3"/>
      <c r="P77" s="2">
        <v>53052</v>
      </c>
      <c r="Q77" s="3"/>
      <c r="R77" s="2">
        <v>61428</v>
      </c>
    </row>
    <row r="78" spans="1:18" s="16" customFormat="1" hidden="1" outlineLevel="2" x14ac:dyDescent="0.35">
      <c r="B78" s="11" t="str">
        <f>CONCATENATE("          ", "6286", " - ", "LAUNDRY EXPENSE")</f>
        <v xml:space="preserve">          6286 - LAUNDRY EXPENSE</v>
      </c>
      <c r="D78" s="2">
        <v>20221.88</v>
      </c>
      <c r="F78" s="2">
        <v>20274.169999999998</v>
      </c>
      <c r="G78" s="3"/>
      <c r="H78" s="2">
        <v>22297.11</v>
      </c>
      <c r="I78" s="3"/>
      <c r="J78" s="2">
        <v>19121.21</v>
      </c>
      <c r="K78" s="3"/>
      <c r="L78" s="2">
        <v>13238.87</v>
      </c>
      <c r="M78" s="3"/>
      <c r="N78" s="2">
        <v>11513.87</v>
      </c>
      <c r="O78" s="3"/>
      <c r="P78" s="2">
        <v>18000</v>
      </c>
      <c r="Q78" s="3"/>
      <c r="R78" s="2">
        <v>20000</v>
      </c>
    </row>
    <row r="79" spans="1:18" s="15" customFormat="1" outlineLevel="1" collapsed="1" x14ac:dyDescent="0.35">
      <c r="A79" s="7"/>
      <c r="B79" s="20" t="str">
        <f>CONCATENATE("     ","Subscriptions &amp; Dues                              ")</f>
        <v xml:space="preserve">     Subscriptions &amp; Dues                              </v>
      </c>
      <c r="C79" s="7"/>
      <c r="D79" s="1">
        <f>SUM(OSRRefD21_15x_0)</f>
        <v>0</v>
      </c>
      <c r="E79" s="19"/>
      <c r="F79" s="1">
        <f>SUM(OSRRefF21_15x_0)</f>
        <v>1800</v>
      </c>
      <c r="G79" s="4"/>
      <c r="H79" s="1">
        <f>SUM(OSRRefH21_15x_0)</f>
        <v>0</v>
      </c>
      <c r="I79" s="4"/>
      <c r="J79" s="1">
        <f>SUM(OSRRefJ21_15x_0)</f>
        <v>0</v>
      </c>
      <c r="K79" s="4"/>
      <c r="L79" s="1">
        <f>SUM(OSRRefL21_15x_0)</f>
        <v>0</v>
      </c>
      <c r="M79" s="4"/>
      <c r="N79" s="1">
        <f>SUM(OSRRefN21_15x_0)</f>
        <v>0</v>
      </c>
      <c r="O79" s="4"/>
      <c r="P79" s="1">
        <f>SUM(OSRRefP21_15x_0)</f>
        <v>0</v>
      </c>
      <c r="Q79" s="4"/>
      <c r="R79" s="1">
        <f>SUM(OSRRefR21_15x_0)</f>
        <v>795</v>
      </c>
    </row>
    <row r="80" spans="1:18" s="16" customFormat="1" hidden="1" outlineLevel="2" x14ac:dyDescent="0.35">
      <c r="B80" s="11" t="str">
        <f>CONCATENATE("          ", "6258", " - ", "MEMBERSHIP DUES")</f>
        <v xml:space="preserve">          6258 - MEMBERSHIP DUES</v>
      </c>
      <c r="D80" s="2"/>
      <c r="F80" s="2"/>
      <c r="G80" s="3"/>
      <c r="H80" s="2"/>
      <c r="I80" s="3"/>
      <c r="J80" s="2"/>
      <c r="K80" s="3"/>
      <c r="L80" s="2"/>
      <c r="M80" s="3"/>
      <c r="N80" s="2"/>
      <c r="O80" s="3"/>
      <c r="P80" s="2"/>
      <c r="Q80" s="3"/>
      <c r="R80" s="2">
        <v>795</v>
      </c>
    </row>
    <row r="81" spans="1:18" s="16" customFormat="1" hidden="1" outlineLevel="2" x14ac:dyDescent="0.35">
      <c r="B81" s="11" t="str">
        <f>CONCATENATE("          ", "6275", " - ", "SUBSCRIPTIONS")</f>
        <v xml:space="preserve">          6275 - SUBSCRIPTIONS</v>
      </c>
      <c r="D81" s="2"/>
      <c r="F81" s="2">
        <v>1800</v>
      </c>
      <c r="G81" s="3"/>
      <c r="H81" s="2"/>
      <c r="I81" s="3"/>
      <c r="J81" s="2"/>
      <c r="K81" s="3"/>
      <c r="L81" s="2"/>
      <c r="M81" s="3"/>
      <c r="N81" s="2"/>
      <c r="O81" s="3"/>
      <c r="P81" s="2"/>
      <c r="Q81" s="3"/>
      <c r="R81" s="2"/>
    </row>
    <row r="82" spans="1:18" s="15" customFormat="1" outlineLevel="1" collapsed="1" x14ac:dyDescent="0.35">
      <c r="A82" s="7"/>
      <c r="B82" s="20" t="str">
        <f>CONCATENATE("     ","Supplies                                          ")</f>
        <v xml:space="preserve">     Supplies                                          </v>
      </c>
      <c r="C82" s="7"/>
      <c r="D82" s="1">
        <f>SUM(OSRRefD21_16x_0)</f>
        <v>110249.55</v>
      </c>
      <c r="E82" s="19"/>
      <c r="F82" s="1">
        <f>SUM(OSRRefF21_16x_0)</f>
        <v>96848.85</v>
      </c>
      <c r="G82" s="4"/>
      <c r="H82" s="1">
        <f>SUM(OSRRefH21_16x_0)</f>
        <v>90138.9</v>
      </c>
      <c r="I82" s="4"/>
      <c r="J82" s="1">
        <f>SUM(OSRRefJ21_16x_0)</f>
        <v>102143.18</v>
      </c>
      <c r="K82" s="4"/>
      <c r="L82" s="1">
        <f>SUM(OSRRefL21_16x_0)</f>
        <v>96148.7</v>
      </c>
      <c r="M82" s="4"/>
      <c r="N82" s="1">
        <f>SUM(OSRRefN21_16x_0)</f>
        <v>76960</v>
      </c>
      <c r="O82" s="4"/>
      <c r="P82" s="1">
        <f>SUM(OSRRefP21_16x_0)</f>
        <v>83500</v>
      </c>
      <c r="Q82" s="4"/>
      <c r="R82" s="1">
        <f>SUM(OSRRefR21_16x_0)</f>
        <v>156790</v>
      </c>
    </row>
    <row r="83" spans="1:18" s="16" customFormat="1" hidden="1" outlineLevel="2" x14ac:dyDescent="0.35">
      <c r="B83" s="11" t="str">
        <f>CONCATENATE("          ", "6234", " - ", "EXPENDABLE SUPPLIES &amp; EQUIPMEN")</f>
        <v xml:space="preserve">          6234 - EXPENDABLE SUPPLIES &amp; EQUIPMEN</v>
      </c>
      <c r="D83" s="2"/>
      <c r="F83" s="2"/>
      <c r="G83" s="3"/>
      <c r="H83" s="2"/>
      <c r="I83" s="3"/>
      <c r="J83" s="2">
        <v>411.82</v>
      </c>
      <c r="K83" s="3"/>
      <c r="L83" s="2"/>
      <c r="M83" s="3"/>
      <c r="N83" s="2">
        <v>118.34</v>
      </c>
      <c r="O83" s="3"/>
      <c r="P83" s="2"/>
      <c r="Q83" s="3"/>
      <c r="R83" s="2"/>
    </row>
    <row r="84" spans="1:18" s="16" customFormat="1" hidden="1" outlineLevel="2" x14ac:dyDescent="0.35">
      <c r="B84" s="11" t="str">
        <f>CONCATENATE("          ", "6235", " - ", "COVID-19 EXPENSES")</f>
        <v xml:space="preserve">          6235 - COVID-19 EXPENSES</v>
      </c>
      <c r="D84" s="2"/>
      <c r="F84" s="2"/>
      <c r="G84" s="3"/>
      <c r="H84" s="2"/>
      <c r="I84" s="3"/>
      <c r="J84" s="2"/>
      <c r="K84" s="3"/>
      <c r="L84" s="2"/>
      <c r="M84" s="3"/>
      <c r="N84" s="2"/>
      <c r="O84" s="3"/>
      <c r="P84" s="2">
        <v>42000</v>
      </c>
      <c r="Q84" s="3"/>
      <c r="R84" s="2"/>
    </row>
    <row r="85" spans="1:18" s="16" customFormat="1" hidden="1" outlineLevel="2" x14ac:dyDescent="0.35">
      <c r="B85" s="11" t="str">
        <f>CONCATENATE("          ", "6237", " - ", "JANITORIAL SUPPLIES")</f>
        <v xml:space="preserve">          6237 - JANITORIAL SUPPLIES</v>
      </c>
      <c r="D85" s="2">
        <v>25470.89</v>
      </c>
      <c r="F85" s="2">
        <v>37979.56</v>
      </c>
      <c r="G85" s="3"/>
      <c r="H85" s="2">
        <v>33929.15</v>
      </c>
      <c r="I85" s="3"/>
      <c r="J85" s="2">
        <v>43120.69</v>
      </c>
      <c r="K85" s="3"/>
      <c r="L85" s="2">
        <v>43612.59</v>
      </c>
      <c r="M85" s="3"/>
      <c r="N85" s="2">
        <v>34387.160000000003</v>
      </c>
      <c r="O85" s="3"/>
      <c r="P85" s="2">
        <v>30000</v>
      </c>
      <c r="Q85" s="3"/>
      <c r="R85" s="2">
        <v>45000</v>
      </c>
    </row>
    <row r="86" spans="1:18" s="16" customFormat="1" hidden="1" outlineLevel="2" x14ac:dyDescent="0.35">
      <c r="B86" s="11" t="str">
        <f>CONCATENATE("          ", "6239", " - ", "KITCHEN SUPPLIES")</f>
        <v xml:space="preserve">          6239 - KITCHEN SUPPLIES</v>
      </c>
      <c r="D86" s="2">
        <v>3826.37</v>
      </c>
      <c r="F86" s="2">
        <v>9059.5300000000007</v>
      </c>
      <c r="G86" s="3"/>
      <c r="H86" s="2">
        <v>9511.09</v>
      </c>
      <c r="I86" s="3"/>
      <c r="J86" s="2">
        <v>15322.88</v>
      </c>
      <c r="K86" s="3"/>
      <c r="L86" s="2">
        <v>13439.29</v>
      </c>
      <c r="M86" s="3"/>
      <c r="N86" s="2">
        <v>16573.400000000001</v>
      </c>
      <c r="O86" s="3"/>
      <c r="P86" s="2">
        <v>5000</v>
      </c>
      <c r="Q86" s="3"/>
      <c r="R86" s="2">
        <v>21600</v>
      </c>
    </row>
    <row r="87" spans="1:18" s="16" customFormat="1" hidden="1" outlineLevel="2" x14ac:dyDescent="0.35">
      <c r="B87" s="11" t="str">
        <f>CONCATENATE("          ", "6241", " - ", "OFFICE EXPENSE")</f>
        <v xml:space="preserve">          6241 - OFFICE EXPENSE</v>
      </c>
      <c r="D87" s="2">
        <v>2497.52</v>
      </c>
      <c r="F87" s="2">
        <v>3353.51</v>
      </c>
      <c r="G87" s="3"/>
      <c r="H87" s="2">
        <v>4884.67</v>
      </c>
      <c r="I87" s="3"/>
      <c r="J87" s="2">
        <v>7201.06</v>
      </c>
      <c r="K87" s="3"/>
      <c r="L87" s="2">
        <v>4045.04</v>
      </c>
      <c r="M87" s="3"/>
      <c r="N87" s="2">
        <v>3297.69</v>
      </c>
      <c r="O87" s="3"/>
      <c r="P87" s="2">
        <v>1650</v>
      </c>
      <c r="Q87" s="3"/>
      <c r="R87" s="2">
        <v>9840</v>
      </c>
    </row>
    <row r="88" spans="1:18" s="16" customFormat="1" hidden="1" outlineLevel="2" x14ac:dyDescent="0.35">
      <c r="B88" s="11" t="str">
        <f>CONCATENATE("          ", "6243", " - ", "PAPER SUPPLIES")</f>
        <v xml:space="preserve">          6243 - PAPER SUPPLIES</v>
      </c>
      <c r="D88" s="2">
        <v>73222.990000000005</v>
      </c>
      <c r="F88" s="2">
        <v>37658.33</v>
      </c>
      <c r="G88" s="3"/>
      <c r="H88" s="2">
        <v>38180.949999999997</v>
      </c>
      <c r="I88" s="3"/>
      <c r="J88" s="2">
        <v>30999.57</v>
      </c>
      <c r="K88" s="3"/>
      <c r="L88" s="2">
        <v>31756.31</v>
      </c>
      <c r="M88" s="3"/>
      <c r="N88" s="2">
        <v>19420.62</v>
      </c>
      <c r="O88" s="3"/>
      <c r="P88" s="2"/>
      <c r="Q88" s="3"/>
      <c r="R88" s="2">
        <v>75600</v>
      </c>
    </row>
    <row r="89" spans="1:18" s="16" customFormat="1" hidden="1" outlineLevel="2" x14ac:dyDescent="0.35">
      <c r="B89" s="11" t="str">
        <f>CONCATENATE("          ", "6244", " - ", "SAFETY SUPPLY EXPENSE")</f>
        <v xml:space="preserve">          6244 - SAFETY SUPPLY EXPENSE</v>
      </c>
      <c r="D89" s="2"/>
      <c r="F89" s="2"/>
      <c r="G89" s="3"/>
      <c r="H89" s="2"/>
      <c r="I89" s="3"/>
      <c r="J89" s="2"/>
      <c r="K89" s="3"/>
      <c r="L89" s="2"/>
      <c r="M89" s="3"/>
      <c r="N89" s="2"/>
      <c r="O89" s="3"/>
      <c r="P89" s="2">
        <v>320</v>
      </c>
      <c r="Q89" s="3"/>
      <c r="R89" s="2">
        <v>2400</v>
      </c>
    </row>
    <row r="90" spans="1:18" s="16" customFormat="1" hidden="1" outlineLevel="2" x14ac:dyDescent="0.35">
      <c r="B90" s="11" t="str">
        <f>CONCATENATE("          ", "6245", " - ", "PRINTING")</f>
        <v xml:space="preserve">          6245 - PRINTING</v>
      </c>
      <c r="D90" s="2"/>
      <c r="F90" s="2">
        <v>279.97000000000003</v>
      </c>
      <c r="G90" s="3"/>
      <c r="H90" s="2"/>
      <c r="I90" s="3"/>
      <c r="J90" s="2">
        <v>141.41</v>
      </c>
      <c r="K90" s="3"/>
      <c r="L90" s="2">
        <v>20.73</v>
      </c>
      <c r="M90" s="3"/>
      <c r="N90" s="2">
        <v>441</v>
      </c>
      <c r="O90" s="3"/>
      <c r="P90" s="2">
        <v>500</v>
      </c>
      <c r="Q90" s="3"/>
      <c r="R90" s="2"/>
    </row>
    <row r="91" spans="1:18" s="16" customFormat="1" hidden="1" outlineLevel="2" x14ac:dyDescent="0.35">
      <c r="B91" s="11" t="str">
        <f>CONCATENATE("          ", "6247", " - ", "STORE SUPPLIES")</f>
        <v xml:space="preserve">          6247 - STORE SUPPLIES</v>
      </c>
      <c r="D91" s="2">
        <v>396.41</v>
      </c>
      <c r="F91" s="2">
        <v>4180.6000000000004</v>
      </c>
      <c r="G91" s="3"/>
      <c r="H91" s="2">
        <v>15.17</v>
      </c>
      <c r="I91" s="3"/>
      <c r="J91" s="2">
        <v>92.48</v>
      </c>
      <c r="K91" s="3"/>
      <c r="L91" s="2"/>
      <c r="M91" s="3"/>
      <c r="N91" s="2">
        <v>153.87</v>
      </c>
      <c r="O91" s="3"/>
      <c r="P91" s="2">
        <v>180</v>
      </c>
      <c r="Q91" s="3"/>
      <c r="R91" s="2"/>
    </row>
    <row r="92" spans="1:18" s="16" customFormat="1" hidden="1" outlineLevel="2" x14ac:dyDescent="0.35">
      <c r="B92" s="11" t="str">
        <f>CONCATENATE("          ", "6248", " - ", "UNIFORMS")</f>
        <v xml:space="preserve">          6248 - UNIFORMS</v>
      </c>
      <c r="D92" s="2">
        <v>4835.37</v>
      </c>
      <c r="F92" s="2">
        <v>4337.3500000000004</v>
      </c>
      <c r="G92" s="3"/>
      <c r="H92" s="2">
        <v>3617.87</v>
      </c>
      <c r="I92" s="3"/>
      <c r="J92" s="2">
        <v>4853.2700000000004</v>
      </c>
      <c r="K92" s="3"/>
      <c r="L92" s="2">
        <v>3274.74</v>
      </c>
      <c r="M92" s="3"/>
      <c r="N92" s="2">
        <v>2567.92</v>
      </c>
      <c r="O92" s="3"/>
      <c r="P92" s="2">
        <v>3850</v>
      </c>
      <c r="Q92" s="3"/>
      <c r="R92" s="2">
        <v>2350</v>
      </c>
    </row>
    <row r="93" spans="1:18" s="15" customFormat="1" outlineLevel="1" collapsed="1" x14ac:dyDescent="0.35">
      <c r="A93" s="7"/>
      <c r="B93" s="20" t="str">
        <f>CONCATENATE("     ","Telephone/Data Lines                              ")</f>
        <v xml:space="preserve">     Telephone/Data Lines                              </v>
      </c>
      <c r="C93" s="7"/>
      <c r="D93" s="1">
        <f>SUM(OSRRefD21_17x_0)</f>
        <v>3935</v>
      </c>
      <c r="E93" s="19"/>
      <c r="F93" s="1">
        <f>SUM(OSRRefF21_17x_0)</f>
        <v>4036.88</v>
      </c>
      <c r="G93" s="4"/>
      <c r="H93" s="1">
        <f>SUM(OSRRefH21_17x_0)</f>
        <v>2562.38</v>
      </c>
      <c r="I93" s="4"/>
      <c r="J93" s="1">
        <f>SUM(OSRRefJ21_17x_0)</f>
        <v>2962</v>
      </c>
      <c r="K93" s="4"/>
      <c r="L93" s="1">
        <f>SUM(OSRRefL21_17x_0)</f>
        <v>2854.4</v>
      </c>
      <c r="M93" s="4"/>
      <c r="N93" s="1">
        <f>SUM(OSRRefN21_17x_0)</f>
        <v>3444.85</v>
      </c>
      <c r="O93" s="4"/>
      <c r="P93" s="1">
        <f>SUM(OSRRefP21_17x_0)</f>
        <v>3720</v>
      </c>
      <c r="Q93" s="4"/>
      <c r="R93" s="1">
        <f>SUM(OSRRefR21_17x_0)</f>
        <v>2616</v>
      </c>
    </row>
    <row r="94" spans="1:18" s="16" customFormat="1" hidden="1" outlineLevel="2" x14ac:dyDescent="0.35">
      <c r="B94" s="11" t="str">
        <f>CONCATENATE("          ", "6303", " - ", "DATA PHONE LINES")</f>
        <v xml:space="preserve">          6303 - DATA PHONE LINES</v>
      </c>
      <c r="D94" s="2"/>
      <c r="F94" s="2"/>
      <c r="G94" s="3"/>
      <c r="H94" s="2"/>
      <c r="I94" s="3"/>
      <c r="J94" s="2"/>
      <c r="K94" s="3"/>
      <c r="L94" s="2"/>
      <c r="M94" s="3"/>
      <c r="N94" s="2"/>
      <c r="O94" s="3"/>
      <c r="P94" s="2">
        <v>3720</v>
      </c>
      <c r="Q94" s="3"/>
      <c r="R94" s="2"/>
    </row>
    <row r="95" spans="1:18" s="16" customFormat="1" hidden="1" outlineLevel="2" x14ac:dyDescent="0.35">
      <c r="B95" s="11" t="str">
        <f>CONCATENATE("          ", "6309", " - ", "TELEPHONE")</f>
        <v xml:space="preserve">          6309 - TELEPHONE</v>
      </c>
      <c r="D95" s="2">
        <v>3935</v>
      </c>
      <c r="F95" s="2">
        <v>4036.88</v>
      </c>
      <c r="G95" s="3"/>
      <c r="H95" s="2">
        <v>2562.38</v>
      </c>
      <c r="I95" s="3"/>
      <c r="J95" s="2">
        <v>2962</v>
      </c>
      <c r="K95" s="3"/>
      <c r="L95" s="2">
        <v>2854.4</v>
      </c>
      <c r="M95" s="3"/>
      <c r="N95" s="2">
        <v>3444.85</v>
      </c>
      <c r="O95" s="3"/>
      <c r="P95" s="2"/>
      <c r="Q95" s="3"/>
      <c r="R95" s="2">
        <v>2616</v>
      </c>
    </row>
    <row r="96" spans="1:18" s="15" customFormat="1" outlineLevel="1" collapsed="1" x14ac:dyDescent="0.35">
      <c r="A96" s="7"/>
      <c r="B96" s="20" t="str">
        <f>CONCATENATE("     ","Training                                          ")</f>
        <v xml:space="preserve">     Training                                          </v>
      </c>
      <c r="C96" s="7"/>
      <c r="D96" s="1">
        <f>SUM(OSRRefD21_18x_0)</f>
        <v>2987.51</v>
      </c>
      <c r="E96" s="19"/>
      <c r="F96" s="1">
        <f>SUM(OSRRefF21_18x_0)</f>
        <v>1283.23</v>
      </c>
      <c r="G96" s="4"/>
      <c r="H96" s="1">
        <f>SUM(OSRRefH21_18x_0)</f>
        <v>1098</v>
      </c>
      <c r="I96" s="4"/>
      <c r="J96" s="1">
        <f>SUM(OSRRefJ21_18x_0)</f>
        <v>2163.9699999999998</v>
      </c>
      <c r="K96" s="4"/>
      <c r="L96" s="1">
        <f>SUM(OSRRefL21_18x_0)</f>
        <v>3876.54</v>
      </c>
      <c r="M96" s="4"/>
      <c r="N96" s="1">
        <f>SUM(OSRRefN21_18x_0)</f>
        <v>1606.43</v>
      </c>
      <c r="O96" s="4"/>
      <c r="P96" s="1">
        <f>SUM(OSRRefP21_18x_0)</f>
        <v>3850</v>
      </c>
      <c r="Q96" s="4"/>
      <c r="R96" s="1">
        <f>SUM(OSRRefR21_18x_0)</f>
        <v>2000</v>
      </c>
    </row>
    <row r="97" spans="1:18" s="16" customFormat="1" hidden="1" outlineLevel="2" x14ac:dyDescent="0.35">
      <c r="B97" s="11" t="str">
        <f>CONCATENATE("          ", "6376", " - ", "TRAINING")</f>
        <v xml:space="preserve">          6376 - TRAINING</v>
      </c>
      <c r="D97" s="2">
        <v>2987.51</v>
      </c>
      <c r="F97" s="2">
        <v>1283.23</v>
      </c>
      <c r="G97" s="3"/>
      <c r="H97" s="2">
        <v>1098</v>
      </c>
      <c r="I97" s="3"/>
      <c r="J97" s="2">
        <v>2163.9699999999998</v>
      </c>
      <c r="K97" s="3"/>
      <c r="L97" s="2">
        <v>3876.54</v>
      </c>
      <c r="M97" s="3"/>
      <c r="N97" s="2">
        <v>1606.43</v>
      </c>
      <c r="O97" s="3"/>
      <c r="P97" s="2">
        <v>3850</v>
      </c>
      <c r="Q97" s="3"/>
      <c r="R97" s="2">
        <v>2000</v>
      </c>
    </row>
    <row r="98" spans="1:18" s="15" customFormat="1" outlineLevel="1" collapsed="1" x14ac:dyDescent="0.35">
      <c r="A98" s="7"/>
      <c r="B98" s="20" t="str">
        <f>CONCATENATE("     ","Travel                                            ")</f>
        <v xml:space="preserve">     Travel                                            </v>
      </c>
      <c r="C98" s="7"/>
      <c r="D98" s="1">
        <f>SUM(OSRRefD21_19x_0)</f>
        <v>0</v>
      </c>
      <c r="E98" s="19"/>
      <c r="F98" s="1">
        <f>SUM(OSRRefF21_19x_0)</f>
        <v>0</v>
      </c>
      <c r="G98" s="4"/>
      <c r="H98" s="1">
        <f>SUM(OSRRefH21_19x_0)</f>
        <v>180</v>
      </c>
      <c r="I98" s="4"/>
      <c r="J98" s="1">
        <f>SUM(OSRRefJ21_19x_0)</f>
        <v>199</v>
      </c>
      <c r="K98" s="4"/>
      <c r="L98" s="1">
        <f>SUM(OSRRefL21_19x_0)</f>
        <v>0</v>
      </c>
      <c r="M98" s="4"/>
      <c r="N98" s="1">
        <f>SUM(OSRRefN21_19x_0)</f>
        <v>59.14</v>
      </c>
      <c r="O98" s="4"/>
      <c r="P98" s="1">
        <f>SUM(OSRRefP21_19x_0)</f>
        <v>0</v>
      </c>
      <c r="Q98" s="4"/>
      <c r="R98" s="1">
        <f>SUM(OSRRefR21_19x_0)</f>
        <v>0</v>
      </c>
    </row>
    <row r="99" spans="1:18" s="16" customFormat="1" hidden="1" outlineLevel="2" x14ac:dyDescent="0.35">
      <c r="B99" s="11" t="str">
        <f>CONCATENATE("          ", "6292", " - ", "TRAVEL/CONFERENCE")</f>
        <v xml:space="preserve">          6292 - TRAVEL/CONFERENCE</v>
      </c>
      <c r="D99" s="2"/>
      <c r="F99" s="2"/>
      <c r="G99" s="3"/>
      <c r="H99" s="2">
        <v>180</v>
      </c>
      <c r="I99" s="3"/>
      <c r="J99" s="2">
        <v>199</v>
      </c>
      <c r="K99" s="3"/>
      <c r="L99" s="2"/>
      <c r="M99" s="3"/>
      <c r="N99" s="2">
        <v>59.14</v>
      </c>
      <c r="O99" s="3"/>
      <c r="P99" s="2"/>
      <c r="Q99" s="3"/>
      <c r="R99" s="2"/>
    </row>
    <row r="100" spans="1:18" s="15" customFormat="1" outlineLevel="1" collapsed="1" x14ac:dyDescent="0.35">
      <c r="A100" s="7"/>
      <c r="B100" s="20" t="str">
        <f>CONCATENATE("     ","Utilities                                         ")</f>
        <v xml:space="preserve">     Utilities                                         </v>
      </c>
      <c r="C100" s="7"/>
      <c r="D100" s="1">
        <f>SUM(OSRRefD21_20x_0)</f>
        <v>138.94999999999999</v>
      </c>
      <c r="E100" s="19"/>
      <c r="F100" s="1">
        <f>SUM(OSRRefF21_20x_0)</f>
        <v>0</v>
      </c>
      <c r="G100" s="4"/>
      <c r="H100" s="1">
        <f>SUM(OSRRefH21_20x_0)</f>
        <v>0</v>
      </c>
      <c r="I100" s="4"/>
      <c r="J100" s="1">
        <f>SUM(OSRRefJ21_20x_0)</f>
        <v>0</v>
      </c>
      <c r="K100" s="4"/>
      <c r="L100" s="1">
        <f>SUM(OSRRefL21_20x_0)</f>
        <v>0</v>
      </c>
      <c r="M100" s="4"/>
      <c r="N100" s="1">
        <f>SUM(OSRRefN21_20x_0)</f>
        <v>0</v>
      </c>
      <c r="O100" s="4"/>
      <c r="P100" s="1">
        <f>SUM(OSRRefP21_20x_0)</f>
        <v>0</v>
      </c>
      <c r="Q100" s="4"/>
      <c r="R100" s="1">
        <f>SUM(OSRRefR21_20x_0)</f>
        <v>0</v>
      </c>
    </row>
    <row r="101" spans="1:18" s="16" customFormat="1" hidden="1" outlineLevel="2" x14ac:dyDescent="0.35">
      <c r="B101" s="11" t="str">
        <f>CONCATENATE("          ", "6274", " - ", "UTILITIES")</f>
        <v xml:space="preserve">          6274 - UTILITIES</v>
      </c>
      <c r="D101" s="2">
        <v>138.94999999999999</v>
      </c>
      <c r="F101" s="2"/>
      <c r="G101" s="3"/>
      <c r="H101" s="2"/>
      <c r="I101" s="3"/>
      <c r="J101" s="2"/>
      <c r="K101" s="3"/>
      <c r="L101" s="2"/>
      <c r="M101" s="3"/>
      <c r="N101" s="2"/>
      <c r="O101" s="3"/>
      <c r="P101" s="2"/>
      <c r="Q101" s="3"/>
      <c r="R101" s="2"/>
    </row>
    <row r="102" spans="1:18" x14ac:dyDescent="0.35">
      <c r="A102" s="12"/>
      <c r="B102" s="12"/>
      <c r="C102" s="12"/>
      <c r="D102" s="1"/>
      <c r="F102" s="1"/>
      <c r="H102" s="1"/>
      <c r="J102" s="1"/>
      <c r="L102" s="1"/>
      <c r="N102" s="1"/>
      <c r="P102" s="1"/>
      <c r="R102" s="1"/>
    </row>
    <row r="103" spans="1:18" s="7" customFormat="1" x14ac:dyDescent="0.35">
      <c r="A103" s="36"/>
      <c r="B103" s="34" t="s">
        <v>295</v>
      </c>
      <c r="D103" s="6">
        <f>SUM(0)</f>
        <v>0</v>
      </c>
      <c r="E103" s="12"/>
      <c r="F103" s="6">
        <f>SUM(0)</f>
        <v>0</v>
      </c>
      <c r="G103" s="5"/>
      <c r="H103" s="6">
        <f>SUM(0)</f>
        <v>0</v>
      </c>
      <c r="I103" s="5"/>
      <c r="J103" s="6">
        <f>SUM(0)</f>
        <v>0</v>
      </c>
      <c r="K103" s="5"/>
      <c r="L103" s="6">
        <f>SUM(0)</f>
        <v>0</v>
      </c>
      <c r="M103" s="5"/>
      <c r="N103" s="6">
        <f>SUM(0)</f>
        <v>0</v>
      </c>
      <c r="O103" s="5"/>
      <c r="P103" s="6">
        <f>SUM(0)</f>
        <v>0</v>
      </c>
      <c r="Q103" s="5"/>
      <c r="R103" s="6">
        <f>SUM(0)</f>
        <v>0</v>
      </c>
    </row>
    <row r="104" spans="1:18" x14ac:dyDescent="0.35">
      <c r="A104" s="12"/>
      <c r="B104" s="7"/>
      <c r="C104" s="7"/>
      <c r="D104" s="6"/>
      <c r="F104" s="6"/>
      <c r="H104" s="6"/>
      <c r="J104" s="6"/>
      <c r="L104" s="6"/>
      <c r="N104" s="6"/>
      <c r="P104" s="6"/>
      <c r="R104" s="6"/>
    </row>
    <row r="105" spans="1:18" s="15" customFormat="1" x14ac:dyDescent="0.35">
      <c r="A105" s="7"/>
      <c r="B105" s="22" t="s">
        <v>279</v>
      </c>
      <c r="C105" s="22"/>
      <c r="D105" s="10">
        <f>+D21-D24+D103</f>
        <v>783041.08000000077</v>
      </c>
      <c r="E105" s="12"/>
      <c r="F105" s="10">
        <f>+F21-F24+F103</f>
        <v>1334666.71</v>
      </c>
      <c r="G105" s="5"/>
      <c r="H105" s="10">
        <f>+H21-H24+H103</f>
        <v>989458.2</v>
      </c>
      <c r="I105" s="5"/>
      <c r="J105" s="10">
        <f>+J21-J24+J103</f>
        <v>816132.44000000041</v>
      </c>
      <c r="K105" s="5"/>
      <c r="L105" s="10">
        <f>+L21-L24+L103</f>
        <v>1047174.5700000001</v>
      </c>
      <c r="M105" s="5"/>
      <c r="N105" s="10">
        <f>+N21-N24+N103</f>
        <v>710581.0700000003</v>
      </c>
      <c r="O105" s="5"/>
      <c r="P105" s="10">
        <f>+P21-P24+P103</f>
        <v>-259203.8934017499</v>
      </c>
      <c r="Q105" s="5"/>
      <c r="R105" s="10">
        <f>+R21-R24+R103</f>
        <v>716853.52001413982</v>
      </c>
    </row>
    <row r="106" spans="1:18" s="27" customFormat="1" x14ac:dyDescent="0.35">
      <c r="A106" s="18"/>
      <c r="B106" s="31"/>
      <c r="C106" s="18"/>
      <c r="D106" s="9">
        <f>IFERROR(D105/D10, 0)</f>
        <v>0.21640581125410444</v>
      </c>
      <c r="E106" s="18"/>
      <c r="F106" s="9">
        <f>IFERROR(F105/F10, 0)</f>
        <v>0.33256330975918852</v>
      </c>
      <c r="G106" s="14"/>
      <c r="H106" s="9">
        <f>IFERROR(H105/H10, 0)</f>
        <v>0.26005664238782694</v>
      </c>
      <c r="I106" s="14"/>
      <c r="J106" s="9">
        <f>IFERROR(J105/J10, 0)</f>
        <v>0.22331429941680411</v>
      </c>
      <c r="K106" s="14"/>
      <c r="L106" s="9">
        <f>IFERROR(L105/L10, 0)</f>
        <v>0.2547817394699729</v>
      </c>
      <c r="M106" s="14"/>
      <c r="N106" s="9">
        <f>IFERROR(N105/N10, 0)</f>
        <v>0.21443375779171076</v>
      </c>
      <c r="O106" s="14"/>
      <c r="P106" s="9">
        <f>IFERROR(P105/P10, 0)</f>
        <v>-0.15544284257135896</v>
      </c>
      <c r="Q106" s="14"/>
      <c r="R106" s="9">
        <f>IFERROR(R105/R10, 0)</f>
        <v>0.16456692378653348</v>
      </c>
    </row>
    <row r="107" spans="1:18" s="27" customFormat="1" x14ac:dyDescent="0.35">
      <c r="A107" s="18"/>
      <c r="B107" s="31"/>
      <c r="C107" s="18"/>
      <c r="D107" s="13"/>
      <c r="E107" s="18"/>
      <c r="F107" s="13"/>
      <c r="G107" s="14"/>
      <c r="H107" s="13"/>
      <c r="I107" s="14"/>
      <c r="J107" s="13"/>
      <c r="K107" s="14"/>
      <c r="L107" s="13"/>
      <c r="M107" s="14"/>
      <c r="N107" s="13"/>
      <c r="O107" s="14"/>
      <c r="P107" s="13"/>
      <c r="Q107" s="14"/>
      <c r="R107" s="13"/>
    </row>
    <row r="108" spans="1:18" s="15" customFormat="1" x14ac:dyDescent="0.35">
      <c r="A108" s="37"/>
      <c r="B108" s="7" t="s">
        <v>127</v>
      </c>
      <c r="C108" s="7"/>
      <c r="D108" s="6">
        <v>786352.06</v>
      </c>
      <c r="E108" s="12"/>
      <c r="F108" s="6">
        <v>571316.92000000004</v>
      </c>
      <c r="G108" s="5"/>
      <c r="H108" s="6">
        <v>508720.93</v>
      </c>
      <c r="I108" s="5"/>
      <c r="J108" s="6">
        <v>490501.4</v>
      </c>
      <c r="K108" s="5"/>
      <c r="L108" s="6">
        <v>292954.90000000002</v>
      </c>
      <c r="M108" s="5"/>
      <c r="N108" s="6">
        <v>501777.57</v>
      </c>
      <c r="O108" s="5"/>
      <c r="P108" s="6">
        <v>281774</v>
      </c>
      <c r="Q108" s="5"/>
      <c r="R108" s="6">
        <v>493944</v>
      </c>
    </row>
    <row r="109" spans="1:18" x14ac:dyDescent="0.35">
      <c r="A109" s="12"/>
      <c r="B109" s="7"/>
      <c r="C109" s="7"/>
      <c r="D109" s="6"/>
      <c r="F109" s="6"/>
      <c r="H109" s="6"/>
      <c r="J109" s="6"/>
      <c r="L109" s="6"/>
      <c r="N109" s="6"/>
      <c r="P109" s="6"/>
      <c r="R109" s="6"/>
    </row>
    <row r="110" spans="1:18" s="15" customFormat="1" x14ac:dyDescent="0.35">
      <c r="A110" s="7"/>
      <c r="B110" s="22" t="s">
        <v>126</v>
      </c>
      <c r="C110" s="22"/>
      <c r="D110" s="10">
        <f>+D105-D108</f>
        <v>-3310.9799999992829</v>
      </c>
      <c r="E110" s="12"/>
      <c r="F110" s="10">
        <f>+F105-F108</f>
        <v>763349.78999999992</v>
      </c>
      <c r="G110" s="5"/>
      <c r="H110" s="10">
        <f>+H105-H108</f>
        <v>480737.26999999996</v>
      </c>
      <c r="I110" s="5"/>
      <c r="J110" s="10">
        <f>+J105-J108</f>
        <v>325631.04000000039</v>
      </c>
      <c r="K110" s="5"/>
      <c r="L110" s="10">
        <f>+L105-L108</f>
        <v>754219.67</v>
      </c>
      <c r="M110" s="5"/>
      <c r="N110" s="10">
        <f>+N105-N108</f>
        <v>208803.50000000029</v>
      </c>
      <c r="O110" s="5"/>
      <c r="P110" s="10">
        <f>+P105-P108</f>
        <v>-540977.8934017499</v>
      </c>
      <c r="Q110" s="5"/>
      <c r="R110" s="10">
        <f>+R105-R108</f>
        <v>222909.52001413982</v>
      </c>
    </row>
    <row r="111" spans="1:18" s="27" customFormat="1" x14ac:dyDescent="0.35">
      <c r="A111" s="18"/>
      <c r="B111" s="18"/>
      <c r="C111" s="18"/>
      <c r="D111" s="9">
        <f>IFERROR(D110/D10, 0)</f>
        <v>-9.1504179186353645E-4</v>
      </c>
      <c r="E111" s="18"/>
      <c r="F111" s="9">
        <f>IFERROR(F110/F10, 0)</f>
        <v>0.19020638693114741</v>
      </c>
      <c r="G111" s="14"/>
      <c r="H111" s="9">
        <f>IFERROR(H110/H10, 0)</f>
        <v>0.12635088607774458</v>
      </c>
      <c r="I111" s="14"/>
      <c r="J111" s="9">
        <f>IFERROR(J110/J10, 0)</f>
        <v>8.910081746776953E-2</v>
      </c>
      <c r="K111" s="14"/>
      <c r="L111" s="9">
        <f>IFERROR(L110/L10, 0)</f>
        <v>0.18350464666561653</v>
      </c>
      <c r="M111" s="14"/>
      <c r="N111" s="9">
        <f>IFERROR(N110/N10, 0)</f>
        <v>6.3011134176514882E-2</v>
      </c>
      <c r="O111" s="14"/>
      <c r="P111" s="9">
        <f>IFERROR(P110/P10, 0)</f>
        <v>-0.32442082723000454</v>
      </c>
      <c r="Q111" s="14"/>
      <c r="R111" s="9">
        <f>IFERROR(R110/R10, 0)</f>
        <v>5.117298439259408E-2</v>
      </c>
    </row>
    <row r="112" spans="1:18" s="27" customFormat="1" x14ac:dyDescent="0.35">
      <c r="A112" s="18"/>
      <c r="B112" s="18"/>
      <c r="C112" s="18"/>
      <c r="D112" s="13"/>
      <c r="E112" s="18"/>
      <c r="F112" s="13"/>
      <c r="G112" s="14"/>
      <c r="H112" s="13"/>
      <c r="I112" s="14"/>
      <c r="J112" s="13"/>
      <c r="K112" s="14"/>
      <c r="L112" s="13"/>
      <c r="M112" s="14"/>
      <c r="N112" s="13"/>
      <c r="O112" s="14"/>
      <c r="P112" s="13"/>
      <c r="Q112" s="14"/>
      <c r="R112" s="13"/>
    </row>
    <row r="113" spans="1:18" x14ac:dyDescent="0.35">
      <c r="A113" s="12"/>
      <c r="B113" s="12"/>
      <c r="C113" s="12"/>
      <c r="D113" s="6"/>
      <c r="F113" s="6"/>
      <c r="H113" s="6"/>
      <c r="J113" s="6"/>
      <c r="L113" s="6"/>
      <c r="N113" s="6"/>
      <c r="P113" s="6"/>
      <c r="R113" s="6"/>
    </row>
    <row r="114" spans="1:18" s="15" customFormat="1" x14ac:dyDescent="0.35">
      <c r="A114" s="7"/>
      <c r="B114" s="22" t="s">
        <v>296</v>
      </c>
      <c r="C114" s="22"/>
      <c r="D114" s="10">
        <f>SUM(D110:D113)</f>
        <v>-3310.9809150410747</v>
      </c>
      <c r="E114" s="12"/>
      <c r="F114" s="10">
        <f>SUM(F110:F113)</f>
        <v>763349.98020638688</v>
      </c>
      <c r="G114" s="5"/>
      <c r="H114" s="10">
        <f>SUM(H110:H113)</f>
        <v>480737.39635088603</v>
      </c>
      <c r="I114" s="5"/>
      <c r="J114" s="10">
        <f>SUM(J110:J113)</f>
        <v>325631.12910081784</v>
      </c>
      <c r="K114" s="5"/>
      <c r="L114" s="10">
        <f>SUM(L110:L113)</f>
        <v>754219.85350464669</v>
      </c>
      <c r="M114" s="5"/>
      <c r="N114" s="10">
        <f>SUM(N110:N113)</f>
        <v>208803.56301113448</v>
      </c>
      <c r="O114" s="5"/>
      <c r="P114" s="10">
        <f>SUM(P110:P113)</f>
        <v>-540978.21782257711</v>
      </c>
      <c r="Q114" s="5"/>
      <c r="R114" s="10">
        <f>SUM(R110:R113)</f>
        <v>222909.57118712421</v>
      </c>
    </row>
    <row r="115" spans="1:18" s="27" customFormat="1" x14ac:dyDescent="0.35">
      <c r="A115" s="18"/>
      <c r="B115" s="41"/>
      <c r="C115" s="18"/>
      <c r="D115" s="9">
        <f>IFERROR(D114/D10, 0)</f>
        <v>-9.1504204474983624E-4</v>
      </c>
      <c r="E115" s="18"/>
      <c r="F115" s="9">
        <f>IFERROR(F114/F10, 0)</f>
        <v>0.19020643432550069</v>
      </c>
      <c r="G115" s="14"/>
      <c r="H115" s="9">
        <f>IFERROR(H114/H10, 0)</f>
        <v>0.12635091928620876</v>
      </c>
      <c r="I115" s="14"/>
      <c r="J115" s="9">
        <f>IFERROR(J114/J10, 0)</f>
        <v>8.9100841847987305E-2</v>
      </c>
      <c r="K115" s="14"/>
      <c r="L115" s="9">
        <f>IFERROR(L114/L10, 0)</f>
        <v>0.18350469131302721</v>
      </c>
      <c r="M115" s="14"/>
      <c r="N115" s="9">
        <f>IFERROR(N114/N10, 0)</f>
        <v>6.3011153191536343E-2</v>
      </c>
      <c r="O115" s="14"/>
      <c r="P115" s="9">
        <f>IFERROR(P114/P10, 0)</f>
        <v>-0.32442102178300641</v>
      </c>
      <c r="Q115" s="14"/>
      <c r="R115" s="9">
        <f>IFERROR(R114/R10, 0)</f>
        <v>5.1172996140294816E-2</v>
      </c>
    </row>
    <row r="116" spans="1:18" x14ac:dyDescent="0.35">
      <c r="A116" s="12"/>
      <c r="B116" s="40">
        <v>44319.883572604165</v>
      </c>
      <c r="D116" s="24"/>
      <c r="F116" s="24"/>
      <c r="H116" s="24"/>
      <c r="J116" s="24"/>
      <c r="L116" s="24"/>
      <c r="N116" s="24"/>
      <c r="P116" s="24"/>
      <c r="R116" s="24"/>
    </row>
    <row r="117" spans="1:18" x14ac:dyDescent="0.35">
      <c r="A117" s="12"/>
      <c r="B117" s="39" t="s">
        <v>23</v>
      </c>
      <c r="D117" s="24"/>
      <c r="F117" s="24"/>
      <c r="H117" s="24"/>
      <c r="J117" s="24"/>
      <c r="L117" s="24"/>
      <c r="N117" s="24"/>
      <c r="P117" s="24"/>
      <c r="R117" s="24"/>
    </row>
    <row r="118" spans="1:18" x14ac:dyDescent="0.35">
      <c r="A118" s="12"/>
      <c r="D118" s="24"/>
      <c r="F118" s="24"/>
      <c r="H118" s="24"/>
      <c r="J118" s="24"/>
      <c r="L118" s="24"/>
      <c r="N118" s="24"/>
      <c r="P118" s="24"/>
      <c r="R118" s="24"/>
    </row>
    <row r="119" spans="1:18" x14ac:dyDescent="0.35">
      <c r="D119" s="24"/>
      <c r="F119" s="24"/>
      <c r="H119" s="24"/>
      <c r="J119" s="24"/>
      <c r="L119" s="24"/>
      <c r="N119" s="24"/>
      <c r="P119" s="24"/>
      <c r="R119" s="24"/>
    </row>
  </sheetData>
  <pageMargins left="0.5" right="0.5" top="0.5" bottom="0.5" header="0.3" footer="0.3"/>
  <pageSetup scale="59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R76"/>
  <sheetViews>
    <sheetView zoomScale="8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ColWidth="9.1796875" defaultRowHeight="14.5" outlineLevelRow="2" x14ac:dyDescent="0.35"/>
  <cols>
    <col min="1" max="1" width="1.1796875" style="28" customWidth="1"/>
    <col min="2" max="2" width="32.81640625" style="28" bestFit="1" customWidth="1"/>
    <col min="3" max="3" width="0.7265625" style="28" customWidth="1"/>
    <col min="4" max="4" width="18.54296875" style="28" customWidth="1"/>
    <col min="5" max="5" width="1" style="12" customWidth="1"/>
    <col min="6" max="6" width="18.54296875" style="28" customWidth="1"/>
    <col min="7" max="7" width="1.1796875" style="5" customWidth="1"/>
    <col min="8" max="8" width="18.54296875" style="28" customWidth="1"/>
    <col min="9" max="9" width="1.1796875" style="5" customWidth="1"/>
    <col min="10" max="10" width="18.54296875" style="28" customWidth="1"/>
    <col min="11" max="11" width="1.1796875" style="5" customWidth="1"/>
    <col min="12" max="12" width="18.54296875" style="28" customWidth="1"/>
    <col min="13" max="13" width="1.1796875" style="5" customWidth="1"/>
    <col min="14" max="14" width="18.54296875" style="28" customWidth="1"/>
    <col min="15" max="15" width="1.1796875" style="5" customWidth="1"/>
    <col min="16" max="16" width="18.54296875" style="28" customWidth="1"/>
    <col min="17" max="17" width="1.1796875" style="5" customWidth="1"/>
    <col min="18" max="18" width="18.54296875" style="28" customWidth="1"/>
    <col min="19" max="16384" width="9.1796875" style="28"/>
  </cols>
  <sheetData>
    <row r="2" spans="1:18" x14ac:dyDescent="0.35">
      <c r="D2" s="32" t="s">
        <v>39</v>
      </c>
      <c r="F2" s="17"/>
      <c r="H2" s="17"/>
      <c r="J2" s="17"/>
      <c r="L2" s="17"/>
      <c r="N2" s="17"/>
      <c r="P2" s="17"/>
      <c r="R2" s="17"/>
    </row>
    <row r="3" spans="1:18" x14ac:dyDescent="0.35">
      <c r="D3" s="32" t="s">
        <v>160</v>
      </c>
      <c r="F3" s="17"/>
      <c r="H3" s="17"/>
      <c r="J3" s="17"/>
      <c r="L3" s="17"/>
      <c r="N3" s="17"/>
      <c r="P3" s="17"/>
      <c r="R3" s="17"/>
    </row>
    <row r="4" spans="1:18" x14ac:dyDescent="0.35">
      <c r="D4" s="43" t="str">
        <f>CONCATENATE("Department ","445", " - ", "Central Park Coffee House")</f>
        <v>Department 445 - Central Park Coffee House</v>
      </c>
    </row>
    <row r="5" spans="1:18" x14ac:dyDescent="0.35">
      <c r="A5" s="15"/>
      <c r="D5" s="32"/>
      <c r="F5" s="17"/>
      <c r="H5" s="17"/>
      <c r="J5" s="17"/>
      <c r="L5" s="17"/>
      <c r="N5" s="17"/>
      <c r="P5" s="17"/>
      <c r="R5" s="17"/>
    </row>
    <row r="6" spans="1:18" x14ac:dyDescent="0.35">
      <c r="A6" s="15"/>
      <c r="B6" s="33"/>
      <c r="C6" s="33"/>
      <c r="D6" s="21"/>
      <c r="F6" s="21"/>
      <c r="H6" s="21"/>
      <c r="J6" s="21"/>
      <c r="L6" s="21"/>
      <c r="N6" s="21"/>
      <c r="P6" s="21"/>
      <c r="R6" s="21"/>
    </row>
    <row r="7" spans="1:18" ht="15.5" x14ac:dyDescent="0.35">
      <c r="B7" s="12"/>
      <c r="C7" s="12"/>
      <c r="D7" s="23" t="s">
        <v>78</v>
      </c>
      <c r="F7" s="23" t="s">
        <v>78</v>
      </c>
      <c r="H7" s="23" t="s">
        <v>78</v>
      </c>
      <c r="J7" s="23" t="s">
        <v>78</v>
      </c>
      <c r="L7" s="23" t="s">
        <v>78</v>
      </c>
      <c r="N7" s="23" t="s">
        <v>78</v>
      </c>
      <c r="P7" s="23" t="s">
        <v>277</v>
      </c>
      <c r="R7" s="23" t="s">
        <v>277</v>
      </c>
    </row>
    <row r="8" spans="1:18" ht="15.5" x14ac:dyDescent="0.35">
      <c r="A8" s="7"/>
      <c r="B8" s="38"/>
      <c r="C8" s="7"/>
      <c r="D8" s="25" t="s">
        <v>124</v>
      </c>
      <c r="F8" s="25" t="s">
        <v>185</v>
      </c>
      <c r="H8" s="25" t="s">
        <v>240</v>
      </c>
      <c r="J8" s="25" t="s">
        <v>294</v>
      </c>
      <c r="L8" s="25" t="s">
        <v>40</v>
      </c>
      <c r="N8" s="25" t="s">
        <v>161</v>
      </c>
      <c r="P8" s="25" t="s">
        <v>106</v>
      </c>
      <c r="R8" s="25" t="s">
        <v>162</v>
      </c>
    </row>
    <row r="9" spans="1:18" ht="15.5" x14ac:dyDescent="0.35">
      <c r="A9" s="12"/>
      <c r="B9" s="42"/>
      <c r="C9" s="12"/>
      <c r="D9" s="12"/>
      <c r="F9" s="12"/>
      <c r="H9" s="12"/>
      <c r="J9" s="12"/>
      <c r="L9" s="12"/>
      <c r="N9" s="12"/>
      <c r="P9" s="12"/>
      <c r="R9" s="12"/>
    </row>
    <row r="10" spans="1:18" collapsed="1" x14ac:dyDescent="0.35">
      <c r="A10" s="12"/>
      <c r="B10" s="7" t="s">
        <v>159</v>
      </c>
      <c r="C10" s="12"/>
      <c r="D10" s="8">
        <f>SUM(OSRRefD11x_0)</f>
        <v>8011.4699999999993</v>
      </c>
      <c r="F10" s="8">
        <f>SUM(OSRRefF11x_0)</f>
        <v>13314.42</v>
      </c>
      <c r="G10" s="8"/>
      <c r="H10" s="8">
        <f>SUM(OSRRefH11x_0)</f>
        <v>31959.690000000002</v>
      </c>
      <c r="I10" s="8"/>
      <c r="J10" s="8">
        <f>SUM(OSRRefJ11x_0)</f>
        <v>17351.59</v>
      </c>
      <c r="K10" s="8"/>
      <c r="L10" s="8">
        <f>SUM(OSRRefL11x_0)</f>
        <v>0</v>
      </c>
      <c r="M10" s="8"/>
      <c r="N10" s="8">
        <f>SUM(OSRRefN11x_0)</f>
        <v>0</v>
      </c>
      <c r="O10" s="8"/>
      <c r="P10" s="8">
        <f>SUM(OSRRefP11x_0)</f>
        <v>0</v>
      </c>
      <c r="Q10" s="8"/>
      <c r="R10" s="8">
        <f>SUM(OSRRefR11x_0)</f>
        <v>0</v>
      </c>
    </row>
    <row r="11" spans="1:18" s="16" customFormat="1" hidden="1" outlineLevel="1" x14ac:dyDescent="0.35">
      <c r="B11" s="35" t="str">
        <f>CONCATENATE("          ", "4055", " - ", "TAXABLE SALES-FOOD")</f>
        <v xml:space="preserve">          4055 - TAXABLE SALES-FOOD</v>
      </c>
      <c r="D11" s="11">
        <f>-4547.45*-1</f>
        <v>4547.45</v>
      </c>
      <c r="F11" s="11">
        <f>-2215.33*-1</f>
        <v>2215.33</v>
      </c>
      <c r="G11" s="3"/>
      <c r="H11" s="11">
        <f>-5338.94*-1</f>
        <v>5338.94</v>
      </c>
      <c r="I11" s="3"/>
      <c r="J11" s="11">
        <f>--3884.92</f>
        <v>3884.92</v>
      </c>
      <c r="K11" s="3"/>
      <c r="L11" s="11">
        <f t="shared" ref="L11:L13" si="0">0</f>
        <v>0</v>
      </c>
      <c r="M11" s="3"/>
      <c r="N11" s="11">
        <f t="shared" ref="N11:N13" si="1">0</f>
        <v>0</v>
      </c>
      <c r="O11" s="3"/>
      <c r="P11" s="11"/>
      <c r="Q11" s="3"/>
      <c r="R11" s="11"/>
    </row>
    <row r="12" spans="1:18" s="16" customFormat="1" hidden="1" outlineLevel="1" x14ac:dyDescent="0.35">
      <c r="B12" s="35" t="str">
        <f>CONCATENATE("          ", "4153", " - ", "NON-TAXABLE SALES-FOOD")</f>
        <v xml:space="preserve">          4153 - NON-TAXABLE SALES-FOOD</v>
      </c>
      <c r="D12" s="11">
        <f>0*-1</f>
        <v>0</v>
      </c>
      <c r="F12" s="11">
        <f>0*-1</f>
        <v>0</v>
      </c>
      <c r="G12" s="3"/>
      <c r="H12" s="11">
        <f>-6.42*-1</f>
        <v>6.42</v>
      </c>
      <c r="I12" s="3"/>
      <c r="J12" s="11">
        <f>0</f>
        <v>0</v>
      </c>
      <c r="K12" s="3"/>
      <c r="L12" s="11">
        <f t="shared" si="0"/>
        <v>0</v>
      </c>
      <c r="M12" s="3"/>
      <c r="N12" s="11">
        <f t="shared" si="1"/>
        <v>0</v>
      </c>
      <c r="O12" s="3"/>
      <c r="P12" s="11"/>
      <c r="Q12" s="3"/>
      <c r="R12" s="11"/>
    </row>
    <row r="13" spans="1:18" s="16" customFormat="1" hidden="1" outlineLevel="1" x14ac:dyDescent="0.35">
      <c r="B13" s="35" t="str">
        <f>CONCATENATE("          ", "4155", " - ", "NON-TAXABLE SALES-FOOD")</f>
        <v xml:space="preserve">          4155 - NON-TAXABLE SALES-FOOD</v>
      </c>
      <c r="D13" s="11">
        <f>-3464.02*-1</f>
        <v>3464.02</v>
      </c>
      <c r="F13" s="11">
        <f>-11099.09*-1</f>
        <v>11099.09</v>
      </c>
      <c r="G13" s="3"/>
      <c r="H13" s="11">
        <f>-26614.33*-1</f>
        <v>26614.33</v>
      </c>
      <c r="I13" s="3"/>
      <c r="J13" s="11">
        <f>--13466.67</f>
        <v>13466.67</v>
      </c>
      <c r="K13" s="3"/>
      <c r="L13" s="11">
        <f t="shared" si="0"/>
        <v>0</v>
      </c>
      <c r="M13" s="3"/>
      <c r="N13" s="11">
        <f t="shared" si="1"/>
        <v>0</v>
      </c>
      <c r="O13" s="3"/>
      <c r="P13" s="11"/>
      <c r="Q13" s="3"/>
      <c r="R13" s="11"/>
    </row>
    <row r="14" spans="1:18" s="12" customFormat="1" x14ac:dyDescent="0.35">
      <c r="B14" s="7"/>
      <c r="D14" s="6"/>
      <c r="F14" s="6"/>
      <c r="G14" s="5"/>
      <c r="H14" s="6"/>
      <c r="I14" s="5"/>
      <c r="J14" s="6"/>
      <c r="K14" s="5"/>
      <c r="L14" s="6"/>
      <c r="M14" s="5"/>
      <c r="N14" s="6"/>
      <c r="O14" s="5"/>
      <c r="P14" s="6"/>
      <c r="Q14" s="5"/>
      <c r="R14" s="6"/>
    </row>
    <row r="15" spans="1:18" s="12" customFormat="1" collapsed="1" x14ac:dyDescent="0.35">
      <c r="B15" s="7" t="s">
        <v>278</v>
      </c>
      <c r="D15" s="8">
        <f>SUM(OSRRefD14x_0)</f>
        <v>4732.2</v>
      </c>
      <c r="E15" s="8"/>
      <c r="F15" s="8">
        <f>SUM(OSRRefF14x_0)</f>
        <v>13366.92</v>
      </c>
      <c r="G15" s="8"/>
      <c r="H15" s="8">
        <f>SUM(OSRRefH14x_0)</f>
        <v>7402.1100000000006</v>
      </c>
      <c r="I15" s="8"/>
      <c r="J15" s="8">
        <f>SUM(OSRRefJ14x_0)</f>
        <v>13984.94</v>
      </c>
      <c r="K15" s="8"/>
      <c r="L15" s="8">
        <f>SUM(OSRRefL14x_0)</f>
        <v>10589</v>
      </c>
      <c r="M15" s="8"/>
      <c r="N15" s="8">
        <f>SUM(OSRRefN14x_0)</f>
        <v>0</v>
      </c>
      <c r="O15" s="8"/>
      <c r="P15" s="8">
        <f>SUM(OSRRefP14x_0)</f>
        <v>0</v>
      </c>
      <c r="Q15" s="8"/>
      <c r="R15" s="8">
        <f>SUM(OSRRefR14x_0)</f>
        <v>0</v>
      </c>
    </row>
    <row r="16" spans="1:18" s="44" customFormat="1" hidden="1" outlineLevel="1" x14ac:dyDescent="0.35">
      <c r="A16" s="16"/>
      <c r="B16" s="35" t="str">
        <f>CONCATENATE("          ", "5053", " - ", "PURCHASES @ COST-FOOD")</f>
        <v xml:space="preserve">          5053 - PURCHASES @ COST-FOOD</v>
      </c>
      <c r="C16" s="16"/>
      <c r="D16" s="11">
        <v>4732.2</v>
      </c>
      <c r="E16" s="16"/>
      <c r="F16" s="11">
        <v>9113.76</v>
      </c>
      <c r="G16" s="3"/>
      <c r="H16" s="11">
        <v>14004.04</v>
      </c>
      <c r="I16" s="3"/>
      <c r="J16" s="11">
        <v>8507.5400000000009</v>
      </c>
      <c r="K16" s="3"/>
      <c r="L16" s="11"/>
      <c r="M16" s="3"/>
      <c r="N16" s="11"/>
      <c r="O16" s="3"/>
      <c r="P16" s="11"/>
      <c r="Q16" s="3"/>
      <c r="R16" s="11"/>
    </row>
    <row r="17" spans="1:18" s="44" customFormat="1" hidden="1" outlineLevel="1" x14ac:dyDescent="0.35">
      <c r="A17" s="16"/>
      <c r="B17" s="35" t="str">
        <f>CONCATENATE("          ", "5059", " - ", "PURCHASES @ COST-FOOD")</f>
        <v xml:space="preserve">          5059 - PURCHASES @ COST-FOOD</v>
      </c>
      <c r="C17" s="16"/>
      <c r="D17" s="11"/>
      <c r="E17" s="16"/>
      <c r="F17" s="11">
        <v>4253.16</v>
      </c>
      <c r="G17" s="3"/>
      <c r="H17" s="11">
        <v>-6601.93</v>
      </c>
      <c r="I17" s="3"/>
      <c r="J17" s="11">
        <v>5477.4</v>
      </c>
      <c r="K17" s="3"/>
      <c r="L17" s="11">
        <v>10589</v>
      </c>
      <c r="M17" s="3"/>
      <c r="N17" s="11"/>
      <c r="O17" s="3"/>
      <c r="P17" s="11"/>
      <c r="Q17" s="3"/>
      <c r="R17" s="11"/>
    </row>
    <row r="18" spans="1:18" x14ac:dyDescent="0.35">
      <c r="A18" s="12"/>
      <c r="B18" s="7"/>
      <c r="C18" s="7"/>
      <c r="D18" s="6"/>
      <c r="F18" s="6"/>
      <c r="H18" s="6"/>
      <c r="J18" s="6"/>
      <c r="L18" s="6"/>
      <c r="N18" s="6"/>
      <c r="P18" s="6"/>
      <c r="R18" s="6"/>
    </row>
    <row r="19" spans="1:18" s="15" customFormat="1" x14ac:dyDescent="0.35">
      <c r="A19" s="7"/>
      <c r="B19" s="22" t="s">
        <v>107</v>
      </c>
      <c r="C19" s="22"/>
      <c r="D19" s="10">
        <f>+D10-D15</f>
        <v>3279.2699999999995</v>
      </c>
      <c r="E19" s="12"/>
      <c r="F19" s="10">
        <f>+F10-F15</f>
        <v>-52.5</v>
      </c>
      <c r="G19" s="5"/>
      <c r="H19" s="10">
        <f>+H10-H15</f>
        <v>24557.58</v>
      </c>
      <c r="I19" s="5"/>
      <c r="J19" s="10">
        <f>+J10-J15</f>
        <v>3366.6499999999996</v>
      </c>
      <c r="K19" s="5"/>
      <c r="L19" s="10">
        <f>+L10-L15</f>
        <v>-10589</v>
      </c>
      <c r="M19" s="5"/>
      <c r="N19" s="10">
        <f>+N10-N15</f>
        <v>0</v>
      </c>
      <c r="O19" s="5"/>
      <c r="P19" s="10">
        <f>+P10-P15</f>
        <v>0</v>
      </c>
      <c r="Q19" s="5"/>
      <c r="R19" s="10">
        <f>+R10-R15</f>
        <v>0</v>
      </c>
    </row>
    <row r="20" spans="1:18" s="27" customFormat="1" x14ac:dyDescent="0.35">
      <c r="A20" s="18"/>
      <c r="B20" s="31"/>
      <c r="C20" s="18"/>
      <c r="D20" s="9">
        <f>IFERROR(D19/D10, 0)</f>
        <v>0.40932188474774289</v>
      </c>
      <c r="E20" s="13"/>
      <c r="F20" s="9">
        <f>IFERROR(F19/F10, 0)</f>
        <v>-3.9430932778145803E-3</v>
      </c>
      <c r="G20" s="26"/>
      <c r="H20" s="9">
        <f>IFERROR(H19/H10, 0)</f>
        <v>0.76839230918697898</v>
      </c>
      <c r="I20" s="26"/>
      <c r="J20" s="9">
        <f>IFERROR(J19/J10, 0)</f>
        <v>0.19402544665935512</v>
      </c>
      <c r="K20" s="26"/>
      <c r="L20" s="9">
        <f>IFERROR(L19/L10, 0)</f>
        <v>0</v>
      </c>
      <c r="M20" s="26"/>
      <c r="N20" s="9">
        <f>IFERROR(N19/N10, 0)</f>
        <v>0</v>
      </c>
      <c r="O20" s="26"/>
      <c r="P20" s="9">
        <f>IFERROR(P19/P10, 0)</f>
        <v>0</v>
      </c>
      <c r="Q20" s="26"/>
      <c r="R20" s="9">
        <f>IFERROR(R19/R10, 0)</f>
        <v>0</v>
      </c>
    </row>
    <row r="21" spans="1:18" s="27" customFormat="1" x14ac:dyDescent="0.35">
      <c r="A21" s="18"/>
      <c r="B21" s="31"/>
      <c r="C21" s="18"/>
      <c r="D21" s="13"/>
      <c r="E21" s="13"/>
      <c r="F21" s="13"/>
      <c r="G21" s="26"/>
      <c r="H21" s="13"/>
      <c r="I21" s="26"/>
      <c r="J21" s="13"/>
      <c r="K21" s="26"/>
      <c r="L21" s="13"/>
      <c r="M21" s="26"/>
      <c r="N21" s="13"/>
      <c r="O21" s="26"/>
      <c r="P21" s="13"/>
      <c r="Q21" s="26"/>
      <c r="R21" s="13"/>
    </row>
    <row r="22" spans="1:18" s="15" customFormat="1" x14ac:dyDescent="0.35">
      <c r="A22" s="7"/>
      <c r="B22" s="34" t="s">
        <v>314</v>
      </c>
      <c r="C22" s="7"/>
      <c r="D22" s="8">
        <f>SUM(OSRRefD21x_0)</f>
        <v>12833.999999999998</v>
      </c>
      <c r="E22" s="19"/>
      <c r="F22" s="8">
        <f>SUM(OSRRefF21x_0)</f>
        <v>22245.970000000005</v>
      </c>
      <c r="G22" s="4"/>
      <c r="H22" s="8">
        <f>SUM(OSRRefH21x_0)</f>
        <v>19503.499999999996</v>
      </c>
      <c r="I22" s="4"/>
      <c r="J22" s="8">
        <f>SUM(OSRRefJ21x_0)</f>
        <v>20030.490000000002</v>
      </c>
      <c r="K22" s="4"/>
      <c r="L22" s="8">
        <f>SUM(OSRRefL21x_0)</f>
        <v>929.2</v>
      </c>
      <c r="M22" s="4"/>
      <c r="N22" s="8">
        <f>SUM(OSRRefN21x_0)</f>
        <v>0</v>
      </c>
      <c r="O22" s="4"/>
      <c r="P22" s="8">
        <f>SUM(OSRRefP21x_0)</f>
        <v>0</v>
      </c>
      <c r="Q22" s="4"/>
      <c r="R22" s="8">
        <f>SUM(OSRRefR21x_0)</f>
        <v>0</v>
      </c>
    </row>
    <row r="23" spans="1:18" s="15" customFormat="1" outlineLevel="1" collapsed="1" x14ac:dyDescent="0.35">
      <c r="A23" s="7"/>
      <c r="B23" s="20" t="str">
        <f>CONCATENATE("     ","*Benefits                                         ")</f>
        <v xml:space="preserve">     *Benefits                                         </v>
      </c>
      <c r="C23" s="7"/>
      <c r="D23" s="1">
        <f>SUM(OSRRefD21_0x_0)</f>
        <v>263.49</v>
      </c>
      <c r="E23" s="19"/>
      <c r="F23" s="1">
        <f>SUM(OSRRefF21_0x_0)</f>
        <v>238.09</v>
      </c>
      <c r="G23" s="4"/>
      <c r="H23" s="1">
        <f>SUM(OSRRefH21_0x_0)</f>
        <v>-330.9</v>
      </c>
      <c r="I23" s="4"/>
      <c r="J23" s="1">
        <f>SUM(OSRRefJ21_0x_0)</f>
        <v>1285.05</v>
      </c>
      <c r="K23" s="4"/>
      <c r="L23" s="1">
        <f>SUM(OSRRefL21_0x_0)</f>
        <v>0</v>
      </c>
      <c r="M23" s="4"/>
      <c r="N23" s="1">
        <f>SUM(OSRRefN21_0x_0)</f>
        <v>0</v>
      </c>
      <c r="O23" s="4"/>
      <c r="P23" s="1">
        <f>SUM(OSRRefP21_0x_0)</f>
        <v>0</v>
      </c>
      <c r="Q23" s="4"/>
      <c r="R23" s="1">
        <f>SUM(OSRRefR21_0x_0)</f>
        <v>0</v>
      </c>
    </row>
    <row r="24" spans="1:18" s="16" customFormat="1" hidden="1" outlineLevel="2" x14ac:dyDescent="0.35">
      <c r="B24" s="11" t="str">
        <f>CONCATENATE("          ", "6111", " - ", "F.I.C.A.")</f>
        <v xml:space="preserve">          6111 - F.I.C.A.</v>
      </c>
      <c r="D24" s="2">
        <v>263.49</v>
      </c>
      <c r="F24" s="2">
        <v>238.09</v>
      </c>
      <c r="G24" s="3"/>
      <c r="H24" s="2">
        <v>214.76</v>
      </c>
      <c r="I24" s="3"/>
      <c r="J24" s="2">
        <v>1124.82</v>
      </c>
      <c r="K24" s="3"/>
      <c r="L24" s="2"/>
      <c r="M24" s="3"/>
      <c r="N24" s="2"/>
      <c r="O24" s="3"/>
      <c r="P24" s="2"/>
      <c r="Q24" s="3"/>
      <c r="R24" s="2"/>
    </row>
    <row r="25" spans="1:18" s="16" customFormat="1" hidden="1" outlineLevel="2" x14ac:dyDescent="0.35">
      <c r="B25" s="11" t="str">
        <f>CONCATENATE("          ", "6112", " - ", "COMPENSATION INSURANCE")</f>
        <v xml:space="preserve">          6112 - COMPENSATION INSURANCE</v>
      </c>
      <c r="D25" s="2"/>
      <c r="F25" s="2"/>
      <c r="G25" s="3"/>
      <c r="H25" s="2">
        <v>-408.33</v>
      </c>
      <c r="I25" s="3"/>
      <c r="J25" s="2">
        <v>118.32</v>
      </c>
      <c r="K25" s="3"/>
      <c r="L25" s="2"/>
      <c r="M25" s="3"/>
      <c r="N25" s="2"/>
      <c r="O25" s="3"/>
      <c r="P25" s="2"/>
      <c r="Q25" s="3"/>
      <c r="R25" s="2"/>
    </row>
    <row r="26" spans="1:18" s="16" customFormat="1" hidden="1" outlineLevel="2" x14ac:dyDescent="0.35">
      <c r="B26" s="11" t="str">
        <f>CONCATENATE("          ", "6114", " - ", "STATE UNEMPLOYMENT INSURANCE")</f>
        <v xml:space="preserve">          6114 - STATE UNEMPLOYMENT INSURANCE</v>
      </c>
      <c r="D26" s="2"/>
      <c r="F26" s="2"/>
      <c r="G26" s="3"/>
      <c r="H26" s="2">
        <v>-137.33000000000001</v>
      </c>
      <c r="I26" s="3"/>
      <c r="J26" s="2">
        <v>41.91</v>
      </c>
      <c r="K26" s="3"/>
      <c r="L26" s="2"/>
      <c r="M26" s="3"/>
      <c r="N26" s="2"/>
      <c r="O26" s="3"/>
      <c r="P26" s="2"/>
      <c r="Q26" s="3"/>
      <c r="R26" s="2"/>
    </row>
    <row r="27" spans="1:18" s="15" customFormat="1" outlineLevel="1" collapsed="1" x14ac:dyDescent="0.35">
      <c r="A27" s="7"/>
      <c r="B27" s="20" t="str">
        <f>CONCATENATE("     ","*Payroll                                          ")</f>
        <v xml:space="preserve">     *Payroll                                          </v>
      </c>
      <c r="C27" s="7"/>
      <c r="D27" s="1">
        <f>SUM(OSRRefD21_1x_0)</f>
        <v>6917.03</v>
      </c>
      <c r="E27" s="19"/>
      <c r="F27" s="1">
        <f>SUM(OSRRefF21_1x_0)</f>
        <v>12152.89</v>
      </c>
      <c r="G27" s="4"/>
      <c r="H27" s="1">
        <f>SUM(OSRRefH21_1x_0)</f>
        <v>14892.13</v>
      </c>
      <c r="I27" s="4"/>
      <c r="J27" s="1">
        <f>SUM(OSRRefJ21_1x_0)</f>
        <v>14384.55</v>
      </c>
      <c r="K27" s="4"/>
      <c r="L27" s="1">
        <f>SUM(OSRRefL21_1x_0)</f>
        <v>0</v>
      </c>
      <c r="M27" s="4"/>
      <c r="N27" s="1">
        <f>SUM(OSRRefN21_1x_0)</f>
        <v>0</v>
      </c>
      <c r="O27" s="4"/>
      <c r="P27" s="1">
        <f>SUM(OSRRefP21_1x_0)</f>
        <v>0</v>
      </c>
      <c r="Q27" s="4"/>
      <c r="R27" s="1">
        <f>SUM(OSRRefR21_1x_0)</f>
        <v>0</v>
      </c>
    </row>
    <row r="28" spans="1:18" s="16" customFormat="1" hidden="1" outlineLevel="2" x14ac:dyDescent="0.35">
      <c r="B28" s="11" t="str">
        <f>CONCATENATE("          ", "6005", " - ", "TEMPORARY WAGES-HOURLY")</f>
        <v xml:space="preserve">          6005 - TEMPORARY WAGES-HOURLY</v>
      </c>
      <c r="D28" s="2">
        <v>315</v>
      </c>
      <c r="F28" s="2">
        <v>651.26</v>
      </c>
      <c r="G28" s="3"/>
      <c r="H28" s="2">
        <v>764</v>
      </c>
      <c r="I28" s="3"/>
      <c r="J28" s="2">
        <v>6769.75</v>
      </c>
      <c r="K28" s="3"/>
      <c r="L28" s="2"/>
      <c r="M28" s="3"/>
      <c r="N28" s="2"/>
      <c r="O28" s="3"/>
      <c r="P28" s="2"/>
      <c r="Q28" s="3"/>
      <c r="R28" s="2"/>
    </row>
    <row r="29" spans="1:18" s="16" customFormat="1" hidden="1" outlineLevel="2" x14ac:dyDescent="0.35">
      <c r="B29" s="11" t="str">
        <f>CONCATENATE("          ", "6006", " - ", "TEMPORARY PART TIME")</f>
        <v xml:space="preserve">          6006 - TEMPORARY PART TIME</v>
      </c>
      <c r="D29" s="2"/>
      <c r="F29" s="2"/>
      <c r="G29" s="3"/>
      <c r="H29" s="2"/>
      <c r="I29" s="3"/>
      <c r="J29" s="2">
        <v>5930.17</v>
      </c>
      <c r="K29" s="3"/>
      <c r="L29" s="2"/>
      <c r="M29" s="3"/>
      <c r="N29" s="2"/>
      <c r="O29" s="3"/>
      <c r="P29" s="2"/>
      <c r="Q29" s="3"/>
      <c r="R29" s="2"/>
    </row>
    <row r="30" spans="1:18" s="16" customFormat="1" hidden="1" outlineLevel="2" x14ac:dyDescent="0.35">
      <c r="B30" s="11" t="str">
        <f>CONCATENATE("          ", "6007", " - ", "STUDENT HOURLY")</f>
        <v xml:space="preserve">          6007 - STUDENT HOURLY</v>
      </c>
      <c r="D30" s="2">
        <v>6602.03</v>
      </c>
      <c r="F30" s="2">
        <v>11501.63</v>
      </c>
      <c r="G30" s="3"/>
      <c r="H30" s="2">
        <v>14128.13</v>
      </c>
      <c r="I30" s="3"/>
      <c r="J30" s="2">
        <v>1684.63</v>
      </c>
      <c r="K30" s="3"/>
      <c r="L30" s="2"/>
      <c r="M30" s="3"/>
      <c r="N30" s="2"/>
      <c r="O30" s="3"/>
      <c r="P30" s="2"/>
      <c r="Q30" s="3"/>
      <c r="R30" s="2"/>
    </row>
    <row r="31" spans="1:18" s="15" customFormat="1" outlineLevel="1" collapsed="1" x14ac:dyDescent="0.35">
      <c r="A31" s="7"/>
      <c r="B31" s="20" t="str">
        <f>CONCATENATE("     ","Advertising/Promo                                 ")</f>
        <v xml:space="preserve">     Advertising/Promo                                 </v>
      </c>
      <c r="C31" s="7"/>
      <c r="D31" s="1">
        <f>SUM(OSRRefD21_2x_0)</f>
        <v>656.97</v>
      </c>
      <c r="E31" s="19"/>
      <c r="F31" s="1">
        <f>SUM(OSRRefF21_2x_0)</f>
        <v>698.49</v>
      </c>
      <c r="G31" s="4"/>
      <c r="H31" s="1">
        <f>SUM(OSRRefH21_2x_0)</f>
        <v>96.04</v>
      </c>
      <c r="I31" s="4"/>
      <c r="J31" s="1">
        <f>SUM(OSRRefJ21_2x_0)</f>
        <v>0</v>
      </c>
      <c r="K31" s="4"/>
      <c r="L31" s="1">
        <f>SUM(OSRRefL21_2x_0)</f>
        <v>0</v>
      </c>
      <c r="M31" s="4"/>
      <c r="N31" s="1">
        <f>SUM(OSRRefN21_2x_0)</f>
        <v>0</v>
      </c>
      <c r="O31" s="4"/>
      <c r="P31" s="1">
        <f>SUM(OSRRefP21_2x_0)</f>
        <v>0</v>
      </c>
      <c r="Q31" s="4"/>
      <c r="R31" s="1">
        <f>SUM(OSRRefR21_2x_0)</f>
        <v>0</v>
      </c>
    </row>
    <row r="32" spans="1:18" s="16" customFormat="1" hidden="1" outlineLevel="2" x14ac:dyDescent="0.35">
      <c r="B32" s="11" t="str">
        <f>CONCATENATE("          ", "6362", " - ", "ADVERTISING EXPENSE")</f>
        <v xml:space="preserve">          6362 - ADVERTISING EXPENSE</v>
      </c>
      <c r="D32" s="2">
        <v>656.97</v>
      </c>
      <c r="F32" s="2">
        <v>698.49</v>
      </c>
      <c r="G32" s="3"/>
      <c r="H32" s="2">
        <v>96.04</v>
      </c>
      <c r="I32" s="3"/>
      <c r="J32" s="2"/>
      <c r="K32" s="3"/>
      <c r="L32" s="2"/>
      <c r="M32" s="3"/>
      <c r="N32" s="2"/>
      <c r="O32" s="3"/>
      <c r="P32" s="2"/>
      <c r="Q32" s="3"/>
      <c r="R32" s="2"/>
    </row>
    <row r="33" spans="1:18" s="15" customFormat="1" outlineLevel="1" collapsed="1" x14ac:dyDescent="0.35">
      <c r="A33" s="7"/>
      <c r="B33" s="20" t="str">
        <f>CONCATENATE("     ","Bad Debts/Over/Short                              ")</f>
        <v xml:space="preserve">     Bad Debts/Over/Short                              </v>
      </c>
      <c r="C33" s="7"/>
      <c r="D33" s="1">
        <f>SUM(OSRRefD21_3x_0)</f>
        <v>8.65</v>
      </c>
      <c r="E33" s="19"/>
      <c r="F33" s="1">
        <f>SUM(OSRRefF21_3x_0)</f>
        <v>155.12</v>
      </c>
      <c r="G33" s="4"/>
      <c r="H33" s="1">
        <f>SUM(OSRRefH21_3x_0)</f>
        <v>-7.26</v>
      </c>
      <c r="I33" s="4"/>
      <c r="J33" s="1">
        <f>SUM(OSRRefJ21_3x_0)</f>
        <v>-12.86</v>
      </c>
      <c r="K33" s="4"/>
      <c r="L33" s="1">
        <f>SUM(OSRRefL21_3x_0)</f>
        <v>0</v>
      </c>
      <c r="M33" s="4"/>
      <c r="N33" s="1">
        <f>SUM(OSRRefN21_3x_0)</f>
        <v>0</v>
      </c>
      <c r="O33" s="4"/>
      <c r="P33" s="1">
        <f>SUM(OSRRefP21_3x_0)</f>
        <v>0</v>
      </c>
      <c r="Q33" s="4"/>
      <c r="R33" s="1">
        <f>SUM(OSRRefR21_3x_0)</f>
        <v>0</v>
      </c>
    </row>
    <row r="34" spans="1:18" s="16" customFormat="1" hidden="1" outlineLevel="2" x14ac:dyDescent="0.35">
      <c r="B34" s="11" t="str">
        <f>CONCATENATE("          ", "6272", " - ", "CASH (OVER/SHORT)")</f>
        <v xml:space="preserve">          6272 - CASH (OVER/SHORT)</v>
      </c>
      <c r="D34" s="2">
        <v>8.65</v>
      </c>
      <c r="F34" s="2">
        <v>155.12</v>
      </c>
      <c r="G34" s="3"/>
      <c r="H34" s="2">
        <v>-7.26</v>
      </c>
      <c r="I34" s="3"/>
      <c r="J34" s="2">
        <v>-12.86</v>
      </c>
      <c r="K34" s="3"/>
      <c r="L34" s="2"/>
      <c r="M34" s="3"/>
      <c r="N34" s="2"/>
      <c r="O34" s="3"/>
      <c r="P34" s="2"/>
      <c r="Q34" s="3"/>
      <c r="R34" s="2"/>
    </row>
    <row r="35" spans="1:18" s="15" customFormat="1" outlineLevel="1" collapsed="1" x14ac:dyDescent="0.35">
      <c r="A35" s="7"/>
      <c r="B35" s="20" t="str">
        <f>CONCATENATE("     ","Bank/card Fees                                    ")</f>
        <v xml:space="preserve">     Bank/card Fees                                    </v>
      </c>
      <c r="C35" s="7"/>
      <c r="D35" s="1">
        <f>SUM(OSRRefD21_4x_0)</f>
        <v>136.9</v>
      </c>
      <c r="E35" s="19"/>
      <c r="F35" s="1">
        <f>SUM(OSRRefF21_4x_0)</f>
        <v>327.7</v>
      </c>
      <c r="G35" s="4"/>
      <c r="H35" s="1">
        <f>SUM(OSRRefH21_4x_0)</f>
        <v>398.21</v>
      </c>
      <c r="I35" s="4"/>
      <c r="J35" s="1">
        <f>SUM(OSRRefJ21_4x_0)</f>
        <v>363.39</v>
      </c>
      <c r="K35" s="4"/>
      <c r="L35" s="1">
        <f>SUM(OSRRefL21_4x_0)</f>
        <v>0</v>
      </c>
      <c r="M35" s="4"/>
      <c r="N35" s="1">
        <f>SUM(OSRRefN21_4x_0)</f>
        <v>0</v>
      </c>
      <c r="O35" s="4"/>
      <c r="P35" s="1">
        <f>SUM(OSRRefP21_4x_0)</f>
        <v>0</v>
      </c>
      <c r="Q35" s="4"/>
      <c r="R35" s="1">
        <f>SUM(OSRRefR21_4x_0)</f>
        <v>0</v>
      </c>
    </row>
    <row r="36" spans="1:18" s="16" customFormat="1" hidden="1" outlineLevel="2" x14ac:dyDescent="0.35">
      <c r="B36" s="11" t="str">
        <f>CONCATENATE("          ", "6381", " - ", "BANK/CREDIT CARD FEES")</f>
        <v xml:space="preserve">          6381 - BANK/CREDIT CARD FEES</v>
      </c>
      <c r="D36" s="2">
        <v>136.9</v>
      </c>
      <c r="F36" s="2">
        <v>327.7</v>
      </c>
      <c r="G36" s="3"/>
      <c r="H36" s="2">
        <v>398.21</v>
      </c>
      <c r="I36" s="3"/>
      <c r="J36" s="2">
        <v>363.39</v>
      </c>
      <c r="K36" s="3"/>
      <c r="L36" s="2"/>
      <c r="M36" s="3"/>
      <c r="N36" s="2"/>
      <c r="O36" s="3"/>
      <c r="P36" s="2"/>
      <c r="Q36" s="3"/>
      <c r="R36" s="2"/>
    </row>
    <row r="37" spans="1:18" s="15" customFormat="1" outlineLevel="1" collapsed="1" x14ac:dyDescent="0.35">
      <c r="A37" s="7"/>
      <c r="B37" s="20" t="str">
        <f>CONCATENATE("     ","Depreciation                                      ")</f>
        <v xml:space="preserve">     Depreciation                                      </v>
      </c>
      <c r="C37" s="7"/>
      <c r="D37" s="1">
        <f>SUM(OSRRefD21_5x_0)</f>
        <v>1985.83</v>
      </c>
      <c r="E37" s="19"/>
      <c r="F37" s="1">
        <f>SUM(OSRRefF21_5x_0)</f>
        <v>1985.83</v>
      </c>
      <c r="G37" s="4"/>
      <c r="H37" s="1">
        <f>SUM(OSRRefH21_5x_0)</f>
        <v>16.809999999999999</v>
      </c>
      <c r="I37" s="4"/>
      <c r="J37" s="1">
        <f>SUM(OSRRefJ21_5x_0)</f>
        <v>0</v>
      </c>
      <c r="K37" s="4"/>
      <c r="L37" s="1">
        <f>SUM(OSRRefL21_5x_0)</f>
        <v>0</v>
      </c>
      <c r="M37" s="4"/>
      <c r="N37" s="1">
        <f>SUM(OSRRefN21_5x_0)</f>
        <v>0</v>
      </c>
      <c r="O37" s="4"/>
      <c r="P37" s="1">
        <f>SUM(OSRRefP21_5x_0)</f>
        <v>0</v>
      </c>
      <c r="Q37" s="4"/>
      <c r="R37" s="1">
        <f>SUM(OSRRefR21_5x_0)</f>
        <v>0</v>
      </c>
    </row>
    <row r="38" spans="1:18" s="16" customFormat="1" hidden="1" outlineLevel="2" x14ac:dyDescent="0.35">
      <c r="B38" s="11" t="str">
        <f>CONCATENATE("          ", "6322", " - ", "EQUIPMENT DEPRECIATION EXPENSE")</f>
        <v xml:space="preserve">          6322 - EQUIPMENT DEPRECIATION EXPENSE</v>
      </c>
      <c r="D38" s="2">
        <v>1985.83</v>
      </c>
      <c r="F38" s="2">
        <v>1985.83</v>
      </c>
      <c r="G38" s="3"/>
      <c r="H38" s="2">
        <v>16.809999999999999</v>
      </c>
      <c r="I38" s="3"/>
      <c r="J38" s="2"/>
      <c r="K38" s="3"/>
      <c r="L38" s="2"/>
      <c r="M38" s="3"/>
      <c r="N38" s="2"/>
      <c r="O38" s="3"/>
      <c r="P38" s="2"/>
      <c r="Q38" s="3"/>
      <c r="R38" s="2"/>
    </row>
    <row r="39" spans="1:18" s="15" customFormat="1" outlineLevel="1" collapsed="1" x14ac:dyDescent="0.35">
      <c r="A39" s="7"/>
      <c r="B39" s="20" t="str">
        <f>CONCATENATE("     ","General                                           ")</f>
        <v xml:space="preserve">     General                                           </v>
      </c>
      <c r="C39" s="7"/>
      <c r="D39" s="1">
        <f>SUM(OSRRefD21_6x_0)</f>
        <v>863.8</v>
      </c>
      <c r="E39" s="19"/>
      <c r="F39" s="1">
        <f>SUM(OSRRefF21_6x_0)</f>
        <v>888.8</v>
      </c>
      <c r="G39" s="4"/>
      <c r="H39" s="1">
        <f>SUM(OSRRefH21_6x_0)</f>
        <v>888.8</v>
      </c>
      <c r="I39" s="4"/>
      <c r="J39" s="1">
        <f>SUM(OSRRefJ21_6x_0)</f>
        <v>909</v>
      </c>
      <c r="K39" s="4"/>
      <c r="L39" s="1">
        <f>SUM(OSRRefL21_6x_0)</f>
        <v>929.2</v>
      </c>
      <c r="M39" s="4"/>
      <c r="N39" s="1">
        <f>SUM(OSRRefN21_6x_0)</f>
        <v>0</v>
      </c>
      <c r="O39" s="4"/>
      <c r="P39" s="1">
        <f>SUM(OSRRefP21_6x_0)</f>
        <v>0</v>
      </c>
      <c r="Q39" s="4"/>
      <c r="R39" s="1">
        <f>SUM(OSRRefR21_6x_0)</f>
        <v>0</v>
      </c>
    </row>
    <row r="40" spans="1:18" s="16" customFormat="1" hidden="1" outlineLevel="2" x14ac:dyDescent="0.35">
      <c r="B40" s="11" t="str">
        <f>CONCATENATE("          ", "6279", " - ", "GENERAL EXPENSE")</f>
        <v xml:space="preserve">          6279 - GENERAL EXPENSE</v>
      </c>
      <c r="D40" s="2">
        <v>863.8</v>
      </c>
      <c r="F40" s="2">
        <v>888.8</v>
      </c>
      <c r="G40" s="3"/>
      <c r="H40" s="2">
        <v>888.8</v>
      </c>
      <c r="I40" s="3"/>
      <c r="J40" s="2">
        <v>909</v>
      </c>
      <c r="K40" s="3"/>
      <c r="L40" s="2">
        <v>929.2</v>
      </c>
      <c r="M40" s="3"/>
      <c r="N40" s="2"/>
      <c r="O40" s="3"/>
      <c r="P40" s="2"/>
      <c r="Q40" s="3"/>
      <c r="R40" s="2"/>
    </row>
    <row r="41" spans="1:18" s="15" customFormat="1" outlineLevel="1" collapsed="1" x14ac:dyDescent="0.35">
      <c r="A41" s="7"/>
      <c r="B41" s="20" t="str">
        <f>CONCATENATE("     ","R/H Commissions                                   ")</f>
        <v xml:space="preserve">     R/H Commissions                                   </v>
      </c>
      <c r="C41" s="7"/>
      <c r="D41" s="1">
        <f>SUM(OSRRefD21_7x_0)</f>
        <v>640.91</v>
      </c>
      <c r="E41" s="19"/>
      <c r="F41" s="1">
        <f>SUM(OSRRefF21_7x_0)</f>
        <v>1065.17</v>
      </c>
      <c r="G41" s="4"/>
      <c r="H41" s="1">
        <f>SUM(OSRRefH21_7x_0)</f>
        <v>2556.25</v>
      </c>
      <c r="I41" s="4"/>
      <c r="J41" s="1">
        <f>SUM(OSRRefJ21_7x_0)</f>
        <v>1388.14</v>
      </c>
      <c r="K41" s="4"/>
      <c r="L41" s="1">
        <f>SUM(OSRRefL21_7x_0)</f>
        <v>0</v>
      </c>
      <c r="M41" s="4"/>
      <c r="N41" s="1">
        <f>SUM(OSRRefN21_7x_0)</f>
        <v>0</v>
      </c>
      <c r="O41" s="4"/>
      <c r="P41" s="1">
        <f>SUM(OSRRefP21_7x_0)</f>
        <v>0</v>
      </c>
      <c r="Q41" s="4"/>
      <c r="R41" s="1">
        <f>SUM(OSRRefR21_7x_0)</f>
        <v>0</v>
      </c>
    </row>
    <row r="42" spans="1:18" s="16" customFormat="1" hidden="1" outlineLevel="2" x14ac:dyDescent="0.35">
      <c r="B42" s="11" t="str">
        <f>CONCATENATE("          ", "6387", " - ", "COMMISSION DUE HOUSING")</f>
        <v xml:space="preserve">          6387 - COMMISSION DUE HOUSING</v>
      </c>
      <c r="D42" s="2">
        <v>640.91</v>
      </c>
      <c r="F42" s="2">
        <v>1065.17</v>
      </c>
      <c r="G42" s="3"/>
      <c r="H42" s="2">
        <v>2556.25</v>
      </c>
      <c r="I42" s="3"/>
      <c r="J42" s="2">
        <v>1388.14</v>
      </c>
      <c r="K42" s="3"/>
      <c r="L42" s="2"/>
      <c r="M42" s="3"/>
      <c r="N42" s="2"/>
      <c r="O42" s="3"/>
      <c r="P42" s="2"/>
      <c r="Q42" s="3"/>
      <c r="R42" s="2"/>
    </row>
    <row r="43" spans="1:18" s="15" customFormat="1" outlineLevel="1" collapsed="1" x14ac:dyDescent="0.35">
      <c r="A43" s="7"/>
      <c r="B43" s="20" t="str">
        <f>CONCATENATE("     ","Repair and Maintenance                            ")</f>
        <v xml:space="preserve">     Repair and Maintenance                            </v>
      </c>
      <c r="C43" s="7"/>
      <c r="D43" s="1">
        <f>SUM(OSRRefD21_8x_0)</f>
        <v>276.07</v>
      </c>
      <c r="E43" s="19"/>
      <c r="F43" s="1">
        <f>SUM(OSRRefF21_8x_0)</f>
        <v>103.81</v>
      </c>
      <c r="G43" s="4"/>
      <c r="H43" s="1">
        <f>SUM(OSRRefH21_8x_0)</f>
        <v>0</v>
      </c>
      <c r="I43" s="4"/>
      <c r="J43" s="1">
        <f>SUM(OSRRefJ21_8x_0)</f>
        <v>818.84</v>
      </c>
      <c r="K43" s="4"/>
      <c r="L43" s="1">
        <f>SUM(OSRRefL21_8x_0)</f>
        <v>0</v>
      </c>
      <c r="M43" s="4"/>
      <c r="N43" s="1">
        <f>SUM(OSRRefN21_8x_0)</f>
        <v>0</v>
      </c>
      <c r="O43" s="4"/>
      <c r="P43" s="1">
        <f>SUM(OSRRefP21_8x_0)</f>
        <v>0</v>
      </c>
      <c r="Q43" s="4"/>
      <c r="R43" s="1">
        <f>SUM(OSRRefR21_8x_0)</f>
        <v>0</v>
      </c>
    </row>
    <row r="44" spans="1:18" s="16" customFormat="1" hidden="1" outlineLevel="2" x14ac:dyDescent="0.35">
      <c r="B44" s="11" t="str">
        <f>CONCATENATE("          ", "6373", " - ", "MAINTENANCE CONTRACTS")</f>
        <v xml:space="preserve">          6373 - MAINTENANCE CONTRACTS</v>
      </c>
      <c r="D44" s="2">
        <v>276.07</v>
      </c>
      <c r="F44" s="2"/>
      <c r="G44" s="3"/>
      <c r="H44" s="2"/>
      <c r="I44" s="3"/>
      <c r="J44" s="2"/>
      <c r="K44" s="3"/>
      <c r="L44" s="2"/>
      <c r="M44" s="3"/>
      <c r="N44" s="2"/>
      <c r="O44" s="3"/>
      <c r="P44" s="2"/>
      <c r="Q44" s="3"/>
      <c r="R44" s="2"/>
    </row>
    <row r="45" spans="1:18" s="16" customFormat="1" hidden="1" outlineLevel="2" x14ac:dyDescent="0.35">
      <c r="B45" s="11" t="str">
        <f>CONCATENATE("          ", "6375", " - ", "OUTSIDE REPAIRS &amp; MAINTENANCE")</f>
        <v xml:space="preserve">          6375 - OUTSIDE REPAIRS &amp; MAINTENANCE</v>
      </c>
      <c r="D45" s="2"/>
      <c r="F45" s="2">
        <v>103.81</v>
      </c>
      <c r="G45" s="3"/>
      <c r="H45" s="2"/>
      <c r="I45" s="3"/>
      <c r="J45" s="2">
        <v>818.84</v>
      </c>
      <c r="K45" s="3"/>
      <c r="L45" s="2"/>
      <c r="M45" s="3"/>
      <c r="N45" s="2"/>
      <c r="O45" s="3"/>
      <c r="P45" s="2"/>
      <c r="Q45" s="3"/>
      <c r="R45" s="2"/>
    </row>
    <row r="46" spans="1:18" s="15" customFormat="1" outlineLevel="1" collapsed="1" x14ac:dyDescent="0.35">
      <c r="A46" s="7"/>
      <c r="B46" s="20" t="str">
        <f>CONCATENATE("     ","Services                                          ")</f>
        <v xml:space="preserve">     Services                                          </v>
      </c>
      <c r="C46" s="7"/>
      <c r="D46" s="1">
        <f>SUM(OSRRefD21_9x_0)</f>
        <v>275</v>
      </c>
      <c r="E46" s="19"/>
      <c r="F46" s="1">
        <f>SUM(OSRRefF21_9x_0)</f>
        <v>0</v>
      </c>
      <c r="G46" s="4"/>
      <c r="H46" s="1">
        <f>SUM(OSRRefH21_9x_0)</f>
        <v>0</v>
      </c>
      <c r="I46" s="4"/>
      <c r="J46" s="1">
        <f>SUM(OSRRefJ21_9x_0)</f>
        <v>0</v>
      </c>
      <c r="K46" s="4"/>
      <c r="L46" s="1">
        <f>SUM(OSRRefL21_9x_0)</f>
        <v>0</v>
      </c>
      <c r="M46" s="4"/>
      <c r="N46" s="1">
        <f>SUM(OSRRefN21_9x_0)</f>
        <v>0</v>
      </c>
      <c r="O46" s="4"/>
      <c r="P46" s="1">
        <f>SUM(OSRRefP21_9x_0)</f>
        <v>0</v>
      </c>
      <c r="Q46" s="4"/>
      <c r="R46" s="1">
        <f>SUM(OSRRefR21_9x_0)</f>
        <v>0</v>
      </c>
    </row>
    <row r="47" spans="1:18" s="16" customFormat="1" hidden="1" outlineLevel="2" x14ac:dyDescent="0.35">
      <c r="B47" s="11" t="str">
        <f>CONCATENATE("          ", "6285", " - ", "JANITORIAL SERVICES")</f>
        <v xml:space="preserve">          6285 - JANITORIAL SERVICES</v>
      </c>
      <c r="D47" s="2">
        <v>275</v>
      </c>
      <c r="F47" s="2"/>
      <c r="G47" s="3"/>
      <c r="H47" s="2"/>
      <c r="I47" s="3"/>
      <c r="J47" s="2"/>
      <c r="K47" s="3"/>
      <c r="L47" s="2"/>
      <c r="M47" s="3"/>
      <c r="N47" s="2"/>
      <c r="O47" s="3"/>
      <c r="P47" s="2"/>
      <c r="Q47" s="3"/>
      <c r="R47" s="2"/>
    </row>
    <row r="48" spans="1:18" s="15" customFormat="1" outlineLevel="1" collapsed="1" x14ac:dyDescent="0.35">
      <c r="A48" s="7"/>
      <c r="B48" s="20" t="str">
        <f>CONCATENATE("     ","Supplies                                          ")</f>
        <v xml:space="preserve">     Supplies                                          </v>
      </c>
      <c r="C48" s="7"/>
      <c r="D48" s="1">
        <f>SUM(OSRRefD21_10x_0)</f>
        <v>359.34999999999997</v>
      </c>
      <c r="E48" s="19"/>
      <c r="F48" s="1">
        <f>SUM(OSRRefF21_10x_0)</f>
        <v>4100.57</v>
      </c>
      <c r="G48" s="4"/>
      <c r="H48" s="1">
        <f>SUM(OSRRefH21_10x_0)</f>
        <v>211.66</v>
      </c>
      <c r="I48" s="4"/>
      <c r="J48" s="1">
        <f>SUM(OSRRefJ21_10x_0)</f>
        <v>421.88</v>
      </c>
      <c r="K48" s="4"/>
      <c r="L48" s="1">
        <f>SUM(OSRRefL21_10x_0)</f>
        <v>0</v>
      </c>
      <c r="M48" s="4"/>
      <c r="N48" s="1">
        <f>SUM(OSRRefN21_10x_0)</f>
        <v>0</v>
      </c>
      <c r="O48" s="4"/>
      <c r="P48" s="1">
        <f>SUM(OSRRefP21_10x_0)</f>
        <v>0</v>
      </c>
      <c r="Q48" s="4"/>
      <c r="R48" s="1">
        <f>SUM(OSRRefR21_10x_0)</f>
        <v>0</v>
      </c>
    </row>
    <row r="49" spans="1:18" s="16" customFormat="1" hidden="1" outlineLevel="2" x14ac:dyDescent="0.35">
      <c r="B49" s="11" t="str">
        <f>CONCATENATE("          ", "6234", " - ", "EXPENDABLE SUPPLIES &amp; EQUIPMEN")</f>
        <v xml:space="preserve">          6234 - EXPENDABLE SUPPLIES &amp; EQUIPMEN</v>
      </c>
      <c r="D49" s="2"/>
      <c r="F49" s="2">
        <v>183.34</v>
      </c>
      <c r="G49" s="3"/>
      <c r="H49" s="2"/>
      <c r="I49" s="3"/>
      <c r="J49" s="2"/>
      <c r="K49" s="3"/>
      <c r="L49" s="2"/>
      <c r="M49" s="3"/>
      <c r="N49" s="2"/>
      <c r="O49" s="3"/>
      <c r="P49" s="2"/>
      <c r="Q49" s="3"/>
      <c r="R49" s="2"/>
    </row>
    <row r="50" spans="1:18" s="16" customFormat="1" hidden="1" outlineLevel="2" x14ac:dyDescent="0.35">
      <c r="B50" s="11" t="str">
        <f>CONCATENATE("          ", "6241", " - ", "OFFICE EXPENSE")</f>
        <v xml:space="preserve">          6241 - OFFICE EXPENSE</v>
      </c>
      <c r="D50" s="2"/>
      <c r="F50" s="2">
        <v>359.85</v>
      </c>
      <c r="G50" s="3"/>
      <c r="H50" s="2"/>
      <c r="I50" s="3"/>
      <c r="J50" s="2"/>
      <c r="K50" s="3"/>
      <c r="L50" s="2"/>
      <c r="M50" s="3"/>
      <c r="N50" s="2">
        <v>0</v>
      </c>
      <c r="O50" s="3"/>
      <c r="P50" s="2"/>
      <c r="Q50" s="3"/>
      <c r="R50" s="2"/>
    </row>
    <row r="51" spans="1:18" s="16" customFormat="1" hidden="1" outlineLevel="2" x14ac:dyDescent="0.35">
      <c r="B51" s="11" t="str">
        <f>CONCATENATE("          ", "6243", " - ", "PAPER SUPPLIES")</f>
        <v xml:space="preserve">          6243 - PAPER SUPPLIES</v>
      </c>
      <c r="D51" s="2">
        <v>333.65</v>
      </c>
      <c r="F51" s="2"/>
      <c r="G51" s="3"/>
      <c r="H51" s="2"/>
      <c r="I51" s="3"/>
      <c r="J51" s="2"/>
      <c r="K51" s="3"/>
      <c r="L51" s="2"/>
      <c r="M51" s="3"/>
      <c r="N51" s="2"/>
      <c r="O51" s="3"/>
      <c r="P51" s="2"/>
      <c r="Q51" s="3"/>
      <c r="R51" s="2"/>
    </row>
    <row r="52" spans="1:18" s="16" customFormat="1" hidden="1" outlineLevel="2" x14ac:dyDescent="0.35">
      <c r="B52" s="11" t="str">
        <f>CONCATENATE("          ", "6247", " - ", "STORE SUPPLIES")</f>
        <v xml:space="preserve">          6247 - STORE SUPPLIES</v>
      </c>
      <c r="D52" s="2">
        <v>25.7</v>
      </c>
      <c r="F52" s="2">
        <v>3557.38</v>
      </c>
      <c r="G52" s="3"/>
      <c r="H52" s="2">
        <v>211.66</v>
      </c>
      <c r="I52" s="3"/>
      <c r="J52" s="2">
        <v>421.88</v>
      </c>
      <c r="K52" s="3"/>
      <c r="L52" s="2"/>
      <c r="M52" s="3"/>
      <c r="N52" s="2"/>
      <c r="O52" s="3"/>
      <c r="P52" s="2"/>
      <c r="Q52" s="3"/>
      <c r="R52" s="2"/>
    </row>
    <row r="53" spans="1:18" s="15" customFormat="1" outlineLevel="1" collapsed="1" x14ac:dyDescent="0.35">
      <c r="A53" s="7"/>
      <c r="B53" s="20" t="str">
        <f>CONCATENATE("     ","Telephone/Data Lines                              ")</f>
        <v xml:space="preserve">     Telephone/Data Lines                              </v>
      </c>
      <c r="C53" s="7"/>
      <c r="D53" s="1">
        <f>SUM(OSRRefD21_11x_0)</f>
        <v>450</v>
      </c>
      <c r="E53" s="19"/>
      <c r="F53" s="1">
        <f>SUM(OSRRefF21_11x_0)</f>
        <v>449.5</v>
      </c>
      <c r="G53" s="4"/>
      <c r="H53" s="1">
        <f>SUM(OSRRefH21_11x_0)</f>
        <v>450</v>
      </c>
      <c r="I53" s="4"/>
      <c r="J53" s="1">
        <f>SUM(OSRRefJ21_11x_0)</f>
        <v>472.5</v>
      </c>
      <c r="K53" s="4"/>
      <c r="L53" s="1">
        <f>SUM(OSRRefL21_11x_0)</f>
        <v>0</v>
      </c>
      <c r="M53" s="4"/>
      <c r="N53" s="1">
        <f>SUM(OSRRefN21_11x_0)</f>
        <v>0</v>
      </c>
      <c r="O53" s="4"/>
      <c r="P53" s="1">
        <f>SUM(OSRRefP21_11x_0)</f>
        <v>0</v>
      </c>
      <c r="Q53" s="4"/>
      <c r="R53" s="1">
        <f>SUM(OSRRefR21_11x_0)</f>
        <v>0</v>
      </c>
    </row>
    <row r="54" spans="1:18" s="16" customFormat="1" hidden="1" outlineLevel="2" x14ac:dyDescent="0.35">
      <c r="B54" s="11" t="str">
        <f>CONCATENATE("          ", "6309", " - ", "TELEPHONE")</f>
        <v xml:space="preserve">          6309 - TELEPHONE</v>
      </c>
      <c r="D54" s="2">
        <v>450</v>
      </c>
      <c r="F54" s="2">
        <v>449.5</v>
      </c>
      <c r="G54" s="3"/>
      <c r="H54" s="2">
        <v>450</v>
      </c>
      <c r="I54" s="3"/>
      <c r="J54" s="2">
        <v>472.5</v>
      </c>
      <c r="K54" s="3"/>
      <c r="L54" s="2"/>
      <c r="M54" s="3"/>
      <c r="N54" s="2"/>
      <c r="O54" s="3"/>
      <c r="P54" s="2"/>
      <c r="Q54" s="3"/>
      <c r="R54" s="2"/>
    </row>
    <row r="55" spans="1:18" s="15" customFormat="1" outlineLevel="1" collapsed="1" x14ac:dyDescent="0.35">
      <c r="A55" s="7"/>
      <c r="B55" s="20" t="str">
        <f>CONCATENATE("     ","Training                                          ")</f>
        <v xml:space="preserve">     Training                                          </v>
      </c>
      <c r="C55" s="7"/>
      <c r="D55" s="1">
        <f>SUM(OSRRefD21_12x_0)</f>
        <v>0</v>
      </c>
      <c r="E55" s="19"/>
      <c r="F55" s="1">
        <f>SUM(OSRRefF21_12x_0)</f>
        <v>80</v>
      </c>
      <c r="G55" s="4"/>
      <c r="H55" s="1">
        <f>SUM(OSRRefH21_12x_0)</f>
        <v>0</v>
      </c>
      <c r="I55" s="4"/>
      <c r="J55" s="1">
        <f>SUM(OSRRefJ21_12x_0)</f>
        <v>0</v>
      </c>
      <c r="K55" s="4"/>
      <c r="L55" s="1">
        <f>SUM(OSRRefL21_12x_0)</f>
        <v>0</v>
      </c>
      <c r="M55" s="4"/>
      <c r="N55" s="1">
        <f>SUM(OSRRefN21_12x_0)</f>
        <v>0</v>
      </c>
      <c r="O55" s="4"/>
      <c r="P55" s="1">
        <f>SUM(OSRRefP21_12x_0)</f>
        <v>0</v>
      </c>
      <c r="Q55" s="4"/>
      <c r="R55" s="1">
        <f>SUM(OSRRefR21_12x_0)</f>
        <v>0</v>
      </c>
    </row>
    <row r="56" spans="1:18" s="16" customFormat="1" hidden="1" outlineLevel="2" x14ac:dyDescent="0.35">
      <c r="B56" s="11" t="str">
        <f>CONCATENATE("          ", "6376", " - ", "TRAINING")</f>
        <v xml:space="preserve">          6376 - TRAINING</v>
      </c>
      <c r="D56" s="2"/>
      <c r="F56" s="2">
        <v>80</v>
      </c>
      <c r="G56" s="3"/>
      <c r="H56" s="2"/>
      <c r="I56" s="3"/>
      <c r="J56" s="2"/>
      <c r="K56" s="3"/>
      <c r="L56" s="2"/>
      <c r="M56" s="3"/>
      <c r="N56" s="2"/>
      <c r="O56" s="3"/>
      <c r="P56" s="2"/>
      <c r="Q56" s="3"/>
      <c r="R56" s="2"/>
    </row>
    <row r="57" spans="1:18" s="15" customFormat="1" outlineLevel="1" collapsed="1" x14ac:dyDescent="0.35">
      <c r="A57" s="7"/>
      <c r="B57" s="20" t="str">
        <f>CONCATENATE("     ","Travel                                            ")</f>
        <v xml:space="preserve">     Travel                                            </v>
      </c>
      <c r="C57" s="7"/>
      <c r="D57" s="1">
        <f>SUM(OSRRefD21_13x_0)</f>
        <v>0</v>
      </c>
      <c r="E57" s="19"/>
      <c r="F57" s="1">
        <f>SUM(OSRRefF21_13x_0)</f>
        <v>0</v>
      </c>
      <c r="G57" s="4"/>
      <c r="H57" s="1">
        <f>SUM(OSRRefH21_13x_0)</f>
        <v>331.76</v>
      </c>
      <c r="I57" s="4"/>
      <c r="J57" s="1">
        <f>SUM(OSRRefJ21_13x_0)</f>
        <v>0</v>
      </c>
      <c r="K57" s="4"/>
      <c r="L57" s="1">
        <f>SUM(OSRRefL21_13x_0)</f>
        <v>0</v>
      </c>
      <c r="M57" s="4"/>
      <c r="N57" s="1">
        <f>SUM(OSRRefN21_13x_0)</f>
        <v>0</v>
      </c>
      <c r="O57" s="4"/>
      <c r="P57" s="1">
        <f>SUM(OSRRefP21_13x_0)</f>
        <v>0</v>
      </c>
      <c r="Q57" s="4"/>
      <c r="R57" s="1">
        <f>SUM(OSRRefR21_13x_0)</f>
        <v>0</v>
      </c>
    </row>
    <row r="58" spans="1:18" s="16" customFormat="1" hidden="1" outlineLevel="2" x14ac:dyDescent="0.35">
      <c r="B58" s="11" t="str">
        <f>CONCATENATE("          ", "6294", " - ", "TRAVEL OPERATIONAL")</f>
        <v xml:space="preserve">          6294 - TRAVEL OPERATIONAL</v>
      </c>
      <c r="D58" s="2"/>
      <c r="F58" s="2"/>
      <c r="G58" s="3"/>
      <c r="H58" s="2">
        <v>331.76</v>
      </c>
      <c r="I58" s="3"/>
      <c r="J58" s="2"/>
      <c r="K58" s="3"/>
      <c r="L58" s="2"/>
      <c r="M58" s="3"/>
      <c r="N58" s="2"/>
      <c r="O58" s="3"/>
      <c r="P58" s="2"/>
      <c r="Q58" s="3"/>
      <c r="R58" s="2"/>
    </row>
    <row r="59" spans="1:18" x14ac:dyDescent="0.35">
      <c r="A59" s="12"/>
      <c r="B59" s="12"/>
      <c r="C59" s="12"/>
      <c r="D59" s="1"/>
      <c r="F59" s="1"/>
      <c r="H59" s="1"/>
      <c r="J59" s="1"/>
      <c r="L59" s="1"/>
      <c r="N59" s="1"/>
      <c r="P59" s="1"/>
      <c r="R59" s="1"/>
    </row>
    <row r="60" spans="1:18" s="7" customFormat="1" x14ac:dyDescent="0.35">
      <c r="A60" s="36"/>
      <c r="B60" s="34" t="s">
        <v>295</v>
      </c>
      <c r="D60" s="6">
        <f>SUM(0)</f>
        <v>0</v>
      </c>
      <c r="E60" s="12"/>
      <c r="F60" s="6">
        <f>SUM(0)</f>
        <v>0</v>
      </c>
      <c r="G60" s="5"/>
      <c r="H60" s="6">
        <f>SUM(0)</f>
        <v>0</v>
      </c>
      <c r="I60" s="5"/>
      <c r="J60" s="6">
        <f>SUM(0)</f>
        <v>0</v>
      </c>
      <c r="K60" s="5"/>
      <c r="L60" s="6">
        <f>SUM(0)</f>
        <v>0</v>
      </c>
      <c r="M60" s="5"/>
      <c r="N60" s="6">
        <f>SUM(0)</f>
        <v>0</v>
      </c>
      <c r="O60" s="5"/>
      <c r="P60" s="6">
        <f>SUM(0)</f>
        <v>0</v>
      </c>
      <c r="Q60" s="5"/>
      <c r="R60" s="6">
        <f>SUM(0)</f>
        <v>0</v>
      </c>
    </row>
    <row r="61" spans="1:18" x14ac:dyDescent="0.35">
      <c r="A61" s="12"/>
      <c r="B61" s="7"/>
      <c r="C61" s="7"/>
      <c r="D61" s="6"/>
      <c r="F61" s="6"/>
      <c r="H61" s="6"/>
      <c r="J61" s="6"/>
      <c r="L61" s="6"/>
      <c r="N61" s="6"/>
      <c r="P61" s="6"/>
      <c r="R61" s="6"/>
    </row>
    <row r="62" spans="1:18" s="15" customFormat="1" x14ac:dyDescent="0.35">
      <c r="A62" s="7"/>
      <c r="B62" s="22" t="s">
        <v>279</v>
      </c>
      <c r="C62" s="22"/>
      <c r="D62" s="10">
        <f>+D19-D22+D60</f>
        <v>-9554.73</v>
      </c>
      <c r="E62" s="12"/>
      <c r="F62" s="10">
        <f>+F19-F22+F60</f>
        <v>-22298.470000000005</v>
      </c>
      <c r="G62" s="5"/>
      <c r="H62" s="10">
        <f>+H19-H22+H60</f>
        <v>5054.0800000000054</v>
      </c>
      <c r="I62" s="5"/>
      <c r="J62" s="10">
        <f>+J19-J22+J60</f>
        <v>-16663.840000000004</v>
      </c>
      <c r="K62" s="5"/>
      <c r="L62" s="10">
        <f>+L19-L22+L60</f>
        <v>-11518.2</v>
      </c>
      <c r="M62" s="5"/>
      <c r="N62" s="10">
        <f>+N19-N22+N60</f>
        <v>0</v>
      </c>
      <c r="O62" s="5"/>
      <c r="P62" s="10">
        <f>+P19-P22+P60</f>
        <v>0</v>
      </c>
      <c r="Q62" s="5"/>
      <c r="R62" s="10">
        <f>+R19-R22+R60</f>
        <v>0</v>
      </c>
    </row>
    <row r="63" spans="1:18" s="27" customFormat="1" x14ac:dyDescent="0.35">
      <c r="A63" s="18"/>
      <c r="B63" s="31"/>
      <c r="C63" s="18"/>
      <c r="D63" s="9">
        <f>IFERROR(D62/D10, 0)</f>
        <v>-1.1926313148523304</v>
      </c>
      <c r="E63" s="18"/>
      <c r="F63" s="9">
        <f>IFERROR(F62/F10, 0)</f>
        <v>-1.6747608983342874</v>
      </c>
      <c r="G63" s="14"/>
      <c r="H63" s="9">
        <f>IFERROR(H62/H10, 0)</f>
        <v>0.1581392059810344</v>
      </c>
      <c r="I63" s="14"/>
      <c r="J63" s="9">
        <f>IFERROR(J62/J10, 0)</f>
        <v>-0.96036386290824094</v>
      </c>
      <c r="K63" s="14"/>
      <c r="L63" s="9">
        <f>IFERROR(L62/L10, 0)</f>
        <v>0</v>
      </c>
      <c r="M63" s="14"/>
      <c r="N63" s="9">
        <f>IFERROR(N62/N10, 0)</f>
        <v>0</v>
      </c>
      <c r="O63" s="14"/>
      <c r="P63" s="9">
        <f>IFERROR(P62/P10, 0)</f>
        <v>0</v>
      </c>
      <c r="Q63" s="14"/>
      <c r="R63" s="9">
        <f>IFERROR(R62/R10, 0)</f>
        <v>0</v>
      </c>
    </row>
    <row r="64" spans="1:18" s="27" customFormat="1" x14ac:dyDescent="0.35">
      <c r="A64" s="18"/>
      <c r="B64" s="31"/>
      <c r="C64" s="18"/>
      <c r="D64" s="13"/>
      <c r="E64" s="18"/>
      <c r="F64" s="13"/>
      <c r="G64" s="14"/>
      <c r="H64" s="13"/>
      <c r="I64" s="14"/>
      <c r="J64" s="13"/>
      <c r="K64" s="14"/>
      <c r="L64" s="13"/>
      <c r="M64" s="14"/>
      <c r="N64" s="13"/>
      <c r="O64" s="14"/>
      <c r="P64" s="13"/>
      <c r="Q64" s="14"/>
      <c r="R64" s="13"/>
    </row>
    <row r="65" spans="1:18" s="15" customFormat="1" x14ac:dyDescent="0.35">
      <c r="A65" s="37"/>
      <c r="B65" s="7" t="s">
        <v>127</v>
      </c>
      <c r="C65" s="7"/>
      <c r="D65" s="6">
        <v>1692.94</v>
      </c>
      <c r="E65" s="12"/>
      <c r="F65" s="6">
        <v>1895.4</v>
      </c>
      <c r="G65" s="5"/>
      <c r="H65" s="6">
        <v>4273.1899999999996</v>
      </c>
      <c r="I65" s="5"/>
      <c r="J65" s="6">
        <v>2328.8200000000002</v>
      </c>
      <c r="K65" s="5"/>
      <c r="L65" s="6"/>
      <c r="M65" s="5"/>
      <c r="N65" s="6"/>
      <c r="O65" s="5"/>
      <c r="P65" s="6"/>
      <c r="Q65" s="5"/>
      <c r="R65" s="6"/>
    </row>
    <row r="66" spans="1:18" x14ac:dyDescent="0.35">
      <c r="A66" s="12"/>
      <c r="B66" s="7"/>
      <c r="C66" s="7"/>
      <c r="D66" s="6"/>
      <c r="F66" s="6"/>
      <c r="H66" s="6"/>
      <c r="J66" s="6"/>
      <c r="L66" s="6"/>
      <c r="N66" s="6"/>
      <c r="P66" s="6"/>
      <c r="R66" s="6"/>
    </row>
    <row r="67" spans="1:18" s="15" customFormat="1" x14ac:dyDescent="0.35">
      <c r="A67" s="7"/>
      <c r="B67" s="22" t="s">
        <v>126</v>
      </c>
      <c r="C67" s="22"/>
      <c r="D67" s="10">
        <f>+D62-D65</f>
        <v>-11247.67</v>
      </c>
      <c r="E67" s="12"/>
      <c r="F67" s="10">
        <f>+F62-F65</f>
        <v>-24193.870000000006</v>
      </c>
      <c r="G67" s="5"/>
      <c r="H67" s="10">
        <f>+H62-H65</f>
        <v>780.89000000000578</v>
      </c>
      <c r="I67" s="5"/>
      <c r="J67" s="10">
        <f>+J62-J65</f>
        <v>-18992.660000000003</v>
      </c>
      <c r="K67" s="5"/>
      <c r="L67" s="10">
        <f>+L62-L65</f>
        <v>-11518.2</v>
      </c>
      <c r="M67" s="5"/>
      <c r="N67" s="10">
        <f>+N62-N65</f>
        <v>0</v>
      </c>
      <c r="O67" s="5"/>
      <c r="P67" s="10">
        <f>+P62-P65</f>
        <v>0</v>
      </c>
      <c r="Q67" s="5"/>
      <c r="R67" s="10">
        <f>+R62-R65</f>
        <v>0</v>
      </c>
    </row>
    <row r="68" spans="1:18" s="27" customFormat="1" x14ac:dyDescent="0.35">
      <c r="A68" s="18"/>
      <c r="B68" s="18"/>
      <c r="C68" s="18"/>
      <c r="D68" s="9">
        <f>IFERROR(D67/D10, 0)</f>
        <v>-1.4039458426481035</v>
      </c>
      <c r="E68" s="18"/>
      <c r="F68" s="9">
        <f>IFERROR(F67/F10, 0)</f>
        <v>-1.8171178316441878</v>
      </c>
      <c r="G68" s="14"/>
      <c r="H68" s="9">
        <f>IFERROR(H67/H10, 0)</f>
        <v>2.4433591189401579E-2</v>
      </c>
      <c r="I68" s="14"/>
      <c r="J68" s="9">
        <f>IFERROR(J67/J10, 0)</f>
        <v>-1.0945774998141382</v>
      </c>
      <c r="K68" s="14"/>
      <c r="L68" s="9">
        <f>IFERROR(L67/L10, 0)</f>
        <v>0</v>
      </c>
      <c r="M68" s="14"/>
      <c r="N68" s="9">
        <f>IFERROR(N67/N10, 0)</f>
        <v>0</v>
      </c>
      <c r="O68" s="14"/>
      <c r="P68" s="9">
        <f>IFERROR(P67/P10, 0)</f>
        <v>0</v>
      </c>
      <c r="Q68" s="14"/>
      <c r="R68" s="9">
        <f>IFERROR(R67/R10, 0)</f>
        <v>0</v>
      </c>
    </row>
    <row r="69" spans="1:18" s="27" customFormat="1" x14ac:dyDescent="0.35">
      <c r="A69" s="18"/>
      <c r="B69" s="18"/>
      <c r="C69" s="18"/>
      <c r="D69" s="13"/>
      <c r="E69" s="18"/>
      <c r="F69" s="13"/>
      <c r="G69" s="14"/>
      <c r="H69" s="13"/>
      <c r="I69" s="14"/>
      <c r="J69" s="13"/>
      <c r="K69" s="14"/>
      <c r="L69" s="13"/>
      <c r="M69" s="14"/>
      <c r="N69" s="13"/>
      <c r="O69" s="14"/>
      <c r="P69" s="13"/>
      <c r="Q69" s="14"/>
      <c r="R69" s="13"/>
    </row>
    <row r="70" spans="1:18" x14ac:dyDescent="0.35">
      <c r="A70" s="12"/>
      <c r="B70" s="12"/>
      <c r="C70" s="12"/>
      <c r="D70" s="6"/>
      <c r="F70" s="6"/>
      <c r="H70" s="6"/>
      <c r="J70" s="6"/>
      <c r="L70" s="6"/>
      <c r="N70" s="6"/>
      <c r="P70" s="6"/>
      <c r="R70" s="6"/>
    </row>
    <row r="71" spans="1:18" s="15" customFormat="1" x14ac:dyDescent="0.35">
      <c r="A71" s="7"/>
      <c r="B71" s="22" t="s">
        <v>296</v>
      </c>
      <c r="C71" s="22"/>
      <c r="D71" s="10">
        <f>SUM(D67:D70)</f>
        <v>-11249.073945842649</v>
      </c>
      <c r="E71" s="12"/>
      <c r="F71" s="10">
        <f>SUM(F67:F70)</f>
        <v>-24195.687117831651</v>
      </c>
      <c r="G71" s="5"/>
      <c r="H71" s="10">
        <f>SUM(H67:H70)</f>
        <v>780.91443359119523</v>
      </c>
      <c r="I71" s="5"/>
      <c r="J71" s="10">
        <f>SUM(J67:J70)</f>
        <v>-18993.754577499818</v>
      </c>
      <c r="K71" s="5"/>
      <c r="L71" s="10">
        <f>SUM(L67:L70)</f>
        <v>-11518.2</v>
      </c>
      <c r="M71" s="5"/>
      <c r="N71" s="10">
        <f>SUM(N67:N70)</f>
        <v>0</v>
      </c>
      <c r="O71" s="5"/>
      <c r="P71" s="10">
        <f>SUM(P67:P70)</f>
        <v>0</v>
      </c>
      <c r="Q71" s="5"/>
      <c r="R71" s="10">
        <f>SUM(R67:R70)</f>
        <v>0</v>
      </c>
    </row>
    <row r="72" spans="1:18" s="27" customFormat="1" x14ac:dyDescent="0.35">
      <c r="A72" s="18"/>
      <c r="B72" s="41"/>
      <c r="C72" s="18"/>
      <c r="D72" s="9">
        <f>IFERROR(D71/D10, 0)</f>
        <v>-1.4041210846252496</v>
      </c>
      <c r="E72" s="18"/>
      <c r="F72" s="9">
        <f>IFERROR(F71/F10, 0)</f>
        <v>-1.8172543090747963</v>
      </c>
      <c r="G72" s="14"/>
      <c r="H72" s="9">
        <f>IFERROR(H71/H10, 0)</f>
        <v>2.4434355702173432E-2</v>
      </c>
      <c r="I72" s="14"/>
      <c r="J72" s="9">
        <f>IFERROR(J71/J10, 0)</f>
        <v>-1.0946405820734479</v>
      </c>
      <c r="K72" s="14"/>
      <c r="L72" s="9">
        <f>IFERROR(L71/L10, 0)</f>
        <v>0</v>
      </c>
      <c r="M72" s="14"/>
      <c r="N72" s="9">
        <f>IFERROR(N71/N10, 0)</f>
        <v>0</v>
      </c>
      <c r="O72" s="14"/>
      <c r="P72" s="9">
        <f>IFERROR(P71/P10, 0)</f>
        <v>0</v>
      </c>
      <c r="Q72" s="14"/>
      <c r="R72" s="9">
        <f>IFERROR(R71/R10, 0)</f>
        <v>0</v>
      </c>
    </row>
    <row r="73" spans="1:18" x14ac:dyDescent="0.35">
      <c r="A73" s="12"/>
      <c r="B73" s="40">
        <v>44319.883572604165</v>
      </c>
      <c r="D73" s="24"/>
      <c r="F73" s="24"/>
      <c r="H73" s="24"/>
      <c r="J73" s="24"/>
      <c r="L73" s="24"/>
      <c r="N73" s="24"/>
      <c r="P73" s="24"/>
      <c r="R73" s="24"/>
    </row>
    <row r="74" spans="1:18" x14ac:dyDescent="0.35">
      <c r="A74" s="12"/>
      <c r="B74" s="39" t="s">
        <v>23</v>
      </c>
      <c r="D74" s="24"/>
      <c r="F74" s="24"/>
      <c r="H74" s="24"/>
      <c r="J74" s="24"/>
      <c r="L74" s="24"/>
      <c r="N74" s="24"/>
      <c r="P74" s="24"/>
      <c r="R74" s="24"/>
    </row>
    <row r="75" spans="1:18" x14ac:dyDescent="0.35">
      <c r="A75" s="12"/>
      <c r="D75" s="24"/>
      <c r="F75" s="24"/>
      <c r="H75" s="24"/>
      <c r="J75" s="24"/>
      <c r="L75" s="24"/>
      <c r="N75" s="24"/>
      <c r="P75" s="24"/>
      <c r="R75" s="24"/>
    </row>
    <row r="76" spans="1:18" x14ac:dyDescent="0.35">
      <c r="D76" s="24"/>
      <c r="F76" s="24"/>
      <c r="H76" s="24"/>
      <c r="J76" s="24"/>
      <c r="L76" s="24"/>
      <c r="N76" s="24"/>
      <c r="P76" s="24"/>
      <c r="R76" s="24"/>
    </row>
  </sheetData>
  <pageMargins left="0.5" right="0.5" top="0.5" bottom="0.5" header="0.3" footer="0.3"/>
  <pageSetup scale="5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23B64E-AD5E-4631-A014-1E7704A24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69385C-99A7-406C-995B-60154082B96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CA1BBD-3215-4954-A2E7-0B3ECE8DBE6F}">
  <ds:schemaRefs>
    <ds:schemaRef ds:uri="http://purl.org/dc/elements/1.1/"/>
    <ds:schemaRef ds:uri="http://schemas.microsoft.com/office/2006/metadata/properties"/>
    <ds:schemaRef ds:uri="05557802-9e22-4343-89e6-23a870bb8bdc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b1c68f9e-8917-40a5-b1cf-2a84506a7b0d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105</vt:i4>
      </vt:variant>
      <vt:variant>
        <vt:lpstr>Named Ranges</vt:lpstr>
      </vt:variant>
      <vt:variant>
        <vt:i4>10296</vt:i4>
      </vt:variant>
    </vt:vector>
  </HeadingPairs>
  <TitlesOfParts>
    <vt:vector size="10401" baseType="lpstr">
      <vt:lpstr>Interface</vt:lpstr>
      <vt:lpstr>DataSetting</vt:lpstr>
      <vt:lpstr>Summary</vt:lpstr>
      <vt:lpstr>OSR_Summary_18VAVWG</vt:lpstr>
      <vt:lpstr>OSR_Departme...d98832a7_1JM3RT2</vt:lpstr>
      <vt:lpstr>Div 1</vt:lpstr>
      <vt:lpstr>OSR_Div 1_7H47HR</vt:lpstr>
      <vt:lpstr>OSR_Departmen...8d60b0a9_LRO52K</vt:lpstr>
      <vt:lpstr>Div 2</vt:lpstr>
      <vt:lpstr>OSR_Div 2_1PQ800A</vt:lpstr>
      <vt:lpstr>OSR_Div 1 (2)...60d38de4_4QI4Q6</vt:lpstr>
      <vt:lpstr>Div 3</vt:lpstr>
      <vt:lpstr>OSR_Div 3_18723PH</vt:lpstr>
      <vt:lpstr>OSR_Div 2 (2)...83999c3b_3K6S7J</vt:lpstr>
      <vt:lpstr>Div 4</vt:lpstr>
      <vt:lpstr>OSR_Div 4_1740TMT</vt:lpstr>
      <vt:lpstr>OSR_Div 3 (2...16ef99b0_1BL531N</vt:lpstr>
      <vt:lpstr>300</vt:lpstr>
      <vt:lpstr>OSR_300_IYZXI6</vt:lpstr>
      <vt:lpstr>OSR_Div 6 (2)...8ec2597d_FX16B4</vt:lpstr>
      <vt:lpstr>300 &amp; 317</vt:lpstr>
      <vt:lpstr>OSR_300 &amp; 317_1C00ID4</vt:lpstr>
      <vt:lpstr>OSR_300 (2)_...965c358c_1J3CWC7</vt:lpstr>
      <vt:lpstr>310</vt:lpstr>
      <vt:lpstr>OSR_310_1CMTOSB</vt:lpstr>
      <vt:lpstr>OSR_300 (3)_8...a19059e2_MZASHR</vt:lpstr>
      <vt:lpstr>330</vt:lpstr>
      <vt:lpstr>OSR_330_10VFP5Y</vt:lpstr>
      <vt:lpstr>OSR_300 (4)_...b24ffd57_12811NH</vt:lpstr>
      <vt:lpstr>308</vt:lpstr>
      <vt:lpstr>OSR_308_UAWDAG</vt:lpstr>
      <vt:lpstr>OSR_300 (5)_...3c335af5_106IST9</vt:lpstr>
      <vt:lpstr>331</vt:lpstr>
      <vt:lpstr>OSR_331_10VKQAJ</vt:lpstr>
      <vt:lpstr>OSR_308 (2)_...ebdcc348_1P8CHWV</vt:lpstr>
      <vt:lpstr>332</vt:lpstr>
      <vt:lpstr>OSR_332_6NDVBW</vt:lpstr>
      <vt:lpstr>OSR_308 (3)_4...2ed67dc6_RAY0OL</vt:lpstr>
      <vt:lpstr>310 &amp; 491</vt:lpstr>
      <vt:lpstr>OSR_310 &amp; 491_1NGRCS9</vt:lpstr>
      <vt:lpstr>OSR_300 &amp; 31...1409328e_1O9UKA8</vt:lpstr>
      <vt:lpstr>491</vt:lpstr>
      <vt:lpstr>OSR_491_9Z9JH5</vt:lpstr>
      <vt:lpstr>OSR_332 (2)_3...e34ec29d_JLRJT1</vt:lpstr>
      <vt:lpstr>492</vt:lpstr>
      <vt:lpstr>OSR_492_943FP1</vt:lpstr>
      <vt:lpstr>OSR_332 (3)_...44c206a1_1CYBES5</vt:lpstr>
      <vt:lpstr>Div 5</vt:lpstr>
      <vt:lpstr>OSR_Div 5_16NAZO2</vt:lpstr>
      <vt:lpstr>OSR_Div 4 (2)...0760b92d_E0ZNFF</vt:lpstr>
      <vt:lpstr>Div 6</vt:lpstr>
      <vt:lpstr>OSR_Div 6_P37YY7</vt:lpstr>
      <vt:lpstr>OSR_Div 5 (2...5289d0b0_1IZM0LI</vt:lpstr>
      <vt:lpstr>100</vt:lpstr>
      <vt:lpstr>200</vt:lpstr>
      <vt:lpstr>201</vt:lpstr>
      <vt:lpstr>202</vt:lpstr>
      <vt:lpstr>203</vt:lpstr>
      <vt:lpstr>204</vt:lpstr>
      <vt:lpstr>205</vt:lpstr>
      <vt:lpstr>206</vt:lpstr>
      <vt:lpstr>301</vt:lpstr>
      <vt:lpstr>306</vt:lpstr>
      <vt:lpstr>307</vt:lpstr>
      <vt:lpstr>309</vt:lpstr>
      <vt:lpstr>311</vt:lpstr>
      <vt:lpstr>312</vt:lpstr>
      <vt:lpstr>313</vt:lpstr>
      <vt:lpstr>314</vt:lpstr>
      <vt:lpstr>315</vt:lpstr>
      <vt:lpstr>316</vt:lpstr>
      <vt:lpstr>317</vt:lpstr>
      <vt:lpstr>318</vt:lpstr>
      <vt:lpstr>320</vt:lpstr>
      <vt:lpstr>321</vt:lpstr>
      <vt:lpstr>322</vt:lpstr>
      <vt:lpstr>323</vt:lpstr>
      <vt:lpstr>324</vt:lpstr>
      <vt:lpstr>325</vt:lpstr>
      <vt:lpstr>326</vt:lpstr>
      <vt:lpstr>327</vt:lpstr>
      <vt:lpstr>335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430</vt:lpstr>
      <vt:lpstr>433</vt:lpstr>
      <vt:lpstr>435</vt:lpstr>
      <vt:lpstr>444</vt:lpstr>
      <vt:lpstr>445</vt:lpstr>
      <vt:lpstr>450</vt:lpstr>
      <vt:lpstr>455</vt:lpstr>
      <vt:lpstr>501</vt:lpstr>
      <vt:lpstr>Department</vt:lpstr>
      <vt:lpstr>OSR_Department_111BY5M</vt:lpstr>
      <vt:lpstr>OSR_Summary (...49b95efc_FG4FCN</vt:lpstr>
      <vt:lpstr>'201'!OSRRefD11x_0</vt:lpstr>
      <vt:lpstr>'202'!OSRRefD11x_0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'312'!OSRRefD11x_0</vt:lpstr>
      <vt:lpstr>'313'!OSRRefD11x_0</vt:lpstr>
      <vt:lpstr>'314'!OSRRefD11x_0</vt:lpstr>
      <vt:lpstr>'315'!OSRRefD11x_0</vt:lpstr>
      <vt:lpstr>'316'!OSRRefD11x_0</vt:lpstr>
      <vt:lpstr>'317'!OSRRefD11x_0</vt:lpstr>
      <vt:lpstr>'320'!OSRRefD11x_0</vt:lpstr>
      <vt:lpstr>'321'!OSRRefD11x_0</vt:lpstr>
      <vt:lpstr>'322'!OSRRefD11x_0</vt:lpstr>
      <vt:lpstr>'323'!OSRRefD11x_0</vt:lpstr>
      <vt:lpstr>'324'!OSRRefD11x_0</vt:lpstr>
      <vt:lpstr>'325'!OSRRefD11x_0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'406'!OSRRefD11x_0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'424'!OSRRefD11x_0</vt:lpstr>
      <vt:lpstr>'425'!OSRRefD11x_0</vt:lpstr>
      <vt:lpstr>'433'!OSRRefD11x_0</vt:lpstr>
      <vt:lpstr>'435'!OSRRefD11x_0</vt:lpstr>
      <vt:lpstr>'444'!OSRRefD11x_0</vt:lpstr>
      <vt:lpstr>'445'!OSRRefD11x_0</vt:lpstr>
      <vt:lpstr>'450'!OSRRefD11x_0</vt:lpstr>
      <vt:lpstr>'491'!OSRRefD11x_0</vt:lpstr>
      <vt:lpstr>'492'!OSRRefD11x_0</vt:lpstr>
      <vt:lpstr>'501'!OSRRefD11x_0</vt:lpstr>
      <vt:lpstr>'Div 2'!OSRRefD11x_0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'312'!OSRRefD14x_0</vt:lpstr>
      <vt:lpstr>'313'!OSRRefD14x_0</vt:lpstr>
      <vt:lpstr>'314'!OSRRefD14x_0</vt:lpstr>
      <vt:lpstr>'315'!OSRRefD14x_0</vt:lpstr>
      <vt:lpstr>'316'!OSRRefD14x_0</vt:lpstr>
      <vt:lpstr>'317'!OSRRefD14x_0</vt:lpstr>
      <vt:lpstr>'320'!OSRRefD14x_0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'332'!OSRRefD14x_0</vt:lpstr>
      <vt:lpstr>'405'!OSRRefD14x_0</vt:lpstr>
      <vt:lpstr>'406'!OSRRefD14x_0</vt:lpstr>
      <vt:lpstr>'412'!OSRRefD14x_0</vt:lpstr>
      <vt:lpstr>'413'!OSRRefD14x_0</vt:lpstr>
      <vt:lpstr>'414'!OSRRefD14x_0</vt:lpstr>
      <vt:lpstr>'415'!OSRRefD14x_0</vt:lpstr>
      <vt:lpstr>'418'!OSRRefD14x_0</vt:lpstr>
      <vt:lpstr>'420'!OSRRefD14x_0</vt:lpstr>
      <vt:lpstr>'423'!OSRRefD14x_0</vt:lpstr>
      <vt:lpstr>'424'!OSRRefD14x_0</vt:lpstr>
      <vt:lpstr>'425'!OSRRefD14x_0</vt:lpstr>
      <vt:lpstr>'433'!OSRRefD14x_0</vt:lpstr>
      <vt:lpstr>'435'!OSRRefD14x_0</vt:lpstr>
      <vt:lpstr>'444'!OSRRefD14x_0</vt:lpstr>
      <vt:lpstr>'445'!OSRRefD14x_0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'306'!OSRRefD21_0x_0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'312'!OSRRefD21_0x_0</vt:lpstr>
      <vt:lpstr>'313'!OSRRefD21_0x_0</vt:lpstr>
      <vt:lpstr>'314'!OSRRefD21_0x_0</vt:lpstr>
      <vt:lpstr>'315'!OSRRefD21_0x_0</vt:lpstr>
      <vt:lpstr>'316'!OSRRefD21_0x_0</vt:lpstr>
      <vt:lpstr>'317'!OSRRefD21_0x_0</vt:lpstr>
      <vt:lpstr>'318'!OSRRefD21_0x_0</vt:lpstr>
      <vt:lpstr>'320'!OSRRefD21_0x_0</vt:lpstr>
      <vt:lpstr>'321'!OSRRefD21_0x_0</vt:lpstr>
      <vt:lpstr>'322'!OSRRefD21_0x_0</vt:lpstr>
      <vt:lpstr>'323'!OSRRefD21_0x_0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'335'!OSRRefD21_0x_0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'445'!OSRRefD21_0x_0</vt:lpstr>
      <vt:lpstr>'450'!OSRRefD21_0x_0</vt:lpstr>
      <vt:lpstr>'455'!OSRRefD21_0x_0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'201'!OSRRefD21_10x_0</vt:lpstr>
      <vt:lpstr>'202'!OSRRefD21_10x_0</vt:lpstr>
      <vt:lpstr>'203'!OSRRefD21_10x_0</vt:lpstr>
      <vt:lpstr>'204'!OSRRefD21_10x_0</vt:lpstr>
      <vt:lpstr>'206'!OSRRefD21_10x_0</vt:lpstr>
      <vt:lpstr>'300'!OSRRefD21_10x_0</vt:lpstr>
      <vt:lpstr>'300 &amp; 317'!OSRRefD21_10x_0</vt:lpstr>
      <vt:lpstr>'301'!OSRRefD21_10x_0</vt:lpstr>
      <vt:lpstr>'306'!OSRRefD21_10x_0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'313'!OSRRefD21_10x_0</vt:lpstr>
      <vt:lpstr>'314'!OSRRefD21_10x_0</vt:lpstr>
      <vt:lpstr>'315'!OSRRefD21_10x_0</vt:lpstr>
      <vt:lpstr>'316'!OSRRefD21_10x_0</vt:lpstr>
      <vt:lpstr>'317'!OSRRefD21_10x_0</vt:lpstr>
      <vt:lpstr>'320'!OSRRefD21_10x_0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'406'!OSRRefD21_10x_0</vt:lpstr>
      <vt:lpstr>'411'!OSRRefD21_10x_0</vt:lpstr>
      <vt:lpstr>'412'!OSRRefD21_10x_0</vt:lpstr>
      <vt:lpstr>'413'!OSRRefD21_10x_0</vt:lpstr>
      <vt:lpstr>'414'!OSRRefD21_10x_0</vt:lpstr>
      <vt:lpstr>'415'!OSRRefD21_10x_0</vt:lpstr>
      <vt:lpstr>'418'!OSRRefD21_10x_0</vt:lpstr>
      <vt:lpstr>'423'!OSRRefD21_10x_0</vt:lpstr>
      <vt:lpstr>'424'!OSRRefD21_10x_0</vt:lpstr>
      <vt:lpstr>'425'!OSRRefD21_10x_0</vt:lpstr>
      <vt:lpstr>'430'!OSRRefD21_10x_0</vt:lpstr>
      <vt:lpstr>'433'!OSRRefD21_10x_0</vt:lpstr>
      <vt:lpstr>'435'!OSRRefD21_10x_0</vt:lpstr>
      <vt:lpstr>'444'!OSRRefD21_10x_0</vt:lpstr>
      <vt:lpstr>'445'!OSRRefD21_10x_0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'201'!OSRRefD21_11x_0</vt:lpstr>
      <vt:lpstr>'202'!OSRRefD21_11x_0</vt:lpstr>
      <vt:lpstr>'203'!OSRRefD21_11x_0</vt:lpstr>
      <vt:lpstr>'204'!OSRRefD21_11x_0</vt:lpstr>
      <vt:lpstr>'206'!OSRRefD21_11x_0</vt:lpstr>
      <vt:lpstr>'300'!OSRRefD21_11x_0</vt:lpstr>
      <vt:lpstr>'300 &amp; 317'!OSRRefD21_11x_0</vt:lpstr>
      <vt:lpstr>'301'!OSRRefD21_11x_0</vt:lpstr>
      <vt:lpstr>'306'!OSRRefD21_11x_0</vt:lpstr>
      <vt:lpstr>'307'!OSRRefD21_11x_0</vt:lpstr>
      <vt:lpstr>'308'!OSRRefD21_11x_0</vt:lpstr>
      <vt:lpstr>'309'!OSRRefD21_11x_0</vt:lpstr>
      <vt:lpstr>'310'!OSRRefD21_11x_0</vt:lpstr>
      <vt:lpstr>'310 &amp; 491'!OSRRefD21_11x_0</vt:lpstr>
      <vt:lpstr>'311'!OSRRefD21_11x_0</vt:lpstr>
      <vt:lpstr>'313'!OSRRefD21_11x_0</vt:lpstr>
      <vt:lpstr>'314'!OSRRefD21_11x_0</vt:lpstr>
      <vt:lpstr>'315'!OSRRefD21_11x_0</vt:lpstr>
      <vt:lpstr>'316'!OSRRefD21_11x_0</vt:lpstr>
      <vt:lpstr>'317'!OSRRefD21_11x_0</vt:lpstr>
      <vt:lpstr>'320'!OSRRefD21_11x_0</vt:lpstr>
      <vt:lpstr>'321'!OSRRefD21_11x_0</vt:lpstr>
      <vt:lpstr>'322'!OSRRefD21_11x_0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'406'!OSRRefD21_11x_0</vt:lpstr>
      <vt:lpstr>'411'!OSRRefD21_11x_0</vt:lpstr>
      <vt:lpstr>'412'!OSRRefD21_11x_0</vt:lpstr>
      <vt:lpstr>'413'!OSRRefD21_11x_0</vt:lpstr>
      <vt:lpstr>'414'!OSRRefD21_11x_0</vt:lpstr>
      <vt:lpstr>'415'!OSRRefD21_11x_0</vt:lpstr>
      <vt:lpstr>'418'!OSRRefD21_11x_0</vt:lpstr>
      <vt:lpstr>'423'!OSRRefD21_11x_0</vt:lpstr>
      <vt:lpstr>'424'!OSRRefD21_11x_0</vt:lpstr>
      <vt:lpstr>'425'!OSRRefD21_11x_0</vt:lpstr>
      <vt:lpstr>'430'!OSRRefD21_11x_0</vt:lpstr>
      <vt:lpstr>'433'!OSRRefD21_11x_0</vt:lpstr>
      <vt:lpstr>'435'!OSRRefD21_11x_0</vt:lpstr>
      <vt:lpstr>'444'!OSRRefD21_11x_0</vt:lpstr>
      <vt:lpstr>'445'!OSRRefD21_11x_0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'201'!OSRRefD21_12x_0</vt:lpstr>
      <vt:lpstr>'202'!OSRRefD21_12x_0</vt:lpstr>
      <vt:lpstr>'203'!OSRRefD21_12x_0</vt:lpstr>
      <vt:lpstr>'204'!OSRRefD21_12x_0</vt:lpstr>
      <vt:lpstr>'206'!OSRRefD21_12x_0</vt:lpstr>
      <vt:lpstr>'300'!OSRRefD21_12x_0</vt:lpstr>
      <vt:lpstr>'300 &amp; 317'!OSRRefD21_12x_0</vt:lpstr>
      <vt:lpstr>'301'!OSRRefD21_12x_0</vt:lpstr>
      <vt:lpstr>'306'!OSRRefD21_12x_0</vt:lpstr>
      <vt:lpstr>'307'!OSRRefD21_12x_0</vt:lpstr>
      <vt:lpstr>'308'!OSRRefD21_12x_0</vt:lpstr>
      <vt:lpstr>'309'!OSRRefD21_12x_0</vt:lpstr>
      <vt:lpstr>'310'!OSRRefD21_12x_0</vt:lpstr>
      <vt:lpstr>'310 &amp; 491'!OSRRefD21_12x_0</vt:lpstr>
      <vt:lpstr>'311'!OSRRefD21_12x_0</vt:lpstr>
      <vt:lpstr>'313'!OSRRefD21_12x_0</vt:lpstr>
      <vt:lpstr>'314'!OSRRefD21_12x_0</vt:lpstr>
      <vt:lpstr>'315'!OSRRefD21_12x_0</vt:lpstr>
      <vt:lpstr>'316'!OSRRefD21_12x_0</vt:lpstr>
      <vt:lpstr>'317'!OSRRefD21_12x_0</vt:lpstr>
      <vt:lpstr>'320'!OSRRefD21_12x_0</vt:lpstr>
      <vt:lpstr>'321'!OSRRefD21_12x_0</vt:lpstr>
      <vt:lpstr>'322'!OSRRefD21_12x_0</vt:lpstr>
      <vt:lpstr>'325'!OSRRefD21_12x_0</vt:lpstr>
      <vt:lpstr>'326'!OSRRefD21_12x_0</vt:lpstr>
      <vt:lpstr>'330'!OSRRefD21_12x_0</vt:lpstr>
      <vt:lpstr>'331'!OSRRefD21_12x_0</vt:lpstr>
      <vt:lpstr>'332'!OSRRefD21_12x_0</vt:lpstr>
      <vt:lpstr>'405'!OSRRefD21_12x_0</vt:lpstr>
      <vt:lpstr>'406'!OSRRefD21_12x_0</vt:lpstr>
      <vt:lpstr>'411'!OSRRefD21_12x_0</vt:lpstr>
      <vt:lpstr>'412'!OSRRefD21_12x_0</vt:lpstr>
      <vt:lpstr>'413'!OSRRefD21_12x_0</vt:lpstr>
      <vt:lpstr>'414'!OSRRefD21_12x_0</vt:lpstr>
      <vt:lpstr>'415'!OSRRefD21_12x_0</vt:lpstr>
      <vt:lpstr>'418'!OSRRefD21_12x_0</vt:lpstr>
      <vt:lpstr>'423'!OSRRefD21_12x_0</vt:lpstr>
      <vt:lpstr>'424'!OSRRefD21_12x_0</vt:lpstr>
      <vt:lpstr>'425'!OSRRefD21_12x_0</vt:lpstr>
      <vt:lpstr>'433'!OSRRefD21_12x_0</vt:lpstr>
      <vt:lpstr>'435'!OSRRefD21_12x_0</vt:lpstr>
      <vt:lpstr>'444'!OSRRefD21_12x_0</vt:lpstr>
      <vt:lpstr>'445'!OSRRefD21_12x_0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'201'!OSRRefD21_13x_0</vt:lpstr>
      <vt:lpstr>'202'!OSRRefD21_13x_0</vt:lpstr>
      <vt:lpstr>'203'!OSRRefD21_13x_0</vt:lpstr>
      <vt:lpstr>'204'!OSRRefD21_13x_0</vt:lpstr>
      <vt:lpstr>'300'!OSRRefD21_13x_0</vt:lpstr>
      <vt:lpstr>'300 &amp; 317'!OSRRefD21_13x_0</vt:lpstr>
      <vt:lpstr>'301'!OSRRefD21_13x_0</vt:lpstr>
      <vt:lpstr>'307'!OSRRefD21_13x_0</vt:lpstr>
      <vt:lpstr>'308'!OSRRefD21_13x_0</vt:lpstr>
      <vt:lpstr>'309'!OSRRefD21_13x_0</vt:lpstr>
      <vt:lpstr>'310'!OSRRefD21_13x_0</vt:lpstr>
      <vt:lpstr>'310 &amp; 491'!OSRRefD21_13x_0</vt:lpstr>
      <vt:lpstr>'311'!OSRRefD21_13x_0</vt:lpstr>
      <vt:lpstr>'313'!OSRRefD21_13x_0</vt:lpstr>
      <vt:lpstr>'314'!OSRRefD21_13x_0</vt:lpstr>
      <vt:lpstr>'315'!OSRRefD21_13x_0</vt:lpstr>
      <vt:lpstr>'316'!OSRRefD21_13x_0</vt:lpstr>
      <vt:lpstr>'317'!OSRRefD21_13x_0</vt:lpstr>
      <vt:lpstr>'321'!OSRRefD21_13x_0</vt:lpstr>
      <vt:lpstr>'322'!OSRRefD21_13x_0</vt:lpstr>
      <vt:lpstr>'325'!OSRRefD21_13x_0</vt:lpstr>
      <vt:lpstr>'326'!OSRRefD21_13x_0</vt:lpstr>
      <vt:lpstr>'330'!OSRRefD21_13x_0</vt:lpstr>
      <vt:lpstr>'331'!OSRRefD21_13x_0</vt:lpstr>
      <vt:lpstr>'332'!OSRRefD21_13x_0</vt:lpstr>
      <vt:lpstr>'405'!OSRRefD21_13x_0</vt:lpstr>
      <vt:lpstr>'406'!OSRRefD21_13x_0</vt:lpstr>
      <vt:lpstr>'411'!OSRRefD21_13x_0</vt:lpstr>
      <vt:lpstr>'412'!OSRRefD21_13x_0</vt:lpstr>
      <vt:lpstr>'413'!OSRRefD21_13x_0</vt:lpstr>
      <vt:lpstr>'414'!OSRRefD21_13x_0</vt:lpstr>
      <vt:lpstr>'415'!OSRRefD21_13x_0</vt:lpstr>
      <vt:lpstr>'418'!OSRRefD21_13x_0</vt:lpstr>
      <vt:lpstr>'424'!OSRRefD21_13x_0</vt:lpstr>
      <vt:lpstr>'425'!OSRRefD21_13x_0</vt:lpstr>
      <vt:lpstr>'433'!OSRRefD21_13x_0</vt:lpstr>
      <vt:lpstr>'435'!OSRRefD21_13x_0</vt:lpstr>
      <vt:lpstr>'444'!OSRRefD21_13x_0</vt:lpstr>
      <vt:lpstr>'445'!OSRRefD21_13x_0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'Div 6'!OSRRefD21_13x_0</vt:lpstr>
      <vt:lpstr>Summary!OSRRefD21_13x_0</vt:lpstr>
      <vt:lpstr>'201'!OSRRefD21_14x_0</vt:lpstr>
      <vt:lpstr>'202'!OSRRefD21_14x_0</vt:lpstr>
      <vt:lpstr>'203'!OSRRefD21_14x_0</vt:lpstr>
      <vt:lpstr>'300'!OSRRefD21_14x_0</vt:lpstr>
      <vt:lpstr>'300 &amp; 317'!OSRRefD21_14x_0</vt:lpstr>
      <vt:lpstr>'301'!OSRRefD21_14x_0</vt:lpstr>
      <vt:lpstr>'307'!OSRRefD21_14x_0</vt:lpstr>
      <vt:lpstr>'308'!OSRRefD21_14x_0</vt:lpstr>
      <vt:lpstr>'309'!OSRRefD21_14x_0</vt:lpstr>
      <vt:lpstr>'310'!OSRRefD21_14x_0</vt:lpstr>
      <vt:lpstr>'310 &amp; 491'!OSRRefD21_14x_0</vt:lpstr>
      <vt:lpstr>'311'!OSRRefD21_14x_0</vt:lpstr>
      <vt:lpstr>'313'!OSRRefD21_14x_0</vt:lpstr>
      <vt:lpstr>'315'!OSRRefD21_14x_0</vt:lpstr>
      <vt:lpstr>'316'!OSRRefD21_14x_0</vt:lpstr>
      <vt:lpstr>'317'!OSRRefD21_14x_0</vt:lpstr>
      <vt:lpstr>'321'!OSRRefD21_14x_0</vt:lpstr>
      <vt:lpstr>'322'!OSRRefD21_14x_0</vt:lpstr>
      <vt:lpstr>'325'!OSRRefD21_14x_0</vt:lpstr>
      <vt:lpstr>'326'!OSRRefD21_14x_0</vt:lpstr>
      <vt:lpstr>'330'!OSRRefD21_14x_0</vt:lpstr>
      <vt:lpstr>'331'!OSRRefD21_14x_0</vt:lpstr>
      <vt:lpstr>'332'!OSRRefD21_14x_0</vt:lpstr>
      <vt:lpstr>'405'!OSRRefD21_14x_0</vt:lpstr>
      <vt:lpstr>'406'!OSRRefD21_14x_0</vt:lpstr>
      <vt:lpstr>'411'!OSRRefD21_14x_0</vt:lpstr>
      <vt:lpstr>'412'!OSRRefD21_14x_0</vt:lpstr>
      <vt:lpstr>'414'!OSRRefD21_14x_0</vt:lpstr>
      <vt:lpstr>'415'!OSRRefD21_14x_0</vt:lpstr>
      <vt:lpstr>'418'!OSRRefD21_14x_0</vt:lpstr>
      <vt:lpstr>'425'!OSRRefD21_14x_0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'501'!OSRRefD21_14x_0</vt:lpstr>
      <vt:lpstr>'Div 2'!OSRRefD21_14x_0</vt:lpstr>
      <vt:lpstr>'Div 3'!OSRRefD21_14x_0</vt:lpstr>
      <vt:lpstr>'Div 4'!OSRRefD21_14x_0</vt:lpstr>
      <vt:lpstr>'Div 5'!OSRRefD21_14x_0</vt:lpstr>
      <vt:lpstr>'Div 6'!OSRRefD21_14x_0</vt:lpstr>
      <vt:lpstr>Summary!OSRRefD21_14x_0</vt:lpstr>
      <vt:lpstr>'201'!OSRRefD21_15x_0</vt:lpstr>
      <vt:lpstr>'202'!OSRRefD21_15x_0</vt:lpstr>
      <vt:lpstr>'203'!OSRRefD21_15x_0</vt:lpstr>
      <vt:lpstr>'300'!OSRRefD21_15x_0</vt:lpstr>
      <vt:lpstr>'300 &amp; 317'!OSRRefD21_15x_0</vt:lpstr>
      <vt:lpstr>'301'!OSRRefD21_15x_0</vt:lpstr>
      <vt:lpstr>'307'!OSRRefD21_15x_0</vt:lpstr>
      <vt:lpstr>'308'!OSRRefD21_15x_0</vt:lpstr>
      <vt:lpstr>'309'!OSRRefD21_15x_0</vt:lpstr>
      <vt:lpstr>'310'!OSRRefD21_15x_0</vt:lpstr>
      <vt:lpstr>'310 &amp; 491'!OSRRefD21_15x_0</vt:lpstr>
      <vt:lpstr>'311'!OSRRefD21_15x_0</vt:lpstr>
      <vt:lpstr>'313'!OSRRefD21_15x_0</vt:lpstr>
      <vt:lpstr>'315'!OSRRefD21_15x_0</vt:lpstr>
      <vt:lpstr>'316'!OSRRefD21_15x_0</vt:lpstr>
      <vt:lpstr>'317'!OSRRefD21_15x_0</vt:lpstr>
      <vt:lpstr>'321'!OSRRefD21_15x_0</vt:lpstr>
      <vt:lpstr>'322'!OSRRefD21_15x_0</vt:lpstr>
      <vt:lpstr>'325'!OSRRefD21_15x_0</vt:lpstr>
      <vt:lpstr>'326'!OSRRefD21_15x_0</vt:lpstr>
      <vt:lpstr>'330'!OSRRefD21_15x_0</vt:lpstr>
      <vt:lpstr>'331'!OSRRefD21_15x_0</vt:lpstr>
      <vt:lpstr>'332'!OSRRefD21_15x_0</vt:lpstr>
      <vt:lpstr>'405'!OSRRefD21_15x_0</vt:lpstr>
      <vt:lpstr>'406'!OSRRefD21_15x_0</vt:lpstr>
      <vt:lpstr>'411'!OSRRefD21_15x_0</vt:lpstr>
      <vt:lpstr>'412'!OSRRefD21_15x_0</vt:lpstr>
      <vt:lpstr>'414'!OSRRefD21_15x_0</vt:lpstr>
      <vt:lpstr>'415'!OSRRefD21_15x_0</vt:lpstr>
      <vt:lpstr>'418'!OSRRefD21_15x_0</vt:lpstr>
      <vt:lpstr>'425'!OSRRefD21_15x_0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'501'!OSRRefD21_15x_0</vt:lpstr>
      <vt:lpstr>'Div 2'!OSRRefD21_15x_0</vt:lpstr>
      <vt:lpstr>'Div 3'!OSRRefD21_15x_0</vt:lpstr>
      <vt:lpstr>'Div 4'!OSRRefD21_15x_0</vt:lpstr>
      <vt:lpstr>'Div 5'!OSRRefD21_15x_0</vt:lpstr>
      <vt:lpstr>'Div 6'!OSRRefD21_15x_0</vt:lpstr>
      <vt:lpstr>Summary!OSRRefD21_15x_0</vt:lpstr>
      <vt:lpstr>'201'!OSRRefD21_16x_0</vt:lpstr>
      <vt:lpstr>'202'!OSRRefD21_16x_0</vt:lpstr>
      <vt:lpstr>'300'!OSRRefD21_16x_0</vt:lpstr>
      <vt:lpstr>'300 &amp; 317'!OSRRefD21_16x_0</vt:lpstr>
      <vt:lpstr>'301'!OSRRefD21_16x_0</vt:lpstr>
      <vt:lpstr>'307'!OSRRefD21_16x_0</vt:lpstr>
      <vt:lpstr>'308'!OSRRefD21_16x_0</vt:lpstr>
      <vt:lpstr>'309'!OSRRefD21_16x_0</vt:lpstr>
      <vt:lpstr>'310'!OSRRefD21_16x_0</vt:lpstr>
      <vt:lpstr>'310 &amp; 491'!OSRRefD21_16x_0</vt:lpstr>
      <vt:lpstr>'311'!OSRRefD21_16x_0</vt:lpstr>
      <vt:lpstr>'313'!OSRRefD21_16x_0</vt:lpstr>
      <vt:lpstr>'315'!OSRRefD21_16x_0</vt:lpstr>
      <vt:lpstr>'321'!OSRRefD21_16x_0</vt:lpstr>
      <vt:lpstr>'322'!OSRRefD21_16x_0</vt:lpstr>
      <vt:lpstr>'325'!OSRRefD21_16x_0</vt:lpstr>
      <vt:lpstr>'326'!OSRRefD21_16x_0</vt:lpstr>
      <vt:lpstr>'330'!OSRRefD21_16x_0</vt:lpstr>
      <vt:lpstr>'331'!OSRRefD21_16x_0</vt:lpstr>
      <vt:lpstr>'332'!OSRRefD21_16x_0</vt:lpstr>
      <vt:lpstr>'405'!OSRRefD21_16x_0</vt:lpstr>
      <vt:lpstr>'406'!OSRRefD21_16x_0</vt:lpstr>
      <vt:lpstr>'411'!OSRRefD21_16x_0</vt:lpstr>
      <vt:lpstr>'412'!OSRRefD21_16x_0</vt:lpstr>
      <vt:lpstr>'414'!OSRRefD21_16x_0</vt:lpstr>
      <vt:lpstr>'415'!OSRRefD21_16x_0</vt:lpstr>
      <vt:lpstr>'418'!OSRRefD21_16x_0</vt:lpstr>
      <vt:lpstr>'425'!OSRRefD21_16x_0</vt:lpstr>
      <vt:lpstr>'433'!OSRRefD21_16x_0</vt:lpstr>
      <vt:lpstr>'444'!OSRRefD21_16x_0</vt:lpstr>
      <vt:lpstr>'450'!OSRRefD21_16x_0</vt:lpstr>
      <vt:lpstr>'491'!OSRRefD21_16x_0</vt:lpstr>
      <vt:lpstr>'492'!OSRRefD21_16x_0</vt:lpstr>
      <vt:lpstr>'501'!OSRRefD21_16x_0</vt:lpstr>
      <vt:lpstr>'Div 2'!OSRRefD21_16x_0</vt:lpstr>
      <vt:lpstr>'Div 3'!OSRRefD21_16x_0</vt:lpstr>
      <vt:lpstr>'Div 4'!OSRRefD21_16x_0</vt:lpstr>
      <vt:lpstr>'Div 5'!OSRRefD21_16x_0</vt:lpstr>
      <vt:lpstr>Summary!OSRRefD21_16x_0</vt:lpstr>
      <vt:lpstr>'201'!OSRRefD21_17x_0</vt:lpstr>
      <vt:lpstr>'300'!OSRRefD21_17x_0</vt:lpstr>
      <vt:lpstr>'300 &amp; 317'!OSRRefD21_17x_0</vt:lpstr>
      <vt:lpstr>'301'!OSRRefD21_17x_0</vt:lpstr>
      <vt:lpstr>'307'!OSRRefD21_17x_0</vt:lpstr>
      <vt:lpstr>'308'!OSRRefD21_17x_0</vt:lpstr>
      <vt:lpstr>'310'!OSRRefD21_17x_0</vt:lpstr>
      <vt:lpstr>'310 &amp; 491'!OSRRefD21_17x_0</vt:lpstr>
      <vt:lpstr>'311'!OSRRefD21_17x_0</vt:lpstr>
      <vt:lpstr>'315'!OSRRefD21_17x_0</vt:lpstr>
      <vt:lpstr>'321'!OSRRefD21_17x_0</vt:lpstr>
      <vt:lpstr>'322'!OSRRefD21_17x_0</vt:lpstr>
      <vt:lpstr>'325'!OSRRefD21_17x_0</vt:lpstr>
      <vt:lpstr>'326'!OSRRefD21_17x_0</vt:lpstr>
      <vt:lpstr>'330'!OSRRefD21_17x_0</vt:lpstr>
      <vt:lpstr>'331'!OSRRefD21_17x_0</vt:lpstr>
      <vt:lpstr>'405'!OSRRefD21_17x_0</vt:lpstr>
      <vt:lpstr>'411'!OSRRefD21_17x_0</vt:lpstr>
      <vt:lpstr>'412'!OSRRefD21_17x_0</vt:lpstr>
      <vt:lpstr>'414'!OSRRefD21_17x_0</vt:lpstr>
      <vt:lpstr>'415'!OSRRefD21_17x_0</vt:lpstr>
      <vt:lpstr>'418'!OSRRefD21_17x_0</vt:lpstr>
      <vt:lpstr>'433'!OSRRefD21_17x_0</vt:lpstr>
      <vt:lpstr>'444'!OSRRefD21_17x_0</vt:lpstr>
      <vt:lpstr>'450'!OSRRefD21_17x_0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'201'!OSRRefD21_18x_0</vt:lpstr>
      <vt:lpstr>'300'!OSRRefD21_18x_0</vt:lpstr>
      <vt:lpstr>'300 &amp; 317'!OSRRefD21_18x_0</vt:lpstr>
      <vt:lpstr>'301'!OSRRefD21_18x_0</vt:lpstr>
      <vt:lpstr>'307'!OSRRefD21_18x_0</vt:lpstr>
      <vt:lpstr>'310'!OSRRefD21_18x_0</vt:lpstr>
      <vt:lpstr>'310 &amp; 491'!OSRRefD21_18x_0</vt:lpstr>
      <vt:lpstr>'322'!OSRRefD21_18x_0</vt:lpstr>
      <vt:lpstr>'325'!OSRRefD21_18x_0</vt:lpstr>
      <vt:lpstr>'326'!OSRRefD21_18x_0</vt:lpstr>
      <vt:lpstr>'330'!OSRRefD21_18x_0</vt:lpstr>
      <vt:lpstr>'331'!OSRRefD21_18x_0</vt:lpstr>
      <vt:lpstr>'405'!OSRRefD21_18x_0</vt:lpstr>
      <vt:lpstr>'411'!OSRRefD21_18x_0</vt:lpstr>
      <vt:lpstr>'412'!OSRRefD21_18x_0</vt:lpstr>
      <vt:lpstr>'415'!OSRRefD21_18x_0</vt:lpstr>
      <vt:lpstr>'418'!OSRRefD21_18x_0</vt:lpstr>
      <vt:lpstr>'433'!OSRRefD21_18x_0</vt:lpstr>
      <vt:lpstr>'444'!OSRRefD21_18x_0</vt:lpstr>
      <vt:lpstr>'450'!OSRRefD21_18x_0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'201'!OSRRefD21_19x_0</vt:lpstr>
      <vt:lpstr>'300'!OSRRefD21_19x_0</vt:lpstr>
      <vt:lpstr>'300 &amp; 317'!OSRRefD21_19x_0</vt:lpstr>
      <vt:lpstr>'301'!OSRRefD21_19x_0</vt:lpstr>
      <vt:lpstr>'310'!OSRRefD21_19x_0</vt:lpstr>
      <vt:lpstr>'310 &amp; 491'!OSRRefD21_19x_0</vt:lpstr>
      <vt:lpstr>'322'!OSRRefD21_19x_0</vt:lpstr>
      <vt:lpstr>'325'!OSRRefD21_19x_0</vt:lpstr>
      <vt:lpstr>'326'!OSRRefD21_19x_0</vt:lpstr>
      <vt:lpstr>'331'!OSRRefD21_19x_0</vt:lpstr>
      <vt:lpstr>'411'!OSRRefD21_19x_0</vt:lpstr>
      <vt:lpstr>'415'!OSRRefD21_19x_0</vt:lpstr>
      <vt:lpstr>'418'!OSRRefD21_19x_0</vt:lpstr>
      <vt:lpstr>'433'!OSRRefD21_19x_0</vt:lpstr>
      <vt:lpstr>'444'!OSRRefD21_19x_0</vt:lpstr>
      <vt:lpstr>'491'!OSRRefD21_19x_0</vt:lpstr>
      <vt:lpstr>'492'!OSRRefD21_19x_0</vt:lpstr>
      <vt:lpstr>'Div 2'!OSRRefD21_19x_0</vt:lpstr>
      <vt:lpstr>'Div 3'!OSRRefD21_19x_0</vt:lpstr>
      <vt:lpstr>'Div 4'!OSRRefD21_19x_0</vt:lpstr>
      <vt:lpstr>Summary!OSRRefD21_19x_0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'306'!OSRRefD21_1x_0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'312'!OSRRefD21_1x_0</vt:lpstr>
      <vt:lpstr>'313'!OSRRefD21_1x_0</vt:lpstr>
      <vt:lpstr>'314'!OSRRefD21_1x_0</vt:lpstr>
      <vt:lpstr>'315'!OSRRefD21_1x_0</vt:lpstr>
      <vt:lpstr>'316'!OSRRefD21_1x_0</vt:lpstr>
      <vt:lpstr>'317'!OSRRefD21_1x_0</vt:lpstr>
      <vt:lpstr>'318'!OSRRefD21_1x_0</vt:lpstr>
      <vt:lpstr>'320'!OSRRefD21_1x_0</vt:lpstr>
      <vt:lpstr>'321'!OSRRefD21_1x_0</vt:lpstr>
      <vt:lpstr>'322'!OSRRefD21_1x_0</vt:lpstr>
      <vt:lpstr>'323'!OSRRefD21_1x_0</vt:lpstr>
      <vt:lpstr>'324'!OSRRefD21_1x_0</vt:lpstr>
      <vt:lpstr>'325'!OSRRefD21_1x_0</vt:lpstr>
      <vt:lpstr>'326'!OSRRefD21_1x_0</vt:lpstr>
      <vt:lpstr>'327'!OSRRefD21_1x_0</vt:lpstr>
      <vt:lpstr>'330'!OSRRefD21_1x_0</vt:lpstr>
      <vt:lpstr>'331'!OSRRefD21_1x_0</vt:lpstr>
      <vt:lpstr>'332'!OSRRefD21_1x_0</vt:lpstr>
      <vt:lpstr>'335'!OSRRefD21_1x_0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'420'!OSRRefD21_1x_0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'435'!OSRRefD21_1x_0</vt:lpstr>
      <vt:lpstr>'444'!OSRRefD21_1x_0</vt:lpstr>
      <vt:lpstr>'445'!OSRRefD21_1x_0</vt:lpstr>
      <vt:lpstr>'450'!OSRRefD21_1x_0</vt:lpstr>
      <vt:lpstr>'455'!OSRRefD21_1x_0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'300'!OSRRefD21_20x_0</vt:lpstr>
      <vt:lpstr>'300 &amp; 317'!OSRRefD21_20x_0</vt:lpstr>
      <vt:lpstr>'301'!OSRRefD21_20x_0</vt:lpstr>
      <vt:lpstr>'310'!OSRRefD21_20x_0</vt:lpstr>
      <vt:lpstr>'310 &amp; 491'!OSRRefD21_20x_0</vt:lpstr>
      <vt:lpstr>'326'!OSRRefD21_20x_0</vt:lpstr>
      <vt:lpstr>'331'!OSRRefD21_20x_0</vt:lpstr>
      <vt:lpstr>'411'!OSRRefD21_20x_0</vt:lpstr>
      <vt:lpstr>'433'!OSRRefD21_20x_0</vt:lpstr>
      <vt:lpstr>'444'!OSRRefD21_20x_0</vt:lpstr>
      <vt:lpstr>'491'!OSRRefD21_20x_0</vt:lpstr>
      <vt:lpstr>'492'!OSRRefD21_20x_0</vt:lpstr>
      <vt:lpstr>'Div 2'!OSRRefD21_20x_0</vt:lpstr>
      <vt:lpstr>'Div 3'!OSRRefD21_20x_0</vt:lpstr>
      <vt:lpstr>'Div 4'!OSRRefD21_20x_0</vt:lpstr>
      <vt:lpstr>Summary!OSRRefD21_20x_0</vt:lpstr>
      <vt:lpstr>'300'!OSRRefD21_21x_0</vt:lpstr>
      <vt:lpstr>'300 &amp; 317'!OSRRefD21_21x_0</vt:lpstr>
      <vt:lpstr>'301'!OSRRefD21_21x_0</vt:lpstr>
      <vt:lpstr>'310'!OSRRefD21_21x_0</vt:lpstr>
      <vt:lpstr>'310 &amp; 491'!OSRRefD21_21x_0</vt:lpstr>
      <vt:lpstr>'326'!OSRRefD21_21x_0</vt:lpstr>
      <vt:lpstr>'331'!OSRRefD21_21x_0</vt:lpstr>
      <vt:lpstr>'411'!OSRRefD21_21x_0</vt:lpstr>
      <vt:lpstr>'491'!OSRRefD21_21x_0</vt:lpstr>
      <vt:lpstr>'492'!OSRRefD21_21x_0</vt:lpstr>
      <vt:lpstr>'Div 2'!OSRRefD21_21x_0</vt:lpstr>
      <vt:lpstr>'Div 3'!OSRRefD21_21x_0</vt:lpstr>
      <vt:lpstr>'Div 4'!OSRRefD21_21x_0</vt:lpstr>
      <vt:lpstr>Summary!OSRRefD21_21x_0</vt:lpstr>
      <vt:lpstr>'300'!OSRRefD21_22x_0</vt:lpstr>
      <vt:lpstr>'300 &amp; 317'!OSRRefD21_22x_0</vt:lpstr>
      <vt:lpstr>'301'!OSRRefD21_22x_0</vt:lpstr>
      <vt:lpstr>'310'!OSRRefD21_22x_0</vt:lpstr>
      <vt:lpstr>'310 &amp; 491'!OSRRefD21_22x_0</vt:lpstr>
      <vt:lpstr>'331'!OSRRefD21_22x_0</vt:lpstr>
      <vt:lpstr>'411'!OSRRefD21_22x_0</vt:lpstr>
      <vt:lpstr>'491'!OSRRefD21_22x_0</vt:lpstr>
      <vt:lpstr>'492'!OSRRefD21_22x_0</vt:lpstr>
      <vt:lpstr>'Div 3'!OSRRefD21_22x_0</vt:lpstr>
      <vt:lpstr>'Div 4'!OSRRefD21_22x_0</vt:lpstr>
      <vt:lpstr>Summary!OSRRefD21_22x_0</vt:lpstr>
      <vt:lpstr>'300'!OSRRefD21_23x_0</vt:lpstr>
      <vt:lpstr>'300 &amp; 317'!OSRRefD21_23x_0</vt:lpstr>
      <vt:lpstr>'301'!OSRRefD21_23x_0</vt:lpstr>
      <vt:lpstr>'310'!OSRRefD21_23x_0</vt:lpstr>
      <vt:lpstr>'310 &amp; 491'!OSRRefD21_23x_0</vt:lpstr>
      <vt:lpstr>'491'!OSRRefD21_23x_0</vt:lpstr>
      <vt:lpstr>'Div 3'!OSRRefD21_23x_0</vt:lpstr>
      <vt:lpstr>'Div 4'!OSRRefD21_23x_0</vt:lpstr>
      <vt:lpstr>Summary!OSRRefD21_23x_0</vt:lpstr>
      <vt:lpstr>'300'!OSRRefD21_24x_0</vt:lpstr>
      <vt:lpstr>'300 &amp; 317'!OSRRefD21_24x_0</vt:lpstr>
      <vt:lpstr>'301'!OSRRefD21_24x_0</vt:lpstr>
      <vt:lpstr>'310 &amp; 491'!OSRRefD21_24x_0</vt:lpstr>
      <vt:lpstr>'491'!OSRRefD21_24x_0</vt:lpstr>
      <vt:lpstr>'Div 3'!OSRRefD21_24x_0</vt:lpstr>
      <vt:lpstr>'Div 4'!OSRRefD21_24x_0</vt:lpstr>
      <vt:lpstr>Summary!OSRRefD21_24x_0</vt:lpstr>
      <vt:lpstr>'310 &amp; 491'!OSRRefD21_25x_0</vt:lpstr>
      <vt:lpstr>'491'!OSRRefD21_25x_0</vt:lpstr>
      <vt:lpstr>'Div 3'!OSRRefD21_25x_0</vt:lpstr>
      <vt:lpstr>'Div 4'!OSRRefD21_25x_0</vt:lpstr>
      <vt:lpstr>Summary!OSRRefD21_25x_0</vt:lpstr>
      <vt:lpstr>Summary!OSRRefD21_26x_0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'306'!OSRRefD21_2x_0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'312'!OSRRefD21_2x_0</vt:lpstr>
      <vt:lpstr>'313'!OSRRefD21_2x_0</vt:lpstr>
      <vt:lpstr>'314'!OSRRefD21_2x_0</vt:lpstr>
      <vt:lpstr>'315'!OSRRefD21_2x_0</vt:lpstr>
      <vt:lpstr>'316'!OSRRefD21_2x_0</vt:lpstr>
      <vt:lpstr>'317'!OSRRefD21_2x_0</vt:lpstr>
      <vt:lpstr>'318'!OSRRefD21_2x_0</vt:lpstr>
      <vt:lpstr>'320'!OSRRefD21_2x_0</vt:lpstr>
      <vt:lpstr>'321'!OSRRefD21_2x_0</vt:lpstr>
      <vt:lpstr>'322'!OSRRefD21_2x_0</vt:lpstr>
      <vt:lpstr>'323'!OSRRefD21_2x_0</vt:lpstr>
      <vt:lpstr>'324'!OSRRefD21_2x_0</vt:lpstr>
      <vt:lpstr>'325'!OSRRefD21_2x_0</vt:lpstr>
      <vt:lpstr>'326'!OSRRefD21_2x_0</vt:lpstr>
      <vt:lpstr>'327'!OSRRefD21_2x_0</vt:lpstr>
      <vt:lpstr>'330'!OSRRefD21_2x_0</vt:lpstr>
      <vt:lpstr>'331'!OSRRefD21_2x_0</vt:lpstr>
      <vt:lpstr>'332'!OSRRefD21_2x_0</vt:lpstr>
      <vt:lpstr>'335'!OSRRefD21_2x_0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'420'!OSRRefD21_2x_0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'435'!OSRRefD21_2x_0</vt:lpstr>
      <vt:lpstr>'444'!OSRRefD21_2x_0</vt:lpstr>
      <vt:lpstr>'445'!OSRRefD21_2x_0</vt:lpstr>
      <vt:lpstr>'450'!OSRRefD21_2x_0</vt:lpstr>
      <vt:lpstr>'455'!OSRRefD21_2x_0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'306'!OSRRefD21_3x_0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'312'!OSRRefD21_3x_0</vt:lpstr>
      <vt:lpstr>'313'!OSRRefD21_3x_0</vt:lpstr>
      <vt:lpstr>'314'!OSRRefD21_3x_0</vt:lpstr>
      <vt:lpstr>'315'!OSRRefD21_3x_0</vt:lpstr>
      <vt:lpstr>'316'!OSRRefD21_3x_0</vt:lpstr>
      <vt:lpstr>'317'!OSRRefD21_3x_0</vt:lpstr>
      <vt:lpstr>'318'!OSRRefD21_3x_0</vt:lpstr>
      <vt:lpstr>'320'!OSRRefD21_3x_0</vt:lpstr>
      <vt:lpstr>'321'!OSRRefD21_3x_0</vt:lpstr>
      <vt:lpstr>'322'!OSRRefD21_3x_0</vt:lpstr>
      <vt:lpstr>'323'!OSRRefD21_3x_0</vt:lpstr>
      <vt:lpstr>'324'!OSRRefD21_3x_0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'335'!OSRRefD21_3x_0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'420'!OSRRefD21_3x_0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'435'!OSRRefD21_3x_0</vt:lpstr>
      <vt:lpstr>'444'!OSRRefD21_3x_0</vt:lpstr>
      <vt:lpstr>'445'!OSRRefD21_3x_0</vt:lpstr>
      <vt:lpstr>'450'!OSRRefD21_3x_0</vt:lpstr>
      <vt:lpstr>'455'!OSRRefD21_3x_0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'200'!OSRRefD21_4x_0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'306'!OSRRefD21_4x_0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'312'!OSRRefD21_4x_0</vt:lpstr>
      <vt:lpstr>'313'!OSRRefD21_4x_0</vt:lpstr>
      <vt:lpstr>'314'!OSRRefD21_4x_0</vt:lpstr>
      <vt:lpstr>'315'!OSRRefD21_4x_0</vt:lpstr>
      <vt:lpstr>'316'!OSRRefD21_4x_0</vt:lpstr>
      <vt:lpstr>'317'!OSRRefD21_4x_0</vt:lpstr>
      <vt:lpstr>'318'!OSRRefD21_4x_0</vt:lpstr>
      <vt:lpstr>'320'!OSRRefD21_4x_0</vt:lpstr>
      <vt:lpstr>'321'!OSRRefD21_4x_0</vt:lpstr>
      <vt:lpstr>'322'!OSRRefD21_4x_0</vt:lpstr>
      <vt:lpstr>'323'!OSRRefD21_4x_0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'335'!OSRRefD21_4x_0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'420'!OSRRefD21_4x_0</vt:lpstr>
      <vt:lpstr>'423'!OSRRefD21_4x_0</vt:lpstr>
      <vt:lpstr>'424'!OSRRefD21_4x_0</vt:lpstr>
      <vt:lpstr>'425'!OSRRefD21_4x_0</vt:lpstr>
      <vt:lpstr>'430'!OSRRefD21_4x_0</vt:lpstr>
      <vt:lpstr>'433'!OSRRefD21_4x_0</vt:lpstr>
      <vt:lpstr>'435'!OSRRefD21_4x_0</vt:lpstr>
      <vt:lpstr>'444'!OSRRefD21_4x_0</vt:lpstr>
      <vt:lpstr>'445'!OSRRefD21_4x_0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'200'!OSRRefD21_5x_0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'306'!OSRRefD21_5x_0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'312'!OSRRefD21_5x_0</vt:lpstr>
      <vt:lpstr>'313'!OSRRefD21_5x_0</vt:lpstr>
      <vt:lpstr>'314'!OSRRefD21_5x_0</vt:lpstr>
      <vt:lpstr>'315'!OSRRefD21_5x_0</vt:lpstr>
      <vt:lpstr>'316'!OSRRefD21_5x_0</vt:lpstr>
      <vt:lpstr>'317'!OSRRefD21_5x_0</vt:lpstr>
      <vt:lpstr>'318'!OSRRefD21_5x_0</vt:lpstr>
      <vt:lpstr>'320'!OSRRefD21_5x_0</vt:lpstr>
      <vt:lpstr>'321'!OSRRefD21_5x_0</vt:lpstr>
      <vt:lpstr>'322'!OSRRefD21_5x_0</vt:lpstr>
      <vt:lpstr>'323'!OSRRefD21_5x_0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'335'!OSRRefD21_5x_0</vt:lpstr>
      <vt:lpstr>'405'!OSRRefD21_5x_0</vt:lpstr>
      <vt:lpstr>'406'!OSRRefD21_5x_0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'420'!OSRRefD21_5x_0</vt:lpstr>
      <vt:lpstr>'423'!OSRRefD21_5x_0</vt:lpstr>
      <vt:lpstr>'424'!OSRRefD21_5x_0</vt:lpstr>
      <vt:lpstr>'425'!OSRRefD21_5x_0</vt:lpstr>
      <vt:lpstr>'430'!OSRRefD21_5x_0</vt:lpstr>
      <vt:lpstr>'433'!OSRRefD21_5x_0</vt:lpstr>
      <vt:lpstr>'435'!OSRRefD21_5x_0</vt:lpstr>
      <vt:lpstr>'444'!OSRRefD21_5x_0</vt:lpstr>
      <vt:lpstr>'445'!OSRRefD21_5x_0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'306'!OSRRefD21_6x_0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'312'!OSRRefD21_6x_0</vt:lpstr>
      <vt:lpstr>'313'!OSRRefD21_6x_0</vt:lpstr>
      <vt:lpstr>'314'!OSRRefD21_6x_0</vt:lpstr>
      <vt:lpstr>'315'!OSRRefD21_6x_0</vt:lpstr>
      <vt:lpstr>'316'!OSRRefD21_6x_0</vt:lpstr>
      <vt:lpstr>'317'!OSRRefD21_6x_0</vt:lpstr>
      <vt:lpstr>'318'!OSRRefD21_6x_0</vt:lpstr>
      <vt:lpstr>'320'!OSRRefD21_6x_0</vt:lpstr>
      <vt:lpstr>'321'!OSRRefD21_6x_0</vt:lpstr>
      <vt:lpstr>'322'!OSRRefD21_6x_0</vt:lpstr>
      <vt:lpstr>'323'!OSRRefD21_6x_0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'335'!OSRRefD21_6x_0</vt:lpstr>
      <vt:lpstr>'405'!OSRRefD21_6x_0</vt:lpstr>
      <vt:lpstr>'406'!OSRRefD21_6x_0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'420'!OSRRefD21_6x_0</vt:lpstr>
      <vt:lpstr>'423'!OSRRefD21_6x_0</vt:lpstr>
      <vt:lpstr>'424'!OSRRefD21_6x_0</vt:lpstr>
      <vt:lpstr>'425'!OSRRefD21_6x_0</vt:lpstr>
      <vt:lpstr>'430'!OSRRefD21_6x_0</vt:lpstr>
      <vt:lpstr>'433'!OSRRefD21_6x_0</vt:lpstr>
      <vt:lpstr>'435'!OSRRefD21_6x_0</vt:lpstr>
      <vt:lpstr>'444'!OSRRefD21_6x_0</vt:lpstr>
      <vt:lpstr>'445'!OSRRefD21_6x_0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'201'!OSRRefD21_7x_0</vt:lpstr>
      <vt:lpstr>'202'!OSRRefD21_7x_0</vt:lpstr>
      <vt:lpstr>'203'!OSRRefD21_7x_0</vt:lpstr>
      <vt:lpstr>'204'!OSRRefD21_7x_0</vt:lpstr>
      <vt:lpstr>'205'!OSRRefD21_7x_0</vt:lpstr>
      <vt:lpstr>'206'!OSRRefD21_7x_0</vt:lpstr>
      <vt:lpstr>'300'!OSRRefD21_7x_0</vt:lpstr>
      <vt:lpstr>'300 &amp; 317'!OSRRefD21_7x_0</vt:lpstr>
      <vt:lpstr>'301'!OSRRefD21_7x_0</vt:lpstr>
      <vt:lpstr>'306'!OSRRefD21_7x_0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'312'!OSRRefD21_7x_0</vt:lpstr>
      <vt:lpstr>'313'!OSRRefD21_7x_0</vt:lpstr>
      <vt:lpstr>'314'!OSRRefD21_7x_0</vt:lpstr>
      <vt:lpstr>'315'!OSRRefD21_7x_0</vt:lpstr>
      <vt:lpstr>'316'!OSRRefD21_7x_0</vt:lpstr>
      <vt:lpstr>'317'!OSRRefD21_7x_0</vt:lpstr>
      <vt:lpstr>'318'!OSRRefD21_7x_0</vt:lpstr>
      <vt:lpstr>'320'!OSRRefD21_7x_0</vt:lpstr>
      <vt:lpstr>'321'!OSRRefD21_7x_0</vt:lpstr>
      <vt:lpstr>'322'!OSRRefD21_7x_0</vt:lpstr>
      <vt:lpstr>'323'!OSRRefD21_7x_0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'335'!OSRRefD21_7x_0</vt:lpstr>
      <vt:lpstr>'405'!OSRRefD21_7x_0</vt:lpstr>
      <vt:lpstr>'406'!OSRRefD21_7x_0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'420'!OSRRefD21_7x_0</vt:lpstr>
      <vt:lpstr>'423'!OSRRefD21_7x_0</vt:lpstr>
      <vt:lpstr>'424'!OSRRefD21_7x_0</vt:lpstr>
      <vt:lpstr>'425'!OSRRefD21_7x_0</vt:lpstr>
      <vt:lpstr>'430'!OSRRefD21_7x_0</vt:lpstr>
      <vt:lpstr>'433'!OSRRefD21_7x_0</vt:lpstr>
      <vt:lpstr>'435'!OSRRefD21_7x_0</vt:lpstr>
      <vt:lpstr>'444'!OSRRefD21_7x_0</vt:lpstr>
      <vt:lpstr>'445'!OSRRefD21_7x_0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'201'!OSRRefD21_8x_0</vt:lpstr>
      <vt:lpstr>'202'!OSRRefD21_8x_0</vt:lpstr>
      <vt:lpstr>'203'!OSRRefD21_8x_0</vt:lpstr>
      <vt:lpstr>'204'!OSRRefD21_8x_0</vt:lpstr>
      <vt:lpstr>'205'!OSRRefD21_8x_0</vt:lpstr>
      <vt:lpstr>'206'!OSRRefD21_8x_0</vt:lpstr>
      <vt:lpstr>'300'!OSRRefD21_8x_0</vt:lpstr>
      <vt:lpstr>'300 &amp; 317'!OSRRefD21_8x_0</vt:lpstr>
      <vt:lpstr>'301'!OSRRefD21_8x_0</vt:lpstr>
      <vt:lpstr>'306'!OSRRefD21_8x_0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'312'!OSRRefD21_8x_0</vt:lpstr>
      <vt:lpstr>'313'!OSRRefD21_8x_0</vt:lpstr>
      <vt:lpstr>'314'!OSRRefD21_8x_0</vt:lpstr>
      <vt:lpstr>'315'!OSRRefD21_8x_0</vt:lpstr>
      <vt:lpstr>'316'!OSRRefD21_8x_0</vt:lpstr>
      <vt:lpstr>'317'!OSRRefD21_8x_0</vt:lpstr>
      <vt:lpstr>'318'!OSRRefD21_8x_0</vt:lpstr>
      <vt:lpstr>'320'!OSRRefD21_8x_0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'335'!OSRRefD21_8x_0</vt:lpstr>
      <vt:lpstr>'405'!OSRRefD21_8x_0</vt:lpstr>
      <vt:lpstr>'406'!OSRRefD21_8x_0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'420'!OSRRefD21_8x_0</vt:lpstr>
      <vt:lpstr>'423'!OSRRefD21_8x_0</vt:lpstr>
      <vt:lpstr>'424'!OSRRefD21_8x_0</vt:lpstr>
      <vt:lpstr>'425'!OSRRefD21_8x_0</vt:lpstr>
      <vt:lpstr>'430'!OSRRefD21_8x_0</vt:lpstr>
      <vt:lpstr>'433'!OSRRefD21_8x_0</vt:lpstr>
      <vt:lpstr>'435'!OSRRefD21_8x_0</vt:lpstr>
      <vt:lpstr>'444'!OSRRefD21_8x_0</vt:lpstr>
      <vt:lpstr>'445'!OSRRefD21_8x_0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'201'!OSRRefD21_9x_0</vt:lpstr>
      <vt:lpstr>'202'!OSRRefD21_9x_0</vt:lpstr>
      <vt:lpstr>'203'!OSRRefD21_9x_0</vt:lpstr>
      <vt:lpstr>'204'!OSRRefD21_9x_0</vt:lpstr>
      <vt:lpstr>'206'!OSRRefD21_9x_0</vt:lpstr>
      <vt:lpstr>'300'!OSRRefD21_9x_0</vt:lpstr>
      <vt:lpstr>'300 &amp; 317'!OSRRefD21_9x_0</vt:lpstr>
      <vt:lpstr>'301'!OSRRefD21_9x_0</vt:lpstr>
      <vt:lpstr>'306'!OSRRefD21_9x_0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'312'!OSRRefD21_9x_0</vt:lpstr>
      <vt:lpstr>'313'!OSRRefD21_9x_0</vt:lpstr>
      <vt:lpstr>'314'!OSRRefD21_9x_0</vt:lpstr>
      <vt:lpstr>'315'!OSRRefD21_9x_0</vt:lpstr>
      <vt:lpstr>'316'!OSRRefD21_9x_0</vt:lpstr>
      <vt:lpstr>'317'!OSRRefD21_9x_0</vt:lpstr>
      <vt:lpstr>'320'!OSRRefD21_9x_0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'335'!OSRRefD21_9x_0</vt:lpstr>
      <vt:lpstr>'405'!OSRRefD21_9x_0</vt:lpstr>
      <vt:lpstr>'406'!OSRRefD21_9x_0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'423'!OSRRefD21_9x_0</vt:lpstr>
      <vt:lpstr>'424'!OSRRefD21_9x_0</vt:lpstr>
      <vt:lpstr>'425'!OSRRefD21_9x_0</vt:lpstr>
      <vt:lpstr>'430'!OSRRefD21_9x_0</vt:lpstr>
      <vt:lpstr>'433'!OSRRefD21_9x_0</vt:lpstr>
      <vt:lpstr>'435'!OSRRefD21_9x_0</vt:lpstr>
      <vt:lpstr>'444'!OSRRefD21_9x_0</vt:lpstr>
      <vt:lpstr>'445'!OSRRefD21_9x_0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'200'!OSRRefD21x_0</vt:lpstr>
      <vt:lpstr>'201'!OSRRefD21x_0</vt:lpstr>
      <vt:lpstr>'202'!OSRRefD21x_0</vt:lpstr>
      <vt:lpstr>'203'!OSRRefD21x_0</vt:lpstr>
      <vt:lpstr>'204'!OSRRefD21x_0</vt:lpstr>
      <vt:lpstr>'205'!OSRRefD21x_0</vt:lpstr>
      <vt:lpstr>'206'!OSRRefD21x_0</vt:lpstr>
      <vt:lpstr>'300'!OSRRefD21x_0</vt:lpstr>
      <vt:lpstr>'300 &amp; 317'!OSRRefD21x_0</vt:lpstr>
      <vt:lpstr>'301'!OSRRefD21x_0</vt:lpstr>
      <vt:lpstr>'306'!OSRRefD21x_0</vt:lpstr>
      <vt:lpstr>'307'!OSRRefD21x_0</vt:lpstr>
      <vt:lpstr>'308'!OSRRefD21x_0</vt:lpstr>
      <vt:lpstr>'309'!OSRRefD21x_0</vt:lpstr>
      <vt:lpstr>'310'!OSRRefD21x_0</vt:lpstr>
      <vt:lpstr>'310 &amp; 491'!OSRRefD21x_0</vt:lpstr>
      <vt:lpstr>'311'!OSRRefD21x_0</vt:lpstr>
      <vt:lpstr>'312'!OSRRefD21x_0</vt:lpstr>
      <vt:lpstr>'313'!OSRRefD21x_0</vt:lpstr>
      <vt:lpstr>'314'!OSRRefD21x_0</vt:lpstr>
      <vt:lpstr>'315'!OSRRefD21x_0</vt:lpstr>
      <vt:lpstr>'316'!OSRRefD21x_0</vt:lpstr>
      <vt:lpstr>'317'!OSRRefD21x_0</vt:lpstr>
      <vt:lpstr>'318'!OSRRefD21x_0</vt:lpstr>
      <vt:lpstr>'320'!OSRRefD21x_0</vt:lpstr>
      <vt:lpstr>'321'!OSRRefD21x_0</vt:lpstr>
      <vt:lpstr>'322'!OSRRefD21x_0</vt:lpstr>
      <vt:lpstr>'323'!OSRRefD21x_0</vt:lpstr>
      <vt:lpstr>'324'!OSRRefD21x_0</vt:lpstr>
      <vt:lpstr>'325'!OSRRefD21x_0</vt:lpstr>
      <vt:lpstr>'326'!OSRRefD21x_0</vt:lpstr>
      <vt:lpstr>'327'!OSRRefD21x_0</vt:lpstr>
      <vt:lpstr>'330'!OSRRefD21x_0</vt:lpstr>
      <vt:lpstr>'331'!OSRRefD21x_0</vt:lpstr>
      <vt:lpstr>'332'!OSRRefD21x_0</vt:lpstr>
      <vt:lpstr>'335'!OSRRefD21x_0</vt:lpstr>
      <vt:lpstr>'405'!OSRRefD21x_0</vt:lpstr>
      <vt:lpstr>'406'!OSRRefD21x_0</vt:lpstr>
      <vt:lpstr>'411'!OSRRefD21x_0</vt:lpstr>
      <vt:lpstr>'412'!OSRRefD21x_0</vt:lpstr>
      <vt:lpstr>'413'!OSRRefD21x_0</vt:lpstr>
      <vt:lpstr>'414'!OSRRefD21x_0</vt:lpstr>
      <vt:lpstr>'415'!OSRRefD21x_0</vt:lpstr>
      <vt:lpstr>'418'!OSRRefD21x_0</vt:lpstr>
      <vt:lpstr>'420'!OSRRefD21x_0</vt:lpstr>
      <vt:lpstr>'423'!OSRRefD21x_0</vt:lpstr>
      <vt:lpstr>'424'!OSRRefD21x_0</vt:lpstr>
      <vt:lpstr>'425'!OSRRefD21x_0</vt:lpstr>
      <vt:lpstr>'430'!OSRRefD21x_0</vt:lpstr>
      <vt:lpstr>'433'!OSRRefD21x_0</vt:lpstr>
      <vt:lpstr>'435'!OSRRefD21x_0</vt:lpstr>
      <vt:lpstr>'444'!OSRRefD21x_0</vt:lpstr>
      <vt:lpstr>'445'!OSRRefD21x_0</vt:lpstr>
      <vt:lpstr>'450'!OSRRefD21x_0</vt:lpstr>
      <vt:lpstr>'455'!OSRRefD21x_0</vt:lpstr>
      <vt:lpstr>'491'!OSRRefD21x_0</vt:lpstr>
      <vt:lpstr>'492'!OSRRefD21x_0</vt:lpstr>
      <vt:lpstr>'501'!OSRRefD21x_0</vt:lpstr>
      <vt:lpstr>'Div 2'!OSRRefD21x_0</vt:lpstr>
      <vt:lpstr>'Div 3'!OSRRefD21x_0</vt:lpstr>
      <vt:lpstr>'Div 4'!OSRRefD21x_0</vt:lpstr>
      <vt:lpstr>'Div 5'!OSRRefD21x_0</vt:lpstr>
      <vt:lpstr>'Div 6'!OSRRefD21x_0</vt:lpstr>
      <vt:lpstr>Summary!OSRRefD21x_0</vt:lpstr>
      <vt:lpstr>'202'!OSRRefD24x_0</vt:lpstr>
      <vt:lpstr>'300'!OSRRefD24x_0</vt:lpstr>
      <vt:lpstr>'300 &amp; 317'!OSRRefD24x_0</vt:lpstr>
      <vt:lpstr>'301'!OSRRefD24x_0</vt:lpstr>
      <vt:lpstr>'307'!OSRRefD24x_0</vt:lpstr>
      <vt:lpstr>'308'!OSRRefD24x_0</vt:lpstr>
      <vt:lpstr>'309'!OSRRefD24x_0</vt:lpstr>
      <vt:lpstr>'310'!OSRRefD24x_0</vt:lpstr>
      <vt:lpstr>'310 &amp; 491'!OSRRefD24x_0</vt:lpstr>
      <vt:lpstr>'311'!OSRRefD24x_0</vt:lpstr>
      <vt:lpstr>'312'!OSRRefD24x_0</vt:lpstr>
      <vt:lpstr>'314'!OSRRefD24x_0</vt:lpstr>
      <vt:lpstr>'315'!OSRRefD24x_0</vt:lpstr>
      <vt:lpstr>'316'!OSRRefD24x_0</vt:lpstr>
      <vt:lpstr>'317'!OSRRefD24x_0</vt:lpstr>
      <vt:lpstr>'320'!OSRRefD24x_0</vt:lpstr>
      <vt:lpstr>'330'!OSRRefD24x_0</vt:lpstr>
      <vt:lpstr>'331'!OSRRefD24x_0</vt:lpstr>
      <vt:lpstr>'332'!OSRRefD24x_0</vt:lpstr>
      <vt:lpstr>'411'!OSRRefD24x_0</vt:lpstr>
      <vt:lpstr>'413'!OSRRefD24x_0</vt:lpstr>
      <vt:lpstr>'415'!OSRRefD24x_0</vt:lpstr>
      <vt:lpstr>'418'!OSRRefD24x_0</vt:lpstr>
      <vt:lpstr>'423'!OSRRefD24x_0</vt:lpstr>
      <vt:lpstr>'424'!OSRRefD24x_0</vt:lpstr>
      <vt:lpstr>'425'!OSRRefD24x_0</vt:lpstr>
      <vt:lpstr>'455'!OSRRefD24x_0</vt:lpstr>
      <vt:lpstr>'491'!OSRRefD24x_0</vt:lpstr>
      <vt:lpstr>'501'!OSRRefD24x_0</vt:lpstr>
      <vt:lpstr>'Div 2'!OSRRefD24x_0</vt:lpstr>
      <vt:lpstr>'Div 3'!OSRRefD24x_0</vt:lpstr>
      <vt:lpstr>'Div 4'!OSRRefD24x_0</vt:lpstr>
      <vt:lpstr>'Div 5'!OSRRefD24x_0</vt:lpstr>
      <vt:lpstr>'Div 6'!OSRRefD24x_0</vt:lpstr>
      <vt:lpstr>Summary!OSRRefD24x_0</vt:lpstr>
      <vt:lpstr>'201'!OSRRefF11x_0</vt:lpstr>
      <vt:lpstr>'202'!OSRRefF11x_0</vt:lpstr>
      <vt:lpstr>'300'!OSRRefF11x_0</vt:lpstr>
      <vt:lpstr>'300 &amp; 317'!OSRRefF11x_0</vt:lpstr>
      <vt:lpstr>'307'!OSRRefF11x_0</vt:lpstr>
      <vt:lpstr>'308'!OSRRefF11x_0</vt:lpstr>
      <vt:lpstr>'309'!OSRRefF11x_0</vt:lpstr>
      <vt:lpstr>'310'!OSRRefF11x_0</vt:lpstr>
      <vt:lpstr>'310 &amp; 491'!OSRRefF11x_0</vt:lpstr>
      <vt:lpstr>'311'!OSRRefF11x_0</vt:lpstr>
      <vt:lpstr>'312'!OSRRefF11x_0</vt:lpstr>
      <vt:lpstr>'313'!OSRRefF11x_0</vt:lpstr>
      <vt:lpstr>'314'!OSRRefF11x_0</vt:lpstr>
      <vt:lpstr>'315'!OSRRefF11x_0</vt:lpstr>
      <vt:lpstr>'316'!OSRRefF11x_0</vt:lpstr>
      <vt:lpstr>'317'!OSRRefF11x_0</vt:lpstr>
      <vt:lpstr>'320'!OSRRefF11x_0</vt:lpstr>
      <vt:lpstr>'321'!OSRRefF11x_0</vt:lpstr>
      <vt:lpstr>'322'!OSRRefF11x_0</vt:lpstr>
      <vt:lpstr>'323'!OSRRefF11x_0</vt:lpstr>
      <vt:lpstr>'324'!OSRRefF11x_0</vt:lpstr>
      <vt:lpstr>'325'!OSRRefF11x_0</vt:lpstr>
      <vt:lpstr>'326'!OSRRefF11x_0</vt:lpstr>
      <vt:lpstr>'327'!OSRRefF11x_0</vt:lpstr>
      <vt:lpstr>'330'!OSRRefF11x_0</vt:lpstr>
      <vt:lpstr>'331'!OSRRefF11x_0</vt:lpstr>
      <vt:lpstr>'332'!OSRRefF11x_0</vt:lpstr>
      <vt:lpstr>'405'!OSRRefF11x_0</vt:lpstr>
      <vt:lpstr>'406'!OSRRefF11x_0</vt:lpstr>
      <vt:lpstr>'412'!OSRRefF11x_0</vt:lpstr>
      <vt:lpstr>'413'!OSRRefF11x_0</vt:lpstr>
      <vt:lpstr>'414'!OSRRefF11x_0</vt:lpstr>
      <vt:lpstr>'415'!OSRRefF11x_0</vt:lpstr>
      <vt:lpstr>'418'!OSRRefF11x_0</vt:lpstr>
      <vt:lpstr>'420'!OSRRefF11x_0</vt:lpstr>
      <vt:lpstr>'424'!OSRRefF11x_0</vt:lpstr>
      <vt:lpstr>'425'!OSRRefF11x_0</vt:lpstr>
      <vt:lpstr>'433'!OSRRefF11x_0</vt:lpstr>
      <vt:lpstr>'435'!OSRRefF11x_0</vt:lpstr>
      <vt:lpstr>'444'!OSRRefF11x_0</vt:lpstr>
      <vt:lpstr>'445'!OSRRefF11x_0</vt:lpstr>
      <vt:lpstr>'450'!OSRRefF11x_0</vt:lpstr>
      <vt:lpstr>'491'!OSRRefF11x_0</vt:lpstr>
      <vt:lpstr>'492'!OSRRefF11x_0</vt:lpstr>
      <vt:lpstr>'501'!OSRRefF11x_0</vt:lpstr>
      <vt:lpstr>'Div 2'!OSRRefF11x_0</vt:lpstr>
      <vt:lpstr>'Div 3'!OSRRefF11x_0</vt:lpstr>
      <vt:lpstr>'Div 4'!OSRRefF11x_0</vt:lpstr>
      <vt:lpstr>'Div 5'!OSRRefF11x_0</vt:lpstr>
      <vt:lpstr>'Div 6'!OSRRefF11x_0</vt:lpstr>
      <vt:lpstr>Summary!OSRRefF11x_0</vt:lpstr>
      <vt:lpstr>'300'!OSRRefF14x_0</vt:lpstr>
      <vt:lpstr>'300 &amp; 317'!OSRRefF14x_0</vt:lpstr>
      <vt:lpstr>'301'!OSRRefF14x_0</vt:lpstr>
      <vt:lpstr>'307'!OSRRefF14x_0</vt:lpstr>
      <vt:lpstr>'308'!OSRRefF14x_0</vt:lpstr>
      <vt:lpstr>'309'!OSRRefF14x_0</vt:lpstr>
      <vt:lpstr>'310'!OSRRefF14x_0</vt:lpstr>
      <vt:lpstr>'310 &amp; 491'!OSRRefF14x_0</vt:lpstr>
      <vt:lpstr>'311'!OSRRefF14x_0</vt:lpstr>
      <vt:lpstr>'312'!OSRRefF14x_0</vt:lpstr>
      <vt:lpstr>'313'!OSRRefF14x_0</vt:lpstr>
      <vt:lpstr>'314'!OSRRefF14x_0</vt:lpstr>
      <vt:lpstr>'315'!OSRRefF14x_0</vt:lpstr>
      <vt:lpstr>'316'!OSRRefF14x_0</vt:lpstr>
      <vt:lpstr>'317'!OSRRefF14x_0</vt:lpstr>
      <vt:lpstr>'320'!OSRRefF14x_0</vt:lpstr>
      <vt:lpstr>'321'!OSRRefF14x_0</vt:lpstr>
      <vt:lpstr>'322'!OSRRefF14x_0</vt:lpstr>
      <vt:lpstr>'324'!OSRRefF14x_0</vt:lpstr>
      <vt:lpstr>'325'!OSRRefF14x_0</vt:lpstr>
      <vt:lpstr>'326'!OSRRefF14x_0</vt:lpstr>
      <vt:lpstr>'327'!OSRRefF14x_0</vt:lpstr>
      <vt:lpstr>'330'!OSRRefF14x_0</vt:lpstr>
      <vt:lpstr>'331'!OSRRefF14x_0</vt:lpstr>
      <vt:lpstr>'332'!OSRRefF14x_0</vt:lpstr>
      <vt:lpstr>'405'!OSRRefF14x_0</vt:lpstr>
      <vt:lpstr>'406'!OSRRefF14x_0</vt:lpstr>
      <vt:lpstr>'412'!OSRRefF14x_0</vt:lpstr>
      <vt:lpstr>'413'!OSRRefF14x_0</vt:lpstr>
      <vt:lpstr>'414'!OSRRefF14x_0</vt:lpstr>
      <vt:lpstr>'415'!OSRRefF14x_0</vt:lpstr>
      <vt:lpstr>'418'!OSRRefF14x_0</vt:lpstr>
      <vt:lpstr>'420'!OSRRefF14x_0</vt:lpstr>
      <vt:lpstr>'423'!OSRRefF14x_0</vt:lpstr>
      <vt:lpstr>'424'!OSRRefF14x_0</vt:lpstr>
      <vt:lpstr>'425'!OSRRefF14x_0</vt:lpstr>
      <vt:lpstr>'433'!OSRRefF14x_0</vt:lpstr>
      <vt:lpstr>'435'!OSRRefF14x_0</vt:lpstr>
      <vt:lpstr>'444'!OSRRefF14x_0</vt:lpstr>
      <vt:lpstr>'445'!OSRRefF14x_0</vt:lpstr>
      <vt:lpstr>'450'!OSRRefF14x_0</vt:lpstr>
      <vt:lpstr>'491'!OSRRefF14x_0</vt:lpstr>
      <vt:lpstr>'492'!OSRRefF14x_0</vt:lpstr>
      <vt:lpstr>'Div 3'!OSRRefF14x_0</vt:lpstr>
      <vt:lpstr>'Div 4'!OSRRefF14x_0</vt:lpstr>
      <vt:lpstr>'Div 6'!OSRRefF14x_0</vt:lpstr>
      <vt:lpstr>Summary!OSRRefF14x_0</vt:lpstr>
      <vt:lpstr>'200'!OSRRefF21_0x_0</vt:lpstr>
      <vt:lpstr>'201'!OSRRefF21_0x_0</vt:lpstr>
      <vt:lpstr>'202'!OSRRefF21_0x_0</vt:lpstr>
      <vt:lpstr>'203'!OSRRefF21_0x_0</vt:lpstr>
      <vt:lpstr>'204'!OSRRefF21_0x_0</vt:lpstr>
      <vt:lpstr>'205'!OSRRefF21_0x_0</vt:lpstr>
      <vt:lpstr>'206'!OSRRefF21_0x_0</vt:lpstr>
      <vt:lpstr>'300'!OSRRefF21_0x_0</vt:lpstr>
      <vt:lpstr>'300 &amp; 317'!OSRRefF21_0x_0</vt:lpstr>
      <vt:lpstr>'301'!OSRRefF21_0x_0</vt:lpstr>
      <vt:lpstr>'306'!OSRRefF21_0x_0</vt:lpstr>
      <vt:lpstr>'307'!OSRRefF21_0x_0</vt:lpstr>
      <vt:lpstr>'308'!OSRRefF21_0x_0</vt:lpstr>
      <vt:lpstr>'309'!OSRRefF21_0x_0</vt:lpstr>
      <vt:lpstr>'310'!OSRRefF21_0x_0</vt:lpstr>
      <vt:lpstr>'310 &amp; 491'!OSRRefF21_0x_0</vt:lpstr>
      <vt:lpstr>'311'!OSRRefF21_0x_0</vt:lpstr>
      <vt:lpstr>'312'!OSRRefF21_0x_0</vt:lpstr>
      <vt:lpstr>'313'!OSRRefF21_0x_0</vt:lpstr>
      <vt:lpstr>'314'!OSRRefF21_0x_0</vt:lpstr>
      <vt:lpstr>'315'!OSRRefF21_0x_0</vt:lpstr>
      <vt:lpstr>'316'!OSRRefF21_0x_0</vt:lpstr>
      <vt:lpstr>'317'!OSRRefF21_0x_0</vt:lpstr>
      <vt:lpstr>'318'!OSRRefF21_0x_0</vt:lpstr>
      <vt:lpstr>'320'!OSRRefF21_0x_0</vt:lpstr>
      <vt:lpstr>'321'!OSRRefF21_0x_0</vt:lpstr>
      <vt:lpstr>'322'!OSRRefF21_0x_0</vt:lpstr>
      <vt:lpstr>'323'!OSRRefF21_0x_0</vt:lpstr>
      <vt:lpstr>'324'!OSRRefF21_0x_0</vt:lpstr>
      <vt:lpstr>'325'!OSRRefF21_0x_0</vt:lpstr>
      <vt:lpstr>'326'!OSRRefF21_0x_0</vt:lpstr>
      <vt:lpstr>'327'!OSRRefF21_0x_0</vt:lpstr>
      <vt:lpstr>'330'!OSRRefF21_0x_0</vt:lpstr>
      <vt:lpstr>'331'!OSRRefF21_0x_0</vt:lpstr>
      <vt:lpstr>'332'!OSRRefF21_0x_0</vt:lpstr>
      <vt:lpstr>'335'!OSRRefF21_0x_0</vt:lpstr>
      <vt:lpstr>'405'!OSRRefF21_0x_0</vt:lpstr>
      <vt:lpstr>'406'!OSRRefF21_0x_0</vt:lpstr>
      <vt:lpstr>'411'!OSRRefF21_0x_0</vt:lpstr>
      <vt:lpstr>'412'!OSRRefF21_0x_0</vt:lpstr>
      <vt:lpstr>'413'!OSRRefF21_0x_0</vt:lpstr>
      <vt:lpstr>'414'!OSRRefF21_0x_0</vt:lpstr>
      <vt:lpstr>'415'!OSRRefF21_0x_0</vt:lpstr>
      <vt:lpstr>'418'!OSRRefF21_0x_0</vt:lpstr>
      <vt:lpstr>'420'!OSRRefF21_0x_0</vt:lpstr>
      <vt:lpstr>'423'!OSRRefF21_0x_0</vt:lpstr>
      <vt:lpstr>'424'!OSRRefF21_0x_0</vt:lpstr>
      <vt:lpstr>'425'!OSRRefF21_0x_0</vt:lpstr>
      <vt:lpstr>'430'!OSRRefF21_0x_0</vt:lpstr>
      <vt:lpstr>'433'!OSRRefF21_0x_0</vt:lpstr>
      <vt:lpstr>'435'!OSRRefF21_0x_0</vt:lpstr>
      <vt:lpstr>'444'!OSRRefF21_0x_0</vt:lpstr>
      <vt:lpstr>'445'!OSRRefF21_0x_0</vt:lpstr>
      <vt:lpstr>'450'!OSRRefF21_0x_0</vt:lpstr>
      <vt:lpstr>'455'!OSRRefF21_0x_0</vt:lpstr>
      <vt:lpstr>'491'!OSRRefF21_0x_0</vt:lpstr>
      <vt:lpstr>'492'!OSRRefF21_0x_0</vt:lpstr>
      <vt:lpstr>'501'!OSRRefF21_0x_0</vt:lpstr>
      <vt:lpstr>'Div 2'!OSRRefF21_0x_0</vt:lpstr>
      <vt:lpstr>'Div 3'!OSRRefF21_0x_0</vt:lpstr>
      <vt:lpstr>'Div 4'!OSRRefF21_0x_0</vt:lpstr>
      <vt:lpstr>'Div 5'!OSRRefF21_0x_0</vt:lpstr>
      <vt:lpstr>'Div 6'!OSRRefF21_0x_0</vt:lpstr>
      <vt:lpstr>Summary!OSRRefF21_0x_0</vt:lpstr>
      <vt:lpstr>'201'!OSRRefF21_10x_0</vt:lpstr>
      <vt:lpstr>'202'!OSRRefF21_10x_0</vt:lpstr>
      <vt:lpstr>'203'!OSRRefF21_10x_0</vt:lpstr>
      <vt:lpstr>'204'!OSRRefF21_10x_0</vt:lpstr>
      <vt:lpstr>'206'!OSRRefF21_10x_0</vt:lpstr>
      <vt:lpstr>'300'!OSRRefF21_10x_0</vt:lpstr>
      <vt:lpstr>'300 &amp; 317'!OSRRefF21_10x_0</vt:lpstr>
      <vt:lpstr>'301'!OSRRefF21_10x_0</vt:lpstr>
      <vt:lpstr>'306'!OSRRefF21_10x_0</vt:lpstr>
      <vt:lpstr>'307'!OSRRefF21_10x_0</vt:lpstr>
      <vt:lpstr>'308'!OSRRefF21_10x_0</vt:lpstr>
      <vt:lpstr>'309'!OSRRefF21_10x_0</vt:lpstr>
      <vt:lpstr>'310'!OSRRefF21_10x_0</vt:lpstr>
      <vt:lpstr>'310 &amp; 491'!OSRRefF21_10x_0</vt:lpstr>
      <vt:lpstr>'311'!OSRRefF21_10x_0</vt:lpstr>
      <vt:lpstr>'313'!OSRRefF21_10x_0</vt:lpstr>
      <vt:lpstr>'314'!OSRRefF21_10x_0</vt:lpstr>
      <vt:lpstr>'315'!OSRRefF21_10x_0</vt:lpstr>
      <vt:lpstr>'316'!OSRRefF21_10x_0</vt:lpstr>
      <vt:lpstr>'317'!OSRRefF21_10x_0</vt:lpstr>
      <vt:lpstr>'320'!OSRRefF21_10x_0</vt:lpstr>
      <vt:lpstr>'321'!OSRRefF21_10x_0</vt:lpstr>
      <vt:lpstr>'322'!OSRRefF21_10x_0</vt:lpstr>
      <vt:lpstr>'325'!OSRRefF21_10x_0</vt:lpstr>
      <vt:lpstr>'326'!OSRRefF21_10x_0</vt:lpstr>
      <vt:lpstr>'330'!OSRRefF21_10x_0</vt:lpstr>
      <vt:lpstr>'331'!OSRRefF21_10x_0</vt:lpstr>
      <vt:lpstr>'332'!OSRRefF21_10x_0</vt:lpstr>
      <vt:lpstr>'405'!OSRRefF21_10x_0</vt:lpstr>
      <vt:lpstr>'406'!OSRRefF21_10x_0</vt:lpstr>
      <vt:lpstr>'411'!OSRRefF21_10x_0</vt:lpstr>
      <vt:lpstr>'412'!OSRRefF21_10x_0</vt:lpstr>
      <vt:lpstr>'413'!OSRRefF21_10x_0</vt:lpstr>
      <vt:lpstr>'414'!OSRRefF21_10x_0</vt:lpstr>
      <vt:lpstr>'415'!OSRRefF21_10x_0</vt:lpstr>
      <vt:lpstr>'418'!OSRRefF21_10x_0</vt:lpstr>
      <vt:lpstr>'423'!OSRRefF21_10x_0</vt:lpstr>
      <vt:lpstr>'424'!OSRRefF21_10x_0</vt:lpstr>
      <vt:lpstr>'425'!OSRRefF21_10x_0</vt:lpstr>
      <vt:lpstr>'430'!OSRRefF21_10x_0</vt:lpstr>
      <vt:lpstr>'433'!OSRRefF21_10x_0</vt:lpstr>
      <vt:lpstr>'435'!OSRRefF21_10x_0</vt:lpstr>
      <vt:lpstr>'444'!OSRRefF21_10x_0</vt:lpstr>
      <vt:lpstr>'445'!OSRRefF21_10x_0</vt:lpstr>
      <vt:lpstr>'450'!OSRRefF21_10x_0</vt:lpstr>
      <vt:lpstr>'491'!OSRRefF21_10x_0</vt:lpstr>
      <vt:lpstr>'492'!OSRRefF21_10x_0</vt:lpstr>
      <vt:lpstr>'501'!OSRRefF21_10x_0</vt:lpstr>
      <vt:lpstr>'Div 2'!OSRRefF21_10x_0</vt:lpstr>
      <vt:lpstr>'Div 3'!OSRRefF21_10x_0</vt:lpstr>
      <vt:lpstr>'Div 4'!OSRRefF21_10x_0</vt:lpstr>
      <vt:lpstr>'Div 5'!OSRRefF21_10x_0</vt:lpstr>
      <vt:lpstr>'Div 6'!OSRRefF21_10x_0</vt:lpstr>
      <vt:lpstr>Summary!OSRRefF21_10x_0</vt:lpstr>
      <vt:lpstr>'201'!OSRRefF21_11x_0</vt:lpstr>
      <vt:lpstr>'202'!OSRRefF21_11x_0</vt:lpstr>
      <vt:lpstr>'203'!OSRRefF21_11x_0</vt:lpstr>
      <vt:lpstr>'204'!OSRRefF21_11x_0</vt:lpstr>
      <vt:lpstr>'206'!OSRRefF21_11x_0</vt:lpstr>
      <vt:lpstr>'300'!OSRRefF21_11x_0</vt:lpstr>
      <vt:lpstr>'300 &amp; 317'!OSRRefF21_11x_0</vt:lpstr>
      <vt:lpstr>'301'!OSRRefF21_11x_0</vt:lpstr>
      <vt:lpstr>'306'!OSRRefF21_11x_0</vt:lpstr>
      <vt:lpstr>'307'!OSRRefF21_11x_0</vt:lpstr>
      <vt:lpstr>'308'!OSRRefF21_11x_0</vt:lpstr>
      <vt:lpstr>'309'!OSRRefF21_11x_0</vt:lpstr>
      <vt:lpstr>'310'!OSRRefF21_11x_0</vt:lpstr>
      <vt:lpstr>'310 &amp; 491'!OSRRefF21_11x_0</vt:lpstr>
      <vt:lpstr>'311'!OSRRefF21_11x_0</vt:lpstr>
      <vt:lpstr>'313'!OSRRefF21_11x_0</vt:lpstr>
      <vt:lpstr>'314'!OSRRefF21_11x_0</vt:lpstr>
      <vt:lpstr>'315'!OSRRefF21_11x_0</vt:lpstr>
      <vt:lpstr>'316'!OSRRefF21_11x_0</vt:lpstr>
      <vt:lpstr>'317'!OSRRefF21_11x_0</vt:lpstr>
      <vt:lpstr>'320'!OSRRefF21_11x_0</vt:lpstr>
      <vt:lpstr>'321'!OSRRefF21_11x_0</vt:lpstr>
      <vt:lpstr>'322'!OSRRefF21_11x_0</vt:lpstr>
      <vt:lpstr>'325'!OSRRefF21_11x_0</vt:lpstr>
      <vt:lpstr>'326'!OSRRefF21_11x_0</vt:lpstr>
      <vt:lpstr>'330'!OSRRefF21_11x_0</vt:lpstr>
      <vt:lpstr>'331'!OSRRefF21_11x_0</vt:lpstr>
      <vt:lpstr>'332'!OSRRefF21_11x_0</vt:lpstr>
      <vt:lpstr>'405'!OSRRefF21_11x_0</vt:lpstr>
      <vt:lpstr>'406'!OSRRefF21_11x_0</vt:lpstr>
      <vt:lpstr>'411'!OSRRefF21_11x_0</vt:lpstr>
      <vt:lpstr>'412'!OSRRefF21_11x_0</vt:lpstr>
      <vt:lpstr>'413'!OSRRefF21_11x_0</vt:lpstr>
      <vt:lpstr>'414'!OSRRefF21_11x_0</vt:lpstr>
      <vt:lpstr>'415'!OSRRefF21_11x_0</vt:lpstr>
      <vt:lpstr>'418'!OSRRefF21_11x_0</vt:lpstr>
      <vt:lpstr>'423'!OSRRefF21_11x_0</vt:lpstr>
      <vt:lpstr>'424'!OSRRefF21_11x_0</vt:lpstr>
      <vt:lpstr>'425'!OSRRefF21_11x_0</vt:lpstr>
      <vt:lpstr>'430'!OSRRefF21_11x_0</vt:lpstr>
      <vt:lpstr>'433'!OSRRefF21_11x_0</vt:lpstr>
      <vt:lpstr>'435'!OSRRefF21_11x_0</vt:lpstr>
      <vt:lpstr>'444'!OSRRefF21_11x_0</vt:lpstr>
      <vt:lpstr>'445'!OSRRefF21_11x_0</vt:lpstr>
      <vt:lpstr>'450'!OSRRefF21_11x_0</vt:lpstr>
      <vt:lpstr>'491'!OSRRefF21_11x_0</vt:lpstr>
      <vt:lpstr>'492'!OSRRefF21_11x_0</vt:lpstr>
      <vt:lpstr>'501'!OSRRefF21_11x_0</vt:lpstr>
      <vt:lpstr>'Div 2'!OSRRefF21_11x_0</vt:lpstr>
      <vt:lpstr>'Div 3'!OSRRefF21_11x_0</vt:lpstr>
      <vt:lpstr>'Div 4'!OSRRefF21_11x_0</vt:lpstr>
      <vt:lpstr>'Div 5'!OSRRefF21_11x_0</vt:lpstr>
      <vt:lpstr>'Div 6'!OSRRefF21_11x_0</vt:lpstr>
      <vt:lpstr>Summary!OSRRefF21_11x_0</vt:lpstr>
      <vt:lpstr>'201'!OSRRefF21_12x_0</vt:lpstr>
      <vt:lpstr>'202'!OSRRefF21_12x_0</vt:lpstr>
      <vt:lpstr>'203'!OSRRefF21_12x_0</vt:lpstr>
      <vt:lpstr>'204'!OSRRefF21_12x_0</vt:lpstr>
      <vt:lpstr>'206'!OSRRefF21_12x_0</vt:lpstr>
      <vt:lpstr>'300'!OSRRefF21_12x_0</vt:lpstr>
      <vt:lpstr>'300 &amp; 317'!OSRRefF21_12x_0</vt:lpstr>
      <vt:lpstr>'301'!OSRRefF21_12x_0</vt:lpstr>
      <vt:lpstr>'306'!OSRRefF21_12x_0</vt:lpstr>
      <vt:lpstr>'307'!OSRRefF21_12x_0</vt:lpstr>
      <vt:lpstr>'308'!OSRRefF21_12x_0</vt:lpstr>
      <vt:lpstr>'309'!OSRRefF21_12x_0</vt:lpstr>
      <vt:lpstr>'310'!OSRRefF21_12x_0</vt:lpstr>
      <vt:lpstr>'310 &amp; 491'!OSRRefF21_12x_0</vt:lpstr>
      <vt:lpstr>'311'!OSRRefF21_12x_0</vt:lpstr>
      <vt:lpstr>'313'!OSRRefF21_12x_0</vt:lpstr>
      <vt:lpstr>'314'!OSRRefF21_12x_0</vt:lpstr>
      <vt:lpstr>'315'!OSRRefF21_12x_0</vt:lpstr>
      <vt:lpstr>'316'!OSRRefF21_12x_0</vt:lpstr>
      <vt:lpstr>'317'!OSRRefF21_12x_0</vt:lpstr>
      <vt:lpstr>'320'!OSRRefF21_12x_0</vt:lpstr>
      <vt:lpstr>'321'!OSRRefF21_12x_0</vt:lpstr>
      <vt:lpstr>'322'!OSRRefF21_12x_0</vt:lpstr>
      <vt:lpstr>'325'!OSRRefF21_12x_0</vt:lpstr>
      <vt:lpstr>'326'!OSRRefF21_12x_0</vt:lpstr>
      <vt:lpstr>'330'!OSRRefF21_12x_0</vt:lpstr>
      <vt:lpstr>'331'!OSRRefF21_12x_0</vt:lpstr>
      <vt:lpstr>'332'!OSRRefF21_12x_0</vt:lpstr>
      <vt:lpstr>'405'!OSRRefF21_12x_0</vt:lpstr>
      <vt:lpstr>'406'!OSRRefF21_12x_0</vt:lpstr>
      <vt:lpstr>'411'!OSRRefF21_12x_0</vt:lpstr>
      <vt:lpstr>'412'!OSRRefF21_12x_0</vt:lpstr>
      <vt:lpstr>'413'!OSRRefF21_12x_0</vt:lpstr>
      <vt:lpstr>'414'!OSRRefF21_12x_0</vt:lpstr>
      <vt:lpstr>'415'!OSRRefF21_12x_0</vt:lpstr>
      <vt:lpstr>'418'!OSRRefF21_12x_0</vt:lpstr>
      <vt:lpstr>'423'!OSRRefF21_12x_0</vt:lpstr>
      <vt:lpstr>'424'!OSRRefF21_12x_0</vt:lpstr>
      <vt:lpstr>'425'!OSRRefF21_12x_0</vt:lpstr>
      <vt:lpstr>'433'!OSRRefF21_12x_0</vt:lpstr>
      <vt:lpstr>'435'!OSRRefF21_12x_0</vt:lpstr>
      <vt:lpstr>'444'!OSRRefF21_12x_0</vt:lpstr>
      <vt:lpstr>'445'!OSRRefF21_12x_0</vt:lpstr>
      <vt:lpstr>'450'!OSRRefF21_12x_0</vt:lpstr>
      <vt:lpstr>'491'!OSRRefF21_12x_0</vt:lpstr>
      <vt:lpstr>'492'!OSRRefF21_12x_0</vt:lpstr>
      <vt:lpstr>'501'!OSRRefF21_12x_0</vt:lpstr>
      <vt:lpstr>'Div 2'!OSRRefF21_12x_0</vt:lpstr>
      <vt:lpstr>'Div 3'!OSRRefF21_12x_0</vt:lpstr>
      <vt:lpstr>'Div 4'!OSRRefF21_12x_0</vt:lpstr>
      <vt:lpstr>'Div 5'!OSRRefF21_12x_0</vt:lpstr>
      <vt:lpstr>'Div 6'!OSRRefF21_12x_0</vt:lpstr>
      <vt:lpstr>Summary!OSRRefF21_12x_0</vt:lpstr>
      <vt:lpstr>'201'!OSRRefF21_13x_0</vt:lpstr>
      <vt:lpstr>'202'!OSRRefF21_13x_0</vt:lpstr>
      <vt:lpstr>'203'!OSRRefF21_13x_0</vt:lpstr>
      <vt:lpstr>'204'!OSRRefF21_13x_0</vt:lpstr>
      <vt:lpstr>'300'!OSRRefF21_13x_0</vt:lpstr>
      <vt:lpstr>'300 &amp; 317'!OSRRefF21_13x_0</vt:lpstr>
      <vt:lpstr>'301'!OSRRefF21_13x_0</vt:lpstr>
      <vt:lpstr>'307'!OSRRefF21_13x_0</vt:lpstr>
      <vt:lpstr>'308'!OSRRefF21_13x_0</vt:lpstr>
      <vt:lpstr>'309'!OSRRefF21_13x_0</vt:lpstr>
      <vt:lpstr>'310'!OSRRefF21_13x_0</vt:lpstr>
      <vt:lpstr>'310 &amp; 491'!OSRRefF21_13x_0</vt:lpstr>
      <vt:lpstr>'311'!OSRRefF21_13x_0</vt:lpstr>
      <vt:lpstr>'313'!OSRRefF21_13x_0</vt:lpstr>
      <vt:lpstr>'314'!OSRRefF21_13x_0</vt:lpstr>
      <vt:lpstr>'315'!OSRRefF21_13x_0</vt:lpstr>
      <vt:lpstr>'316'!OSRRefF21_13x_0</vt:lpstr>
      <vt:lpstr>'317'!OSRRefF21_13x_0</vt:lpstr>
      <vt:lpstr>'321'!OSRRefF21_13x_0</vt:lpstr>
      <vt:lpstr>'322'!OSRRefF21_13x_0</vt:lpstr>
      <vt:lpstr>'325'!OSRRefF21_13x_0</vt:lpstr>
      <vt:lpstr>'326'!OSRRefF21_13x_0</vt:lpstr>
      <vt:lpstr>'330'!OSRRefF21_13x_0</vt:lpstr>
      <vt:lpstr>'331'!OSRRefF21_13x_0</vt:lpstr>
      <vt:lpstr>'332'!OSRRefF21_13x_0</vt:lpstr>
      <vt:lpstr>'405'!OSRRefF21_13x_0</vt:lpstr>
      <vt:lpstr>'406'!OSRRefF21_13x_0</vt:lpstr>
      <vt:lpstr>'411'!OSRRefF21_13x_0</vt:lpstr>
      <vt:lpstr>'412'!OSRRefF21_13x_0</vt:lpstr>
      <vt:lpstr>'413'!OSRRefF21_13x_0</vt:lpstr>
      <vt:lpstr>'414'!OSRRefF21_13x_0</vt:lpstr>
      <vt:lpstr>'415'!OSRRefF21_13x_0</vt:lpstr>
      <vt:lpstr>'418'!OSRRefF21_13x_0</vt:lpstr>
      <vt:lpstr>'424'!OSRRefF21_13x_0</vt:lpstr>
      <vt:lpstr>'425'!OSRRefF21_13x_0</vt:lpstr>
      <vt:lpstr>'433'!OSRRefF21_13x_0</vt:lpstr>
      <vt:lpstr>'435'!OSRRefF21_13x_0</vt:lpstr>
      <vt:lpstr>'444'!OSRRefF21_13x_0</vt:lpstr>
      <vt:lpstr>'445'!OSRRefF21_13x_0</vt:lpstr>
      <vt:lpstr>'450'!OSRRefF21_13x_0</vt:lpstr>
      <vt:lpstr>'491'!OSRRefF21_13x_0</vt:lpstr>
      <vt:lpstr>'492'!OSRRefF21_13x_0</vt:lpstr>
      <vt:lpstr>'501'!OSRRefF21_13x_0</vt:lpstr>
      <vt:lpstr>'Div 2'!OSRRefF21_13x_0</vt:lpstr>
      <vt:lpstr>'Div 3'!OSRRefF21_13x_0</vt:lpstr>
      <vt:lpstr>'Div 4'!OSRRefF21_13x_0</vt:lpstr>
      <vt:lpstr>'Div 5'!OSRRefF21_13x_0</vt:lpstr>
      <vt:lpstr>'Div 6'!OSRRefF21_13x_0</vt:lpstr>
      <vt:lpstr>Summary!OSRRefF21_13x_0</vt:lpstr>
      <vt:lpstr>'201'!OSRRefF21_14x_0</vt:lpstr>
      <vt:lpstr>'202'!OSRRefF21_14x_0</vt:lpstr>
      <vt:lpstr>'203'!OSRRefF21_14x_0</vt:lpstr>
      <vt:lpstr>'300'!OSRRefF21_14x_0</vt:lpstr>
      <vt:lpstr>'300 &amp; 317'!OSRRefF21_14x_0</vt:lpstr>
      <vt:lpstr>'301'!OSRRefF21_14x_0</vt:lpstr>
      <vt:lpstr>'307'!OSRRefF21_14x_0</vt:lpstr>
      <vt:lpstr>'308'!OSRRefF21_14x_0</vt:lpstr>
      <vt:lpstr>'309'!OSRRefF21_14x_0</vt:lpstr>
      <vt:lpstr>'310'!OSRRefF21_14x_0</vt:lpstr>
      <vt:lpstr>'310 &amp; 491'!OSRRefF21_14x_0</vt:lpstr>
      <vt:lpstr>'311'!OSRRefF21_14x_0</vt:lpstr>
      <vt:lpstr>'313'!OSRRefF21_14x_0</vt:lpstr>
      <vt:lpstr>'315'!OSRRefF21_14x_0</vt:lpstr>
      <vt:lpstr>'316'!OSRRefF21_14x_0</vt:lpstr>
      <vt:lpstr>'317'!OSRRefF21_14x_0</vt:lpstr>
      <vt:lpstr>'321'!OSRRefF21_14x_0</vt:lpstr>
      <vt:lpstr>'322'!OSRRefF21_14x_0</vt:lpstr>
      <vt:lpstr>'325'!OSRRefF21_14x_0</vt:lpstr>
      <vt:lpstr>'326'!OSRRefF21_14x_0</vt:lpstr>
      <vt:lpstr>'330'!OSRRefF21_14x_0</vt:lpstr>
      <vt:lpstr>'331'!OSRRefF21_14x_0</vt:lpstr>
      <vt:lpstr>'332'!OSRRefF21_14x_0</vt:lpstr>
      <vt:lpstr>'405'!OSRRefF21_14x_0</vt:lpstr>
      <vt:lpstr>'406'!OSRRefF21_14x_0</vt:lpstr>
      <vt:lpstr>'411'!OSRRefF21_14x_0</vt:lpstr>
      <vt:lpstr>'412'!OSRRefF21_14x_0</vt:lpstr>
      <vt:lpstr>'414'!OSRRefF21_14x_0</vt:lpstr>
      <vt:lpstr>'415'!OSRRefF21_14x_0</vt:lpstr>
      <vt:lpstr>'418'!OSRRefF21_14x_0</vt:lpstr>
      <vt:lpstr>'425'!OSRRefF21_14x_0</vt:lpstr>
      <vt:lpstr>'433'!OSRRefF21_14x_0</vt:lpstr>
      <vt:lpstr>'444'!OSRRefF21_14x_0</vt:lpstr>
      <vt:lpstr>'450'!OSRRefF21_14x_0</vt:lpstr>
      <vt:lpstr>'491'!OSRRefF21_14x_0</vt:lpstr>
      <vt:lpstr>'492'!OSRRefF21_14x_0</vt:lpstr>
      <vt:lpstr>'501'!OSRRefF21_14x_0</vt:lpstr>
      <vt:lpstr>'Div 2'!OSRRefF21_14x_0</vt:lpstr>
      <vt:lpstr>'Div 3'!OSRRefF21_14x_0</vt:lpstr>
      <vt:lpstr>'Div 4'!OSRRefF21_14x_0</vt:lpstr>
      <vt:lpstr>'Div 5'!OSRRefF21_14x_0</vt:lpstr>
      <vt:lpstr>'Div 6'!OSRRefF21_14x_0</vt:lpstr>
      <vt:lpstr>Summary!OSRRefF21_14x_0</vt:lpstr>
      <vt:lpstr>'201'!OSRRefF21_15x_0</vt:lpstr>
      <vt:lpstr>'202'!OSRRefF21_15x_0</vt:lpstr>
      <vt:lpstr>'203'!OSRRefF21_15x_0</vt:lpstr>
      <vt:lpstr>'300'!OSRRefF21_15x_0</vt:lpstr>
      <vt:lpstr>'300 &amp; 317'!OSRRefF21_15x_0</vt:lpstr>
      <vt:lpstr>'301'!OSRRefF21_15x_0</vt:lpstr>
      <vt:lpstr>'307'!OSRRefF21_15x_0</vt:lpstr>
      <vt:lpstr>'308'!OSRRefF21_15x_0</vt:lpstr>
      <vt:lpstr>'309'!OSRRefF21_15x_0</vt:lpstr>
      <vt:lpstr>'310'!OSRRefF21_15x_0</vt:lpstr>
      <vt:lpstr>'310 &amp; 491'!OSRRefF21_15x_0</vt:lpstr>
      <vt:lpstr>'311'!OSRRefF21_15x_0</vt:lpstr>
      <vt:lpstr>'313'!OSRRefF21_15x_0</vt:lpstr>
      <vt:lpstr>'315'!OSRRefF21_15x_0</vt:lpstr>
      <vt:lpstr>'316'!OSRRefF21_15x_0</vt:lpstr>
      <vt:lpstr>'317'!OSRRefF21_15x_0</vt:lpstr>
      <vt:lpstr>'321'!OSRRefF21_15x_0</vt:lpstr>
      <vt:lpstr>'322'!OSRRefF21_15x_0</vt:lpstr>
      <vt:lpstr>'325'!OSRRefF21_15x_0</vt:lpstr>
      <vt:lpstr>'326'!OSRRefF21_15x_0</vt:lpstr>
      <vt:lpstr>'330'!OSRRefF21_15x_0</vt:lpstr>
      <vt:lpstr>'331'!OSRRefF21_15x_0</vt:lpstr>
      <vt:lpstr>'332'!OSRRefF21_15x_0</vt:lpstr>
      <vt:lpstr>'405'!OSRRefF21_15x_0</vt:lpstr>
      <vt:lpstr>'406'!OSRRefF21_15x_0</vt:lpstr>
      <vt:lpstr>'411'!OSRRefF21_15x_0</vt:lpstr>
      <vt:lpstr>'412'!OSRRefF21_15x_0</vt:lpstr>
      <vt:lpstr>'414'!OSRRefF21_15x_0</vt:lpstr>
      <vt:lpstr>'415'!OSRRefF21_15x_0</vt:lpstr>
      <vt:lpstr>'418'!OSRRefF21_15x_0</vt:lpstr>
      <vt:lpstr>'425'!OSRRefF21_15x_0</vt:lpstr>
      <vt:lpstr>'433'!OSRRefF21_15x_0</vt:lpstr>
      <vt:lpstr>'444'!OSRRefF21_15x_0</vt:lpstr>
      <vt:lpstr>'450'!OSRRefF21_15x_0</vt:lpstr>
      <vt:lpstr>'491'!OSRRefF21_15x_0</vt:lpstr>
      <vt:lpstr>'492'!OSRRefF21_15x_0</vt:lpstr>
      <vt:lpstr>'501'!OSRRefF21_15x_0</vt:lpstr>
      <vt:lpstr>'Div 2'!OSRRefF21_15x_0</vt:lpstr>
      <vt:lpstr>'Div 3'!OSRRefF21_15x_0</vt:lpstr>
      <vt:lpstr>'Div 4'!OSRRefF21_15x_0</vt:lpstr>
      <vt:lpstr>'Div 5'!OSRRefF21_15x_0</vt:lpstr>
      <vt:lpstr>'Div 6'!OSRRefF21_15x_0</vt:lpstr>
      <vt:lpstr>Summary!OSRRefF21_15x_0</vt:lpstr>
      <vt:lpstr>'201'!OSRRefF21_16x_0</vt:lpstr>
      <vt:lpstr>'202'!OSRRefF21_16x_0</vt:lpstr>
      <vt:lpstr>'300'!OSRRefF21_16x_0</vt:lpstr>
      <vt:lpstr>'300 &amp; 317'!OSRRefF21_16x_0</vt:lpstr>
      <vt:lpstr>'301'!OSRRefF21_16x_0</vt:lpstr>
      <vt:lpstr>'307'!OSRRefF21_16x_0</vt:lpstr>
      <vt:lpstr>'308'!OSRRefF21_16x_0</vt:lpstr>
      <vt:lpstr>'309'!OSRRefF21_16x_0</vt:lpstr>
      <vt:lpstr>'310'!OSRRefF21_16x_0</vt:lpstr>
      <vt:lpstr>'310 &amp; 491'!OSRRefF21_16x_0</vt:lpstr>
      <vt:lpstr>'311'!OSRRefF21_16x_0</vt:lpstr>
      <vt:lpstr>'313'!OSRRefF21_16x_0</vt:lpstr>
      <vt:lpstr>'315'!OSRRefF21_16x_0</vt:lpstr>
      <vt:lpstr>'321'!OSRRefF21_16x_0</vt:lpstr>
      <vt:lpstr>'322'!OSRRefF21_16x_0</vt:lpstr>
      <vt:lpstr>'325'!OSRRefF21_16x_0</vt:lpstr>
      <vt:lpstr>'326'!OSRRefF21_16x_0</vt:lpstr>
      <vt:lpstr>'330'!OSRRefF21_16x_0</vt:lpstr>
      <vt:lpstr>'331'!OSRRefF21_16x_0</vt:lpstr>
      <vt:lpstr>'332'!OSRRefF21_16x_0</vt:lpstr>
      <vt:lpstr>'405'!OSRRefF21_16x_0</vt:lpstr>
      <vt:lpstr>'406'!OSRRefF21_16x_0</vt:lpstr>
      <vt:lpstr>'411'!OSRRefF21_16x_0</vt:lpstr>
      <vt:lpstr>'412'!OSRRefF21_16x_0</vt:lpstr>
      <vt:lpstr>'414'!OSRRefF21_16x_0</vt:lpstr>
      <vt:lpstr>'415'!OSRRefF21_16x_0</vt:lpstr>
      <vt:lpstr>'418'!OSRRefF21_16x_0</vt:lpstr>
      <vt:lpstr>'425'!OSRRefF21_16x_0</vt:lpstr>
      <vt:lpstr>'433'!OSRRefF21_16x_0</vt:lpstr>
      <vt:lpstr>'444'!OSRRefF21_16x_0</vt:lpstr>
      <vt:lpstr>'450'!OSRRefF21_16x_0</vt:lpstr>
      <vt:lpstr>'491'!OSRRefF21_16x_0</vt:lpstr>
      <vt:lpstr>'492'!OSRRefF21_16x_0</vt:lpstr>
      <vt:lpstr>'501'!OSRRefF21_16x_0</vt:lpstr>
      <vt:lpstr>'Div 2'!OSRRefF21_16x_0</vt:lpstr>
      <vt:lpstr>'Div 3'!OSRRefF21_16x_0</vt:lpstr>
      <vt:lpstr>'Div 4'!OSRRefF21_16x_0</vt:lpstr>
      <vt:lpstr>'Div 5'!OSRRefF21_16x_0</vt:lpstr>
      <vt:lpstr>Summary!OSRRefF21_16x_0</vt:lpstr>
      <vt:lpstr>'201'!OSRRefF21_17x_0</vt:lpstr>
      <vt:lpstr>'300'!OSRRefF21_17x_0</vt:lpstr>
      <vt:lpstr>'300 &amp; 317'!OSRRefF21_17x_0</vt:lpstr>
      <vt:lpstr>'301'!OSRRefF21_17x_0</vt:lpstr>
      <vt:lpstr>'307'!OSRRefF21_17x_0</vt:lpstr>
      <vt:lpstr>'308'!OSRRefF21_17x_0</vt:lpstr>
      <vt:lpstr>'310'!OSRRefF21_17x_0</vt:lpstr>
      <vt:lpstr>'310 &amp; 491'!OSRRefF21_17x_0</vt:lpstr>
      <vt:lpstr>'311'!OSRRefF21_17x_0</vt:lpstr>
      <vt:lpstr>'315'!OSRRefF21_17x_0</vt:lpstr>
      <vt:lpstr>'321'!OSRRefF21_17x_0</vt:lpstr>
      <vt:lpstr>'322'!OSRRefF21_17x_0</vt:lpstr>
      <vt:lpstr>'325'!OSRRefF21_17x_0</vt:lpstr>
      <vt:lpstr>'326'!OSRRefF21_17x_0</vt:lpstr>
      <vt:lpstr>'330'!OSRRefF21_17x_0</vt:lpstr>
      <vt:lpstr>'331'!OSRRefF21_17x_0</vt:lpstr>
      <vt:lpstr>'405'!OSRRefF21_17x_0</vt:lpstr>
      <vt:lpstr>'411'!OSRRefF21_17x_0</vt:lpstr>
      <vt:lpstr>'412'!OSRRefF21_17x_0</vt:lpstr>
      <vt:lpstr>'414'!OSRRefF21_17x_0</vt:lpstr>
      <vt:lpstr>'415'!OSRRefF21_17x_0</vt:lpstr>
      <vt:lpstr>'418'!OSRRefF21_17x_0</vt:lpstr>
      <vt:lpstr>'433'!OSRRefF21_17x_0</vt:lpstr>
      <vt:lpstr>'444'!OSRRefF21_17x_0</vt:lpstr>
      <vt:lpstr>'450'!OSRRefF21_17x_0</vt:lpstr>
      <vt:lpstr>'491'!OSRRefF21_17x_0</vt:lpstr>
      <vt:lpstr>'492'!OSRRefF21_17x_0</vt:lpstr>
      <vt:lpstr>'Div 2'!OSRRefF21_17x_0</vt:lpstr>
      <vt:lpstr>'Div 3'!OSRRefF21_17x_0</vt:lpstr>
      <vt:lpstr>'Div 4'!OSRRefF21_17x_0</vt:lpstr>
      <vt:lpstr>Summary!OSRRefF21_17x_0</vt:lpstr>
      <vt:lpstr>'201'!OSRRefF21_18x_0</vt:lpstr>
      <vt:lpstr>'300'!OSRRefF21_18x_0</vt:lpstr>
      <vt:lpstr>'300 &amp; 317'!OSRRefF21_18x_0</vt:lpstr>
      <vt:lpstr>'301'!OSRRefF21_18x_0</vt:lpstr>
      <vt:lpstr>'307'!OSRRefF21_18x_0</vt:lpstr>
      <vt:lpstr>'310'!OSRRefF21_18x_0</vt:lpstr>
      <vt:lpstr>'310 &amp; 491'!OSRRefF21_18x_0</vt:lpstr>
      <vt:lpstr>'322'!OSRRefF21_18x_0</vt:lpstr>
      <vt:lpstr>'325'!OSRRefF21_18x_0</vt:lpstr>
      <vt:lpstr>'326'!OSRRefF21_18x_0</vt:lpstr>
      <vt:lpstr>'330'!OSRRefF21_18x_0</vt:lpstr>
      <vt:lpstr>'331'!OSRRefF21_18x_0</vt:lpstr>
      <vt:lpstr>'405'!OSRRefF21_18x_0</vt:lpstr>
      <vt:lpstr>'411'!OSRRefF21_18x_0</vt:lpstr>
      <vt:lpstr>'412'!OSRRefF21_18x_0</vt:lpstr>
      <vt:lpstr>'415'!OSRRefF21_18x_0</vt:lpstr>
      <vt:lpstr>'418'!OSRRefF21_18x_0</vt:lpstr>
      <vt:lpstr>'433'!OSRRefF21_18x_0</vt:lpstr>
      <vt:lpstr>'444'!OSRRefF21_18x_0</vt:lpstr>
      <vt:lpstr>'450'!OSRRefF21_18x_0</vt:lpstr>
      <vt:lpstr>'491'!OSRRefF21_18x_0</vt:lpstr>
      <vt:lpstr>'492'!OSRRefF21_18x_0</vt:lpstr>
      <vt:lpstr>'Div 2'!OSRRefF21_18x_0</vt:lpstr>
      <vt:lpstr>'Div 3'!OSRRefF21_18x_0</vt:lpstr>
      <vt:lpstr>'Div 4'!OSRRefF21_18x_0</vt:lpstr>
      <vt:lpstr>Summary!OSRRefF21_18x_0</vt:lpstr>
      <vt:lpstr>'201'!OSRRefF21_19x_0</vt:lpstr>
      <vt:lpstr>'300'!OSRRefF21_19x_0</vt:lpstr>
      <vt:lpstr>'300 &amp; 317'!OSRRefF21_19x_0</vt:lpstr>
      <vt:lpstr>'301'!OSRRefF21_19x_0</vt:lpstr>
      <vt:lpstr>'310'!OSRRefF21_19x_0</vt:lpstr>
      <vt:lpstr>'310 &amp; 491'!OSRRefF21_19x_0</vt:lpstr>
      <vt:lpstr>'322'!OSRRefF21_19x_0</vt:lpstr>
      <vt:lpstr>'325'!OSRRefF21_19x_0</vt:lpstr>
      <vt:lpstr>'326'!OSRRefF21_19x_0</vt:lpstr>
      <vt:lpstr>'331'!OSRRefF21_19x_0</vt:lpstr>
      <vt:lpstr>'411'!OSRRefF21_19x_0</vt:lpstr>
      <vt:lpstr>'415'!OSRRefF21_19x_0</vt:lpstr>
      <vt:lpstr>'418'!OSRRefF21_19x_0</vt:lpstr>
      <vt:lpstr>'433'!OSRRefF21_19x_0</vt:lpstr>
      <vt:lpstr>'444'!OSRRefF21_19x_0</vt:lpstr>
      <vt:lpstr>'491'!OSRRefF21_19x_0</vt:lpstr>
      <vt:lpstr>'492'!OSRRefF21_19x_0</vt:lpstr>
      <vt:lpstr>'Div 2'!OSRRefF21_19x_0</vt:lpstr>
      <vt:lpstr>'Div 3'!OSRRefF21_19x_0</vt:lpstr>
      <vt:lpstr>'Div 4'!OSRRefF21_19x_0</vt:lpstr>
      <vt:lpstr>Summary!OSRRefF21_19x_0</vt:lpstr>
      <vt:lpstr>'200'!OSRRefF21_1x_0</vt:lpstr>
      <vt:lpstr>'201'!OSRRefF21_1x_0</vt:lpstr>
      <vt:lpstr>'202'!OSRRefF21_1x_0</vt:lpstr>
      <vt:lpstr>'203'!OSRRefF21_1x_0</vt:lpstr>
      <vt:lpstr>'204'!OSRRefF21_1x_0</vt:lpstr>
      <vt:lpstr>'205'!OSRRefF21_1x_0</vt:lpstr>
      <vt:lpstr>'206'!OSRRefF21_1x_0</vt:lpstr>
      <vt:lpstr>'300'!OSRRefF21_1x_0</vt:lpstr>
      <vt:lpstr>'300 &amp; 317'!OSRRefF21_1x_0</vt:lpstr>
      <vt:lpstr>'301'!OSRRefF21_1x_0</vt:lpstr>
      <vt:lpstr>'306'!OSRRefF21_1x_0</vt:lpstr>
      <vt:lpstr>'307'!OSRRefF21_1x_0</vt:lpstr>
      <vt:lpstr>'308'!OSRRefF21_1x_0</vt:lpstr>
      <vt:lpstr>'309'!OSRRefF21_1x_0</vt:lpstr>
      <vt:lpstr>'310'!OSRRefF21_1x_0</vt:lpstr>
      <vt:lpstr>'310 &amp; 491'!OSRRefF21_1x_0</vt:lpstr>
      <vt:lpstr>'311'!OSRRefF21_1x_0</vt:lpstr>
      <vt:lpstr>'312'!OSRRefF21_1x_0</vt:lpstr>
      <vt:lpstr>'313'!OSRRefF21_1x_0</vt:lpstr>
      <vt:lpstr>'314'!OSRRefF21_1x_0</vt:lpstr>
      <vt:lpstr>'315'!OSRRefF21_1x_0</vt:lpstr>
      <vt:lpstr>'316'!OSRRefF21_1x_0</vt:lpstr>
      <vt:lpstr>'317'!OSRRefF21_1x_0</vt:lpstr>
      <vt:lpstr>'318'!OSRRefF21_1x_0</vt:lpstr>
      <vt:lpstr>'320'!OSRRefF21_1x_0</vt:lpstr>
      <vt:lpstr>'321'!OSRRefF21_1x_0</vt:lpstr>
      <vt:lpstr>'322'!OSRRefF21_1x_0</vt:lpstr>
      <vt:lpstr>'323'!OSRRefF21_1x_0</vt:lpstr>
      <vt:lpstr>'324'!OSRRefF21_1x_0</vt:lpstr>
      <vt:lpstr>'325'!OSRRefF21_1x_0</vt:lpstr>
      <vt:lpstr>'326'!OSRRefF21_1x_0</vt:lpstr>
      <vt:lpstr>'327'!OSRRefF21_1x_0</vt:lpstr>
      <vt:lpstr>'330'!OSRRefF21_1x_0</vt:lpstr>
      <vt:lpstr>'331'!OSRRefF21_1x_0</vt:lpstr>
      <vt:lpstr>'332'!OSRRefF21_1x_0</vt:lpstr>
      <vt:lpstr>'335'!OSRRefF21_1x_0</vt:lpstr>
      <vt:lpstr>'405'!OSRRefF21_1x_0</vt:lpstr>
      <vt:lpstr>'406'!OSRRefF21_1x_0</vt:lpstr>
      <vt:lpstr>'411'!OSRRefF21_1x_0</vt:lpstr>
      <vt:lpstr>'412'!OSRRefF21_1x_0</vt:lpstr>
      <vt:lpstr>'413'!OSRRefF21_1x_0</vt:lpstr>
      <vt:lpstr>'414'!OSRRefF21_1x_0</vt:lpstr>
      <vt:lpstr>'415'!OSRRefF21_1x_0</vt:lpstr>
      <vt:lpstr>'418'!OSRRefF21_1x_0</vt:lpstr>
      <vt:lpstr>'420'!OSRRefF21_1x_0</vt:lpstr>
      <vt:lpstr>'423'!OSRRefF21_1x_0</vt:lpstr>
      <vt:lpstr>'424'!OSRRefF21_1x_0</vt:lpstr>
      <vt:lpstr>'425'!OSRRefF21_1x_0</vt:lpstr>
      <vt:lpstr>'430'!OSRRefF21_1x_0</vt:lpstr>
      <vt:lpstr>'433'!OSRRefF21_1x_0</vt:lpstr>
      <vt:lpstr>'435'!OSRRefF21_1x_0</vt:lpstr>
      <vt:lpstr>'444'!OSRRefF21_1x_0</vt:lpstr>
      <vt:lpstr>'445'!OSRRefF21_1x_0</vt:lpstr>
      <vt:lpstr>'450'!OSRRefF21_1x_0</vt:lpstr>
      <vt:lpstr>'455'!OSRRefF21_1x_0</vt:lpstr>
      <vt:lpstr>'491'!OSRRefF21_1x_0</vt:lpstr>
      <vt:lpstr>'492'!OSRRefF21_1x_0</vt:lpstr>
      <vt:lpstr>'501'!OSRRefF21_1x_0</vt:lpstr>
      <vt:lpstr>'Div 2'!OSRRefF21_1x_0</vt:lpstr>
      <vt:lpstr>'Div 3'!OSRRefF21_1x_0</vt:lpstr>
      <vt:lpstr>'Div 4'!OSRRefF21_1x_0</vt:lpstr>
      <vt:lpstr>'Div 5'!OSRRefF21_1x_0</vt:lpstr>
      <vt:lpstr>'Div 6'!OSRRefF21_1x_0</vt:lpstr>
      <vt:lpstr>Summary!OSRRefF21_1x_0</vt:lpstr>
      <vt:lpstr>'300'!OSRRefF21_20x_0</vt:lpstr>
      <vt:lpstr>'300 &amp; 317'!OSRRefF21_20x_0</vt:lpstr>
      <vt:lpstr>'301'!OSRRefF21_20x_0</vt:lpstr>
      <vt:lpstr>'310'!OSRRefF21_20x_0</vt:lpstr>
      <vt:lpstr>'310 &amp; 491'!OSRRefF21_20x_0</vt:lpstr>
      <vt:lpstr>'326'!OSRRefF21_20x_0</vt:lpstr>
      <vt:lpstr>'331'!OSRRefF21_20x_0</vt:lpstr>
      <vt:lpstr>'411'!OSRRefF21_20x_0</vt:lpstr>
      <vt:lpstr>'433'!OSRRefF21_20x_0</vt:lpstr>
      <vt:lpstr>'444'!OSRRefF21_20x_0</vt:lpstr>
      <vt:lpstr>'491'!OSRRefF21_20x_0</vt:lpstr>
      <vt:lpstr>'492'!OSRRefF21_20x_0</vt:lpstr>
      <vt:lpstr>'Div 2'!OSRRefF21_20x_0</vt:lpstr>
      <vt:lpstr>'Div 3'!OSRRefF21_20x_0</vt:lpstr>
      <vt:lpstr>'Div 4'!OSRRefF21_20x_0</vt:lpstr>
      <vt:lpstr>Summary!OSRRefF21_20x_0</vt:lpstr>
      <vt:lpstr>'300'!OSRRefF21_21x_0</vt:lpstr>
      <vt:lpstr>'300 &amp; 317'!OSRRefF21_21x_0</vt:lpstr>
      <vt:lpstr>'301'!OSRRefF21_21x_0</vt:lpstr>
      <vt:lpstr>'310'!OSRRefF21_21x_0</vt:lpstr>
      <vt:lpstr>'310 &amp; 491'!OSRRefF21_21x_0</vt:lpstr>
      <vt:lpstr>'326'!OSRRefF21_21x_0</vt:lpstr>
      <vt:lpstr>'331'!OSRRefF21_21x_0</vt:lpstr>
      <vt:lpstr>'411'!OSRRefF21_21x_0</vt:lpstr>
      <vt:lpstr>'491'!OSRRefF21_21x_0</vt:lpstr>
      <vt:lpstr>'492'!OSRRefF21_21x_0</vt:lpstr>
      <vt:lpstr>'Div 2'!OSRRefF21_21x_0</vt:lpstr>
      <vt:lpstr>'Div 3'!OSRRefF21_21x_0</vt:lpstr>
      <vt:lpstr>'Div 4'!OSRRefF21_21x_0</vt:lpstr>
      <vt:lpstr>Summary!OSRRefF21_21x_0</vt:lpstr>
      <vt:lpstr>'300'!OSRRefF21_22x_0</vt:lpstr>
      <vt:lpstr>'300 &amp; 317'!OSRRefF21_22x_0</vt:lpstr>
      <vt:lpstr>'301'!OSRRefF21_22x_0</vt:lpstr>
      <vt:lpstr>'310'!OSRRefF21_22x_0</vt:lpstr>
      <vt:lpstr>'310 &amp; 491'!OSRRefF21_22x_0</vt:lpstr>
      <vt:lpstr>'331'!OSRRefF21_22x_0</vt:lpstr>
      <vt:lpstr>'411'!OSRRefF21_22x_0</vt:lpstr>
      <vt:lpstr>'491'!OSRRefF21_22x_0</vt:lpstr>
      <vt:lpstr>'492'!OSRRefF21_22x_0</vt:lpstr>
      <vt:lpstr>'Div 3'!OSRRefF21_22x_0</vt:lpstr>
      <vt:lpstr>'Div 4'!OSRRefF21_22x_0</vt:lpstr>
      <vt:lpstr>Summary!OSRRefF21_22x_0</vt:lpstr>
      <vt:lpstr>'300'!OSRRefF21_23x_0</vt:lpstr>
      <vt:lpstr>'300 &amp; 317'!OSRRefF21_23x_0</vt:lpstr>
      <vt:lpstr>'301'!OSRRefF21_23x_0</vt:lpstr>
      <vt:lpstr>'310'!OSRRefF21_23x_0</vt:lpstr>
      <vt:lpstr>'310 &amp; 491'!OSRRefF21_23x_0</vt:lpstr>
      <vt:lpstr>'491'!OSRRefF21_23x_0</vt:lpstr>
      <vt:lpstr>'Div 3'!OSRRefF21_23x_0</vt:lpstr>
      <vt:lpstr>'Div 4'!OSRRefF21_23x_0</vt:lpstr>
      <vt:lpstr>Summary!OSRRefF21_23x_0</vt:lpstr>
      <vt:lpstr>'300'!OSRRefF21_24x_0</vt:lpstr>
      <vt:lpstr>'300 &amp; 317'!OSRRefF21_24x_0</vt:lpstr>
      <vt:lpstr>'301'!OSRRefF21_24x_0</vt:lpstr>
      <vt:lpstr>'310 &amp; 491'!OSRRefF21_24x_0</vt:lpstr>
      <vt:lpstr>'491'!OSRRefF21_24x_0</vt:lpstr>
      <vt:lpstr>'Div 3'!OSRRefF21_24x_0</vt:lpstr>
      <vt:lpstr>'Div 4'!OSRRefF21_24x_0</vt:lpstr>
      <vt:lpstr>Summary!OSRRefF21_24x_0</vt:lpstr>
      <vt:lpstr>'310 &amp; 491'!OSRRefF21_25x_0</vt:lpstr>
      <vt:lpstr>'491'!OSRRefF21_25x_0</vt:lpstr>
      <vt:lpstr>'Div 3'!OSRRefF21_25x_0</vt:lpstr>
      <vt:lpstr>'Div 4'!OSRRefF21_25x_0</vt:lpstr>
      <vt:lpstr>Summary!OSRRefF21_25x_0</vt:lpstr>
      <vt:lpstr>Summary!OSRRefF21_26x_0</vt:lpstr>
      <vt:lpstr>'200'!OSRRefF21_2x_0</vt:lpstr>
      <vt:lpstr>'201'!OSRRefF21_2x_0</vt:lpstr>
      <vt:lpstr>'202'!OSRRefF21_2x_0</vt:lpstr>
      <vt:lpstr>'203'!OSRRefF21_2x_0</vt:lpstr>
      <vt:lpstr>'204'!OSRRefF21_2x_0</vt:lpstr>
      <vt:lpstr>'205'!OSRRefF21_2x_0</vt:lpstr>
      <vt:lpstr>'206'!OSRRefF21_2x_0</vt:lpstr>
      <vt:lpstr>'300'!OSRRefF21_2x_0</vt:lpstr>
      <vt:lpstr>'300 &amp; 317'!OSRRefF21_2x_0</vt:lpstr>
      <vt:lpstr>'301'!OSRRefF21_2x_0</vt:lpstr>
      <vt:lpstr>'306'!OSRRefF21_2x_0</vt:lpstr>
      <vt:lpstr>'307'!OSRRefF21_2x_0</vt:lpstr>
      <vt:lpstr>'308'!OSRRefF21_2x_0</vt:lpstr>
      <vt:lpstr>'309'!OSRRefF21_2x_0</vt:lpstr>
      <vt:lpstr>'310'!OSRRefF21_2x_0</vt:lpstr>
      <vt:lpstr>'310 &amp; 491'!OSRRefF21_2x_0</vt:lpstr>
      <vt:lpstr>'311'!OSRRefF21_2x_0</vt:lpstr>
      <vt:lpstr>'312'!OSRRefF21_2x_0</vt:lpstr>
      <vt:lpstr>'313'!OSRRefF21_2x_0</vt:lpstr>
      <vt:lpstr>'314'!OSRRefF21_2x_0</vt:lpstr>
      <vt:lpstr>'315'!OSRRefF21_2x_0</vt:lpstr>
      <vt:lpstr>'316'!OSRRefF21_2x_0</vt:lpstr>
      <vt:lpstr>'317'!OSRRefF21_2x_0</vt:lpstr>
      <vt:lpstr>'318'!OSRRefF21_2x_0</vt:lpstr>
      <vt:lpstr>'320'!OSRRefF21_2x_0</vt:lpstr>
      <vt:lpstr>'321'!OSRRefF21_2x_0</vt:lpstr>
      <vt:lpstr>'322'!OSRRefF21_2x_0</vt:lpstr>
      <vt:lpstr>'323'!OSRRefF21_2x_0</vt:lpstr>
      <vt:lpstr>'324'!OSRRefF21_2x_0</vt:lpstr>
      <vt:lpstr>'325'!OSRRefF21_2x_0</vt:lpstr>
      <vt:lpstr>'326'!OSRRefF21_2x_0</vt:lpstr>
      <vt:lpstr>'327'!OSRRefF21_2x_0</vt:lpstr>
      <vt:lpstr>'330'!OSRRefF21_2x_0</vt:lpstr>
      <vt:lpstr>'331'!OSRRefF21_2x_0</vt:lpstr>
      <vt:lpstr>'332'!OSRRefF21_2x_0</vt:lpstr>
      <vt:lpstr>'335'!OSRRefF21_2x_0</vt:lpstr>
      <vt:lpstr>'405'!OSRRefF21_2x_0</vt:lpstr>
      <vt:lpstr>'406'!OSRRefF21_2x_0</vt:lpstr>
      <vt:lpstr>'411'!OSRRefF21_2x_0</vt:lpstr>
      <vt:lpstr>'412'!OSRRefF21_2x_0</vt:lpstr>
      <vt:lpstr>'413'!OSRRefF21_2x_0</vt:lpstr>
      <vt:lpstr>'414'!OSRRefF21_2x_0</vt:lpstr>
      <vt:lpstr>'415'!OSRRefF21_2x_0</vt:lpstr>
      <vt:lpstr>'418'!OSRRefF21_2x_0</vt:lpstr>
      <vt:lpstr>'420'!OSRRefF21_2x_0</vt:lpstr>
      <vt:lpstr>'423'!OSRRefF21_2x_0</vt:lpstr>
      <vt:lpstr>'424'!OSRRefF21_2x_0</vt:lpstr>
      <vt:lpstr>'425'!OSRRefF21_2x_0</vt:lpstr>
      <vt:lpstr>'430'!OSRRefF21_2x_0</vt:lpstr>
      <vt:lpstr>'433'!OSRRefF21_2x_0</vt:lpstr>
      <vt:lpstr>'435'!OSRRefF21_2x_0</vt:lpstr>
      <vt:lpstr>'444'!OSRRefF21_2x_0</vt:lpstr>
      <vt:lpstr>'445'!OSRRefF21_2x_0</vt:lpstr>
      <vt:lpstr>'450'!OSRRefF21_2x_0</vt:lpstr>
      <vt:lpstr>'455'!OSRRefF21_2x_0</vt:lpstr>
      <vt:lpstr>'491'!OSRRefF21_2x_0</vt:lpstr>
      <vt:lpstr>'492'!OSRRefF21_2x_0</vt:lpstr>
      <vt:lpstr>'501'!OSRRefF21_2x_0</vt:lpstr>
      <vt:lpstr>'Div 2'!OSRRefF21_2x_0</vt:lpstr>
      <vt:lpstr>'Div 3'!OSRRefF21_2x_0</vt:lpstr>
      <vt:lpstr>'Div 4'!OSRRefF21_2x_0</vt:lpstr>
      <vt:lpstr>'Div 5'!OSRRefF21_2x_0</vt:lpstr>
      <vt:lpstr>'Div 6'!OSRRefF21_2x_0</vt:lpstr>
      <vt:lpstr>Summary!OSRRefF21_2x_0</vt:lpstr>
      <vt:lpstr>'200'!OSRRefF21_3x_0</vt:lpstr>
      <vt:lpstr>'201'!OSRRefF21_3x_0</vt:lpstr>
      <vt:lpstr>'202'!OSRRefF21_3x_0</vt:lpstr>
      <vt:lpstr>'203'!OSRRefF21_3x_0</vt:lpstr>
      <vt:lpstr>'204'!OSRRefF21_3x_0</vt:lpstr>
      <vt:lpstr>'205'!OSRRefF21_3x_0</vt:lpstr>
      <vt:lpstr>'206'!OSRRefF21_3x_0</vt:lpstr>
      <vt:lpstr>'300'!OSRRefF21_3x_0</vt:lpstr>
      <vt:lpstr>'300 &amp; 317'!OSRRefF21_3x_0</vt:lpstr>
      <vt:lpstr>'301'!OSRRefF21_3x_0</vt:lpstr>
      <vt:lpstr>'306'!OSRRefF21_3x_0</vt:lpstr>
      <vt:lpstr>'307'!OSRRefF21_3x_0</vt:lpstr>
      <vt:lpstr>'308'!OSRRefF21_3x_0</vt:lpstr>
      <vt:lpstr>'309'!OSRRefF21_3x_0</vt:lpstr>
      <vt:lpstr>'310'!OSRRefF21_3x_0</vt:lpstr>
      <vt:lpstr>'310 &amp; 491'!OSRRefF21_3x_0</vt:lpstr>
      <vt:lpstr>'311'!OSRRefF21_3x_0</vt:lpstr>
      <vt:lpstr>'312'!OSRRefF21_3x_0</vt:lpstr>
      <vt:lpstr>'313'!OSRRefF21_3x_0</vt:lpstr>
      <vt:lpstr>'314'!OSRRefF21_3x_0</vt:lpstr>
      <vt:lpstr>'315'!OSRRefF21_3x_0</vt:lpstr>
      <vt:lpstr>'316'!OSRRefF21_3x_0</vt:lpstr>
      <vt:lpstr>'317'!OSRRefF21_3x_0</vt:lpstr>
      <vt:lpstr>'318'!OSRRefF21_3x_0</vt:lpstr>
      <vt:lpstr>'320'!OSRRefF21_3x_0</vt:lpstr>
      <vt:lpstr>'321'!OSRRefF21_3x_0</vt:lpstr>
      <vt:lpstr>'322'!OSRRefF21_3x_0</vt:lpstr>
      <vt:lpstr>'323'!OSRRefF21_3x_0</vt:lpstr>
      <vt:lpstr>'324'!OSRRefF21_3x_0</vt:lpstr>
      <vt:lpstr>'325'!OSRRefF21_3x_0</vt:lpstr>
      <vt:lpstr>'326'!OSRRefF21_3x_0</vt:lpstr>
      <vt:lpstr>'330'!OSRRefF21_3x_0</vt:lpstr>
      <vt:lpstr>'331'!OSRRefF21_3x_0</vt:lpstr>
      <vt:lpstr>'332'!OSRRefF21_3x_0</vt:lpstr>
      <vt:lpstr>'335'!OSRRefF21_3x_0</vt:lpstr>
      <vt:lpstr>'405'!OSRRefF21_3x_0</vt:lpstr>
      <vt:lpstr>'406'!OSRRefF21_3x_0</vt:lpstr>
      <vt:lpstr>'411'!OSRRefF21_3x_0</vt:lpstr>
      <vt:lpstr>'412'!OSRRefF21_3x_0</vt:lpstr>
      <vt:lpstr>'413'!OSRRefF21_3x_0</vt:lpstr>
      <vt:lpstr>'414'!OSRRefF21_3x_0</vt:lpstr>
      <vt:lpstr>'415'!OSRRefF21_3x_0</vt:lpstr>
      <vt:lpstr>'418'!OSRRefF21_3x_0</vt:lpstr>
      <vt:lpstr>'420'!OSRRefF21_3x_0</vt:lpstr>
      <vt:lpstr>'423'!OSRRefF21_3x_0</vt:lpstr>
      <vt:lpstr>'424'!OSRRefF21_3x_0</vt:lpstr>
      <vt:lpstr>'425'!OSRRefF21_3x_0</vt:lpstr>
      <vt:lpstr>'430'!OSRRefF21_3x_0</vt:lpstr>
      <vt:lpstr>'433'!OSRRefF21_3x_0</vt:lpstr>
      <vt:lpstr>'435'!OSRRefF21_3x_0</vt:lpstr>
      <vt:lpstr>'444'!OSRRefF21_3x_0</vt:lpstr>
      <vt:lpstr>'445'!OSRRefF21_3x_0</vt:lpstr>
      <vt:lpstr>'450'!OSRRefF21_3x_0</vt:lpstr>
      <vt:lpstr>'455'!OSRRefF21_3x_0</vt:lpstr>
      <vt:lpstr>'491'!OSRRefF21_3x_0</vt:lpstr>
      <vt:lpstr>'492'!OSRRefF21_3x_0</vt:lpstr>
      <vt:lpstr>'501'!OSRRefF21_3x_0</vt:lpstr>
      <vt:lpstr>'Div 2'!OSRRefF21_3x_0</vt:lpstr>
      <vt:lpstr>'Div 3'!OSRRefF21_3x_0</vt:lpstr>
      <vt:lpstr>'Div 4'!OSRRefF21_3x_0</vt:lpstr>
      <vt:lpstr>'Div 5'!OSRRefF21_3x_0</vt:lpstr>
      <vt:lpstr>'Div 6'!OSRRefF21_3x_0</vt:lpstr>
      <vt:lpstr>Summary!OSRRefF21_3x_0</vt:lpstr>
      <vt:lpstr>'200'!OSRRefF21_4x_0</vt:lpstr>
      <vt:lpstr>'201'!OSRRefF21_4x_0</vt:lpstr>
      <vt:lpstr>'202'!OSRRefF21_4x_0</vt:lpstr>
      <vt:lpstr>'203'!OSRRefF21_4x_0</vt:lpstr>
      <vt:lpstr>'204'!OSRRefF21_4x_0</vt:lpstr>
      <vt:lpstr>'205'!OSRRefF21_4x_0</vt:lpstr>
      <vt:lpstr>'206'!OSRRefF21_4x_0</vt:lpstr>
      <vt:lpstr>'300'!OSRRefF21_4x_0</vt:lpstr>
      <vt:lpstr>'300 &amp; 317'!OSRRefF21_4x_0</vt:lpstr>
      <vt:lpstr>'301'!OSRRefF21_4x_0</vt:lpstr>
      <vt:lpstr>'306'!OSRRefF21_4x_0</vt:lpstr>
      <vt:lpstr>'307'!OSRRefF21_4x_0</vt:lpstr>
      <vt:lpstr>'308'!OSRRefF21_4x_0</vt:lpstr>
      <vt:lpstr>'309'!OSRRefF21_4x_0</vt:lpstr>
      <vt:lpstr>'310'!OSRRefF21_4x_0</vt:lpstr>
      <vt:lpstr>'310 &amp; 491'!OSRRefF21_4x_0</vt:lpstr>
      <vt:lpstr>'311'!OSRRefF21_4x_0</vt:lpstr>
      <vt:lpstr>'312'!OSRRefF21_4x_0</vt:lpstr>
      <vt:lpstr>'313'!OSRRefF21_4x_0</vt:lpstr>
      <vt:lpstr>'314'!OSRRefF21_4x_0</vt:lpstr>
      <vt:lpstr>'315'!OSRRefF21_4x_0</vt:lpstr>
      <vt:lpstr>'316'!OSRRefF21_4x_0</vt:lpstr>
      <vt:lpstr>'317'!OSRRefF21_4x_0</vt:lpstr>
      <vt:lpstr>'318'!OSRRefF21_4x_0</vt:lpstr>
      <vt:lpstr>'320'!OSRRefF21_4x_0</vt:lpstr>
      <vt:lpstr>'321'!OSRRefF21_4x_0</vt:lpstr>
      <vt:lpstr>'322'!OSRRefF21_4x_0</vt:lpstr>
      <vt:lpstr>'323'!OSRRefF21_4x_0</vt:lpstr>
      <vt:lpstr>'325'!OSRRefF21_4x_0</vt:lpstr>
      <vt:lpstr>'326'!OSRRefF21_4x_0</vt:lpstr>
      <vt:lpstr>'330'!OSRRefF21_4x_0</vt:lpstr>
      <vt:lpstr>'331'!OSRRefF21_4x_0</vt:lpstr>
      <vt:lpstr>'332'!OSRRefF21_4x_0</vt:lpstr>
      <vt:lpstr>'335'!OSRRefF21_4x_0</vt:lpstr>
      <vt:lpstr>'405'!OSRRefF21_4x_0</vt:lpstr>
      <vt:lpstr>'406'!OSRRefF21_4x_0</vt:lpstr>
      <vt:lpstr>'411'!OSRRefF21_4x_0</vt:lpstr>
      <vt:lpstr>'412'!OSRRefF21_4x_0</vt:lpstr>
      <vt:lpstr>'413'!OSRRefF21_4x_0</vt:lpstr>
      <vt:lpstr>'414'!OSRRefF21_4x_0</vt:lpstr>
      <vt:lpstr>'415'!OSRRefF21_4x_0</vt:lpstr>
      <vt:lpstr>'418'!OSRRefF21_4x_0</vt:lpstr>
      <vt:lpstr>'420'!OSRRefF21_4x_0</vt:lpstr>
      <vt:lpstr>'423'!OSRRefF21_4x_0</vt:lpstr>
      <vt:lpstr>'424'!OSRRefF21_4x_0</vt:lpstr>
      <vt:lpstr>'425'!OSRRefF21_4x_0</vt:lpstr>
      <vt:lpstr>'430'!OSRRefF21_4x_0</vt:lpstr>
      <vt:lpstr>'433'!OSRRefF21_4x_0</vt:lpstr>
      <vt:lpstr>'435'!OSRRefF21_4x_0</vt:lpstr>
      <vt:lpstr>'444'!OSRRefF21_4x_0</vt:lpstr>
      <vt:lpstr>'445'!OSRRefF21_4x_0</vt:lpstr>
      <vt:lpstr>'450'!OSRRefF21_4x_0</vt:lpstr>
      <vt:lpstr>'491'!OSRRefF21_4x_0</vt:lpstr>
      <vt:lpstr>'492'!OSRRefF21_4x_0</vt:lpstr>
      <vt:lpstr>'501'!OSRRefF21_4x_0</vt:lpstr>
      <vt:lpstr>'Div 2'!OSRRefF21_4x_0</vt:lpstr>
      <vt:lpstr>'Div 3'!OSRRefF21_4x_0</vt:lpstr>
      <vt:lpstr>'Div 4'!OSRRefF21_4x_0</vt:lpstr>
      <vt:lpstr>'Div 5'!OSRRefF21_4x_0</vt:lpstr>
      <vt:lpstr>'Div 6'!OSRRefF21_4x_0</vt:lpstr>
      <vt:lpstr>Summary!OSRRefF21_4x_0</vt:lpstr>
      <vt:lpstr>'200'!OSRRefF21_5x_0</vt:lpstr>
      <vt:lpstr>'201'!OSRRefF21_5x_0</vt:lpstr>
      <vt:lpstr>'202'!OSRRefF21_5x_0</vt:lpstr>
      <vt:lpstr>'203'!OSRRefF21_5x_0</vt:lpstr>
      <vt:lpstr>'204'!OSRRefF21_5x_0</vt:lpstr>
      <vt:lpstr>'205'!OSRRefF21_5x_0</vt:lpstr>
      <vt:lpstr>'206'!OSRRefF21_5x_0</vt:lpstr>
      <vt:lpstr>'300'!OSRRefF21_5x_0</vt:lpstr>
      <vt:lpstr>'300 &amp; 317'!OSRRefF21_5x_0</vt:lpstr>
      <vt:lpstr>'301'!OSRRefF21_5x_0</vt:lpstr>
      <vt:lpstr>'306'!OSRRefF21_5x_0</vt:lpstr>
      <vt:lpstr>'307'!OSRRefF21_5x_0</vt:lpstr>
      <vt:lpstr>'308'!OSRRefF21_5x_0</vt:lpstr>
      <vt:lpstr>'309'!OSRRefF21_5x_0</vt:lpstr>
      <vt:lpstr>'310'!OSRRefF21_5x_0</vt:lpstr>
      <vt:lpstr>'310 &amp; 491'!OSRRefF21_5x_0</vt:lpstr>
      <vt:lpstr>'311'!OSRRefF21_5x_0</vt:lpstr>
      <vt:lpstr>'312'!OSRRefF21_5x_0</vt:lpstr>
      <vt:lpstr>'313'!OSRRefF21_5x_0</vt:lpstr>
      <vt:lpstr>'314'!OSRRefF21_5x_0</vt:lpstr>
      <vt:lpstr>'315'!OSRRefF21_5x_0</vt:lpstr>
      <vt:lpstr>'316'!OSRRefF21_5x_0</vt:lpstr>
      <vt:lpstr>'317'!OSRRefF21_5x_0</vt:lpstr>
      <vt:lpstr>'318'!OSRRefF21_5x_0</vt:lpstr>
      <vt:lpstr>'320'!OSRRefF21_5x_0</vt:lpstr>
      <vt:lpstr>'321'!OSRRefF21_5x_0</vt:lpstr>
      <vt:lpstr>'322'!OSRRefF21_5x_0</vt:lpstr>
      <vt:lpstr>'323'!OSRRefF21_5x_0</vt:lpstr>
      <vt:lpstr>'325'!OSRRefF21_5x_0</vt:lpstr>
      <vt:lpstr>'326'!OSRRefF21_5x_0</vt:lpstr>
      <vt:lpstr>'330'!OSRRefF21_5x_0</vt:lpstr>
      <vt:lpstr>'331'!OSRRefF21_5x_0</vt:lpstr>
      <vt:lpstr>'332'!OSRRefF21_5x_0</vt:lpstr>
      <vt:lpstr>'335'!OSRRefF21_5x_0</vt:lpstr>
      <vt:lpstr>'405'!OSRRefF21_5x_0</vt:lpstr>
      <vt:lpstr>'406'!OSRRefF21_5x_0</vt:lpstr>
      <vt:lpstr>'411'!OSRRefF21_5x_0</vt:lpstr>
      <vt:lpstr>'412'!OSRRefF21_5x_0</vt:lpstr>
      <vt:lpstr>'413'!OSRRefF21_5x_0</vt:lpstr>
      <vt:lpstr>'414'!OSRRefF21_5x_0</vt:lpstr>
      <vt:lpstr>'415'!OSRRefF21_5x_0</vt:lpstr>
      <vt:lpstr>'418'!OSRRefF21_5x_0</vt:lpstr>
      <vt:lpstr>'420'!OSRRefF21_5x_0</vt:lpstr>
      <vt:lpstr>'423'!OSRRefF21_5x_0</vt:lpstr>
      <vt:lpstr>'424'!OSRRefF21_5x_0</vt:lpstr>
      <vt:lpstr>'425'!OSRRefF21_5x_0</vt:lpstr>
      <vt:lpstr>'430'!OSRRefF21_5x_0</vt:lpstr>
      <vt:lpstr>'433'!OSRRefF21_5x_0</vt:lpstr>
      <vt:lpstr>'435'!OSRRefF21_5x_0</vt:lpstr>
      <vt:lpstr>'444'!OSRRefF21_5x_0</vt:lpstr>
      <vt:lpstr>'445'!OSRRefF21_5x_0</vt:lpstr>
      <vt:lpstr>'450'!OSRRefF21_5x_0</vt:lpstr>
      <vt:lpstr>'491'!OSRRefF21_5x_0</vt:lpstr>
      <vt:lpstr>'492'!OSRRefF21_5x_0</vt:lpstr>
      <vt:lpstr>'501'!OSRRefF21_5x_0</vt:lpstr>
      <vt:lpstr>'Div 2'!OSRRefF21_5x_0</vt:lpstr>
      <vt:lpstr>'Div 3'!OSRRefF21_5x_0</vt:lpstr>
      <vt:lpstr>'Div 4'!OSRRefF21_5x_0</vt:lpstr>
      <vt:lpstr>'Div 5'!OSRRefF21_5x_0</vt:lpstr>
      <vt:lpstr>'Div 6'!OSRRefF21_5x_0</vt:lpstr>
      <vt:lpstr>Summary!OSRRefF21_5x_0</vt:lpstr>
      <vt:lpstr>'201'!OSRRefF21_6x_0</vt:lpstr>
      <vt:lpstr>'202'!OSRRefF21_6x_0</vt:lpstr>
      <vt:lpstr>'203'!OSRRefF21_6x_0</vt:lpstr>
      <vt:lpstr>'204'!OSRRefF21_6x_0</vt:lpstr>
      <vt:lpstr>'205'!OSRRefF21_6x_0</vt:lpstr>
      <vt:lpstr>'206'!OSRRefF21_6x_0</vt:lpstr>
      <vt:lpstr>'300'!OSRRefF21_6x_0</vt:lpstr>
      <vt:lpstr>'300 &amp; 317'!OSRRefF21_6x_0</vt:lpstr>
      <vt:lpstr>'301'!OSRRefF21_6x_0</vt:lpstr>
      <vt:lpstr>'306'!OSRRefF21_6x_0</vt:lpstr>
      <vt:lpstr>'307'!OSRRefF21_6x_0</vt:lpstr>
      <vt:lpstr>'308'!OSRRefF21_6x_0</vt:lpstr>
      <vt:lpstr>'309'!OSRRefF21_6x_0</vt:lpstr>
      <vt:lpstr>'310'!OSRRefF21_6x_0</vt:lpstr>
      <vt:lpstr>'310 &amp; 491'!OSRRefF21_6x_0</vt:lpstr>
      <vt:lpstr>'311'!OSRRefF21_6x_0</vt:lpstr>
      <vt:lpstr>'312'!OSRRefF21_6x_0</vt:lpstr>
      <vt:lpstr>'313'!OSRRefF21_6x_0</vt:lpstr>
      <vt:lpstr>'314'!OSRRefF21_6x_0</vt:lpstr>
      <vt:lpstr>'315'!OSRRefF21_6x_0</vt:lpstr>
      <vt:lpstr>'316'!OSRRefF21_6x_0</vt:lpstr>
      <vt:lpstr>'317'!OSRRefF21_6x_0</vt:lpstr>
      <vt:lpstr>'318'!OSRRefF21_6x_0</vt:lpstr>
      <vt:lpstr>'320'!OSRRefF21_6x_0</vt:lpstr>
      <vt:lpstr>'321'!OSRRefF21_6x_0</vt:lpstr>
      <vt:lpstr>'322'!OSRRefF21_6x_0</vt:lpstr>
      <vt:lpstr>'323'!OSRRefF21_6x_0</vt:lpstr>
      <vt:lpstr>'325'!OSRRefF21_6x_0</vt:lpstr>
      <vt:lpstr>'326'!OSRRefF21_6x_0</vt:lpstr>
      <vt:lpstr>'330'!OSRRefF21_6x_0</vt:lpstr>
      <vt:lpstr>'331'!OSRRefF21_6x_0</vt:lpstr>
      <vt:lpstr>'332'!OSRRefF21_6x_0</vt:lpstr>
      <vt:lpstr>'335'!OSRRefF21_6x_0</vt:lpstr>
      <vt:lpstr>'405'!OSRRefF21_6x_0</vt:lpstr>
      <vt:lpstr>'406'!OSRRefF21_6x_0</vt:lpstr>
      <vt:lpstr>'411'!OSRRefF21_6x_0</vt:lpstr>
      <vt:lpstr>'412'!OSRRefF21_6x_0</vt:lpstr>
      <vt:lpstr>'413'!OSRRefF21_6x_0</vt:lpstr>
      <vt:lpstr>'414'!OSRRefF21_6x_0</vt:lpstr>
      <vt:lpstr>'415'!OSRRefF21_6x_0</vt:lpstr>
      <vt:lpstr>'418'!OSRRefF21_6x_0</vt:lpstr>
      <vt:lpstr>'420'!OSRRefF21_6x_0</vt:lpstr>
      <vt:lpstr>'423'!OSRRefF21_6x_0</vt:lpstr>
      <vt:lpstr>'424'!OSRRefF21_6x_0</vt:lpstr>
      <vt:lpstr>'425'!OSRRefF21_6x_0</vt:lpstr>
      <vt:lpstr>'430'!OSRRefF21_6x_0</vt:lpstr>
      <vt:lpstr>'433'!OSRRefF21_6x_0</vt:lpstr>
      <vt:lpstr>'435'!OSRRefF21_6x_0</vt:lpstr>
      <vt:lpstr>'444'!OSRRefF21_6x_0</vt:lpstr>
      <vt:lpstr>'445'!OSRRefF21_6x_0</vt:lpstr>
      <vt:lpstr>'450'!OSRRefF21_6x_0</vt:lpstr>
      <vt:lpstr>'491'!OSRRefF21_6x_0</vt:lpstr>
      <vt:lpstr>'492'!OSRRefF21_6x_0</vt:lpstr>
      <vt:lpstr>'501'!OSRRefF21_6x_0</vt:lpstr>
      <vt:lpstr>'Div 2'!OSRRefF21_6x_0</vt:lpstr>
      <vt:lpstr>'Div 3'!OSRRefF21_6x_0</vt:lpstr>
      <vt:lpstr>'Div 4'!OSRRefF21_6x_0</vt:lpstr>
      <vt:lpstr>'Div 5'!OSRRefF21_6x_0</vt:lpstr>
      <vt:lpstr>'Div 6'!OSRRefF21_6x_0</vt:lpstr>
      <vt:lpstr>Summary!OSRRefF21_6x_0</vt:lpstr>
      <vt:lpstr>'201'!OSRRefF21_7x_0</vt:lpstr>
      <vt:lpstr>'202'!OSRRefF21_7x_0</vt:lpstr>
      <vt:lpstr>'203'!OSRRefF21_7x_0</vt:lpstr>
      <vt:lpstr>'204'!OSRRefF21_7x_0</vt:lpstr>
      <vt:lpstr>'205'!OSRRefF21_7x_0</vt:lpstr>
      <vt:lpstr>'206'!OSRRefF21_7x_0</vt:lpstr>
      <vt:lpstr>'300'!OSRRefF21_7x_0</vt:lpstr>
      <vt:lpstr>'300 &amp; 317'!OSRRefF21_7x_0</vt:lpstr>
      <vt:lpstr>'301'!OSRRefF21_7x_0</vt:lpstr>
      <vt:lpstr>'306'!OSRRefF21_7x_0</vt:lpstr>
      <vt:lpstr>'307'!OSRRefF21_7x_0</vt:lpstr>
      <vt:lpstr>'308'!OSRRefF21_7x_0</vt:lpstr>
      <vt:lpstr>'309'!OSRRefF21_7x_0</vt:lpstr>
      <vt:lpstr>'310'!OSRRefF21_7x_0</vt:lpstr>
      <vt:lpstr>'310 &amp; 491'!OSRRefF21_7x_0</vt:lpstr>
      <vt:lpstr>'311'!OSRRefF21_7x_0</vt:lpstr>
      <vt:lpstr>'312'!OSRRefF21_7x_0</vt:lpstr>
      <vt:lpstr>'313'!OSRRefF21_7x_0</vt:lpstr>
      <vt:lpstr>'314'!OSRRefF21_7x_0</vt:lpstr>
      <vt:lpstr>'315'!OSRRefF21_7x_0</vt:lpstr>
      <vt:lpstr>'316'!OSRRefF21_7x_0</vt:lpstr>
      <vt:lpstr>'317'!OSRRefF21_7x_0</vt:lpstr>
      <vt:lpstr>'318'!OSRRefF21_7x_0</vt:lpstr>
      <vt:lpstr>'320'!OSRRefF21_7x_0</vt:lpstr>
      <vt:lpstr>'321'!OSRRefF21_7x_0</vt:lpstr>
      <vt:lpstr>'322'!OSRRefF21_7x_0</vt:lpstr>
      <vt:lpstr>'323'!OSRRefF21_7x_0</vt:lpstr>
      <vt:lpstr>'325'!OSRRefF21_7x_0</vt:lpstr>
      <vt:lpstr>'326'!OSRRefF21_7x_0</vt:lpstr>
      <vt:lpstr>'330'!OSRRefF21_7x_0</vt:lpstr>
      <vt:lpstr>'331'!OSRRefF21_7x_0</vt:lpstr>
      <vt:lpstr>'332'!OSRRefF21_7x_0</vt:lpstr>
      <vt:lpstr>'335'!OSRRefF21_7x_0</vt:lpstr>
      <vt:lpstr>'405'!OSRRefF21_7x_0</vt:lpstr>
      <vt:lpstr>'406'!OSRRefF21_7x_0</vt:lpstr>
      <vt:lpstr>'411'!OSRRefF21_7x_0</vt:lpstr>
      <vt:lpstr>'412'!OSRRefF21_7x_0</vt:lpstr>
      <vt:lpstr>'413'!OSRRefF21_7x_0</vt:lpstr>
      <vt:lpstr>'414'!OSRRefF21_7x_0</vt:lpstr>
      <vt:lpstr>'415'!OSRRefF21_7x_0</vt:lpstr>
      <vt:lpstr>'418'!OSRRefF21_7x_0</vt:lpstr>
      <vt:lpstr>'420'!OSRRefF21_7x_0</vt:lpstr>
      <vt:lpstr>'423'!OSRRefF21_7x_0</vt:lpstr>
      <vt:lpstr>'424'!OSRRefF21_7x_0</vt:lpstr>
      <vt:lpstr>'425'!OSRRefF21_7x_0</vt:lpstr>
      <vt:lpstr>'430'!OSRRefF21_7x_0</vt:lpstr>
      <vt:lpstr>'433'!OSRRefF21_7x_0</vt:lpstr>
      <vt:lpstr>'435'!OSRRefF21_7x_0</vt:lpstr>
      <vt:lpstr>'444'!OSRRefF21_7x_0</vt:lpstr>
      <vt:lpstr>'445'!OSRRefF21_7x_0</vt:lpstr>
      <vt:lpstr>'450'!OSRRefF21_7x_0</vt:lpstr>
      <vt:lpstr>'491'!OSRRefF21_7x_0</vt:lpstr>
      <vt:lpstr>'492'!OSRRefF21_7x_0</vt:lpstr>
      <vt:lpstr>'501'!OSRRefF21_7x_0</vt:lpstr>
      <vt:lpstr>'Div 2'!OSRRefF21_7x_0</vt:lpstr>
      <vt:lpstr>'Div 3'!OSRRefF21_7x_0</vt:lpstr>
      <vt:lpstr>'Div 4'!OSRRefF21_7x_0</vt:lpstr>
      <vt:lpstr>'Div 5'!OSRRefF21_7x_0</vt:lpstr>
      <vt:lpstr>'Div 6'!OSRRefF21_7x_0</vt:lpstr>
      <vt:lpstr>Summary!OSRRefF21_7x_0</vt:lpstr>
      <vt:lpstr>'201'!OSRRefF21_8x_0</vt:lpstr>
      <vt:lpstr>'202'!OSRRefF21_8x_0</vt:lpstr>
      <vt:lpstr>'203'!OSRRefF21_8x_0</vt:lpstr>
      <vt:lpstr>'204'!OSRRefF21_8x_0</vt:lpstr>
      <vt:lpstr>'205'!OSRRefF21_8x_0</vt:lpstr>
      <vt:lpstr>'206'!OSRRefF21_8x_0</vt:lpstr>
      <vt:lpstr>'300'!OSRRefF21_8x_0</vt:lpstr>
      <vt:lpstr>'300 &amp; 317'!OSRRefF21_8x_0</vt:lpstr>
      <vt:lpstr>'301'!OSRRefF21_8x_0</vt:lpstr>
      <vt:lpstr>'306'!OSRRefF21_8x_0</vt:lpstr>
      <vt:lpstr>'307'!OSRRefF21_8x_0</vt:lpstr>
      <vt:lpstr>'308'!OSRRefF21_8x_0</vt:lpstr>
      <vt:lpstr>'309'!OSRRefF21_8x_0</vt:lpstr>
      <vt:lpstr>'310'!OSRRefF21_8x_0</vt:lpstr>
      <vt:lpstr>'310 &amp; 491'!OSRRefF21_8x_0</vt:lpstr>
      <vt:lpstr>'311'!OSRRefF21_8x_0</vt:lpstr>
      <vt:lpstr>'312'!OSRRefF21_8x_0</vt:lpstr>
      <vt:lpstr>'313'!OSRRefF21_8x_0</vt:lpstr>
      <vt:lpstr>'314'!OSRRefF21_8x_0</vt:lpstr>
      <vt:lpstr>'315'!OSRRefF21_8x_0</vt:lpstr>
      <vt:lpstr>'316'!OSRRefF21_8x_0</vt:lpstr>
      <vt:lpstr>'317'!OSRRefF21_8x_0</vt:lpstr>
      <vt:lpstr>'318'!OSRRefF21_8x_0</vt:lpstr>
      <vt:lpstr>'320'!OSRRefF21_8x_0</vt:lpstr>
      <vt:lpstr>'321'!OSRRefF21_8x_0</vt:lpstr>
      <vt:lpstr>'322'!OSRRefF21_8x_0</vt:lpstr>
      <vt:lpstr>'325'!OSRRefF21_8x_0</vt:lpstr>
      <vt:lpstr>'326'!OSRRefF21_8x_0</vt:lpstr>
      <vt:lpstr>'330'!OSRRefF21_8x_0</vt:lpstr>
      <vt:lpstr>'331'!OSRRefF21_8x_0</vt:lpstr>
      <vt:lpstr>'332'!OSRRefF21_8x_0</vt:lpstr>
      <vt:lpstr>'335'!OSRRefF21_8x_0</vt:lpstr>
      <vt:lpstr>'405'!OSRRefF21_8x_0</vt:lpstr>
      <vt:lpstr>'406'!OSRRefF21_8x_0</vt:lpstr>
      <vt:lpstr>'411'!OSRRefF21_8x_0</vt:lpstr>
      <vt:lpstr>'412'!OSRRefF21_8x_0</vt:lpstr>
      <vt:lpstr>'413'!OSRRefF21_8x_0</vt:lpstr>
      <vt:lpstr>'414'!OSRRefF21_8x_0</vt:lpstr>
      <vt:lpstr>'415'!OSRRefF21_8x_0</vt:lpstr>
      <vt:lpstr>'418'!OSRRefF21_8x_0</vt:lpstr>
      <vt:lpstr>'420'!OSRRefF21_8x_0</vt:lpstr>
      <vt:lpstr>'423'!OSRRefF21_8x_0</vt:lpstr>
      <vt:lpstr>'424'!OSRRefF21_8x_0</vt:lpstr>
      <vt:lpstr>'425'!OSRRefF21_8x_0</vt:lpstr>
      <vt:lpstr>'430'!OSRRefF21_8x_0</vt:lpstr>
      <vt:lpstr>'433'!OSRRefF21_8x_0</vt:lpstr>
      <vt:lpstr>'435'!OSRRefF21_8x_0</vt:lpstr>
      <vt:lpstr>'444'!OSRRefF21_8x_0</vt:lpstr>
      <vt:lpstr>'445'!OSRRefF21_8x_0</vt:lpstr>
      <vt:lpstr>'450'!OSRRefF21_8x_0</vt:lpstr>
      <vt:lpstr>'491'!OSRRefF21_8x_0</vt:lpstr>
      <vt:lpstr>'492'!OSRRefF21_8x_0</vt:lpstr>
      <vt:lpstr>'501'!OSRRefF21_8x_0</vt:lpstr>
      <vt:lpstr>'Div 2'!OSRRefF21_8x_0</vt:lpstr>
      <vt:lpstr>'Div 3'!OSRRefF21_8x_0</vt:lpstr>
      <vt:lpstr>'Div 4'!OSRRefF21_8x_0</vt:lpstr>
      <vt:lpstr>'Div 5'!OSRRefF21_8x_0</vt:lpstr>
      <vt:lpstr>'Div 6'!OSRRefF21_8x_0</vt:lpstr>
      <vt:lpstr>Summary!OSRRefF21_8x_0</vt:lpstr>
      <vt:lpstr>'201'!OSRRefF21_9x_0</vt:lpstr>
      <vt:lpstr>'202'!OSRRefF21_9x_0</vt:lpstr>
      <vt:lpstr>'203'!OSRRefF21_9x_0</vt:lpstr>
      <vt:lpstr>'204'!OSRRefF21_9x_0</vt:lpstr>
      <vt:lpstr>'206'!OSRRefF21_9x_0</vt:lpstr>
      <vt:lpstr>'300'!OSRRefF21_9x_0</vt:lpstr>
      <vt:lpstr>'300 &amp; 317'!OSRRefF21_9x_0</vt:lpstr>
      <vt:lpstr>'301'!OSRRefF21_9x_0</vt:lpstr>
      <vt:lpstr>'306'!OSRRefF21_9x_0</vt:lpstr>
      <vt:lpstr>'307'!OSRRefF21_9x_0</vt:lpstr>
      <vt:lpstr>'308'!OSRRefF21_9x_0</vt:lpstr>
      <vt:lpstr>'309'!OSRRefF21_9x_0</vt:lpstr>
      <vt:lpstr>'310'!OSRRefF21_9x_0</vt:lpstr>
      <vt:lpstr>'310 &amp; 491'!OSRRefF21_9x_0</vt:lpstr>
      <vt:lpstr>'311'!OSRRefF21_9x_0</vt:lpstr>
      <vt:lpstr>'312'!OSRRefF21_9x_0</vt:lpstr>
      <vt:lpstr>'313'!OSRRefF21_9x_0</vt:lpstr>
      <vt:lpstr>'314'!OSRRefF21_9x_0</vt:lpstr>
      <vt:lpstr>'315'!OSRRefF21_9x_0</vt:lpstr>
      <vt:lpstr>'316'!OSRRefF21_9x_0</vt:lpstr>
      <vt:lpstr>'317'!OSRRefF21_9x_0</vt:lpstr>
      <vt:lpstr>'320'!OSRRefF21_9x_0</vt:lpstr>
      <vt:lpstr>'321'!OSRRefF21_9x_0</vt:lpstr>
      <vt:lpstr>'322'!OSRRefF21_9x_0</vt:lpstr>
      <vt:lpstr>'325'!OSRRefF21_9x_0</vt:lpstr>
      <vt:lpstr>'326'!OSRRefF21_9x_0</vt:lpstr>
      <vt:lpstr>'330'!OSRRefF21_9x_0</vt:lpstr>
      <vt:lpstr>'331'!OSRRefF21_9x_0</vt:lpstr>
      <vt:lpstr>'332'!OSRRefF21_9x_0</vt:lpstr>
      <vt:lpstr>'335'!OSRRefF21_9x_0</vt:lpstr>
      <vt:lpstr>'405'!OSRRefF21_9x_0</vt:lpstr>
      <vt:lpstr>'406'!OSRRefF21_9x_0</vt:lpstr>
      <vt:lpstr>'411'!OSRRefF21_9x_0</vt:lpstr>
      <vt:lpstr>'412'!OSRRefF21_9x_0</vt:lpstr>
      <vt:lpstr>'413'!OSRRefF21_9x_0</vt:lpstr>
      <vt:lpstr>'414'!OSRRefF21_9x_0</vt:lpstr>
      <vt:lpstr>'415'!OSRRefF21_9x_0</vt:lpstr>
      <vt:lpstr>'418'!OSRRefF21_9x_0</vt:lpstr>
      <vt:lpstr>'423'!OSRRefF21_9x_0</vt:lpstr>
      <vt:lpstr>'424'!OSRRefF21_9x_0</vt:lpstr>
      <vt:lpstr>'425'!OSRRefF21_9x_0</vt:lpstr>
      <vt:lpstr>'430'!OSRRefF21_9x_0</vt:lpstr>
      <vt:lpstr>'433'!OSRRefF21_9x_0</vt:lpstr>
      <vt:lpstr>'435'!OSRRefF21_9x_0</vt:lpstr>
      <vt:lpstr>'444'!OSRRefF21_9x_0</vt:lpstr>
      <vt:lpstr>'445'!OSRRefF21_9x_0</vt:lpstr>
      <vt:lpstr>'450'!OSRRefF21_9x_0</vt:lpstr>
      <vt:lpstr>'491'!OSRRefF21_9x_0</vt:lpstr>
      <vt:lpstr>'492'!OSRRefF21_9x_0</vt:lpstr>
      <vt:lpstr>'501'!OSRRefF21_9x_0</vt:lpstr>
      <vt:lpstr>'Div 2'!OSRRefF21_9x_0</vt:lpstr>
      <vt:lpstr>'Div 3'!OSRRefF21_9x_0</vt:lpstr>
      <vt:lpstr>'Div 4'!OSRRefF21_9x_0</vt:lpstr>
      <vt:lpstr>'Div 5'!OSRRefF21_9x_0</vt:lpstr>
      <vt:lpstr>'Div 6'!OSRRefF21_9x_0</vt:lpstr>
      <vt:lpstr>Summary!OSRRefF21_9x_0</vt:lpstr>
      <vt:lpstr>'200'!OSRRefF21x_0</vt:lpstr>
      <vt:lpstr>'201'!OSRRefF21x_0</vt:lpstr>
      <vt:lpstr>'202'!OSRRefF21x_0</vt:lpstr>
      <vt:lpstr>'203'!OSRRefF21x_0</vt:lpstr>
      <vt:lpstr>'204'!OSRRefF21x_0</vt:lpstr>
      <vt:lpstr>'205'!OSRRefF21x_0</vt:lpstr>
      <vt:lpstr>'206'!OSRRefF21x_0</vt:lpstr>
      <vt:lpstr>'300'!OSRRefF21x_0</vt:lpstr>
      <vt:lpstr>'300 &amp; 317'!OSRRefF21x_0</vt:lpstr>
      <vt:lpstr>'301'!OSRRefF21x_0</vt:lpstr>
      <vt:lpstr>'306'!OSRRefF21x_0</vt:lpstr>
      <vt:lpstr>'307'!OSRRefF21x_0</vt:lpstr>
      <vt:lpstr>'308'!OSRRefF21x_0</vt:lpstr>
      <vt:lpstr>'309'!OSRRefF21x_0</vt:lpstr>
      <vt:lpstr>'310'!OSRRefF21x_0</vt:lpstr>
      <vt:lpstr>'310 &amp; 491'!OSRRefF21x_0</vt:lpstr>
      <vt:lpstr>'311'!OSRRefF21x_0</vt:lpstr>
      <vt:lpstr>'312'!OSRRefF21x_0</vt:lpstr>
      <vt:lpstr>'313'!OSRRefF21x_0</vt:lpstr>
      <vt:lpstr>'314'!OSRRefF21x_0</vt:lpstr>
      <vt:lpstr>'315'!OSRRefF21x_0</vt:lpstr>
      <vt:lpstr>'316'!OSRRefF21x_0</vt:lpstr>
      <vt:lpstr>'317'!OSRRefF21x_0</vt:lpstr>
      <vt:lpstr>'318'!OSRRefF21x_0</vt:lpstr>
      <vt:lpstr>'320'!OSRRefF21x_0</vt:lpstr>
      <vt:lpstr>'321'!OSRRefF21x_0</vt:lpstr>
      <vt:lpstr>'322'!OSRRefF21x_0</vt:lpstr>
      <vt:lpstr>'323'!OSRRefF21x_0</vt:lpstr>
      <vt:lpstr>'324'!OSRRefF21x_0</vt:lpstr>
      <vt:lpstr>'325'!OSRRefF21x_0</vt:lpstr>
      <vt:lpstr>'326'!OSRRefF21x_0</vt:lpstr>
      <vt:lpstr>'327'!OSRRefF21x_0</vt:lpstr>
      <vt:lpstr>'330'!OSRRefF21x_0</vt:lpstr>
      <vt:lpstr>'331'!OSRRefF21x_0</vt:lpstr>
      <vt:lpstr>'332'!OSRRefF21x_0</vt:lpstr>
      <vt:lpstr>'335'!OSRRefF21x_0</vt:lpstr>
      <vt:lpstr>'405'!OSRRefF21x_0</vt:lpstr>
      <vt:lpstr>'406'!OSRRefF21x_0</vt:lpstr>
      <vt:lpstr>'411'!OSRRefF21x_0</vt:lpstr>
      <vt:lpstr>'412'!OSRRefF21x_0</vt:lpstr>
      <vt:lpstr>'413'!OSRRefF21x_0</vt:lpstr>
      <vt:lpstr>'414'!OSRRefF21x_0</vt:lpstr>
      <vt:lpstr>'415'!OSRRefF21x_0</vt:lpstr>
      <vt:lpstr>'418'!OSRRefF21x_0</vt:lpstr>
      <vt:lpstr>'420'!OSRRefF21x_0</vt:lpstr>
      <vt:lpstr>'423'!OSRRefF21x_0</vt:lpstr>
      <vt:lpstr>'424'!OSRRefF21x_0</vt:lpstr>
      <vt:lpstr>'425'!OSRRefF21x_0</vt:lpstr>
      <vt:lpstr>'430'!OSRRefF21x_0</vt:lpstr>
      <vt:lpstr>'433'!OSRRefF21x_0</vt:lpstr>
      <vt:lpstr>'435'!OSRRefF21x_0</vt:lpstr>
      <vt:lpstr>'444'!OSRRefF21x_0</vt:lpstr>
      <vt:lpstr>'445'!OSRRefF21x_0</vt:lpstr>
      <vt:lpstr>'450'!OSRRefF21x_0</vt:lpstr>
      <vt:lpstr>'455'!OSRRefF21x_0</vt:lpstr>
      <vt:lpstr>'491'!OSRRefF21x_0</vt:lpstr>
      <vt:lpstr>'492'!OSRRefF21x_0</vt:lpstr>
      <vt:lpstr>'501'!OSRRefF21x_0</vt:lpstr>
      <vt:lpstr>'Div 2'!OSRRefF21x_0</vt:lpstr>
      <vt:lpstr>'Div 3'!OSRRefF21x_0</vt:lpstr>
      <vt:lpstr>'Div 4'!OSRRefF21x_0</vt:lpstr>
      <vt:lpstr>'Div 5'!OSRRefF21x_0</vt:lpstr>
      <vt:lpstr>'Div 6'!OSRRefF21x_0</vt:lpstr>
      <vt:lpstr>Summary!OSRRefF21x_0</vt:lpstr>
      <vt:lpstr>'202'!OSRRefF24x_0</vt:lpstr>
      <vt:lpstr>'300'!OSRRefF24x_0</vt:lpstr>
      <vt:lpstr>'300 &amp; 317'!OSRRefF24x_0</vt:lpstr>
      <vt:lpstr>'301'!OSRRefF24x_0</vt:lpstr>
      <vt:lpstr>'307'!OSRRefF24x_0</vt:lpstr>
      <vt:lpstr>'308'!OSRRefF24x_0</vt:lpstr>
      <vt:lpstr>'309'!OSRRefF24x_0</vt:lpstr>
      <vt:lpstr>'310'!OSRRefF24x_0</vt:lpstr>
      <vt:lpstr>'310 &amp; 491'!OSRRefF24x_0</vt:lpstr>
      <vt:lpstr>'311'!OSRRefF24x_0</vt:lpstr>
      <vt:lpstr>'312'!OSRRefF24x_0</vt:lpstr>
      <vt:lpstr>'314'!OSRRefF24x_0</vt:lpstr>
      <vt:lpstr>'315'!OSRRefF24x_0</vt:lpstr>
      <vt:lpstr>'316'!OSRRefF24x_0</vt:lpstr>
      <vt:lpstr>'317'!OSRRefF24x_0</vt:lpstr>
      <vt:lpstr>'320'!OSRRefF24x_0</vt:lpstr>
      <vt:lpstr>'330'!OSRRefF24x_0</vt:lpstr>
      <vt:lpstr>'331'!OSRRefF24x_0</vt:lpstr>
      <vt:lpstr>'332'!OSRRefF24x_0</vt:lpstr>
      <vt:lpstr>'411'!OSRRefF24x_0</vt:lpstr>
      <vt:lpstr>'413'!OSRRefF24x_0</vt:lpstr>
      <vt:lpstr>'415'!OSRRefF24x_0</vt:lpstr>
      <vt:lpstr>'418'!OSRRefF24x_0</vt:lpstr>
      <vt:lpstr>'423'!OSRRefF24x_0</vt:lpstr>
      <vt:lpstr>'424'!OSRRefF24x_0</vt:lpstr>
      <vt:lpstr>'425'!OSRRefF24x_0</vt:lpstr>
      <vt:lpstr>'455'!OSRRefF24x_0</vt:lpstr>
      <vt:lpstr>'491'!OSRRefF24x_0</vt:lpstr>
      <vt:lpstr>'501'!OSRRefF24x_0</vt:lpstr>
      <vt:lpstr>'Div 2'!OSRRefF24x_0</vt:lpstr>
      <vt:lpstr>'Div 3'!OSRRefF24x_0</vt:lpstr>
      <vt:lpstr>'Div 4'!OSRRefF24x_0</vt:lpstr>
      <vt:lpstr>'Div 5'!OSRRefF24x_0</vt:lpstr>
      <vt:lpstr>'Div 6'!OSRRefF24x_0</vt:lpstr>
      <vt:lpstr>Summary!OSRRefF24x_0</vt:lpstr>
      <vt:lpstr>'201'!OSRRefH11x_0</vt:lpstr>
      <vt:lpstr>'202'!OSRRefH11x_0</vt:lpstr>
      <vt:lpstr>'300'!OSRRefH11x_0</vt:lpstr>
      <vt:lpstr>'300 &amp; 317'!OSRRefH11x_0</vt:lpstr>
      <vt:lpstr>'307'!OSRRefH11x_0</vt:lpstr>
      <vt:lpstr>'308'!OSRRefH11x_0</vt:lpstr>
      <vt:lpstr>'309'!OSRRefH11x_0</vt:lpstr>
      <vt:lpstr>'310'!OSRRefH11x_0</vt:lpstr>
      <vt:lpstr>'310 &amp; 491'!OSRRefH11x_0</vt:lpstr>
      <vt:lpstr>'311'!OSRRefH11x_0</vt:lpstr>
      <vt:lpstr>'312'!OSRRefH11x_0</vt:lpstr>
      <vt:lpstr>'313'!OSRRefH11x_0</vt:lpstr>
      <vt:lpstr>'314'!OSRRefH11x_0</vt:lpstr>
      <vt:lpstr>'315'!OSRRefH11x_0</vt:lpstr>
      <vt:lpstr>'316'!OSRRefH11x_0</vt:lpstr>
      <vt:lpstr>'317'!OSRRefH11x_0</vt:lpstr>
      <vt:lpstr>'320'!OSRRefH11x_0</vt:lpstr>
      <vt:lpstr>'321'!OSRRefH11x_0</vt:lpstr>
      <vt:lpstr>'322'!OSRRefH11x_0</vt:lpstr>
      <vt:lpstr>'323'!OSRRefH11x_0</vt:lpstr>
      <vt:lpstr>'324'!OSRRefH11x_0</vt:lpstr>
      <vt:lpstr>'325'!OSRRefH11x_0</vt:lpstr>
      <vt:lpstr>'326'!OSRRefH11x_0</vt:lpstr>
      <vt:lpstr>'327'!OSRRefH11x_0</vt:lpstr>
      <vt:lpstr>'330'!OSRRefH11x_0</vt:lpstr>
      <vt:lpstr>'331'!OSRRefH11x_0</vt:lpstr>
      <vt:lpstr>'332'!OSRRefH11x_0</vt:lpstr>
      <vt:lpstr>'405'!OSRRefH11x_0</vt:lpstr>
      <vt:lpstr>'406'!OSRRefH11x_0</vt:lpstr>
      <vt:lpstr>'412'!OSRRefH11x_0</vt:lpstr>
      <vt:lpstr>'413'!OSRRefH11x_0</vt:lpstr>
      <vt:lpstr>'414'!OSRRefH11x_0</vt:lpstr>
      <vt:lpstr>'415'!OSRRefH11x_0</vt:lpstr>
      <vt:lpstr>'418'!OSRRefH11x_0</vt:lpstr>
      <vt:lpstr>'420'!OSRRefH11x_0</vt:lpstr>
      <vt:lpstr>'424'!OSRRefH11x_0</vt:lpstr>
      <vt:lpstr>'425'!OSRRefH11x_0</vt:lpstr>
      <vt:lpstr>'433'!OSRRefH11x_0</vt:lpstr>
      <vt:lpstr>'435'!OSRRefH11x_0</vt:lpstr>
      <vt:lpstr>'444'!OSRRefH11x_0</vt:lpstr>
      <vt:lpstr>'445'!OSRRefH11x_0</vt:lpstr>
      <vt:lpstr>'450'!OSRRefH11x_0</vt:lpstr>
      <vt:lpstr>'491'!OSRRefH11x_0</vt:lpstr>
      <vt:lpstr>'492'!OSRRefH11x_0</vt:lpstr>
      <vt:lpstr>'501'!OSRRefH11x_0</vt:lpstr>
      <vt:lpstr>'Div 2'!OSRRefH11x_0</vt:lpstr>
      <vt:lpstr>'Div 3'!OSRRefH11x_0</vt:lpstr>
      <vt:lpstr>'Div 4'!OSRRefH11x_0</vt:lpstr>
      <vt:lpstr>'Div 5'!OSRRefH11x_0</vt:lpstr>
      <vt:lpstr>'Div 6'!OSRRefH11x_0</vt:lpstr>
      <vt:lpstr>Summary!OSRRefH11x_0</vt:lpstr>
      <vt:lpstr>'300'!OSRRefH14x_0</vt:lpstr>
      <vt:lpstr>'300 &amp; 317'!OSRRefH14x_0</vt:lpstr>
      <vt:lpstr>'301'!OSRRefH14x_0</vt:lpstr>
      <vt:lpstr>'307'!OSRRefH14x_0</vt:lpstr>
      <vt:lpstr>'308'!OSRRefH14x_0</vt:lpstr>
      <vt:lpstr>'309'!OSRRefH14x_0</vt:lpstr>
      <vt:lpstr>'310'!OSRRefH14x_0</vt:lpstr>
      <vt:lpstr>'310 &amp; 491'!OSRRefH14x_0</vt:lpstr>
      <vt:lpstr>'311'!OSRRefH14x_0</vt:lpstr>
      <vt:lpstr>'312'!OSRRefH14x_0</vt:lpstr>
      <vt:lpstr>'313'!OSRRefH14x_0</vt:lpstr>
      <vt:lpstr>'314'!OSRRefH14x_0</vt:lpstr>
      <vt:lpstr>'315'!OSRRefH14x_0</vt:lpstr>
      <vt:lpstr>'316'!OSRRefH14x_0</vt:lpstr>
      <vt:lpstr>'317'!OSRRefH14x_0</vt:lpstr>
      <vt:lpstr>'320'!OSRRefH14x_0</vt:lpstr>
      <vt:lpstr>'321'!OSRRefH14x_0</vt:lpstr>
      <vt:lpstr>'322'!OSRRefH14x_0</vt:lpstr>
      <vt:lpstr>'324'!OSRRefH14x_0</vt:lpstr>
      <vt:lpstr>'325'!OSRRefH14x_0</vt:lpstr>
      <vt:lpstr>'326'!OSRRefH14x_0</vt:lpstr>
      <vt:lpstr>'327'!OSRRefH14x_0</vt:lpstr>
      <vt:lpstr>'330'!OSRRefH14x_0</vt:lpstr>
      <vt:lpstr>'331'!OSRRefH14x_0</vt:lpstr>
      <vt:lpstr>'332'!OSRRefH14x_0</vt:lpstr>
      <vt:lpstr>'405'!OSRRefH14x_0</vt:lpstr>
      <vt:lpstr>'406'!OSRRefH14x_0</vt:lpstr>
      <vt:lpstr>'412'!OSRRefH14x_0</vt:lpstr>
      <vt:lpstr>'413'!OSRRefH14x_0</vt:lpstr>
      <vt:lpstr>'414'!OSRRefH14x_0</vt:lpstr>
      <vt:lpstr>'415'!OSRRefH14x_0</vt:lpstr>
      <vt:lpstr>'418'!OSRRefH14x_0</vt:lpstr>
      <vt:lpstr>'420'!OSRRefH14x_0</vt:lpstr>
      <vt:lpstr>'423'!OSRRefH14x_0</vt:lpstr>
      <vt:lpstr>'424'!OSRRefH14x_0</vt:lpstr>
      <vt:lpstr>'425'!OSRRefH14x_0</vt:lpstr>
      <vt:lpstr>'433'!OSRRefH14x_0</vt:lpstr>
      <vt:lpstr>'435'!OSRRefH14x_0</vt:lpstr>
      <vt:lpstr>'444'!OSRRefH14x_0</vt:lpstr>
      <vt:lpstr>'445'!OSRRefH14x_0</vt:lpstr>
      <vt:lpstr>'450'!OSRRefH14x_0</vt:lpstr>
      <vt:lpstr>'491'!OSRRefH14x_0</vt:lpstr>
      <vt:lpstr>'492'!OSRRefH14x_0</vt:lpstr>
      <vt:lpstr>'Div 3'!OSRRefH14x_0</vt:lpstr>
      <vt:lpstr>'Div 4'!OSRRefH14x_0</vt:lpstr>
      <vt:lpstr>'Div 6'!OSRRefH14x_0</vt:lpstr>
      <vt:lpstr>Summary!OSRRefH14x_0</vt:lpstr>
      <vt:lpstr>'200'!OSRRefH21_0x_0</vt:lpstr>
      <vt:lpstr>'201'!OSRRefH21_0x_0</vt:lpstr>
      <vt:lpstr>'202'!OSRRefH21_0x_0</vt:lpstr>
      <vt:lpstr>'203'!OSRRefH21_0x_0</vt:lpstr>
      <vt:lpstr>'204'!OSRRefH21_0x_0</vt:lpstr>
      <vt:lpstr>'205'!OSRRefH21_0x_0</vt:lpstr>
      <vt:lpstr>'206'!OSRRefH21_0x_0</vt:lpstr>
      <vt:lpstr>'300'!OSRRefH21_0x_0</vt:lpstr>
      <vt:lpstr>'300 &amp; 317'!OSRRefH21_0x_0</vt:lpstr>
      <vt:lpstr>'301'!OSRRefH21_0x_0</vt:lpstr>
      <vt:lpstr>'306'!OSRRefH21_0x_0</vt:lpstr>
      <vt:lpstr>'307'!OSRRefH21_0x_0</vt:lpstr>
      <vt:lpstr>'308'!OSRRefH21_0x_0</vt:lpstr>
      <vt:lpstr>'309'!OSRRefH21_0x_0</vt:lpstr>
      <vt:lpstr>'310'!OSRRefH21_0x_0</vt:lpstr>
      <vt:lpstr>'310 &amp; 491'!OSRRefH21_0x_0</vt:lpstr>
      <vt:lpstr>'311'!OSRRefH21_0x_0</vt:lpstr>
      <vt:lpstr>'312'!OSRRefH21_0x_0</vt:lpstr>
      <vt:lpstr>'313'!OSRRefH21_0x_0</vt:lpstr>
      <vt:lpstr>'314'!OSRRefH21_0x_0</vt:lpstr>
      <vt:lpstr>'315'!OSRRefH21_0x_0</vt:lpstr>
      <vt:lpstr>'316'!OSRRefH21_0x_0</vt:lpstr>
      <vt:lpstr>'317'!OSRRefH21_0x_0</vt:lpstr>
      <vt:lpstr>'318'!OSRRefH21_0x_0</vt:lpstr>
      <vt:lpstr>'320'!OSRRefH21_0x_0</vt:lpstr>
      <vt:lpstr>'321'!OSRRefH21_0x_0</vt:lpstr>
      <vt:lpstr>'322'!OSRRefH21_0x_0</vt:lpstr>
      <vt:lpstr>'323'!OSRRefH21_0x_0</vt:lpstr>
      <vt:lpstr>'324'!OSRRefH21_0x_0</vt:lpstr>
      <vt:lpstr>'325'!OSRRefH21_0x_0</vt:lpstr>
      <vt:lpstr>'326'!OSRRefH21_0x_0</vt:lpstr>
      <vt:lpstr>'327'!OSRRefH21_0x_0</vt:lpstr>
      <vt:lpstr>'330'!OSRRefH21_0x_0</vt:lpstr>
      <vt:lpstr>'331'!OSRRefH21_0x_0</vt:lpstr>
      <vt:lpstr>'332'!OSRRefH21_0x_0</vt:lpstr>
      <vt:lpstr>'335'!OSRRefH21_0x_0</vt:lpstr>
      <vt:lpstr>'405'!OSRRefH21_0x_0</vt:lpstr>
      <vt:lpstr>'406'!OSRRefH21_0x_0</vt:lpstr>
      <vt:lpstr>'411'!OSRRefH21_0x_0</vt:lpstr>
      <vt:lpstr>'412'!OSRRefH21_0x_0</vt:lpstr>
      <vt:lpstr>'413'!OSRRefH21_0x_0</vt:lpstr>
      <vt:lpstr>'414'!OSRRefH21_0x_0</vt:lpstr>
      <vt:lpstr>'415'!OSRRefH21_0x_0</vt:lpstr>
      <vt:lpstr>'418'!OSRRefH21_0x_0</vt:lpstr>
      <vt:lpstr>'420'!OSRRefH21_0x_0</vt:lpstr>
      <vt:lpstr>'423'!OSRRefH21_0x_0</vt:lpstr>
      <vt:lpstr>'424'!OSRRefH21_0x_0</vt:lpstr>
      <vt:lpstr>'425'!OSRRefH21_0x_0</vt:lpstr>
      <vt:lpstr>'430'!OSRRefH21_0x_0</vt:lpstr>
      <vt:lpstr>'433'!OSRRefH21_0x_0</vt:lpstr>
      <vt:lpstr>'435'!OSRRefH21_0x_0</vt:lpstr>
      <vt:lpstr>'444'!OSRRefH21_0x_0</vt:lpstr>
      <vt:lpstr>'445'!OSRRefH21_0x_0</vt:lpstr>
      <vt:lpstr>'450'!OSRRefH21_0x_0</vt:lpstr>
      <vt:lpstr>'455'!OSRRefH21_0x_0</vt:lpstr>
      <vt:lpstr>'491'!OSRRefH21_0x_0</vt:lpstr>
      <vt:lpstr>'492'!OSRRefH21_0x_0</vt:lpstr>
      <vt:lpstr>'501'!OSRRefH21_0x_0</vt:lpstr>
      <vt:lpstr>'Div 2'!OSRRefH21_0x_0</vt:lpstr>
      <vt:lpstr>'Div 3'!OSRRefH21_0x_0</vt:lpstr>
      <vt:lpstr>'Div 4'!OSRRefH21_0x_0</vt:lpstr>
      <vt:lpstr>'Div 5'!OSRRefH21_0x_0</vt:lpstr>
      <vt:lpstr>'Div 6'!OSRRefH21_0x_0</vt:lpstr>
      <vt:lpstr>Summary!OSRRefH21_0x_0</vt:lpstr>
      <vt:lpstr>'201'!OSRRefH21_10x_0</vt:lpstr>
      <vt:lpstr>'202'!OSRRefH21_10x_0</vt:lpstr>
      <vt:lpstr>'203'!OSRRefH21_10x_0</vt:lpstr>
      <vt:lpstr>'204'!OSRRefH21_10x_0</vt:lpstr>
      <vt:lpstr>'206'!OSRRefH21_10x_0</vt:lpstr>
      <vt:lpstr>'300'!OSRRefH21_10x_0</vt:lpstr>
      <vt:lpstr>'300 &amp; 317'!OSRRefH21_10x_0</vt:lpstr>
      <vt:lpstr>'301'!OSRRefH21_10x_0</vt:lpstr>
      <vt:lpstr>'306'!OSRRefH21_10x_0</vt:lpstr>
      <vt:lpstr>'307'!OSRRefH21_10x_0</vt:lpstr>
      <vt:lpstr>'308'!OSRRefH21_10x_0</vt:lpstr>
      <vt:lpstr>'309'!OSRRefH21_10x_0</vt:lpstr>
      <vt:lpstr>'310'!OSRRefH21_10x_0</vt:lpstr>
      <vt:lpstr>'310 &amp; 491'!OSRRefH21_10x_0</vt:lpstr>
      <vt:lpstr>'311'!OSRRefH21_10x_0</vt:lpstr>
      <vt:lpstr>'313'!OSRRefH21_10x_0</vt:lpstr>
      <vt:lpstr>'314'!OSRRefH21_10x_0</vt:lpstr>
      <vt:lpstr>'315'!OSRRefH21_10x_0</vt:lpstr>
      <vt:lpstr>'316'!OSRRefH21_10x_0</vt:lpstr>
      <vt:lpstr>'317'!OSRRefH21_10x_0</vt:lpstr>
      <vt:lpstr>'320'!OSRRefH21_10x_0</vt:lpstr>
      <vt:lpstr>'321'!OSRRefH21_10x_0</vt:lpstr>
      <vt:lpstr>'322'!OSRRefH21_10x_0</vt:lpstr>
      <vt:lpstr>'325'!OSRRefH21_10x_0</vt:lpstr>
      <vt:lpstr>'326'!OSRRefH21_10x_0</vt:lpstr>
      <vt:lpstr>'330'!OSRRefH21_10x_0</vt:lpstr>
      <vt:lpstr>'331'!OSRRefH21_10x_0</vt:lpstr>
      <vt:lpstr>'332'!OSRRefH21_10x_0</vt:lpstr>
      <vt:lpstr>'405'!OSRRefH21_10x_0</vt:lpstr>
      <vt:lpstr>'406'!OSRRefH21_10x_0</vt:lpstr>
      <vt:lpstr>'411'!OSRRefH21_10x_0</vt:lpstr>
      <vt:lpstr>'412'!OSRRefH21_10x_0</vt:lpstr>
      <vt:lpstr>'413'!OSRRefH21_10x_0</vt:lpstr>
      <vt:lpstr>'414'!OSRRefH21_10x_0</vt:lpstr>
      <vt:lpstr>'415'!OSRRefH21_10x_0</vt:lpstr>
      <vt:lpstr>'418'!OSRRefH21_10x_0</vt:lpstr>
      <vt:lpstr>'423'!OSRRefH21_10x_0</vt:lpstr>
      <vt:lpstr>'424'!OSRRefH21_10x_0</vt:lpstr>
      <vt:lpstr>'425'!OSRRefH21_10x_0</vt:lpstr>
      <vt:lpstr>'430'!OSRRefH21_10x_0</vt:lpstr>
      <vt:lpstr>'433'!OSRRefH21_10x_0</vt:lpstr>
      <vt:lpstr>'435'!OSRRefH21_10x_0</vt:lpstr>
      <vt:lpstr>'444'!OSRRefH21_10x_0</vt:lpstr>
      <vt:lpstr>'445'!OSRRefH21_10x_0</vt:lpstr>
      <vt:lpstr>'450'!OSRRefH21_10x_0</vt:lpstr>
      <vt:lpstr>'491'!OSRRefH21_10x_0</vt:lpstr>
      <vt:lpstr>'492'!OSRRefH21_10x_0</vt:lpstr>
      <vt:lpstr>'501'!OSRRefH21_10x_0</vt:lpstr>
      <vt:lpstr>'Div 2'!OSRRefH21_10x_0</vt:lpstr>
      <vt:lpstr>'Div 3'!OSRRefH21_10x_0</vt:lpstr>
      <vt:lpstr>'Div 4'!OSRRefH21_10x_0</vt:lpstr>
      <vt:lpstr>'Div 5'!OSRRefH21_10x_0</vt:lpstr>
      <vt:lpstr>'Div 6'!OSRRefH21_10x_0</vt:lpstr>
      <vt:lpstr>Summary!OSRRefH21_10x_0</vt:lpstr>
      <vt:lpstr>'201'!OSRRefH21_11x_0</vt:lpstr>
      <vt:lpstr>'202'!OSRRefH21_11x_0</vt:lpstr>
      <vt:lpstr>'203'!OSRRefH21_11x_0</vt:lpstr>
      <vt:lpstr>'204'!OSRRefH21_11x_0</vt:lpstr>
      <vt:lpstr>'206'!OSRRefH21_11x_0</vt:lpstr>
      <vt:lpstr>'300'!OSRRefH21_11x_0</vt:lpstr>
      <vt:lpstr>'300 &amp; 317'!OSRRefH21_11x_0</vt:lpstr>
      <vt:lpstr>'301'!OSRRefH21_11x_0</vt:lpstr>
      <vt:lpstr>'306'!OSRRefH21_11x_0</vt:lpstr>
      <vt:lpstr>'307'!OSRRefH21_11x_0</vt:lpstr>
      <vt:lpstr>'308'!OSRRefH21_11x_0</vt:lpstr>
      <vt:lpstr>'309'!OSRRefH21_11x_0</vt:lpstr>
      <vt:lpstr>'310'!OSRRefH21_11x_0</vt:lpstr>
      <vt:lpstr>'310 &amp; 491'!OSRRefH21_11x_0</vt:lpstr>
      <vt:lpstr>'311'!OSRRefH21_11x_0</vt:lpstr>
      <vt:lpstr>'313'!OSRRefH21_11x_0</vt:lpstr>
      <vt:lpstr>'314'!OSRRefH21_11x_0</vt:lpstr>
      <vt:lpstr>'315'!OSRRefH21_11x_0</vt:lpstr>
      <vt:lpstr>'316'!OSRRefH21_11x_0</vt:lpstr>
      <vt:lpstr>'317'!OSRRefH21_11x_0</vt:lpstr>
      <vt:lpstr>'320'!OSRRefH21_11x_0</vt:lpstr>
      <vt:lpstr>'321'!OSRRefH21_11x_0</vt:lpstr>
      <vt:lpstr>'322'!OSRRefH21_11x_0</vt:lpstr>
      <vt:lpstr>'325'!OSRRefH21_11x_0</vt:lpstr>
      <vt:lpstr>'326'!OSRRefH21_11x_0</vt:lpstr>
      <vt:lpstr>'330'!OSRRefH21_11x_0</vt:lpstr>
      <vt:lpstr>'331'!OSRRefH21_11x_0</vt:lpstr>
      <vt:lpstr>'332'!OSRRefH21_11x_0</vt:lpstr>
      <vt:lpstr>'405'!OSRRefH21_11x_0</vt:lpstr>
      <vt:lpstr>'406'!OSRRefH21_11x_0</vt:lpstr>
      <vt:lpstr>'411'!OSRRefH21_11x_0</vt:lpstr>
      <vt:lpstr>'412'!OSRRefH21_11x_0</vt:lpstr>
      <vt:lpstr>'413'!OSRRefH21_11x_0</vt:lpstr>
      <vt:lpstr>'414'!OSRRefH21_11x_0</vt:lpstr>
      <vt:lpstr>'415'!OSRRefH21_11x_0</vt:lpstr>
      <vt:lpstr>'418'!OSRRefH21_11x_0</vt:lpstr>
      <vt:lpstr>'423'!OSRRefH21_11x_0</vt:lpstr>
      <vt:lpstr>'424'!OSRRefH21_11x_0</vt:lpstr>
      <vt:lpstr>'425'!OSRRefH21_11x_0</vt:lpstr>
      <vt:lpstr>'430'!OSRRefH21_11x_0</vt:lpstr>
      <vt:lpstr>'433'!OSRRefH21_11x_0</vt:lpstr>
      <vt:lpstr>'435'!OSRRefH21_11x_0</vt:lpstr>
      <vt:lpstr>'444'!OSRRefH21_11x_0</vt:lpstr>
      <vt:lpstr>'445'!OSRRefH21_11x_0</vt:lpstr>
      <vt:lpstr>'450'!OSRRefH21_11x_0</vt:lpstr>
      <vt:lpstr>'491'!OSRRefH21_11x_0</vt:lpstr>
      <vt:lpstr>'492'!OSRRefH21_11x_0</vt:lpstr>
      <vt:lpstr>'501'!OSRRefH21_11x_0</vt:lpstr>
      <vt:lpstr>'Div 2'!OSRRefH21_11x_0</vt:lpstr>
      <vt:lpstr>'Div 3'!OSRRefH21_11x_0</vt:lpstr>
      <vt:lpstr>'Div 4'!OSRRefH21_11x_0</vt:lpstr>
      <vt:lpstr>'Div 5'!OSRRefH21_11x_0</vt:lpstr>
      <vt:lpstr>'Div 6'!OSRRefH21_11x_0</vt:lpstr>
      <vt:lpstr>Summary!OSRRefH21_11x_0</vt:lpstr>
      <vt:lpstr>'201'!OSRRefH21_12x_0</vt:lpstr>
      <vt:lpstr>'202'!OSRRefH21_12x_0</vt:lpstr>
      <vt:lpstr>'203'!OSRRefH21_12x_0</vt:lpstr>
      <vt:lpstr>'204'!OSRRefH21_12x_0</vt:lpstr>
      <vt:lpstr>'206'!OSRRefH21_12x_0</vt:lpstr>
      <vt:lpstr>'300'!OSRRefH21_12x_0</vt:lpstr>
      <vt:lpstr>'300 &amp; 317'!OSRRefH21_12x_0</vt:lpstr>
      <vt:lpstr>'301'!OSRRefH21_12x_0</vt:lpstr>
      <vt:lpstr>'306'!OSRRefH21_12x_0</vt:lpstr>
      <vt:lpstr>'307'!OSRRefH21_12x_0</vt:lpstr>
      <vt:lpstr>'308'!OSRRefH21_12x_0</vt:lpstr>
      <vt:lpstr>'309'!OSRRefH21_12x_0</vt:lpstr>
      <vt:lpstr>'310'!OSRRefH21_12x_0</vt:lpstr>
      <vt:lpstr>'310 &amp; 491'!OSRRefH21_12x_0</vt:lpstr>
      <vt:lpstr>'311'!OSRRefH21_12x_0</vt:lpstr>
      <vt:lpstr>'313'!OSRRefH21_12x_0</vt:lpstr>
      <vt:lpstr>'314'!OSRRefH21_12x_0</vt:lpstr>
      <vt:lpstr>'315'!OSRRefH21_12x_0</vt:lpstr>
      <vt:lpstr>'316'!OSRRefH21_12x_0</vt:lpstr>
      <vt:lpstr>'317'!OSRRefH21_12x_0</vt:lpstr>
      <vt:lpstr>'320'!OSRRefH21_12x_0</vt:lpstr>
      <vt:lpstr>'321'!OSRRefH21_12x_0</vt:lpstr>
      <vt:lpstr>'322'!OSRRefH21_12x_0</vt:lpstr>
      <vt:lpstr>'325'!OSRRefH21_12x_0</vt:lpstr>
      <vt:lpstr>'326'!OSRRefH21_12x_0</vt:lpstr>
      <vt:lpstr>'330'!OSRRefH21_12x_0</vt:lpstr>
      <vt:lpstr>'331'!OSRRefH21_12x_0</vt:lpstr>
      <vt:lpstr>'332'!OSRRefH21_12x_0</vt:lpstr>
      <vt:lpstr>'405'!OSRRefH21_12x_0</vt:lpstr>
      <vt:lpstr>'406'!OSRRefH21_12x_0</vt:lpstr>
      <vt:lpstr>'411'!OSRRefH21_12x_0</vt:lpstr>
      <vt:lpstr>'412'!OSRRefH21_12x_0</vt:lpstr>
      <vt:lpstr>'413'!OSRRefH21_12x_0</vt:lpstr>
      <vt:lpstr>'414'!OSRRefH21_12x_0</vt:lpstr>
      <vt:lpstr>'415'!OSRRefH21_12x_0</vt:lpstr>
      <vt:lpstr>'418'!OSRRefH21_12x_0</vt:lpstr>
      <vt:lpstr>'423'!OSRRefH21_12x_0</vt:lpstr>
      <vt:lpstr>'424'!OSRRefH21_12x_0</vt:lpstr>
      <vt:lpstr>'425'!OSRRefH21_12x_0</vt:lpstr>
      <vt:lpstr>'433'!OSRRefH21_12x_0</vt:lpstr>
      <vt:lpstr>'435'!OSRRefH21_12x_0</vt:lpstr>
      <vt:lpstr>'444'!OSRRefH21_12x_0</vt:lpstr>
      <vt:lpstr>'445'!OSRRefH21_12x_0</vt:lpstr>
      <vt:lpstr>'450'!OSRRefH21_12x_0</vt:lpstr>
      <vt:lpstr>'491'!OSRRefH21_12x_0</vt:lpstr>
      <vt:lpstr>'492'!OSRRefH21_12x_0</vt:lpstr>
      <vt:lpstr>'501'!OSRRefH21_12x_0</vt:lpstr>
      <vt:lpstr>'Div 2'!OSRRefH21_12x_0</vt:lpstr>
      <vt:lpstr>'Div 3'!OSRRefH21_12x_0</vt:lpstr>
      <vt:lpstr>'Div 4'!OSRRefH21_12x_0</vt:lpstr>
      <vt:lpstr>'Div 5'!OSRRefH21_12x_0</vt:lpstr>
      <vt:lpstr>'Div 6'!OSRRefH21_12x_0</vt:lpstr>
      <vt:lpstr>Summary!OSRRefH21_12x_0</vt:lpstr>
      <vt:lpstr>'201'!OSRRefH21_13x_0</vt:lpstr>
      <vt:lpstr>'202'!OSRRefH21_13x_0</vt:lpstr>
      <vt:lpstr>'203'!OSRRefH21_13x_0</vt:lpstr>
      <vt:lpstr>'204'!OSRRefH21_13x_0</vt:lpstr>
      <vt:lpstr>'300'!OSRRefH21_13x_0</vt:lpstr>
      <vt:lpstr>'300 &amp; 317'!OSRRefH21_13x_0</vt:lpstr>
      <vt:lpstr>'301'!OSRRefH21_13x_0</vt:lpstr>
      <vt:lpstr>'307'!OSRRefH21_13x_0</vt:lpstr>
      <vt:lpstr>'308'!OSRRefH21_13x_0</vt:lpstr>
      <vt:lpstr>'309'!OSRRefH21_13x_0</vt:lpstr>
      <vt:lpstr>'310'!OSRRefH21_13x_0</vt:lpstr>
      <vt:lpstr>'310 &amp; 491'!OSRRefH21_13x_0</vt:lpstr>
      <vt:lpstr>'311'!OSRRefH21_13x_0</vt:lpstr>
      <vt:lpstr>'313'!OSRRefH21_13x_0</vt:lpstr>
      <vt:lpstr>'314'!OSRRefH21_13x_0</vt:lpstr>
      <vt:lpstr>'315'!OSRRefH21_13x_0</vt:lpstr>
      <vt:lpstr>'316'!OSRRefH21_13x_0</vt:lpstr>
      <vt:lpstr>'317'!OSRRefH21_13x_0</vt:lpstr>
      <vt:lpstr>'321'!OSRRefH21_13x_0</vt:lpstr>
      <vt:lpstr>'322'!OSRRefH21_13x_0</vt:lpstr>
      <vt:lpstr>'325'!OSRRefH21_13x_0</vt:lpstr>
      <vt:lpstr>'326'!OSRRefH21_13x_0</vt:lpstr>
      <vt:lpstr>'330'!OSRRefH21_13x_0</vt:lpstr>
      <vt:lpstr>'331'!OSRRefH21_13x_0</vt:lpstr>
      <vt:lpstr>'332'!OSRRefH21_13x_0</vt:lpstr>
      <vt:lpstr>'405'!OSRRefH21_13x_0</vt:lpstr>
      <vt:lpstr>'406'!OSRRefH21_13x_0</vt:lpstr>
      <vt:lpstr>'411'!OSRRefH21_13x_0</vt:lpstr>
      <vt:lpstr>'412'!OSRRefH21_13x_0</vt:lpstr>
      <vt:lpstr>'413'!OSRRefH21_13x_0</vt:lpstr>
      <vt:lpstr>'414'!OSRRefH21_13x_0</vt:lpstr>
      <vt:lpstr>'415'!OSRRefH21_13x_0</vt:lpstr>
      <vt:lpstr>'418'!OSRRefH21_13x_0</vt:lpstr>
      <vt:lpstr>'424'!OSRRefH21_13x_0</vt:lpstr>
      <vt:lpstr>'425'!OSRRefH21_13x_0</vt:lpstr>
      <vt:lpstr>'433'!OSRRefH21_13x_0</vt:lpstr>
      <vt:lpstr>'435'!OSRRefH21_13x_0</vt:lpstr>
      <vt:lpstr>'444'!OSRRefH21_13x_0</vt:lpstr>
      <vt:lpstr>'445'!OSRRefH21_13x_0</vt:lpstr>
      <vt:lpstr>'450'!OSRRefH21_13x_0</vt:lpstr>
      <vt:lpstr>'491'!OSRRefH21_13x_0</vt:lpstr>
      <vt:lpstr>'492'!OSRRefH21_13x_0</vt:lpstr>
      <vt:lpstr>'501'!OSRRefH21_13x_0</vt:lpstr>
      <vt:lpstr>'Div 2'!OSRRefH21_13x_0</vt:lpstr>
      <vt:lpstr>'Div 3'!OSRRefH21_13x_0</vt:lpstr>
      <vt:lpstr>'Div 4'!OSRRefH21_13x_0</vt:lpstr>
      <vt:lpstr>'Div 5'!OSRRefH21_13x_0</vt:lpstr>
      <vt:lpstr>'Div 6'!OSRRefH21_13x_0</vt:lpstr>
      <vt:lpstr>Summary!OSRRefH21_13x_0</vt:lpstr>
      <vt:lpstr>'201'!OSRRefH21_14x_0</vt:lpstr>
      <vt:lpstr>'202'!OSRRefH21_14x_0</vt:lpstr>
      <vt:lpstr>'203'!OSRRefH21_14x_0</vt:lpstr>
      <vt:lpstr>'300'!OSRRefH21_14x_0</vt:lpstr>
      <vt:lpstr>'300 &amp; 317'!OSRRefH21_14x_0</vt:lpstr>
      <vt:lpstr>'301'!OSRRefH21_14x_0</vt:lpstr>
      <vt:lpstr>'307'!OSRRefH21_14x_0</vt:lpstr>
      <vt:lpstr>'308'!OSRRefH21_14x_0</vt:lpstr>
      <vt:lpstr>'309'!OSRRefH21_14x_0</vt:lpstr>
      <vt:lpstr>'310'!OSRRefH21_14x_0</vt:lpstr>
      <vt:lpstr>'310 &amp; 491'!OSRRefH21_14x_0</vt:lpstr>
      <vt:lpstr>'311'!OSRRefH21_14x_0</vt:lpstr>
      <vt:lpstr>'313'!OSRRefH21_14x_0</vt:lpstr>
      <vt:lpstr>'315'!OSRRefH21_14x_0</vt:lpstr>
      <vt:lpstr>'316'!OSRRefH21_14x_0</vt:lpstr>
      <vt:lpstr>'317'!OSRRefH21_14x_0</vt:lpstr>
      <vt:lpstr>'321'!OSRRefH21_14x_0</vt:lpstr>
      <vt:lpstr>'322'!OSRRefH21_14x_0</vt:lpstr>
      <vt:lpstr>'325'!OSRRefH21_14x_0</vt:lpstr>
      <vt:lpstr>'326'!OSRRefH21_14x_0</vt:lpstr>
      <vt:lpstr>'330'!OSRRefH21_14x_0</vt:lpstr>
      <vt:lpstr>'331'!OSRRefH21_14x_0</vt:lpstr>
      <vt:lpstr>'332'!OSRRefH21_14x_0</vt:lpstr>
      <vt:lpstr>'405'!OSRRefH21_14x_0</vt:lpstr>
      <vt:lpstr>'406'!OSRRefH21_14x_0</vt:lpstr>
      <vt:lpstr>'411'!OSRRefH21_14x_0</vt:lpstr>
      <vt:lpstr>'412'!OSRRefH21_14x_0</vt:lpstr>
      <vt:lpstr>'414'!OSRRefH21_14x_0</vt:lpstr>
      <vt:lpstr>'415'!OSRRefH21_14x_0</vt:lpstr>
      <vt:lpstr>'418'!OSRRefH21_14x_0</vt:lpstr>
      <vt:lpstr>'425'!OSRRefH21_14x_0</vt:lpstr>
      <vt:lpstr>'433'!OSRRefH21_14x_0</vt:lpstr>
      <vt:lpstr>'444'!OSRRefH21_14x_0</vt:lpstr>
      <vt:lpstr>'450'!OSRRefH21_14x_0</vt:lpstr>
      <vt:lpstr>'491'!OSRRefH21_14x_0</vt:lpstr>
      <vt:lpstr>'492'!OSRRefH21_14x_0</vt:lpstr>
      <vt:lpstr>'501'!OSRRefH21_14x_0</vt:lpstr>
      <vt:lpstr>'Div 2'!OSRRefH21_14x_0</vt:lpstr>
      <vt:lpstr>'Div 3'!OSRRefH21_14x_0</vt:lpstr>
      <vt:lpstr>'Div 4'!OSRRefH21_14x_0</vt:lpstr>
      <vt:lpstr>'Div 5'!OSRRefH21_14x_0</vt:lpstr>
      <vt:lpstr>'Div 6'!OSRRefH21_14x_0</vt:lpstr>
      <vt:lpstr>Summary!OSRRefH21_14x_0</vt:lpstr>
      <vt:lpstr>'201'!OSRRefH21_15x_0</vt:lpstr>
      <vt:lpstr>'202'!OSRRefH21_15x_0</vt:lpstr>
      <vt:lpstr>'203'!OSRRefH21_15x_0</vt:lpstr>
      <vt:lpstr>'300'!OSRRefH21_15x_0</vt:lpstr>
      <vt:lpstr>'300 &amp; 317'!OSRRefH21_15x_0</vt:lpstr>
      <vt:lpstr>'301'!OSRRefH21_15x_0</vt:lpstr>
      <vt:lpstr>'307'!OSRRefH21_15x_0</vt:lpstr>
      <vt:lpstr>'308'!OSRRefH21_15x_0</vt:lpstr>
      <vt:lpstr>'309'!OSRRefH21_15x_0</vt:lpstr>
      <vt:lpstr>'310'!OSRRefH21_15x_0</vt:lpstr>
      <vt:lpstr>'310 &amp; 491'!OSRRefH21_15x_0</vt:lpstr>
      <vt:lpstr>'311'!OSRRefH21_15x_0</vt:lpstr>
      <vt:lpstr>'313'!OSRRefH21_15x_0</vt:lpstr>
      <vt:lpstr>'315'!OSRRefH21_15x_0</vt:lpstr>
      <vt:lpstr>'316'!OSRRefH21_15x_0</vt:lpstr>
      <vt:lpstr>'317'!OSRRefH21_15x_0</vt:lpstr>
      <vt:lpstr>'321'!OSRRefH21_15x_0</vt:lpstr>
      <vt:lpstr>'322'!OSRRefH21_15x_0</vt:lpstr>
      <vt:lpstr>'325'!OSRRefH21_15x_0</vt:lpstr>
      <vt:lpstr>'326'!OSRRefH21_15x_0</vt:lpstr>
      <vt:lpstr>'330'!OSRRefH21_15x_0</vt:lpstr>
      <vt:lpstr>'331'!OSRRefH21_15x_0</vt:lpstr>
      <vt:lpstr>'332'!OSRRefH21_15x_0</vt:lpstr>
      <vt:lpstr>'405'!OSRRefH21_15x_0</vt:lpstr>
      <vt:lpstr>'406'!OSRRefH21_15x_0</vt:lpstr>
      <vt:lpstr>'411'!OSRRefH21_15x_0</vt:lpstr>
      <vt:lpstr>'412'!OSRRefH21_15x_0</vt:lpstr>
      <vt:lpstr>'414'!OSRRefH21_15x_0</vt:lpstr>
      <vt:lpstr>'415'!OSRRefH21_15x_0</vt:lpstr>
      <vt:lpstr>'418'!OSRRefH21_15x_0</vt:lpstr>
      <vt:lpstr>'425'!OSRRefH21_15x_0</vt:lpstr>
      <vt:lpstr>'433'!OSRRefH21_15x_0</vt:lpstr>
      <vt:lpstr>'444'!OSRRefH21_15x_0</vt:lpstr>
      <vt:lpstr>'450'!OSRRefH21_15x_0</vt:lpstr>
      <vt:lpstr>'491'!OSRRefH21_15x_0</vt:lpstr>
      <vt:lpstr>'492'!OSRRefH21_15x_0</vt:lpstr>
      <vt:lpstr>'501'!OSRRefH21_15x_0</vt:lpstr>
      <vt:lpstr>'Div 2'!OSRRefH21_15x_0</vt:lpstr>
      <vt:lpstr>'Div 3'!OSRRefH21_15x_0</vt:lpstr>
      <vt:lpstr>'Div 4'!OSRRefH21_15x_0</vt:lpstr>
      <vt:lpstr>'Div 5'!OSRRefH21_15x_0</vt:lpstr>
      <vt:lpstr>'Div 6'!OSRRefH21_15x_0</vt:lpstr>
      <vt:lpstr>Summary!OSRRefH21_15x_0</vt:lpstr>
      <vt:lpstr>'201'!OSRRefH21_16x_0</vt:lpstr>
      <vt:lpstr>'202'!OSRRefH21_16x_0</vt:lpstr>
      <vt:lpstr>'300'!OSRRefH21_16x_0</vt:lpstr>
      <vt:lpstr>'300 &amp; 317'!OSRRefH21_16x_0</vt:lpstr>
      <vt:lpstr>'301'!OSRRefH21_16x_0</vt:lpstr>
      <vt:lpstr>'307'!OSRRefH21_16x_0</vt:lpstr>
      <vt:lpstr>'308'!OSRRefH21_16x_0</vt:lpstr>
      <vt:lpstr>'309'!OSRRefH21_16x_0</vt:lpstr>
      <vt:lpstr>'310'!OSRRefH21_16x_0</vt:lpstr>
      <vt:lpstr>'310 &amp; 491'!OSRRefH21_16x_0</vt:lpstr>
      <vt:lpstr>'311'!OSRRefH21_16x_0</vt:lpstr>
      <vt:lpstr>'313'!OSRRefH21_16x_0</vt:lpstr>
      <vt:lpstr>'315'!OSRRefH21_16x_0</vt:lpstr>
      <vt:lpstr>'321'!OSRRefH21_16x_0</vt:lpstr>
      <vt:lpstr>'322'!OSRRefH21_16x_0</vt:lpstr>
      <vt:lpstr>'325'!OSRRefH21_16x_0</vt:lpstr>
      <vt:lpstr>'326'!OSRRefH21_16x_0</vt:lpstr>
      <vt:lpstr>'330'!OSRRefH21_16x_0</vt:lpstr>
      <vt:lpstr>'331'!OSRRefH21_16x_0</vt:lpstr>
      <vt:lpstr>'332'!OSRRefH21_16x_0</vt:lpstr>
      <vt:lpstr>'405'!OSRRefH21_16x_0</vt:lpstr>
      <vt:lpstr>'406'!OSRRefH21_16x_0</vt:lpstr>
      <vt:lpstr>'411'!OSRRefH21_16x_0</vt:lpstr>
      <vt:lpstr>'412'!OSRRefH21_16x_0</vt:lpstr>
      <vt:lpstr>'414'!OSRRefH21_16x_0</vt:lpstr>
      <vt:lpstr>'415'!OSRRefH21_16x_0</vt:lpstr>
      <vt:lpstr>'418'!OSRRefH21_16x_0</vt:lpstr>
      <vt:lpstr>'425'!OSRRefH21_16x_0</vt:lpstr>
      <vt:lpstr>'433'!OSRRefH21_16x_0</vt:lpstr>
      <vt:lpstr>'444'!OSRRefH21_16x_0</vt:lpstr>
      <vt:lpstr>'450'!OSRRefH21_16x_0</vt:lpstr>
      <vt:lpstr>'491'!OSRRefH21_16x_0</vt:lpstr>
      <vt:lpstr>'492'!OSRRefH21_16x_0</vt:lpstr>
      <vt:lpstr>'501'!OSRRefH21_16x_0</vt:lpstr>
      <vt:lpstr>'Div 2'!OSRRefH21_16x_0</vt:lpstr>
      <vt:lpstr>'Div 3'!OSRRefH21_16x_0</vt:lpstr>
      <vt:lpstr>'Div 4'!OSRRefH21_16x_0</vt:lpstr>
      <vt:lpstr>'Div 5'!OSRRefH21_16x_0</vt:lpstr>
      <vt:lpstr>Summary!OSRRefH21_16x_0</vt:lpstr>
      <vt:lpstr>'201'!OSRRefH21_17x_0</vt:lpstr>
      <vt:lpstr>'300'!OSRRefH21_17x_0</vt:lpstr>
      <vt:lpstr>'300 &amp; 317'!OSRRefH21_17x_0</vt:lpstr>
      <vt:lpstr>'301'!OSRRefH21_17x_0</vt:lpstr>
      <vt:lpstr>'307'!OSRRefH21_17x_0</vt:lpstr>
      <vt:lpstr>'308'!OSRRefH21_17x_0</vt:lpstr>
      <vt:lpstr>'310'!OSRRefH21_17x_0</vt:lpstr>
      <vt:lpstr>'310 &amp; 491'!OSRRefH21_17x_0</vt:lpstr>
      <vt:lpstr>'311'!OSRRefH21_17x_0</vt:lpstr>
      <vt:lpstr>'315'!OSRRefH21_17x_0</vt:lpstr>
      <vt:lpstr>'321'!OSRRefH21_17x_0</vt:lpstr>
      <vt:lpstr>'322'!OSRRefH21_17x_0</vt:lpstr>
      <vt:lpstr>'325'!OSRRefH21_17x_0</vt:lpstr>
      <vt:lpstr>'326'!OSRRefH21_17x_0</vt:lpstr>
      <vt:lpstr>'330'!OSRRefH21_17x_0</vt:lpstr>
      <vt:lpstr>'331'!OSRRefH21_17x_0</vt:lpstr>
      <vt:lpstr>'405'!OSRRefH21_17x_0</vt:lpstr>
      <vt:lpstr>'411'!OSRRefH21_17x_0</vt:lpstr>
      <vt:lpstr>'412'!OSRRefH21_17x_0</vt:lpstr>
      <vt:lpstr>'414'!OSRRefH21_17x_0</vt:lpstr>
      <vt:lpstr>'415'!OSRRefH21_17x_0</vt:lpstr>
      <vt:lpstr>'418'!OSRRefH21_17x_0</vt:lpstr>
      <vt:lpstr>'433'!OSRRefH21_17x_0</vt:lpstr>
      <vt:lpstr>'444'!OSRRefH21_17x_0</vt:lpstr>
      <vt:lpstr>'450'!OSRRefH21_17x_0</vt:lpstr>
      <vt:lpstr>'491'!OSRRefH21_17x_0</vt:lpstr>
      <vt:lpstr>'492'!OSRRefH21_17x_0</vt:lpstr>
      <vt:lpstr>'Div 2'!OSRRefH21_17x_0</vt:lpstr>
      <vt:lpstr>'Div 3'!OSRRefH21_17x_0</vt:lpstr>
      <vt:lpstr>'Div 4'!OSRRefH21_17x_0</vt:lpstr>
      <vt:lpstr>Summary!OSRRefH21_17x_0</vt:lpstr>
      <vt:lpstr>'201'!OSRRefH21_18x_0</vt:lpstr>
      <vt:lpstr>'300'!OSRRefH21_18x_0</vt:lpstr>
      <vt:lpstr>'300 &amp; 317'!OSRRefH21_18x_0</vt:lpstr>
      <vt:lpstr>'301'!OSRRefH21_18x_0</vt:lpstr>
      <vt:lpstr>'307'!OSRRefH21_18x_0</vt:lpstr>
      <vt:lpstr>'310'!OSRRefH21_18x_0</vt:lpstr>
      <vt:lpstr>'310 &amp; 491'!OSRRefH21_18x_0</vt:lpstr>
      <vt:lpstr>'322'!OSRRefH21_18x_0</vt:lpstr>
      <vt:lpstr>'325'!OSRRefH21_18x_0</vt:lpstr>
      <vt:lpstr>'326'!OSRRefH21_18x_0</vt:lpstr>
      <vt:lpstr>'330'!OSRRefH21_18x_0</vt:lpstr>
      <vt:lpstr>'331'!OSRRefH21_18x_0</vt:lpstr>
      <vt:lpstr>'405'!OSRRefH21_18x_0</vt:lpstr>
      <vt:lpstr>'411'!OSRRefH21_18x_0</vt:lpstr>
      <vt:lpstr>'412'!OSRRefH21_18x_0</vt:lpstr>
      <vt:lpstr>'415'!OSRRefH21_18x_0</vt:lpstr>
      <vt:lpstr>'418'!OSRRefH21_18x_0</vt:lpstr>
      <vt:lpstr>'433'!OSRRefH21_18x_0</vt:lpstr>
      <vt:lpstr>'444'!OSRRefH21_18x_0</vt:lpstr>
      <vt:lpstr>'450'!OSRRefH21_18x_0</vt:lpstr>
      <vt:lpstr>'491'!OSRRefH21_18x_0</vt:lpstr>
      <vt:lpstr>'492'!OSRRefH21_18x_0</vt:lpstr>
      <vt:lpstr>'Div 2'!OSRRefH21_18x_0</vt:lpstr>
      <vt:lpstr>'Div 3'!OSRRefH21_18x_0</vt:lpstr>
      <vt:lpstr>'Div 4'!OSRRefH21_18x_0</vt:lpstr>
      <vt:lpstr>Summary!OSRRefH21_18x_0</vt:lpstr>
      <vt:lpstr>'201'!OSRRefH21_19x_0</vt:lpstr>
      <vt:lpstr>'300'!OSRRefH21_19x_0</vt:lpstr>
      <vt:lpstr>'300 &amp; 317'!OSRRefH21_19x_0</vt:lpstr>
      <vt:lpstr>'301'!OSRRefH21_19x_0</vt:lpstr>
      <vt:lpstr>'310'!OSRRefH21_19x_0</vt:lpstr>
      <vt:lpstr>'310 &amp; 491'!OSRRefH21_19x_0</vt:lpstr>
      <vt:lpstr>'322'!OSRRefH21_19x_0</vt:lpstr>
      <vt:lpstr>'325'!OSRRefH21_19x_0</vt:lpstr>
      <vt:lpstr>'326'!OSRRefH21_19x_0</vt:lpstr>
      <vt:lpstr>'331'!OSRRefH21_19x_0</vt:lpstr>
      <vt:lpstr>'411'!OSRRefH21_19x_0</vt:lpstr>
      <vt:lpstr>'415'!OSRRefH21_19x_0</vt:lpstr>
      <vt:lpstr>'418'!OSRRefH21_19x_0</vt:lpstr>
      <vt:lpstr>'433'!OSRRefH21_19x_0</vt:lpstr>
      <vt:lpstr>'444'!OSRRefH21_19x_0</vt:lpstr>
      <vt:lpstr>'491'!OSRRefH21_19x_0</vt:lpstr>
      <vt:lpstr>'492'!OSRRefH21_19x_0</vt:lpstr>
      <vt:lpstr>'Div 2'!OSRRefH21_19x_0</vt:lpstr>
      <vt:lpstr>'Div 3'!OSRRefH21_19x_0</vt:lpstr>
      <vt:lpstr>'Div 4'!OSRRefH21_19x_0</vt:lpstr>
      <vt:lpstr>Summary!OSRRefH21_19x_0</vt:lpstr>
      <vt:lpstr>'200'!OSRRefH21_1x_0</vt:lpstr>
      <vt:lpstr>'201'!OSRRefH21_1x_0</vt:lpstr>
      <vt:lpstr>'202'!OSRRefH21_1x_0</vt:lpstr>
      <vt:lpstr>'203'!OSRRefH21_1x_0</vt:lpstr>
      <vt:lpstr>'204'!OSRRefH21_1x_0</vt:lpstr>
      <vt:lpstr>'205'!OSRRefH21_1x_0</vt:lpstr>
      <vt:lpstr>'206'!OSRRefH21_1x_0</vt:lpstr>
      <vt:lpstr>'300'!OSRRefH21_1x_0</vt:lpstr>
      <vt:lpstr>'300 &amp; 317'!OSRRefH21_1x_0</vt:lpstr>
      <vt:lpstr>'301'!OSRRefH21_1x_0</vt:lpstr>
      <vt:lpstr>'306'!OSRRefH21_1x_0</vt:lpstr>
      <vt:lpstr>'307'!OSRRefH21_1x_0</vt:lpstr>
      <vt:lpstr>'308'!OSRRefH21_1x_0</vt:lpstr>
      <vt:lpstr>'309'!OSRRefH21_1x_0</vt:lpstr>
      <vt:lpstr>'310'!OSRRefH21_1x_0</vt:lpstr>
      <vt:lpstr>'310 &amp; 491'!OSRRefH21_1x_0</vt:lpstr>
      <vt:lpstr>'311'!OSRRefH21_1x_0</vt:lpstr>
      <vt:lpstr>'312'!OSRRefH21_1x_0</vt:lpstr>
      <vt:lpstr>'313'!OSRRefH21_1x_0</vt:lpstr>
      <vt:lpstr>'314'!OSRRefH21_1x_0</vt:lpstr>
      <vt:lpstr>'315'!OSRRefH21_1x_0</vt:lpstr>
      <vt:lpstr>'316'!OSRRefH21_1x_0</vt:lpstr>
      <vt:lpstr>'317'!OSRRefH21_1x_0</vt:lpstr>
      <vt:lpstr>'318'!OSRRefH21_1x_0</vt:lpstr>
      <vt:lpstr>'320'!OSRRefH21_1x_0</vt:lpstr>
      <vt:lpstr>'321'!OSRRefH21_1x_0</vt:lpstr>
      <vt:lpstr>'322'!OSRRefH21_1x_0</vt:lpstr>
      <vt:lpstr>'323'!OSRRefH21_1x_0</vt:lpstr>
      <vt:lpstr>'324'!OSRRefH21_1x_0</vt:lpstr>
      <vt:lpstr>'325'!OSRRefH21_1x_0</vt:lpstr>
      <vt:lpstr>'326'!OSRRefH21_1x_0</vt:lpstr>
      <vt:lpstr>'327'!OSRRefH21_1x_0</vt:lpstr>
      <vt:lpstr>'330'!OSRRefH21_1x_0</vt:lpstr>
      <vt:lpstr>'331'!OSRRefH21_1x_0</vt:lpstr>
      <vt:lpstr>'332'!OSRRefH21_1x_0</vt:lpstr>
      <vt:lpstr>'335'!OSRRefH21_1x_0</vt:lpstr>
      <vt:lpstr>'405'!OSRRefH21_1x_0</vt:lpstr>
      <vt:lpstr>'406'!OSRRefH21_1x_0</vt:lpstr>
      <vt:lpstr>'411'!OSRRefH21_1x_0</vt:lpstr>
      <vt:lpstr>'412'!OSRRefH21_1x_0</vt:lpstr>
      <vt:lpstr>'413'!OSRRefH21_1x_0</vt:lpstr>
      <vt:lpstr>'414'!OSRRefH21_1x_0</vt:lpstr>
      <vt:lpstr>'415'!OSRRefH21_1x_0</vt:lpstr>
      <vt:lpstr>'418'!OSRRefH21_1x_0</vt:lpstr>
      <vt:lpstr>'420'!OSRRefH21_1x_0</vt:lpstr>
      <vt:lpstr>'423'!OSRRefH21_1x_0</vt:lpstr>
      <vt:lpstr>'424'!OSRRefH21_1x_0</vt:lpstr>
      <vt:lpstr>'425'!OSRRefH21_1x_0</vt:lpstr>
      <vt:lpstr>'430'!OSRRefH21_1x_0</vt:lpstr>
      <vt:lpstr>'433'!OSRRefH21_1x_0</vt:lpstr>
      <vt:lpstr>'435'!OSRRefH21_1x_0</vt:lpstr>
      <vt:lpstr>'444'!OSRRefH21_1x_0</vt:lpstr>
      <vt:lpstr>'445'!OSRRefH21_1x_0</vt:lpstr>
      <vt:lpstr>'450'!OSRRefH21_1x_0</vt:lpstr>
      <vt:lpstr>'455'!OSRRefH21_1x_0</vt:lpstr>
      <vt:lpstr>'491'!OSRRefH21_1x_0</vt:lpstr>
      <vt:lpstr>'492'!OSRRefH21_1x_0</vt:lpstr>
      <vt:lpstr>'501'!OSRRefH21_1x_0</vt:lpstr>
      <vt:lpstr>'Div 2'!OSRRefH21_1x_0</vt:lpstr>
      <vt:lpstr>'Div 3'!OSRRefH21_1x_0</vt:lpstr>
      <vt:lpstr>'Div 4'!OSRRefH21_1x_0</vt:lpstr>
      <vt:lpstr>'Div 5'!OSRRefH21_1x_0</vt:lpstr>
      <vt:lpstr>'Div 6'!OSRRefH21_1x_0</vt:lpstr>
      <vt:lpstr>Summary!OSRRefH21_1x_0</vt:lpstr>
      <vt:lpstr>'300'!OSRRefH21_20x_0</vt:lpstr>
      <vt:lpstr>'300 &amp; 317'!OSRRefH21_20x_0</vt:lpstr>
      <vt:lpstr>'301'!OSRRefH21_20x_0</vt:lpstr>
      <vt:lpstr>'310'!OSRRefH21_20x_0</vt:lpstr>
      <vt:lpstr>'310 &amp; 491'!OSRRefH21_20x_0</vt:lpstr>
      <vt:lpstr>'326'!OSRRefH21_20x_0</vt:lpstr>
      <vt:lpstr>'331'!OSRRefH21_20x_0</vt:lpstr>
      <vt:lpstr>'411'!OSRRefH21_20x_0</vt:lpstr>
      <vt:lpstr>'433'!OSRRefH21_20x_0</vt:lpstr>
      <vt:lpstr>'444'!OSRRefH21_20x_0</vt:lpstr>
      <vt:lpstr>'491'!OSRRefH21_20x_0</vt:lpstr>
      <vt:lpstr>'492'!OSRRefH21_20x_0</vt:lpstr>
      <vt:lpstr>'Div 2'!OSRRefH21_20x_0</vt:lpstr>
      <vt:lpstr>'Div 3'!OSRRefH21_20x_0</vt:lpstr>
      <vt:lpstr>'Div 4'!OSRRefH21_20x_0</vt:lpstr>
      <vt:lpstr>Summary!OSRRefH21_20x_0</vt:lpstr>
      <vt:lpstr>'300'!OSRRefH21_21x_0</vt:lpstr>
      <vt:lpstr>'300 &amp; 317'!OSRRefH21_21x_0</vt:lpstr>
      <vt:lpstr>'301'!OSRRefH21_21x_0</vt:lpstr>
      <vt:lpstr>'310'!OSRRefH21_21x_0</vt:lpstr>
      <vt:lpstr>'310 &amp; 491'!OSRRefH21_21x_0</vt:lpstr>
      <vt:lpstr>'326'!OSRRefH21_21x_0</vt:lpstr>
      <vt:lpstr>'331'!OSRRefH21_21x_0</vt:lpstr>
      <vt:lpstr>'411'!OSRRefH21_21x_0</vt:lpstr>
      <vt:lpstr>'491'!OSRRefH21_21x_0</vt:lpstr>
      <vt:lpstr>'492'!OSRRefH21_21x_0</vt:lpstr>
      <vt:lpstr>'Div 2'!OSRRefH21_21x_0</vt:lpstr>
      <vt:lpstr>'Div 3'!OSRRefH21_21x_0</vt:lpstr>
      <vt:lpstr>'Div 4'!OSRRefH21_21x_0</vt:lpstr>
      <vt:lpstr>Summary!OSRRefH21_21x_0</vt:lpstr>
      <vt:lpstr>'300'!OSRRefH21_22x_0</vt:lpstr>
      <vt:lpstr>'300 &amp; 317'!OSRRefH21_22x_0</vt:lpstr>
      <vt:lpstr>'301'!OSRRefH21_22x_0</vt:lpstr>
      <vt:lpstr>'310'!OSRRefH21_22x_0</vt:lpstr>
      <vt:lpstr>'310 &amp; 491'!OSRRefH21_22x_0</vt:lpstr>
      <vt:lpstr>'331'!OSRRefH21_22x_0</vt:lpstr>
      <vt:lpstr>'411'!OSRRefH21_22x_0</vt:lpstr>
      <vt:lpstr>'491'!OSRRefH21_22x_0</vt:lpstr>
      <vt:lpstr>'492'!OSRRefH21_22x_0</vt:lpstr>
      <vt:lpstr>'Div 3'!OSRRefH21_22x_0</vt:lpstr>
      <vt:lpstr>'Div 4'!OSRRefH21_22x_0</vt:lpstr>
      <vt:lpstr>Summary!OSRRefH21_22x_0</vt:lpstr>
      <vt:lpstr>'300'!OSRRefH21_23x_0</vt:lpstr>
      <vt:lpstr>'300 &amp; 317'!OSRRefH21_23x_0</vt:lpstr>
      <vt:lpstr>'301'!OSRRefH21_23x_0</vt:lpstr>
      <vt:lpstr>'310'!OSRRefH21_23x_0</vt:lpstr>
      <vt:lpstr>'310 &amp; 491'!OSRRefH21_23x_0</vt:lpstr>
      <vt:lpstr>'491'!OSRRefH21_23x_0</vt:lpstr>
      <vt:lpstr>'Div 3'!OSRRefH21_23x_0</vt:lpstr>
      <vt:lpstr>'Div 4'!OSRRefH21_23x_0</vt:lpstr>
      <vt:lpstr>Summary!OSRRefH21_23x_0</vt:lpstr>
      <vt:lpstr>'300'!OSRRefH21_24x_0</vt:lpstr>
      <vt:lpstr>'300 &amp; 317'!OSRRefH21_24x_0</vt:lpstr>
      <vt:lpstr>'301'!OSRRefH21_24x_0</vt:lpstr>
      <vt:lpstr>'310 &amp; 491'!OSRRefH21_24x_0</vt:lpstr>
      <vt:lpstr>'491'!OSRRefH21_24x_0</vt:lpstr>
      <vt:lpstr>'Div 3'!OSRRefH21_24x_0</vt:lpstr>
      <vt:lpstr>'Div 4'!OSRRefH21_24x_0</vt:lpstr>
      <vt:lpstr>Summary!OSRRefH21_24x_0</vt:lpstr>
      <vt:lpstr>'310 &amp; 491'!OSRRefH21_25x_0</vt:lpstr>
      <vt:lpstr>'491'!OSRRefH21_25x_0</vt:lpstr>
      <vt:lpstr>'Div 3'!OSRRefH21_25x_0</vt:lpstr>
      <vt:lpstr>'Div 4'!OSRRefH21_25x_0</vt:lpstr>
      <vt:lpstr>Summary!OSRRefH21_25x_0</vt:lpstr>
      <vt:lpstr>Summary!OSRRefH21_26x_0</vt:lpstr>
      <vt:lpstr>'200'!OSRRefH21_2x_0</vt:lpstr>
      <vt:lpstr>'201'!OSRRefH21_2x_0</vt:lpstr>
      <vt:lpstr>'202'!OSRRefH21_2x_0</vt:lpstr>
      <vt:lpstr>'203'!OSRRefH21_2x_0</vt:lpstr>
      <vt:lpstr>'204'!OSRRefH21_2x_0</vt:lpstr>
      <vt:lpstr>'205'!OSRRefH21_2x_0</vt:lpstr>
      <vt:lpstr>'206'!OSRRefH21_2x_0</vt:lpstr>
      <vt:lpstr>'300'!OSRRefH21_2x_0</vt:lpstr>
      <vt:lpstr>'300 &amp; 317'!OSRRefH21_2x_0</vt:lpstr>
      <vt:lpstr>'301'!OSRRefH21_2x_0</vt:lpstr>
      <vt:lpstr>'306'!OSRRefH21_2x_0</vt:lpstr>
      <vt:lpstr>'307'!OSRRefH21_2x_0</vt:lpstr>
      <vt:lpstr>'308'!OSRRefH21_2x_0</vt:lpstr>
      <vt:lpstr>'309'!OSRRefH21_2x_0</vt:lpstr>
      <vt:lpstr>'310'!OSRRefH21_2x_0</vt:lpstr>
      <vt:lpstr>'310 &amp; 491'!OSRRefH21_2x_0</vt:lpstr>
      <vt:lpstr>'311'!OSRRefH21_2x_0</vt:lpstr>
      <vt:lpstr>'312'!OSRRefH21_2x_0</vt:lpstr>
      <vt:lpstr>'313'!OSRRefH21_2x_0</vt:lpstr>
      <vt:lpstr>'314'!OSRRefH21_2x_0</vt:lpstr>
      <vt:lpstr>'315'!OSRRefH21_2x_0</vt:lpstr>
      <vt:lpstr>'316'!OSRRefH21_2x_0</vt:lpstr>
      <vt:lpstr>'317'!OSRRefH21_2x_0</vt:lpstr>
      <vt:lpstr>'318'!OSRRefH21_2x_0</vt:lpstr>
      <vt:lpstr>'320'!OSRRefH21_2x_0</vt:lpstr>
      <vt:lpstr>'321'!OSRRefH21_2x_0</vt:lpstr>
      <vt:lpstr>'322'!OSRRefH21_2x_0</vt:lpstr>
      <vt:lpstr>'323'!OSRRefH21_2x_0</vt:lpstr>
      <vt:lpstr>'324'!OSRRefH21_2x_0</vt:lpstr>
      <vt:lpstr>'325'!OSRRefH21_2x_0</vt:lpstr>
      <vt:lpstr>'326'!OSRRefH21_2x_0</vt:lpstr>
      <vt:lpstr>'327'!OSRRefH21_2x_0</vt:lpstr>
      <vt:lpstr>'330'!OSRRefH21_2x_0</vt:lpstr>
      <vt:lpstr>'331'!OSRRefH21_2x_0</vt:lpstr>
      <vt:lpstr>'332'!OSRRefH21_2x_0</vt:lpstr>
      <vt:lpstr>'335'!OSRRefH21_2x_0</vt:lpstr>
      <vt:lpstr>'405'!OSRRefH21_2x_0</vt:lpstr>
      <vt:lpstr>'406'!OSRRefH21_2x_0</vt:lpstr>
      <vt:lpstr>'411'!OSRRefH21_2x_0</vt:lpstr>
      <vt:lpstr>'412'!OSRRefH21_2x_0</vt:lpstr>
      <vt:lpstr>'413'!OSRRefH21_2x_0</vt:lpstr>
      <vt:lpstr>'414'!OSRRefH21_2x_0</vt:lpstr>
      <vt:lpstr>'415'!OSRRefH21_2x_0</vt:lpstr>
      <vt:lpstr>'418'!OSRRefH21_2x_0</vt:lpstr>
      <vt:lpstr>'420'!OSRRefH21_2x_0</vt:lpstr>
      <vt:lpstr>'423'!OSRRefH21_2x_0</vt:lpstr>
      <vt:lpstr>'424'!OSRRefH21_2x_0</vt:lpstr>
      <vt:lpstr>'425'!OSRRefH21_2x_0</vt:lpstr>
      <vt:lpstr>'430'!OSRRefH21_2x_0</vt:lpstr>
      <vt:lpstr>'433'!OSRRefH21_2x_0</vt:lpstr>
      <vt:lpstr>'435'!OSRRefH21_2x_0</vt:lpstr>
      <vt:lpstr>'444'!OSRRefH21_2x_0</vt:lpstr>
      <vt:lpstr>'445'!OSRRefH21_2x_0</vt:lpstr>
      <vt:lpstr>'450'!OSRRefH21_2x_0</vt:lpstr>
      <vt:lpstr>'455'!OSRRefH21_2x_0</vt:lpstr>
      <vt:lpstr>'491'!OSRRefH21_2x_0</vt:lpstr>
      <vt:lpstr>'492'!OSRRefH21_2x_0</vt:lpstr>
      <vt:lpstr>'501'!OSRRefH21_2x_0</vt:lpstr>
      <vt:lpstr>'Div 2'!OSRRefH21_2x_0</vt:lpstr>
      <vt:lpstr>'Div 3'!OSRRefH21_2x_0</vt:lpstr>
      <vt:lpstr>'Div 4'!OSRRefH21_2x_0</vt:lpstr>
      <vt:lpstr>'Div 5'!OSRRefH21_2x_0</vt:lpstr>
      <vt:lpstr>'Div 6'!OSRRefH21_2x_0</vt:lpstr>
      <vt:lpstr>Summary!OSRRefH21_2x_0</vt:lpstr>
      <vt:lpstr>'200'!OSRRefH21_3x_0</vt:lpstr>
      <vt:lpstr>'201'!OSRRefH21_3x_0</vt:lpstr>
      <vt:lpstr>'202'!OSRRefH21_3x_0</vt:lpstr>
      <vt:lpstr>'203'!OSRRefH21_3x_0</vt:lpstr>
      <vt:lpstr>'204'!OSRRefH21_3x_0</vt:lpstr>
      <vt:lpstr>'205'!OSRRefH21_3x_0</vt:lpstr>
      <vt:lpstr>'206'!OSRRefH21_3x_0</vt:lpstr>
      <vt:lpstr>'300'!OSRRefH21_3x_0</vt:lpstr>
      <vt:lpstr>'300 &amp; 317'!OSRRefH21_3x_0</vt:lpstr>
      <vt:lpstr>'301'!OSRRefH21_3x_0</vt:lpstr>
      <vt:lpstr>'306'!OSRRefH21_3x_0</vt:lpstr>
      <vt:lpstr>'307'!OSRRefH21_3x_0</vt:lpstr>
      <vt:lpstr>'308'!OSRRefH21_3x_0</vt:lpstr>
      <vt:lpstr>'309'!OSRRefH21_3x_0</vt:lpstr>
      <vt:lpstr>'310'!OSRRefH21_3x_0</vt:lpstr>
      <vt:lpstr>'310 &amp; 491'!OSRRefH21_3x_0</vt:lpstr>
      <vt:lpstr>'311'!OSRRefH21_3x_0</vt:lpstr>
      <vt:lpstr>'312'!OSRRefH21_3x_0</vt:lpstr>
      <vt:lpstr>'313'!OSRRefH21_3x_0</vt:lpstr>
      <vt:lpstr>'314'!OSRRefH21_3x_0</vt:lpstr>
      <vt:lpstr>'315'!OSRRefH21_3x_0</vt:lpstr>
      <vt:lpstr>'316'!OSRRefH21_3x_0</vt:lpstr>
      <vt:lpstr>'317'!OSRRefH21_3x_0</vt:lpstr>
      <vt:lpstr>'318'!OSRRefH21_3x_0</vt:lpstr>
      <vt:lpstr>'320'!OSRRefH21_3x_0</vt:lpstr>
      <vt:lpstr>'321'!OSRRefH21_3x_0</vt:lpstr>
      <vt:lpstr>'322'!OSRRefH21_3x_0</vt:lpstr>
      <vt:lpstr>'323'!OSRRefH21_3x_0</vt:lpstr>
      <vt:lpstr>'324'!OSRRefH21_3x_0</vt:lpstr>
      <vt:lpstr>'325'!OSRRefH21_3x_0</vt:lpstr>
      <vt:lpstr>'326'!OSRRefH21_3x_0</vt:lpstr>
      <vt:lpstr>'330'!OSRRefH21_3x_0</vt:lpstr>
      <vt:lpstr>'331'!OSRRefH21_3x_0</vt:lpstr>
      <vt:lpstr>'332'!OSRRefH21_3x_0</vt:lpstr>
      <vt:lpstr>'335'!OSRRefH21_3x_0</vt:lpstr>
      <vt:lpstr>'405'!OSRRefH21_3x_0</vt:lpstr>
      <vt:lpstr>'406'!OSRRefH21_3x_0</vt:lpstr>
      <vt:lpstr>'411'!OSRRefH21_3x_0</vt:lpstr>
      <vt:lpstr>'412'!OSRRefH21_3x_0</vt:lpstr>
      <vt:lpstr>'413'!OSRRefH21_3x_0</vt:lpstr>
      <vt:lpstr>'414'!OSRRefH21_3x_0</vt:lpstr>
      <vt:lpstr>'415'!OSRRefH21_3x_0</vt:lpstr>
      <vt:lpstr>'418'!OSRRefH21_3x_0</vt:lpstr>
      <vt:lpstr>'420'!OSRRefH21_3x_0</vt:lpstr>
      <vt:lpstr>'423'!OSRRefH21_3x_0</vt:lpstr>
      <vt:lpstr>'424'!OSRRefH21_3x_0</vt:lpstr>
      <vt:lpstr>'425'!OSRRefH21_3x_0</vt:lpstr>
      <vt:lpstr>'430'!OSRRefH21_3x_0</vt:lpstr>
      <vt:lpstr>'433'!OSRRefH21_3x_0</vt:lpstr>
      <vt:lpstr>'435'!OSRRefH21_3x_0</vt:lpstr>
      <vt:lpstr>'444'!OSRRefH21_3x_0</vt:lpstr>
      <vt:lpstr>'445'!OSRRefH21_3x_0</vt:lpstr>
      <vt:lpstr>'450'!OSRRefH21_3x_0</vt:lpstr>
      <vt:lpstr>'455'!OSRRefH21_3x_0</vt:lpstr>
      <vt:lpstr>'491'!OSRRefH21_3x_0</vt:lpstr>
      <vt:lpstr>'492'!OSRRefH21_3x_0</vt:lpstr>
      <vt:lpstr>'501'!OSRRefH21_3x_0</vt:lpstr>
      <vt:lpstr>'Div 2'!OSRRefH21_3x_0</vt:lpstr>
      <vt:lpstr>'Div 3'!OSRRefH21_3x_0</vt:lpstr>
      <vt:lpstr>'Div 4'!OSRRefH21_3x_0</vt:lpstr>
      <vt:lpstr>'Div 5'!OSRRefH21_3x_0</vt:lpstr>
      <vt:lpstr>'Div 6'!OSRRefH21_3x_0</vt:lpstr>
      <vt:lpstr>Summary!OSRRefH21_3x_0</vt:lpstr>
      <vt:lpstr>'200'!OSRRefH21_4x_0</vt:lpstr>
      <vt:lpstr>'201'!OSRRefH21_4x_0</vt:lpstr>
      <vt:lpstr>'202'!OSRRefH21_4x_0</vt:lpstr>
      <vt:lpstr>'203'!OSRRefH21_4x_0</vt:lpstr>
      <vt:lpstr>'204'!OSRRefH21_4x_0</vt:lpstr>
      <vt:lpstr>'205'!OSRRefH21_4x_0</vt:lpstr>
      <vt:lpstr>'206'!OSRRefH21_4x_0</vt:lpstr>
      <vt:lpstr>'300'!OSRRefH21_4x_0</vt:lpstr>
      <vt:lpstr>'300 &amp; 317'!OSRRefH21_4x_0</vt:lpstr>
      <vt:lpstr>'301'!OSRRefH21_4x_0</vt:lpstr>
      <vt:lpstr>'306'!OSRRefH21_4x_0</vt:lpstr>
      <vt:lpstr>'307'!OSRRefH21_4x_0</vt:lpstr>
      <vt:lpstr>'308'!OSRRefH21_4x_0</vt:lpstr>
      <vt:lpstr>'309'!OSRRefH21_4x_0</vt:lpstr>
      <vt:lpstr>'310'!OSRRefH21_4x_0</vt:lpstr>
      <vt:lpstr>'310 &amp; 491'!OSRRefH21_4x_0</vt:lpstr>
      <vt:lpstr>'311'!OSRRefH21_4x_0</vt:lpstr>
      <vt:lpstr>'312'!OSRRefH21_4x_0</vt:lpstr>
      <vt:lpstr>'313'!OSRRefH21_4x_0</vt:lpstr>
      <vt:lpstr>'314'!OSRRefH21_4x_0</vt:lpstr>
      <vt:lpstr>'315'!OSRRefH21_4x_0</vt:lpstr>
      <vt:lpstr>'316'!OSRRefH21_4x_0</vt:lpstr>
      <vt:lpstr>'317'!OSRRefH21_4x_0</vt:lpstr>
      <vt:lpstr>'318'!OSRRefH21_4x_0</vt:lpstr>
      <vt:lpstr>'320'!OSRRefH21_4x_0</vt:lpstr>
      <vt:lpstr>'321'!OSRRefH21_4x_0</vt:lpstr>
      <vt:lpstr>'322'!OSRRefH21_4x_0</vt:lpstr>
      <vt:lpstr>'323'!OSRRefH21_4x_0</vt:lpstr>
      <vt:lpstr>'325'!OSRRefH21_4x_0</vt:lpstr>
      <vt:lpstr>'326'!OSRRefH21_4x_0</vt:lpstr>
      <vt:lpstr>'330'!OSRRefH21_4x_0</vt:lpstr>
      <vt:lpstr>'331'!OSRRefH21_4x_0</vt:lpstr>
      <vt:lpstr>'332'!OSRRefH21_4x_0</vt:lpstr>
      <vt:lpstr>'335'!OSRRefH21_4x_0</vt:lpstr>
      <vt:lpstr>'405'!OSRRefH21_4x_0</vt:lpstr>
      <vt:lpstr>'406'!OSRRefH21_4x_0</vt:lpstr>
      <vt:lpstr>'411'!OSRRefH21_4x_0</vt:lpstr>
      <vt:lpstr>'412'!OSRRefH21_4x_0</vt:lpstr>
      <vt:lpstr>'413'!OSRRefH21_4x_0</vt:lpstr>
      <vt:lpstr>'414'!OSRRefH21_4x_0</vt:lpstr>
      <vt:lpstr>'415'!OSRRefH21_4x_0</vt:lpstr>
      <vt:lpstr>'418'!OSRRefH21_4x_0</vt:lpstr>
      <vt:lpstr>'420'!OSRRefH21_4x_0</vt:lpstr>
      <vt:lpstr>'423'!OSRRefH21_4x_0</vt:lpstr>
      <vt:lpstr>'424'!OSRRefH21_4x_0</vt:lpstr>
      <vt:lpstr>'425'!OSRRefH21_4x_0</vt:lpstr>
      <vt:lpstr>'430'!OSRRefH21_4x_0</vt:lpstr>
      <vt:lpstr>'433'!OSRRefH21_4x_0</vt:lpstr>
      <vt:lpstr>'435'!OSRRefH21_4x_0</vt:lpstr>
      <vt:lpstr>'444'!OSRRefH21_4x_0</vt:lpstr>
      <vt:lpstr>'445'!OSRRefH21_4x_0</vt:lpstr>
      <vt:lpstr>'450'!OSRRefH21_4x_0</vt:lpstr>
      <vt:lpstr>'491'!OSRRefH21_4x_0</vt:lpstr>
      <vt:lpstr>'492'!OSRRefH21_4x_0</vt:lpstr>
      <vt:lpstr>'501'!OSRRefH21_4x_0</vt:lpstr>
      <vt:lpstr>'Div 2'!OSRRefH21_4x_0</vt:lpstr>
      <vt:lpstr>'Div 3'!OSRRefH21_4x_0</vt:lpstr>
      <vt:lpstr>'Div 4'!OSRRefH21_4x_0</vt:lpstr>
      <vt:lpstr>'Div 5'!OSRRefH21_4x_0</vt:lpstr>
      <vt:lpstr>'Div 6'!OSRRefH21_4x_0</vt:lpstr>
      <vt:lpstr>Summary!OSRRefH21_4x_0</vt:lpstr>
      <vt:lpstr>'200'!OSRRefH21_5x_0</vt:lpstr>
      <vt:lpstr>'201'!OSRRefH21_5x_0</vt:lpstr>
      <vt:lpstr>'202'!OSRRefH21_5x_0</vt:lpstr>
      <vt:lpstr>'203'!OSRRefH21_5x_0</vt:lpstr>
      <vt:lpstr>'204'!OSRRefH21_5x_0</vt:lpstr>
      <vt:lpstr>'205'!OSRRefH21_5x_0</vt:lpstr>
      <vt:lpstr>'206'!OSRRefH21_5x_0</vt:lpstr>
      <vt:lpstr>'300'!OSRRefH21_5x_0</vt:lpstr>
      <vt:lpstr>'300 &amp; 317'!OSRRefH21_5x_0</vt:lpstr>
      <vt:lpstr>'301'!OSRRefH21_5x_0</vt:lpstr>
      <vt:lpstr>'306'!OSRRefH21_5x_0</vt:lpstr>
      <vt:lpstr>'307'!OSRRefH21_5x_0</vt:lpstr>
      <vt:lpstr>'308'!OSRRefH21_5x_0</vt:lpstr>
      <vt:lpstr>'309'!OSRRefH21_5x_0</vt:lpstr>
      <vt:lpstr>'310'!OSRRefH21_5x_0</vt:lpstr>
      <vt:lpstr>'310 &amp; 491'!OSRRefH21_5x_0</vt:lpstr>
      <vt:lpstr>'311'!OSRRefH21_5x_0</vt:lpstr>
      <vt:lpstr>'312'!OSRRefH21_5x_0</vt:lpstr>
      <vt:lpstr>'313'!OSRRefH21_5x_0</vt:lpstr>
      <vt:lpstr>'314'!OSRRefH21_5x_0</vt:lpstr>
      <vt:lpstr>'315'!OSRRefH21_5x_0</vt:lpstr>
      <vt:lpstr>'316'!OSRRefH21_5x_0</vt:lpstr>
      <vt:lpstr>'317'!OSRRefH21_5x_0</vt:lpstr>
      <vt:lpstr>'318'!OSRRefH21_5x_0</vt:lpstr>
      <vt:lpstr>'320'!OSRRefH21_5x_0</vt:lpstr>
      <vt:lpstr>'321'!OSRRefH21_5x_0</vt:lpstr>
      <vt:lpstr>'322'!OSRRefH21_5x_0</vt:lpstr>
      <vt:lpstr>'323'!OSRRefH21_5x_0</vt:lpstr>
      <vt:lpstr>'325'!OSRRefH21_5x_0</vt:lpstr>
      <vt:lpstr>'326'!OSRRefH21_5x_0</vt:lpstr>
      <vt:lpstr>'330'!OSRRefH21_5x_0</vt:lpstr>
      <vt:lpstr>'331'!OSRRefH21_5x_0</vt:lpstr>
      <vt:lpstr>'332'!OSRRefH21_5x_0</vt:lpstr>
      <vt:lpstr>'335'!OSRRefH21_5x_0</vt:lpstr>
      <vt:lpstr>'405'!OSRRefH21_5x_0</vt:lpstr>
      <vt:lpstr>'406'!OSRRefH21_5x_0</vt:lpstr>
      <vt:lpstr>'411'!OSRRefH21_5x_0</vt:lpstr>
      <vt:lpstr>'412'!OSRRefH21_5x_0</vt:lpstr>
      <vt:lpstr>'413'!OSRRefH21_5x_0</vt:lpstr>
      <vt:lpstr>'414'!OSRRefH21_5x_0</vt:lpstr>
      <vt:lpstr>'415'!OSRRefH21_5x_0</vt:lpstr>
      <vt:lpstr>'418'!OSRRefH21_5x_0</vt:lpstr>
      <vt:lpstr>'420'!OSRRefH21_5x_0</vt:lpstr>
      <vt:lpstr>'423'!OSRRefH21_5x_0</vt:lpstr>
      <vt:lpstr>'424'!OSRRefH21_5x_0</vt:lpstr>
      <vt:lpstr>'425'!OSRRefH21_5x_0</vt:lpstr>
      <vt:lpstr>'430'!OSRRefH21_5x_0</vt:lpstr>
      <vt:lpstr>'433'!OSRRefH21_5x_0</vt:lpstr>
      <vt:lpstr>'435'!OSRRefH21_5x_0</vt:lpstr>
      <vt:lpstr>'444'!OSRRefH21_5x_0</vt:lpstr>
      <vt:lpstr>'445'!OSRRefH21_5x_0</vt:lpstr>
      <vt:lpstr>'450'!OSRRefH21_5x_0</vt:lpstr>
      <vt:lpstr>'491'!OSRRefH21_5x_0</vt:lpstr>
      <vt:lpstr>'492'!OSRRefH21_5x_0</vt:lpstr>
      <vt:lpstr>'501'!OSRRefH21_5x_0</vt:lpstr>
      <vt:lpstr>'Div 2'!OSRRefH21_5x_0</vt:lpstr>
      <vt:lpstr>'Div 3'!OSRRefH21_5x_0</vt:lpstr>
      <vt:lpstr>'Div 4'!OSRRefH21_5x_0</vt:lpstr>
      <vt:lpstr>'Div 5'!OSRRefH21_5x_0</vt:lpstr>
      <vt:lpstr>'Div 6'!OSRRefH21_5x_0</vt:lpstr>
      <vt:lpstr>Summary!OSRRefH21_5x_0</vt:lpstr>
      <vt:lpstr>'201'!OSRRefH21_6x_0</vt:lpstr>
      <vt:lpstr>'202'!OSRRefH21_6x_0</vt:lpstr>
      <vt:lpstr>'203'!OSRRefH21_6x_0</vt:lpstr>
      <vt:lpstr>'204'!OSRRefH21_6x_0</vt:lpstr>
      <vt:lpstr>'205'!OSRRefH21_6x_0</vt:lpstr>
      <vt:lpstr>'206'!OSRRefH21_6x_0</vt:lpstr>
      <vt:lpstr>'300'!OSRRefH21_6x_0</vt:lpstr>
      <vt:lpstr>'300 &amp; 317'!OSRRefH21_6x_0</vt:lpstr>
      <vt:lpstr>'301'!OSRRefH21_6x_0</vt:lpstr>
      <vt:lpstr>'306'!OSRRefH21_6x_0</vt:lpstr>
      <vt:lpstr>'307'!OSRRefH21_6x_0</vt:lpstr>
      <vt:lpstr>'308'!OSRRefH21_6x_0</vt:lpstr>
      <vt:lpstr>'309'!OSRRefH21_6x_0</vt:lpstr>
      <vt:lpstr>'310'!OSRRefH21_6x_0</vt:lpstr>
      <vt:lpstr>'310 &amp; 491'!OSRRefH21_6x_0</vt:lpstr>
      <vt:lpstr>'311'!OSRRefH21_6x_0</vt:lpstr>
      <vt:lpstr>'312'!OSRRefH21_6x_0</vt:lpstr>
      <vt:lpstr>'313'!OSRRefH21_6x_0</vt:lpstr>
      <vt:lpstr>'314'!OSRRefH21_6x_0</vt:lpstr>
      <vt:lpstr>'315'!OSRRefH21_6x_0</vt:lpstr>
      <vt:lpstr>'316'!OSRRefH21_6x_0</vt:lpstr>
      <vt:lpstr>'317'!OSRRefH21_6x_0</vt:lpstr>
      <vt:lpstr>'318'!OSRRefH21_6x_0</vt:lpstr>
      <vt:lpstr>'320'!OSRRefH21_6x_0</vt:lpstr>
      <vt:lpstr>'321'!OSRRefH21_6x_0</vt:lpstr>
      <vt:lpstr>'322'!OSRRefH21_6x_0</vt:lpstr>
      <vt:lpstr>'323'!OSRRefH21_6x_0</vt:lpstr>
      <vt:lpstr>'325'!OSRRefH21_6x_0</vt:lpstr>
      <vt:lpstr>'326'!OSRRefH21_6x_0</vt:lpstr>
      <vt:lpstr>'330'!OSRRefH21_6x_0</vt:lpstr>
      <vt:lpstr>'331'!OSRRefH21_6x_0</vt:lpstr>
      <vt:lpstr>'332'!OSRRefH21_6x_0</vt:lpstr>
      <vt:lpstr>'335'!OSRRefH21_6x_0</vt:lpstr>
      <vt:lpstr>'405'!OSRRefH21_6x_0</vt:lpstr>
      <vt:lpstr>'406'!OSRRefH21_6x_0</vt:lpstr>
      <vt:lpstr>'411'!OSRRefH21_6x_0</vt:lpstr>
      <vt:lpstr>'412'!OSRRefH21_6x_0</vt:lpstr>
      <vt:lpstr>'413'!OSRRefH21_6x_0</vt:lpstr>
      <vt:lpstr>'414'!OSRRefH21_6x_0</vt:lpstr>
      <vt:lpstr>'415'!OSRRefH21_6x_0</vt:lpstr>
      <vt:lpstr>'418'!OSRRefH21_6x_0</vt:lpstr>
      <vt:lpstr>'420'!OSRRefH21_6x_0</vt:lpstr>
      <vt:lpstr>'423'!OSRRefH21_6x_0</vt:lpstr>
      <vt:lpstr>'424'!OSRRefH21_6x_0</vt:lpstr>
      <vt:lpstr>'425'!OSRRefH21_6x_0</vt:lpstr>
      <vt:lpstr>'430'!OSRRefH21_6x_0</vt:lpstr>
      <vt:lpstr>'433'!OSRRefH21_6x_0</vt:lpstr>
      <vt:lpstr>'435'!OSRRefH21_6x_0</vt:lpstr>
      <vt:lpstr>'444'!OSRRefH21_6x_0</vt:lpstr>
      <vt:lpstr>'445'!OSRRefH21_6x_0</vt:lpstr>
      <vt:lpstr>'450'!OSRRefH21_6x_0</vt:lpstr>
      <vt:lpstr>'491'!OSRRefH21_6x_0</vt:lpstr>
      <vt:lpstr>'492'!OSRRefH21_6x_0</vt:lpstr>
      <vt:lpstr>'501'!OSRRefH21_6x_0</vt:lpstr>
      <vt:lpstr>'Div 2'!OSRRefH21_6x_0</vt:lpstr>
      <vt:lpstr>'Div 3'!OSRRefH21_6x_0</vt:lpstr>
      <vt:lpstr>'Div 4'!OSRRefH21_6x_0</vt:lpstr>
      <vt:lpstr>'Div 5'!OSRRefH21_6x_0</vt:lpstr>
      <vt:lpstr>'Div 6'!OSRRefH21_6x_0</vt:lpstr>
      <vt:lpstr>Summary!OSRRefH21_6x_0</vt:lpstr>
      <vt:lpstr>'201'!OSRRefH21_7x_0</vt:lpstr>
      <vt:lpstr>'202'!OSRRefH21_7x_0</vt:lpstr>
      <vt:lpstr>'203'!OSRRefH21_7x_0</vt:lpstr>
      <vt:lpstr>'204'!OSRRefH21_7x_0</vt:lpstr>
      <vt:lpstr>'205'!OSRRefH21_7x_0</vt:lpstr>
      <vt:lpstr>'206'!OSRRefH21_7x_0</vt:lpstr>
      <vt:lpstr>'300'!OSRRefH21_7x_0</vt:lpstr>
      <vt:lpstr>'300 &amp; 317'!OSRRefH21_7x_0</vt:lpstr>
      <vt:lpstr>'301'!OSRRefH21_7x_0</vt:lpstr>
      <vt:lpstr>'306'!OSRRefH21_7x_0</vt:lpstr>
      <vt:lpstr>'307'!OSRRefH21_7x_0</vt:lpstr>
      <vt:lpstr>'308'!OSRRefH21_7x_0</vt:lpstr>
      <vt:lpstr>'309'!OSRRefH21_7x_0</vt:lpstr>
      <vt:lpstr>'310'!OSRRefH21_7x_0</vt:lpstr>
      <vt:lpstr>'310 &amp; 491'!OSRRefH21_7x_0</vt:lpstr>
      <vt:lpstr>'311'!OSRRefH21_7x_0</vt:lpstr>
      <vt:lpstr>'312'!OSRRefH21_7x_0</vt:lpstr>
      <vt:lpstr>'313'!OSRRefH21_7x_0</vt:lpstr>
      <vt:lpstr>'314'!OSRRefH21_7x_0</vt:lpstr>
      <vt:lpstr>'315'!OSRRefH21_7x_0</vt:lpstr>
      <vt:lpstr>'316'!OSRRefH21_7x_0</vt:lpstr>
      <vt:lpstr>'317'!OSRRefH21_7x_0</vt:lpstr>
      <vt:lpstr>'318'!OSRRefH21_7x_0</vt:lpstr>
      <vt:lpstr>'320'!OSRRefH21_7x_0</vt:lpstr>
      <vt:lpstr>'321'!OSRRefH21_7x_0</vt:lpstr>
      <vt:lpstr>'322'!OSRRefH21_7x_0</vt:lpstr>
      <vt:lpstr>'323'!OSRRefH21_7x_0</vt:lpstr>
      <vt:lpstr>'325'!OSRRefH21_7x_0</vt:lpstr>
      <vt:lpstr>'326'!OSRRefH21_7x_0</vt:lpstr>
      <vt:lpstr>'330'!OSRRefH21_7x_0</vt:lpstr>
      <vt:lpstr>'331'!OSRRefH21_7x_0</vt:lpstr>
      <vt:lpstr>'332'!OSRRefH21_7x_0</vt:lpstr>
      <vt:lpstr>'335'!OSRRefH21_7x_0</vt:lpstr>
      <vt:lpstr>'405'!OSRRefH21_7x_0</vt:lpstr>
      <vt:lpstr>'406'!OSRRefH21_7x_0</vt:lpstr>
      <vt:lpstr>'411'!OSRRefH21_7x_0</vt:lpstr>
      <vt:lpstr>'412'!OSRRefH21_7x_0</vt:lpstr>
      <vt:lpstr>'413'!OSRRefH21_7x_0</vt:lpstr>
      <vt:lpstr>'414'!OSRRefH21_7x_0</vt:lpstr>
      <vt:lpstr>'415'!OSRRefH21_7x_0</vt:lpstr>
      <vt:lpstr>'418'!OSRRefH21_7x_0</vt:lpstr>
      <vt:lpstr>'420'!OSRRefH21_7x_0</vt:lpstr>
      <vt:lpstr>'423'!OSRRefH21_7x_0</vt:lpstr>
      <vt:lpstr>'424'!OSRRefH21_7x_0</vt:lpstr>
      <vt:lpstr>'425'!OSRRefH21_7x_0</vt:lpstr>
      <vt:lpstr>'430'!OSRRefH21_7x_0</vt:lpstr>
      <vt:lpstr>'433'!OSRRefH21_7x_0</vt:lpstr>
      <vt:lpstr>'435'!OSRRefH21_7x_0</vt:lpstr>
      <vt:lpstr>'444'!OSRRefH21_7x_0</vt:lpstr>
      <vt:lpstr>'445'!OSRRefH21_7x_0</vt:lpstr>
      <vt:lpstr>'450'!OSRRefH21_7x_0</vt:lpstr>
      <vt:lpstr>'491'!OSRRefH21_7x_0</vt:lpstr>
      <vt:lpstr>'492'!OSRRefH21_7x_0</vt:lpstr>
      <vt:lpstr>'501'!OSRRefH21_7x_0</vt:lpstr>
      <vt:lpstr>'Div 2'!OSRRefH21_7x_0</vt:lpstr>
      <vt:lpstr>'Div 3'!OSRRefH21_7x_0</vt:lpstr>
      <vt:lpstr>'Div 4'!OSRRefH21_7x_0</vt:lpstr>
      <vt:lpstr>'Div 5'!OSRRefH21_7x_0</vt:lpstr>
      <vt:lpstr>'Div 6'!OSRRefH21_7x_0</vt:lpstr>
      <vt:lpstr>Summary!OSRRefH21_7x_0</vt:lpstr>
      <vt:lpstr>'201'!OSRRefH21_8x_0</vt:lpstr>
      <vt:lpstr>'202'!OSRRefH21_8x_0</vt:lpstr>
      <vt:lpstr>'203'!OSRRefH21_8x_0</vt:lpstr>
      <vt:lpstr>'204'!OSRRefH21_8x_0</vt:lpstr>
      <vt:lpstr>'205'!OSRRefH21_8x_0</vt:lpstr>
      <vt:lpstr>'206'!OSRRefH21_8x_0</vt:lpstr>
      <vt:lpstr>'300'!OSRRefH21_8x_0</vt:lpstr>
      <vt:lpstr>'300 &amp; 317'!OSRRefH21_8x_0</vt:lpstr>
      <vt:lpstr>'301'!OSRRefH21_8x_0</vt:lpstr>
      <vt:lpstr>'306'!OSRRefH21_8x_0</vt:lpstr>
      <vt:lpstr>'307'!OSRRefH21_8x_0</vt:lpstr>
      <vt:lpstr>'308'!OSRRefH21_8x_0</vt:lpstr>
      <vt:lpstr>'309'!OSRRefH21_8x_0</vt:lpstr>
      <vt:lpstr>'310'!OSRRefH21_8x_0</vt:lpstr>
      <vt:lpstr>'310 &amp; 491'!OSRRefH21_8x_0</vt:lpstr>
      <vt:lpstr>'311'!OSRRefH21_8x_0</vt:lpstr>
      <vt:lpstr>'312'!OSRRefH21_8x_0</vt:lpstr>
      <vt:lpstr>'313'!OSRRefH21_8x_0</vt:lpstr>
      <vt:lpstr>'314'!OSRRefH21_8x_0</vt:lpstr>
      <vt:lpstr>'315'!OSRRefH21_8x_0</vt:lpstr>
      <vt:lpstr>'316'!OSRRefH21_8x_0</vt:lpstr>
      <vt:lpstr>'317'!OSRRefH21_8x_0</vt:lpstr>
      <vt:lpstr>'318'!OSRRefH21_8x_0</vt:lpstr>
      <vt:lpstr>'320'!OSRRefH21_8x_0</vt:lpstr>
      <vt:lpstr>'321'!OSRRefH21_8x_0</vt:lpstr>
      <vt:lpstr>'322'!OSRRefH21_8x_0</vt:lpstr>
      <vt:lpstr>'325'!OSRRefH21_8x_0</vt:lpstr>
      <vt:lpstr>'326'!OSRRefH21_8x_0</vt:lpstr>
      <vt:lpstr>'330'!OSRRefH21_8x_0</vt:lpstr>
      <vt:lpstr>'331'!OSRRefH21_8x_0</vt:lpstr>
      <vt:lpstr>'332'!OSRRefH21_8x_0</vt:lpstr>
      <vt:lpstr>'335'!OSRRefH21_8x_0</vt:lpstr>
      <vt:lpstr>'405'!OSRRefH21_8x_0</vt:lpstr>
      <vt:lpstr>'406'!OSRRefH21_8x_0</vt:lpstr>
      <vt:lpstr>'411'!OSRRefH21_8x_0</vt:lpstr>
      <vt:lpstr>'412'!OSRRefH21_8x_0</vt:lpstr>
      <vt:lpstr>'413'!OSRRefH21_8x_0</vt:lpstr>
      <vt:lpstr>'414'!OSRRefH21_8x_0</vt:lpstr>
      <vt:lpstr>'415'!OSRRefH21_8x_0</vt:lpstr>
      <vt:lpstr>'418'!OSRRefH21_8x_0</vt:lpstr>
      <vt:lpstr>'420'!OSRRefH21_8x_0</vt:lpstr>
      <vt:lpstr>'423'!OSRRefH21_8x_0</vt:lpstr>
      <vt:lpstr>'424'!OSRRefH21_8x_0</vt:lpstr>
      <vt:lpstr>'425'!OSRRefH21_8x_0</vt:lpstr>
      <vt:lpstr>'430'!OSRRefH21_8x_0</vt:lpstr>
      <vt:lpstr>'433'!OSRRefH21_8x_0</vt:lpstr>
      <vt:lpstr>'435'!OSRRefH21_8x_0</vt:lpstr>
      <vt:lpstr>'444'!OSRRefH21_8x_0</vt:lpstr>
      <vt:lpstr>'445'!OSRRefH21_8x_0</vt:lpstr>
      <vt:lpstr>'450'!OSRRefH21_8x_0</vt:lpstr>
      <vt:lpstr>'491'!OSRRefH21_8x_0</vt:lpstr>
      <vt:lpstr>'492'!OSRRefH21_8x_0</vt:lpstr>
      <vt:lpstr>'501'!OSRRefH21_8x_0</vt:lpstr>
      <vt:lpstr>'Div 2'!OSRRefH21_8x_0</vt:lpstr>
      <vt:lpstr>'Div 3'!OSRRefH21_8x_0</vt:lpstr>
      <vt:lpstr>'Div 4'!OSRRefH21_8x_0</vt:lpstr>
      <vt:lpstr>'Div 5'!OSRRefH21_8x_0</vt:lpstr>
      <vt:lpstr>'Div 6'!OSRRefH21_8x_0</vt:lpstr>
      <vt:lpstr>Summary!OSRRefH21_8x_0</vt:lpstr>
      <vt:lpstr>'201'!OSRRefH21_9x_0</vt:lpstr>
      <vt:lpstr>'202'!OSRRefH21_9x_0</vt:lpstr>
      <vt:lpstr>'203'!OSRRefH21_9x_0</vt:lpstr>
      <vt:lpstr>'204'!OSRRefH21_9x_0</vt:lpstr>
      <vt:lpstr>'206'!OSRRefH21_9x_0</vt:lpstr>
      <vt:lpstr>'300'!OSRRefH21_9x_0</vt:lpstr>
      <vt:lpstr>'300 &amp; 317'!OSRRefH21_9x_0</vt:lpstr>
      <vt:lpstr>'301'!OSRRefH21_9x_0</vt:lpstr>
      <vt:lpstr>'306'!OSRRefH21_9x_0</vt:lpstr>
      <vt:lpstr>'307'!OSRRefH21_9x_0</vt:lpstr>
      <vt:lpstr>'308'!OSRRefH21_9x_0</vt:lpstr>
      <vt:lpstr>'309'!OSRRefH21_9x_0</vt:lpstr>
      <vt:lpstr>'310'!OSRRefH21_9x_0</vt:lpstr>
      <vt:lpstr>'310 &amp; 491'!OSRRefH21_9x_0</vt:lpstr>
      <vt:lpstr>'311'!OSRRefH21_9x_0</vt:lpstr>
      <vt:lpstr>'312'!OSRRefH21_9x_0</vt:lpstr>
      <vt:lpstr>'313'!OSRRefH21_9x_0</vt:lpstr>
      <vt:lpstr>'314'!OSRRefH21_9x_0</vt:lpstr>
      <vt:lpstr>'315'!OSRRefH21_9x_0</vt:lpstr>
      <vt:lpstr>'316'!OSRRefH21_9x_0</vt:lpstr>
      <vt:lpstr>'317'!OSRRefH21_9x_0</vt:lpstr>
      <vt:lpstr>'320'!OSRRefH21_9x_0</vt:lpstr>
      <vt:lpstr>'321'!OSRRefH21_9x_0</vt:lpstr>
      <vt:lpstr>'322'!OSRRefH21_9x_0</vt:lpstr>
      <vt:lpstr>'325'!OSRRefH21_9x_0</vt:lpstr>
      <vt:lpstr>'326'!OSRRefH21_9x_0</vt:lpstr>
      <vt:lpstr>'330'!OSRRefH21_9x_0</vt:lpstr>
      <vt:lpstr>'331'!OSRRefH21_9x_0</vt:lpstr>
      <vt:lpstr>'332'!OSRRefH21_9x_0</vt:lpstr>
      <vt:lpstr>'335'!OSRRefH21_9x_0</vt:lpstr>
      <vt:lpstr>'405'!OSRRefH21_9x_0</vt:lpstr>
      <vt:lpstr>'406'!OSRRefH21_9x_0</vt:lpstr>
      <vt:lpstr>'411'!OSRRefH21_9x_0</vt:lpstr>
      <vt:lpstr>'412'!OSRRefH21_9x_0</vt:lpstr>
      <vt:lpstr>'413'!OSRRefH21_9x_0</vt:lpstr>
      <vt:lpstr>'414'!OSRRefH21_9x_0</vt:lpstr>
      <vt:lpstr>'415'!OSRRefH21_9x_0</vt:lpstr>
      <vt:lpstr>'418'!OSRRefH21_9x_0</vt:lpstr>
      <vt:lpstr>'423'!OSRRefH21_9x_0</vt:lpstr>
      <vt:lpstr>'424'!OSRRefH21_9x_0</vt:lpstr>
      <vt:lpstr>'425'!OSRRefH21_9x_0</vt:lpstr>
      <vt:lpstr>'430'!OSRRefH21_9x_0</vt:lpstr>
      <vt:lpstr>'433'!OSRRefH21_9x_0</vt:lpstr>
      <vt:lpstr>'435'!OSRRefH21_9x_0</vt:lpstr>
      <vt:lpstr>'444'!OSRRefH21_9x_0</vt:lpstr>
      <vt:lpstr>'445'!OSRRefH21_9x_0</vt:lpstr>
      <vt:lpstr>'450'!OSRRefH21_9x_0</vt:lpstr>
      <vt:lpstr>'491'!OSRRefH21_9x_0</vt:lpstr>
      <vt:lpstr>'492'!OSRRefH21_9x_0</vt:lpstr>
      <vt:lpstr>'501'!OSRRefH21_9x_0</vt:lpstr>
      <vt:lpstr>'Div 2'!OSRRefH21_9x_0</vt:lpstr>
      <vt:lpstr>'Div 3'!OSRRefH21_9x_0</vt:lpstr>
      <vt:lpstr>'Div 4'!OSRRefH21_9x_0</vt:lpstr>
      <vt:lpstr>'Div 5'!OSRRefH21_9x_0</vt:lpstr>
      <vt:lpstr>'Div 6'!OSRRefH21_9x_0</vt:lpstr>
      <vt:lpstr>Summary!OSRRefH21_9x_0</vt:lpstr>
      <vt:lpstr>'200'!OSRRefH21x_0</vt:lpstr>
      <vt:lpstr>'201'!OSRRefH21x_0</vt:lpstr>
      <vt:lpstr>'202'!OSRRefH21x_0</vt:lpstr>
      <vt:lpstr>'203'!OSRRefH21x_0</vt:lpstr>
      <vt:lpstr>'204'!OSRRefH21x_0</vt:lpstr>
      <vt:lpstr>'205'!OSRRefH21x_0</vt:lpstr>
      <vt:lpstr>'206'!OSRRefH21x_0</vt:lpstr>
      <vt:lpstr>'300'!OSRRefH21x_0</vt:lpstr>
      <vt:lpstr>'300 &amp; 317'!OSRRefH21x_0</vt:lpstr>
      <vt:lpstr>'301'!OSRRefH21x_0</vt:lpstr>
      <vt:lpstr>'306'!OSRRefH21x_0</vt:lpstr>
      <vt:lpstr>'307'!OSRRefH21x_0</vt:lpstr>
      <vt:lpstr>'308'!OSRRefH21x_0</vt:lpstr>
      <vt:lpstr>'309'!OSRRefH21x_0</vt:lpstr>
      <vt:lpstr>'310'!OSRRefH21x_0</vt:lpstr>
      <vt:lpstr>'310 &amp; 491'!OSRRefH21x_0</vt:lpstr>
      <vt:lpstr>'311'!OSRRefH21x_0</vt:lpstr>
      <vt:lpstr>'312'!OSRRefH21x_0</vt:lpstr>
      <vt:lpstr>'313'!OSRRefH21x_0</vt:lpstr>
      <vt:lpstr>'314'!OSRRefH21x_0</vt:lpstr>
      <vt:lpstr>'315'!OSRRefH21x_0</vt:lpstr>
      <vt:lpstr>'316'!OSRRefH21x_0</vt:lpstr>
      <vt:lpstr>'317'!OSRRefH21x_0</vt:lpstr>
      <vt:lpstr>'318'!OSRRefH21x_0</vt:lpstr>
      <vt:lpstr>'320'!OSRRefH21x_0</vt:lpstr>
      <vt:lpstr>'321'!OSRRefH21x_0</vt:lpstr>
      <vt:lpstr>'322'!OSRRefH21x_0</vt:lpstr>
      <vt:lpstr>'323'!OSRRefH21x_0</vt:lpstr>
      <vt:lpstr>'324'!OSRRefH21x_0</vt:lpstr>
      <vt:lpstr>'325'!OSRRefH21x_0</vt:lpstr>
      <vt:lpstr>'326'!OSRRefH21x_0</vt:lpstr>
      <vt:lpstr>'327'!OSRRefH21x_0</vt:lpstr>
      <vt:lpstr>'330'!OSRRefH21x_0</vt:lpstr>
      <vt:lpstr>'331'!OSRRefH21x_0</vt:lpstr>
      <vt:lpstr>'332'!OSRRefH21x_0</vt:lpstr>
      <vt:lpstr>'335'!OSRRefH21x_0</vt:lpstr>
      <vt:lpstr>'405'!OSRRefH21x_0</vt:lpstr>
      <vt:lpstr>'406'!OSRRefH21x_0</vt:lpstr>
      <vt:lpstr>'411'!OSRRefH21x_0</vt:lpstr>
      <vt:lpstr>'412'!OSRRefH21x_0</vt:lpstr>
      <vt:lpstr>'413'!OSRRefH21x_0</vt:lpstr>
      <vt:lpstr>'414'!OSRRefH21x_0</vt:lpstr>
      <vt:lpstr>'415'!OSRRefH21x_0</vt:lpstr>
      <vt:lpstr>'418'!OSRRefH21x_0</vt:lpstr>
      <vt:lpstr>'420'!OSRRefH21x_0</vt:lpstr>
      <vt:lpstr>'423'!OSRRefH21x_0</vt:lpstr>
      <vt:lpstr>'424'!OSRRefH21x_0</vt:lpstr>
      <vt:lpstr>'425'!OSRRefH21x_0</vt:lpstr>
      <vt:lpstr>'430'!OSRRefH21x_0</vt:lpstr>
      <vt:lpstr>'433'!OSRRefH21x_0</vt:lpstr>
      <vt:lpstr>'435'!OSRRefH21x_0</vt:lpstr>
      <vt:lpstr>'444'!OSRRefH21x_0</vt:lpstr>
      <vt:lpstr>'445'!OSRRefH21x_0</vt:lpstr>
      <vt:lpstr>'450'!OSRRefH21x_0</vt:lpstr>
      <vt:lpstr>'455'!OSRRefH21x_0</vt:lpstr>
      <vt:lpstr>'491'!OSRRefH21x_0</vt:lpstr>
      <vt:lpstr>'492'!OSRRefH21x_0</vt:lpstr>
      <vt:lpstr>'501'!OSRRefH21x_0</vt:lpstr>
      <vt:lpstr>'Div 2'!OSRRefH21x_0</vt:lpstr>
      <vt:lpstr>'Div 3'!OSRRefH21x_0</vt:lpstr>
      <vt:lpstr>'Div 4'!OSRRefH21x_0</vt:lpstr>
      <vt:lpstr>'Div 5'!OSRRefH21x_0</vt:lpstr>
      <vt:lpstr>'Div 6'!OSRRefH21x_0</vt:lpstr>
      <vt:lpstr>Summary!OSRRefH21x_0</vt:lpstr>
      <vt:lpstr>'202'!OSRRefH24x_0</vt:lpstr>
      <vt:lpstr>'300'!OSRRefH24x_0</vt:lpstr>
      <vt:lpstr>'300 &amp; 317'!OSRRefH24x_0</vt:lpstr>
      <vt:lpstr>'301'!OSRRefH24x_0</vt:lpstr>
      <vt:lpstr>'307'!OSRRefH24x_0</vt:lpstr>
      <vt:lpstr>'308'!OSRRefH24x_0</vt:lpstr>
      <vt:lpstr>'309'!OSRRefH24x_0</vt:lpstr>
      <vt:lpstr>'310'!OSRRefH24x_0</vt:lpstr>
      <vt:lpstr>'310 &amp; 491'!OSRRefH24x_0</vt:lpstr>
      <vt:lpstr>'311'!OSRRefH24x_0</vt:lpstr>
      <vt:lpstr>'312'!OSRRefH24x_0</vt:lpstr>
      <vt:lpstr>'314'!OSRRefH24x_0</vt:lpstr>
      <vt:lpstr>'315'!OSRRefH24x_0</vt:lpstr>
      <vt:lpstr>'316'!OSRRefH24x_0</vt:lpstr>
      <vt:lpstr>'317'!OSRRefH24x_0</vt:lpstr>
      <vt:lpstr>'320'!OSRRefH24x_0</vt:lpstr>
      <vt:lpstr>'330'!OSRRefH24x_0</vt:lpstr>
      <vt:lpstr>'331'!OSRRefH24x_0</vt:lpstr>
      <vt:lpstr>'332'!OSRRefH24x_0</vt:lpstr>
      <vt:lpstr>'411'!OSRRefH24x_0</vt:lpstr>
      <vt:lpstr>'413'!OSRRefH24x_0</vt:lpstr>
      <vt:lpstr>'415'!OSRRefH24x_0</vt:lpstr>
      <vt:lpstr>'418'!OSRRefH24x_0</vt:lpstr>
      <vt:lpstr>'423'!OSRRefH24x_0</vt:lpstr>
      <vt:lpstr>'424'!OSRRefH24x_0</vt:lpstr>
      <vt:lpstr>'425'!OSRRefH24x_0</vt:lpstr>
      <vt:lpstr>'455'!OSRRefH24x_0</vt:lpstr>
      <vt:lpstr>'491'!OSRRefH24x_0</vt:lpstr>
      <vt:lpstr>'501'!OSRRefH24x_0</vt:lpstr>
      <vt:lpstr>'Div 2'!OSRRefH24x_0</vt:lpstr>
      <vt:lpstr>'Div 3'!OSRRefH24x_0</vt:lpstr>
      <vt:lpstr>'Div 4'!OSRRefH24x_0</vt:lpstr>
      <vt:lpstr>'Div 5'!OSRRefH24x_0</vt:lpstr>
      <vt:lpstr>'Div 6'!OSRRefH24x_0</vt:lpstr>
      <vt:lpstr>Summary!OSRRefH24x_0</vt:lpstr>
      <vt:lpstr>'201'!OSRRefJ11x_0</vt:lpstr>
      <vt:lpstr>'202'!OSRRefJ11x_0</vt:lpstr>
      <vt:lpstr>'300'!OSRRefJ11x_0</vt:lpstr>
      <vt:lpstr>'300 &amp; 317'!OSRRefJ11x_0</vt:lpstr>
      <vt:lpstr>'307'!OSRRefJ11x_0</vt:lpstr>
      <vt:lpstr>'308'!OSRRefJ11x_0</vt:lpstr>
      <vt:lpstr>'309'!OSRRefJ11x_0</vt:lpstr>
      <vt:lpstr>'310'!OSRRefJ11x_0</vt:lpstr>
      <vt:lpstr>'310 &amp; 491'!OSRRefJ11x_0</vt:lpstr>
      <vt:lpstr>'311'!OSRRefJ11x_0</vt:lpstr>
      <vt:lpstr>'312'!OSRRefJ11x_0</vt:lpstr>
      <vt:lpstr>'313'!OSRRefJ11x_0</vt:lpstr>
      <vt:lpstr>'314'!OSRRefJ11x_0</vt:lpstr>
      <vt:lpstr>'315'!OSRRefJ11x_0</vt:lpstr>
      <vt:lpstr>'316'!OSRRefJ11x_0</vt:lpstr>
      <vt:lpstr>'317'!OSRRefJ11x_0</vt:lpstr>
      <vt:lpstr>'320'!OSRRefJ11x_0</vt:lpstr>
      <vt:lpstr>'321'!OSRRefJ11x_0</vt:lpstr>
      <vt:lpstr>'322'!OSRRefJ11x_0</vt:lpstr>
      <vt:lpstr>'323'!OSRRefJ11x_0</vt:lpstr>
      <vt:lpstr>'324'!OSRRefJ11x_0</vt:lpstr>
      <vt:lpstr>'325'!OSRRefJ11x_0</vt:lpstr>
      <vt:lpstr>'326'!OSRRefJ11x_0</vt:lpstr>
      <vt:lpstr>'327'!OSRRefJ11x_0</vt:lpstr>
      <vt:lpstr>'330'!OSRRefJ11x_0</vt:lpstr>
      <vt:lpstr>'331'!OSRRefJ11x_0</vt:lpstr>
      <vt:lpstr>'332'!OSRRefJ11x_0</vt:lpstr>
      <vt:lpstr>'405'!OSRRefJ11x_0</vt:lpstr>
      <vt:lpstr>'406'!OSRRefJ11x_0</vt:lpstr>
      <vt:lpstr>'412'!OSRRefJ11x_0</vt:lpstr>
      <vt:lpstr>'413'!OSRRefJ11x_0</vt:lpstr>
      <vt:lpstr>'414'!OSRRefJ11x_0</vt:lpstr>
      <vt:lpstr>'415'!OSRRefJ11x_0</vt:lpstr>
      <vt:lpstr>'418'!OSRRefJ11x_0</vt:lpstr>
      <vt:lpstr>'420'!OSRRefJ11x_0</vt:lpstr>
      <vt:lpstr>'424'!OSRRefJ11x_0</vt:lpstr>
      <vt:lpstr>'425'!OSRRefJ11x_0</vt:lpstr>
      <vt:lpstr>'433'!OSRRefJ11x_0</vt:lpstr>
      <vt:lpstr>'435'!OSRRefJ11x_0</vt:lpstr>
      <vt:lpstr>'444'!OSRRefJ11x_0</vt:lpstr>
      <vt:lpstr>'445'!OSRRefJ11x_0</vt:lpstr>
      <vt:lpstr>'450'!OSRRefJ11x_0</vt:lpstr>
      <vt:lpstr>'491'!OSRRefJ11x_0</vt:lpstr>
      <vt:lpstr>'492'!OSRRefJ11x_0</vt:lpstr>
      <vt:lpstr>'501'!OSRRefJ11x_0</vt:lpstr>
      <vt:lpstr>'Div 2'!OSRRefJ11x_0</vt:lpstr>
      <vt:lpstr>'Div 3'!OSRRefJ11x_0</vt:lpstr>
      <vt:lpstr>'Div 4'!OSRRefJ11x_0</vt:lpstr>
      <vt:lpstr>'Div 5'!OSRRefJ11x_0</vt:lpstr>
      <vt:lpstr>'Div 6'!OSRRefJ11x_0</vt:lpstr>
      <vt:lpstr>Summary!OSRRefJ11x_0</vt:lpstr>
      <vt:lpstr>'300'!OSRRefJ14x_0</vt:lpstr>
      <vt:lpstr>'300 &amp; 317'!OSRRefJ14x_0</vt:lpstr>
      <vt:lpstr>'301'!OSRRefJ14x_0</vt:lpstr>
      <vt:lpstr>'307'!OSRRefJ14x_0</vt:lpstr>
      <vt:lpstr>'308'!OSRRefJ14x_0</vt:lpstr>
      <vt:lpstr>'309'!OSRRefJ14x_0</vt:lpstr>
      <vt:lpstr>'310'!OSRRefJ14x_0</vt:lpstr>
      <vt:lpstr>'310 &amp; 491'!OSRRefJ14x_0</vt:lpstr>
      <vt:lpstr>'311'!OSRRefJ14x_0</vt:lpstr>
      <vt:lpstr>'312'!OSRRefJ14x_0</vt:lpstr>
      <vt:lpstr>'313'!OSRRefJ14x_0</vt:lpstr>
      <vt:lpstr>'314'!OSRRefJ14x_0</vt:lpstr>
      <vt:lpstr>'315'!OSRRefJ14x_0</vt:lpstr>
      <vt:lpstr>'316'!OSRRefJ14x_0</vt:lpstr>
      <vt:lpstr>'317'!OSRRefJ14x_0</vt:lpstr>
      <vt:lpstr>'320'!OSRRefJ14x_0</vt:lpstr>
      <vt:lpstr>'321'!OSRRefJ14x_0</vt:lpstr>
      <vt:lpstr>'322'!OSRRefJ14x_0</vt:lpstr>
      <vt:lpstr>'324'!OSRRefJ14x_0</vt:lpstr>
      <vt:lpstr>'325'!OSRRefJ14x_0</vt:lpstr>
      <vt:lpstr>'326'!OSRRefJ14x_0</vt:lpstr>
      <vt:lpstr>'327'!OSRRefJ14x_0</vt:lpstr>
      <vt:lpstr>'330'!OSRRefJ14x_0</vt:lpstr>
      <vt:lpstr>'331'!OSRRefJ14x_0</vt:lpstr>
      <vt:lpstr>'332'!OSRRefJ14x_0</vt:lpstr>
      <vt:lpstr>'405'!OSRRefJ14x_0</vt:lpstr>
      <vt:lpstr>'406'!OSRRefJ14x_0</vt:lpstr>
      <vt:lpstr>'412'!OSRRefJ14x_0</vt:lpstr>
      <vt:lpstr>'413'!OSRRefJ14x_0</vt:lpstr>
      <vt:lpstr>'414'!OSRRefJ14x_0</vt:lpstr>
      <vt:lpstr>'415'!OSRRefJ14x_0</vt:lpstr>
      <vt:lpstr>'418'!OSRRefJ14x_0</vt:lpstr>
      <vt:lpstr>'420'!OSRRefJ14x_0</vt:lpstr>
      <vt:lpstr>'423'!OSRRefJ14x_0</vt:lpstr>
      <vt:lpstr>'424'!OSRRefJ14x_0</vt:lpstr>
      <vt:lpstr>'425'!OSRRefJ14x_0</vt:lpstr>
      <vt:lpstr>'433'!OSRRefJ14x_0</vt:lpstr>
      <vt:lpstr>'435'!OSRRefJ14x_0</vt:lpstr>
      <vt:lpstr>'444'!OSRRefJ14x_0</vt:lpstr>
      <vt:lpstr>'445'!OSRRefJ14x_0</vt:lpstr>
      <vt:lpstr>'450'!OSRRefJ14x_0</vt:lpstr>
      <vt:lpstr>'491'!OSRRefJ14x_0</vt:lpstr>
      <vt:lpstr>'492'!OSRRefJ14x_0</vt:lpstr>
      <vt:lpstr>'Div 3'!OSRRefJ14x_0</vt:lpstr>
      <vt:lpstr>'Div 4'!OSRRefJ14x_0</vt:lpstr>
      <vt:lpstr>'Div 6'!OSRRefJ14x_0</vt:lpstr>
      <vt:lpstr>Summary!OSRRefJ14x_0</vt:lpstr>
      <vt:lpstr>'200'!OSRRefJ21_0x_0</vt:lpstr>
      <vt:lpstr>'201'!OSRRefJ21_0x_0</vt:lpstr>
      <vt:lpstr>'202'!OSRRefJ21_0x_0</vt:lpstr>
      <vt:lpstr>'203'!OSRRefJ21_0x_0</vt:lpstr>
      <vt:lpstr>'204'!OSRRefJ21_0x_0</vt:lpstr>
      <vt:lpstr>'205'!OSRRefJ21_0x_0</vt:lpstr>
      <vt:lpstr>'206'!OSRRefJ21_0x_0</vt:lpstr>
      <vt:lpstr>'300'!OSRRefJ21_0x_0</vt:lpstr>
      <vt:lpstr>'300 &amp; 317'!OSRRefJ21_0x_0</vt:lpstr>
      <vt:lpstr>'301'!OSRRefJ21_0x_0</vt:lpstr>
      <vt:lpstr>'306'!OSRRefJ21_0x_0</vt:lpstr>
      <vt:lpstr>'307'!OSRRefJ21_0x_0</vt:lpstr>
      <vt:lpstr>'308'!OSRRefJ21_0x_0</vt:lpstr>
      <vt:lpstr>'309'!OSRRefJ21_0x_0</vt:lpstr>
      <vt:lpstr>'310'!OSRRefJ21_0x_0</vt:lpstr>
      <vt:lpstr>'310 &amp; 491'!OSRRefJ21_0x_0</vt:lpstr>
      <vt:lpstr>'311'!OSRRefJ21_0x_0</vt:lpstr>
      <vt:lpstr>'312'!OSRRefJ21_0x_0</vt:lpstr>
      <vt:lpstr>'313'!OSRRefJ21_0x_0</vt:lpstr>
      <vt:lpstr>'314'!OSRRefJ21_0x_0</vt:lpstr>
      <vt:lpstr>'315'!OSRRefJ21_0x_0</vt:lpstr>
      <vt:lpstr>'316'!OSRRefJ21_0x_0</vt:lpstr>
      <vt:lpstr>'317'!OSRRefJ21_0x_0</vt:lpstr>
      <vt:lpstr>'318'!OSRRefJ21_0x_0</vt:lpstr>
      <vt:lpstr>'320'!OSRRefJ21_0x_0</vt:lpstr>
      <vt:lpstr>'321'!OSRRefJ21_0x_0</vt:lpstr>
      <vt:lpstr>'322'!OSRRefJ21_0x_0</vt:lpstr>
      <vt:lpstr>'323'!OSRRefJ21_0x_0</vt:lpstr>
      <vt:lpstr>'324'!OSRRefJ21_0x_0</vt:lpstr>
      <vt:lpstr>'325'!OSRRefJ21_0x_0</vt:lpstr>
      <vt:lpstr>'326'!OSRRefJ21_0x_0</vt:lpstr>
      <vt:lpstr>'327'!OSRRefJ21_0x_0</vt:lpstr>
      <vt:lpstr>'330'!OSRRefJ21_0x_0</vt:lpstr>
      <vt:lpstr>'331'!OSRRefJ21_0x_0</vt:lpstr>
      <vt:lpstr>'332'!OSRRefJ21_0x_0</vt:lpstr>
      <vt:lpstr>'335'!OSRRefJ21_0x_0</vt:lpstr>
      <vt:lpstr>'405'!OSRRefJ21_0x_0</vt:lpstr>
      <vt:lpstr>'406'!OSRRefJ21_0x_0</vt:lpstr>
      <vt:lpstr>'411'!OSRRefJ21_0x_0</vt:lpstr>
      <vt:lpstr>'412'!OSRRefJ21_0x_0</vt:lpstr>
      <vt:lpstr>'413'!OSRRefJ21_0x_0</vt:lpstr>
      <vt:lpstr>'414'!OSRRefJ21_0x_0</vt:lpstr>
      <vt:lpstr>'415'!OSRRefJ21_0x_0</vt:lpstr>
      <vt:lpstr>'418'!OSRRefJ21_0x_0</vt:lpstr>
      <vt:lpstr>'420'!OSRRefJ21_0x_0</vt:lpstr>
      <vt:lpstr>'423'!OSRRefJ21_0x_0</vt:lpstr>
      <vt:lpstr>'424'!OSRRefJ21_0x_0</vt:lpstr>
      <vt:lpstr>'425'!OSRRefJ21_0x_0</vt:lpstr>
      <vt:lpstr>'430'!OSRRefJ21_0x_0</vt:lpstr>
      <vt:lpstr>'433'!OSRRefJ21_0x_0</vt:lpstr>
      <vt:lpstr>'435'!OSRRefJ21_0x_0</vt:lpstr>
      <vt:lpstr>'444'!OSRRefJ21_0x_0</vt:lpstr>
      <vt:lpstr>'445'!OSRRefJ21_0x_0</vt:lpstr>
      <vt:lpstr>'450'!OSRRefJ21_0x_0</vt:lpstr>
      <vt:lpstr>'455'!OSRRefJ21_0x_0</vt:lpstr>
      <vt:lpstr>'491'!OSRRefJ21_0x_0</vt:lpstr>
      <vt:lpstr>'492'!OSRRefJ21_0x_0</vt:lpstr>
      <vt:lpstr>'501'!OSRRefJ21_0x_0</vt:lpstr>
      <vt:lpstr>'Div 2'!OSRRefJ21_0x_0</vt:lpstr>
      <vt:lpstr>'Div 3'!OSRRefJ21_0x_0</vt:lpstr>
      <vt:lpstr>'Div 4'!OSRRefJ21_0x_0</vt:lpstr>
      <vt:lpstr>'Div 5'!OSRRefJ21_0x_0</vt:lpstr>
      <vt:lpstr>'Div 6'!OSRRefJ21_0x_0</vt:lpstr>
      <vt:lpstr>Summary!OSRRefJ21_0x_0</vt:lpstr>
      <vt:lpstr>'201'!OSRRefJ21_10x_0</vt:lpstr>
      <vt:lpstr>'202'!OSRRefJ21_10x_0</vt:lpstr>
      <vt:lpstr>'203'!OSRRefJ21_10x_0</vt:lpstr>
      <vt:lpstr>'204'!OSRRefJ21_10x_0</vt:lpstr>
      <vt:lpstr>'206'!OSRRefJ21_10x_0</vt:lpstr>
      <vt:lpstr>'300'!OSRRefJ21_10x_0</vt:lpstr>
      <vt:lpstr>'300 &amp; 317'!OSRRefJ21_10x_0</vt:lpstr>
      <vt:lpstr>'301'!OSRRefJ21_10x_0</vt:lpstr>
      <vt:lpstr>'306'!OSRRefJ21_10x_0</vt:lpstr>
      <vt:lpstr>'307'!OSRRefJ21_10x_0</vt:lpstr>
      <vt:lpstr>'308'!OSRRefJ21_10x_0</vt:lpstr>
      <vt:lpstr>'309'!OSRRefJ21_10x_0</vt:lpstr>
      <vt:lpstr>'310'!OSRRefJ21_10x_0</vt:lpstr>
      <vt:lpstr>'310 &amp; 491'!OSRRefJ21_10x_0</vt:lpstr>
      <vt:lpstr>'311'!OSRRefJ21_10x_0</vt:lpstr>
      <vt:lpstr>'313'!OSRRefJ21_10x_0</vt:lpstr>
      <vt:lpstr>'314'!OSRRefJ21_10x_0</vt:lpstr>
      <vt:lpstr>'315'!OSRRefJ21_10x_0</vt:lpstr>
      <vt:lpstr>'316'!OSRRefJ21_10x_0</vt:lpstr>
      <vt:lpstr>'317'!OSRRefJ21_10x_0</vt:lpstr>
      <vt:lpstr>'320'!OSRRefJ21_10x_0</vt:lpstr>
      <vt:lpstr>'321'!OSRRefJ21_10x_0</vt:lpstr>
      <vt:lpstr>'322'!OSRRefJ21_10x_0</vt:lpstr>
      <vt:lpstr>'325'!OSRRefJ21_10x_0</vt:lpstr>
      <vt:lpstr>'326'!OSRRefJ21_10x_0</vt:lpstr>
      <vt:lpstr>'330'!OSRRefJ21_10x_0</vt:lpstr>
      <vt:lpstr>'331'!OSRRefJ21_10x_0</vt:lpstr>
      <vt:lpstr>'332'!OSRRefJ21_10x_0</vt:lpstr>
      <vt:lpstr>'405'!OSRRefJ21_10x_0</vt:lpstr>
      <vt:lpstr>'406'!OSRRefJ21_10x_0</vt:lpstr>
      <vt:lpstr>'411'!OSRRefJ21_10x_0</vt:lpstr>
      <vt:lpstr>'412'!OSRRefJ21_10x_0</vt:lpstr>
      <vt:lpstr>'413'!OSRRefJ21_10x_0</vt:lpstr>
      <vt:lpstr>'414'!OSRRefJ21_10x_0</vt:lpstr>
      <vt:lpstr>'415'!OSRRefJ21_10x_0</vt:lpstr>
      <vt:lpstr>'418'!OSRRefJ21_10x_0</vt:lpstr>
      <vt:lpstr>'423'!OSRRefJ21_10x_0</vt:lpstr>
      <vt:lpstr>'424'!OSRRefJ21_10x_0</vt:lpstr>
      <vt:lpstr>'425'!OSRRefJ21_10x_0</vt:lpstr>
      <vt:lpstr>'430'!OSRRefJ21_10x_0</vt:lpstr>
      <vt:lpstr>'433'!OSRRefJ21_10x_0</vt:lpstr>
      <vt:lpstr>'435'!OSRRefJ21_10x_0</vt:lpstr>
      <vt:lpstr>'444'!OSRRefJ21_10x_0</vt:lpstr>
      <vt:lpstr>'445'!OSRRefJ21_10x_0</vt:lpstr>
      <vt:lpstr>'450'!OSRRefJ21_10x_0</vt:lpstr>
      <vt:lpstr>'491'!OSRRefJ21_10x_0</vt:lpstr>
      <vt:lpstr>'492'!OSRRefJ21_10x_0</vt:lpstr>
      <vt:lpstr>'501'!OSRRefJ21_10x_0</vt:lpstr>
      <vt:lpstr>'Div 2'!OSRRefJ21_10x_0</vt:lpstr>
      <vt:lpstr>'Div 3'!OSRRefJ21_10x_0</vt:lpstr>
      <vt:lpstr>'Div 4'!OSRRefJ21_10x_0</vt:lpstr>
      <vt:lpstr>'Div 5'!OSRRefJ21_10x_0</vt:lpstr>
      <vt:lpstr>'Div 6'!OSRRefJ21_10x_0</vt:lpstr>
      <vt:lpstr>Summary!OSRRefJ21_10x_0</vt:lpstr>
      <vt:lpstr>'201'!OSRRefJ21_11x_0</vt:lpstr>
      <vt:lpstr>'202'!OSRRefJ21_11x_0</vt:lpstr>
      <vt:lpstr>'203'!OSRRefJ21_11x_0</vt:lpstr>
      <vt:lpstr>'204'!OSRRefJ21_11x_0</vt:lpstr>
      <vt:lpstr>'206'!OSRRefJ21_11x_0</vt:lpstr>
      <vt:lpstr>'300'!OSRRefJ21_11x_0</vt:lpstr>
      <vt:lpstr>'300 &amp; 317'!OSRRefJ21_11x_0</vt:lpstr>
      <vt:lpstr>'301'!OSRRefJ21_11x_0</vt:lpstr>
      <vt:lpstr>'306'!OSRRefJ21_11x_0</vt:lpstr>
      <vt:lpstr>'307'!OSRRefJ21_11x_0</vt:lpstr>
      <vt:lpstr>'308'!OSRRefJ21_11x_0</vt:lpstr>
      <vt:lpstr>'309'!OSRRefJ21_11x_0</vt:lpstr>
      <vt:lpstr>'310'!OSRRefJ21_11x_0</vt:lpstr>
      <vt:lpstr>'310 &amp; 491'!OSRRefJ21_11x_0</vt:lpstr>
      <vt:lpstr>'311'!OSRRefJ21_11x_0</vt:lpstr>
      <vt:lpstr>'313'!OSRRefJ21_11x_0</vt:lpstr>
      <vt:lpstr>'314'!OSRRefJ21_11x_0</vt:lpstr>
      <vt:lpstr>'315'!OSRRefJ21_11x_0</vt:lpstr>
      <vt:lpstr>'316'!OSRRefJ21_11x_0</vt:lpstr>
      <vt:lpstr>'317'!OSRRefJ21_11x_0</vt:lpstr>
      <vt:lpstr>'320'!OSRRefJ21_11x_0</vt:lpstr>
      <vt:lpstr>'321'!OSRRefJ21_11x_0</vt:lpstr>
      <vt:lpstr>'322'!OSRRefJ21_11x_0</vt:lpstr>
      <vt:lpstr>'325'!OSRRefJ21_11x_0</vt:lpstr>
      <vt:lpstr>'326'!OSRRefJ21_11x_0</vt:lpstr>
      <vt:lpstr>'330'!OSRRefJ21_11x_0</vt:lpstr>
      <vt:lpstr>'331'!OSRRefJ21_11x_0</vt:lpstr>
      <vt:lpstr>'332'!OSRRefJ21_11x_0</vt:lpstr>
      <vt:lpstr>'405'!OSRRefJ21_11x_0</vt:lpstr>
      <vt:lpstr>'406'!OSRRefJ21_11x_0</vt:lpstr>
      <vt:lpstr>'411'!OSRRefJ21_11x_0</vt:lpstr>
      <vt:lpstr>'412'!OSRRefJ21_11x_0</vt:lpstr>
      <vt:lpstr>'413'!OSRRefJ21_11x_0</vt:lpstr>
      <vt:lpstr>'414'!OSRRefJ21_11x_0</vt:lpstr>
      <vt:lpstr>'415'!OSRRefJ21_11x_0</vt:lpstr>
      <vt:lpstr>'418'!OSRRefJ21_11x_0</vt:lpstr>
      <vt:lpstr>'423'!OSRRefJ21_11x_0</vt:lpstr>
      <vt:lpstr>'424'!OSRRefJ21_11x_0</vt:lpstr>
      <vt:lpstr>'425'!OSRRefJ21_11x_0</vt:lpstr>
      <vt:lpstr>'430'!OSRRefJ21_11x_0</vt:lpstr>
      <vt:lpstr>'433'!OSRRefJ21_11x_0</vt:lpstr>
      <vt:lpstr>'435'!OSRRefJ21_11x_0</vt:lpstr>
      <vt:lpstr>'444'!OSRRefJ21_11x_0</vt:lpstr>
      <vt:lpstr>'445'!OSRRefJ21_11x_0</vt:lpstr>
      <vt:lpstr>'450'!OSRRefJ21_11x_0</vt:lpstr>
      <vt:lpstr>'491'!OSRRefJ21_11x_0</vt:lpstr>
      <vt:lpstr>'492'!OSRRefJ21_11x_0</vt:lpstr>
      <vt:lpstr>'501'!OSRRefJ21_11x_0</vt:lpstr>
      <vt:lpstr>'Div 2'!OSRRefJ21_11x_0</vt:lpstr>
      <vt:lpstr>'Div 3'!OSRRefJ21_11x_0</vt:lpstr>
      <vt:lpstr>'Div 4'!OSRRefJ21_11x_0</vt:lpstr>
      <vt:lpstr>'Div 5'!OSRRefJ21_11x_0</vt:lpstr>
      <vt:lpstr>'Div 6'!OSRRefJ21_11x_0</vt:lpstr>
      <vt:lpstr>Summary!OSRRefJ21_11x_0</vt:lpstr>
      <vt:lpstr>'201'!OSRRefJ21_12x_0</vt:lpstr>
      <vt:lpstr>'202'!OSRRefJ21_12x_0</vt:lpstr>
      <vt:lpstr>'203'!OSRRefJ21_12x_0</vt:lpstr>
      <vt:lpstr>'204'!OSRRefJ21_12x_0</vt:lpstr>
      <vt:lpstr>'206'!OSRRefJ21_12x_0</vt:lpstr>
      <vt:lpstr>'300'!OSRRefJ21_12x_0</vt:lpstr>
      <vt:lpstr>'300 &amp; 317'!OSRRefJ21_12x_0</vt:lpstr>
      <vt:lpstr>'301'!OSRRefJ21_12x_0</vt:lpstr>
      <vt:lpstr>'306'!OSRRefJ21_12x_0</vt:lpstr>
      <vt:lpstr>'307'!OSRRefJ21_12x_0</vt:lpstr>
      <vt:lpstr>'308'!OSRRefJ21_12x_0</vt:lpstr>
      <vt:lpstr>'309'!OSRRefJ21_12x_0</vt:lpstr>
      <vt:lpstr>'310'!OSRRefJ21_12x_0</vt:lpstr>
      <vt:lpstr>'310 &amp; 491'!OSRRefJ21_12x_0</vt:lpstr>
      <vt:lpstr>'311'!OSRRefJ21_12x_0</vt:lpstr>
      <vt:lpstr>'313'!OSRRefJ21_12x_0</vt:lpstr>
      <vt:lpstr>'314'!OSRRefJ21_12x_0</vt:lpstr>
      <vt:lpstr>'315'!OSRRefJ21_12x_0</vt:lpstr>
      <vt:lpstr>'316'!OSRRefJ21_12x_0</vt:lpstr>
      <vt:lpstr>'317'!OSRRefJ21_12x_0</vt:lpstr>
      <vt:lpstr>'320'!OSRRefJ21_12x_0</vt:lpstr>
      <vt:lpstr>'321'!OSRRefJ21_12x_0</vt:lpstr>
      <vt:lpstr>'322'!OSRRefJ21_12x_0</vt:lpstr>
      <vt:lpstr>'325'!OSRRefJ21_12x_0</vt:lpstr>
      <vt:lpstr>'326'!OSRRefJ21_12x_0</vt:lpstr>
      <vt:lpstr>'330'!OSRRefJ21_12x_0</vt:lpstr>
      <vt:lpstr>'331'!OSRRefJ21_12x_0</vt:lpstr>
      <vt:lpstr>'332'!OSRRefJ21_12x_0</vt:lpstr>
      <vt:lpstr>'405'!OSRRefJ21_12x_0</vt:lpstr>
      <vt:lpstr>'406'!OSRRefJ21_12x_0</vt:lpstr>
      <vt:lpstr>'411'!OSRRefJ21_12x_0</vt:lpstr>
      <vt:lpstr>'412'!OSRRefJ21_12x_0</vt:lpstr>
      <vt:lpstr>'413'!OSRRefJ21_12x_0</vt:lpstr>
      <vt:lpstr>'414'!OSRRefJ21_12x_0</vt:lpstr>
      <vt:lpstr>'415'!OSRRefJ21_12x_0</vt:lpstr>
      <vt:lpstr>'418'!OSRRefJ21_12x_0</vt:lpstr>
      <vt:lpstr>'423'!OSRRefJ21_12x_0</vt:lpstr>
      <vt:lpstr>'424'!OSRRefJ21_12x_0</vt:lpstr>
      <vt:lpstr>'425'!OSRRefJ21_12x_0</vt:lpstr>
      <vt:lpstr>'433'!OSRRefJ21_12x_0</vt:lpstr>
      <vt:lpstr>'435'!OSRRefJ21_12x_0</vt:lpstr>
      <vt:lpstr>'444'!OSRRefJ21_12x_0</vt:lpstr>
      <vt:lpstr>'445'!OSRRefJ21_12x_0</vt:lpstr>
      <vt:lpstr>'450'!OSRRefJ21_12x_0</vt:lpstr>
      <vt:lpstr>'491'!OSRRefJ21_12x_0</vt:lpstr>
      <vt:lpstr>'492'!OSRRefJ21_12x_0</vt:lpstr>
      <vt:lpstr>'501'!OSRRefJ21_12x_0</vt:lpstr>
      <vt:lpstr>'Div 2'!OSRRefJ21_12x_0</vt:lpstr>
      <vt:lpstr>'Div 3'!OSRRefJ21_12x_0</vt:lpstr>
      <vt:lpstr>'Div 4'!OSRRefJ21_12x_0</vt:lpstr>
      <vt:lpstr>'Div 5'!OSRRefJ21_12x_0</vt:lpstr>
      <vt:lpstr>'Div 6'!OSRRefJ21_12x_0</vt:lpstr>
      <vt:lpstr>Summary!OSRRefJ21_12x_0</vt:lpstr>
      <vt:lpstr>'201'!OSRRefJ21_13x_0</vt:lpstr>
      <vt:lpstr>'202'!OSRRefJ21_13x_0</vt:lpstr>
      <vt:lpstr>'203'!OSRRefJ21_13x_0</vt:lpstr>
      <vt:lpstr>'204'!OSRRefJ21_13x_0</vt:lpstr>
      <vt:lpstr>'300'!OSRRefJ21_13x_0</vt:lpstr>
      <vt:lpstr>'300 &amp; 317'!OSRRefJ21_13x_0</vt:lpstr>
      <vt:lpstr>'301'!OSRRefJ21_13x_0</vt:lpstr>
      <vt:lpstr>'307'!OSRRefJ21_13x_0</vt:lpstr>
      <vt:lpstr>'308'!OSRRefJ21_13x_0</vt:lpstr>
      <vt:lpstr>'309'!OSRRefJ21_13x_0</vt:lpstr>
      <vt:lpstr>'310'!OSRRefJ21_13x_0</vt:lpstr>
      <vt:lpstr>'310 &amp; 491'!OSRRefJ21_13x_0</vt:lpstr>
      <vt:lpstr>'311'!OSRRefJ21_13x_0</vt:lpstr>
      <vt:lpstr>'313'!OSRRefJ21_13x_0</vt:lpstr>
      <vt:lpstr>'314'!OSRRefJ21_13x_0</vt:lpstr>
      <vt:lpstr>'315'!OSRRefJ21_13x_0</vt:lpstr>
      <vt:lpstr>'316'!OSRRefJ21_13x_0</vt:lpstr>
      <vt:lpstr>'317'!OSRRefJ21_13x_0</vt:lpstr>
      <vt:lpstr>'321'!OSRRefJ21_13x_0</vt:lpstr>
      <vt:lpstr>'322'!OSRRefJ21_13x_0</vt:lpstr>
      <vt:lpstr>'325'!OSRRefJ21_13x_0</vt:lpstr>
      <vt:lpstr>'326'!OSRRefJ21_13x_0</vt:lpstr>
      <vt:lpstr>'330'!OSRRefJ21_13x_0</vt:lpstr>
      <vt:lpstr>'331'!OSRRefJ21_13x_0</vt:lpstr>
      <vt:lpstr>'332'!OSRRefJ21_13x_0</vt:lpstr>
      <vt:lpstr>'405'!OSRRefJ21_13x_0</vt:lpstr>
      <vt:lpstr>'406'!OSRRefJ21_13x_0</vt:lpstr>
      <vt:lpstr>'411'!OSRRefJ21_13x_0</vt:lpstr>
      <vt:lpstr>'412'!OSRRefJ21_13x_0</vt:lpstr>
      <vt:lpstr>'413'!OSRRefJ21_13x_0</vt:lpstr>
      <vt:lpstr>'414'!OSRRefJ21_13x_0</vt:lpstr>
      <vt:lpstr>'415'!OSRRefJ21_13x_0</vt:lpstr>
      <vt:lpstr>'418'!OSRRefJ21_13x_0</vt:lpstr>
      <vt:lpstr>'424'!OSRRefJ21_13x_0</vt:lpstr>
      <vt:lpstr>'425'!OSRRefJ21_13x_0</vt:lpstr>
      <vt:lpstr>'433'!OSRRefJ21_13x_0</vt:lpstr>
      <vt:lpstr>'435'!OSRRefJ21_13x_0</vt:lpstr>
      <vt:lpstr>'444'!OSRRefJ21_13x_0</vt:lpstr>
      <vt:lpstr>'445'!OSRRefJ21_13x_0</vt:lpstr>
      <vt:lpstr>'450'!OSRRefJ21_13x_0</vt:lpstr>
      <vt:lpstr>'491'!OSRRefJ21_13x_0</vt:lpstr>
      <vt:lpstr>'492'!OSRRefJ21_13x_0</vt:lpstr>
      <vt:lpstr>'501'!OSRRefJ21_13x_0</vt:lpstr>
      <vt:lpstr>'Div 2'!OSRRefJ21_13x_0</vt:lpstr>
      <vt:lpstr>'Div 3'!OSRRefJ21_13x_0</vt:lpstr>
      <vt:lpstr>'Div 4'!OSRRefJ21_13x_0</vt:lpstr>
      <vt:lpstr>'Div 5'!OSRRefJ21_13x_0</vt:lpstr>
      <vt:lpstr>'Div 6'!OSRRefJ21_13x_0</vt:lpstr>
      <vt:lpstr>Summary!OSRRefJ21_13x_0</vt:lpstr>
      <vt:lpstr>'201'!OSRRefJ21_14x_0</vt:lpstr>
      <vt:lpstr>'202'!OSRRefJ21_14x_0</vt:lpstr>
      <vt:lpstr>'203'!OSRRefJ21_14x_0</vt:lpstr>
      <vt:lpstr>'300'!OSRRefJ21_14x_0</vt:lpstr>
      <vt:lpstr>'300 &amp; 317'!OSRRefJ21_14x_0</vt:lpstr>
      <vt:lpstr>'301'!OSRRefJ21_14x_0</vt:lpstr>
      <vt:lpstr>'307'!OSRRefJ21_14x_0</vt:lpstr>
      <vt:lpstr>'308'!OSRRefJ21_14x_0</vt:lpstr>
      <vt:lpstr>'309'!OSRRefJ21_14x_0</vt:lpstr>
      <vt:lpstr>'310'!OSRRefJ21_14x_0</vt:lpstr>
      <vt:lpstr>'310 &amp; 491'!OSRRefJ21_14x_0</vt:lpstr>
      <vt:lpstr>'311'!OSRRefJ21_14x_0</vt:lpstr>
      <vt:lpstr>'313'!OSRRefJ21_14x_0</vt:lpstr>
      <vt:lpstr>'315'!OSRRefJ21_14x_0</vt:lpstr>
      <vt:lpstr>'316'!OSRRefJ21_14x_0</vt:lpstr>
      <vt:lpstr>'317'!OSRRefJ21_14x_0</vt:lpstr>
      <vt:lpstr>'321'!OSRRefJ21_14x_0</vt:lpstr>
      <vt:lpstr>'322'!OSRRefJ21_14x_0</vt:lpstr>
      <vt:lpstr>'325'!OSRRefJ21_14x_0</vt:lpstr>
      <vt:lpstr>'326'!OSRRefJ21_14x_0</vt:lpstr>
      <vt:lpstr>'330'!OSRRefJ21_14x_0</vt:lpstr>
      <vt:lpstr>'331'!OSRRefJ21_14x_0</vt:lpstr>
      <vt:lpstr>'332'!OSRRefJ21_14x_0</vt:lpstr>
      <vt:lpstr>'405'!OSRRefJ21_14x_0</vt:lpstr>
      <vt:lpstr>'406'!OSRRefJ21_14x_0</vt:lpstr>
      <vt:lpstr>'411'!OSRRefJ21_14x_0</vt:lpstr>
      <vt:lpstr>'412'!OSRRefJ21_14x_0</vt:lpstr>
      <vt:lpstr>'414'!OSRRefJ21_14x_0</vt:lpstr>
      <vt:lpstr>'415'!OSRRefJ21_14x_0</vt:lpstr>
      <vt:lpstr>'418'!OSRRefJ21_14x_0</vt:lpstr>
      <vt:lpstr>'425'!OSRRefJ21_14x_0</vt:lpstr>
      <vt:lpstr>'433'!OSRRefJ21_14x_0</vt:lpstr>
      <vt:lpstr>'444'!OSRRefJ21_14x_0</vt:lpstr>
      <vt:lpstr>'450'!OSRRefJ21_14x_0</vt:lpstr>
      <vt:lpstr>'491'!OSRRefJ21_14x_0</vt:lpstr>
      <vt:lpstr>'492'!OSRRefJ21_14x_0</vt:lpstr>
      <vt:lpstr>'501'!OSRRefJ21_14x_0</vt:lpstr>
      <vt:lpstr>'Div 2'!OSRRefJ21_14x_0</vt:lpstr>
      <vt:lpstr>'Div 3'!OSRRefJ21_14x_0</vt:lpstr>
      <vt:lpstr>'Div 4'!OSRRefJ21_14x_0</vt:lpstr>
      <vt:lpstr>'Div 5'!OSRRefJ21_14x_0</vt:lpstr>
      <vt:lpstr>'Div 6'!OSRRefJ21_14x_0</vt:lpstr>
      <vt:lpstr>Summary!OSRRefJ21_14x_0</vt:lpstr>
      <vt:lpstr>'201'!OSRRefJ21_15x_0</vt:lpstr>
      <vt:lpstr>'202'!OSRRefJ21_15x_0</vt:lpstr>
      <vt:lpstr>'203'!OSRRefJ21_15x_0</vt:lpstr>
      <vt:lpstr>'300'!OSRRefJ21_15x_0</vt:lpstr>
      <vt:lpstr>'300 &amp; 317'!OSRRefJ21_15x_0</vt:lpstr>
      <vt:lpstr>'301'!OSRRefJ21_15x_0</vt:lpstr>
      <vt:lpstr>'307'!OSRRefJ21_15x_0</vt:lpstr>
      <vt:lpstr>'308'!OSRRefJ21_15x_0</vt:lpstr>
      <vt:lpstr>'309'!OSRRefJ21_15x_0</vt:lpstr>
      <vt:lpstr>'310'!OSRRefJ21_15x_0</vt:lpstr>
      <vt:lpstr>'310 &amp; 491'!OSRRefJ21_15x_0</vt:lpstr>
      <vt:lpstr>'311'!OSRRefJ21_15x_0</vt:lpstr>
      <vt:lpstr>'313'!OSRRefJ21_15x_0</vt:lpstr>
      <vt:lpstr>'315'!OSRRefJ21_15x_0</vt:lpstr>
      <vt:lpstr>'316'!OSRRefJ21_15x_0</vt:lpstr>
      <vt:lpstr>'317'!OSRRefJ21_15x_0</vt:lpstr>
      <vt:lpstr>'321'!OSRRefJ21_15x_0</vt:lpstr>
      <vt:lpstr>'322'!OSRRefJ21_15x_0</vt:lpstr>
      <vt:lpstr>'325'!OSRRefJ21_15x_0</vt:lpstr>
      <vt:lpstr>'326'!OSRRefJ21_15x_0</vt:lpstr>
      <vt:lpstr>'330'!OSRRefJ21_15x_0</vt:lpstr>
      <vt:lpstr>'331'!OSRRefJ21_15x_0</vt:lpstr>
      <vt:lpstr>'332'!OSRRefJ21_15x_0</vt:lpstr>
      <vt:lpstr>'405'!OSRRefJ21_15x_0</vt:lpstr>
      <vt:lpstr>'406'!OSRRefJ21_15x_0</vt:lpstr>
      <vt:lpstr>'411'!OSRRefJ21_15x_0</vt:lpstr>
      <vt:lpstr>'412'!OSRRefJ21_15x_0</vt:lpstr>
      <vt:lpstr>'414'!OSRRefJ21_15x_0</vt:lpstr>
      <vt:lpstr>'415'!OSRRefJ21_15x_0</vt:lpstr>
      <vt:lpstr>'418'!OSRRefJ21_15x_0</vt:lpstr>
      <vt:lpstr>'425'!OSRRefJ21_15x_0</vt:lpstr>
      <vt:lpstr>'433'!OSRRefJ21_15x_0</vt:lpstr>
      <vt:lpstr>'444'!OSRRefJ21_15x_0</vt:lpstr>
      <vt:lpstr>'450'!OSRRefJ21_15x_0</vt:lpstr>
      <vt:lpstr>'491'!OSRRefJ21_15x_0</vt:lpstr>
      <vt:lpstr>'492'!OSRRefJ21_15x_0</vt:lpstr>
      <vt:lpstr>'501'!OSRRefJ21_15x_0</vt:lpstr>
      <vt:lpstr>'Div 2'!OSRRefJ21_15x_0</vt:lpstr>
      <vt:lpstr>'Div 3'!OSRRefJ21_15x_0</vt:lpstr>
      <vt:lpstr>'Div 4'!OSRRefJ21_15x_0</vt:lpstr>
      <vt:lpstr>'Div 5'!OSRRefJ21_15x_0</vt:lpstr>
      <vt:lpstr>'Div 6'!OSRRefJ21_15x_0</vt:lpstr>
      <vt:lpstr>Summary!OSRRefJ21_15x_0</vt:lpstr>
      <vt:lpstr>'201'!OSRRefJ21_16x_0</vt:lpstr>
      <vt:lpstr>'202'!OSRRefJ21_16x_0</vt:lpstr>
      <vt:lpstr>'300'!OSRRefJ21_16x_0</vt:lpstr>
      <vt:lpstr>'300 &amp; 317'!OSRRefJ21_16x_0</vt:lpstr>
      <vt:lpstr>'301'!OSRRefJ21_16x_0</vt:lpstr>
      <vt:lpstr>'307'!OSRRefJ21_16x_0</vt:lpstr>
      <vt:lpstr>'308'!OSRRefJ21_16x_0</vt:lpstr>
      <vt:lpstr>'309'!OSRRefJ21_16x_0</vt:lpstr>
      <vt:lpstr>'310'!OSRRefJ21_16x_0</vt:lpstr>
      <vt:lpstr>'310 &amp; 491'!OSRRefJ21_16x_0</vt:lpstr>
      <vt:lpstr>'311'!OSRRefJ21_16x_0</vt:lpstr>
      <vt:lpstr>'313'!OSRRefJ21_16x_0</vt:lpstr>
      <vt:lpstr>'315'!OSRRefJ21_16x_0</vt:lpstr>
      <vt:lpstr>'321'!OSRRefJ21_16x_0</vt:lpstr>
      <vt:lpstr>'322'!OSRRefJ21_16x_0</vt:lpstr>
      <vt:lpstr>'325'!OSRRefJ21_16x_0</vt:lpstr>
      <vt:lpstr>'326'!OSRRefJ21_16x_0</vt:lpstr>
      <vt:lpstr>'330'!OSRRefJ21_16x_0</vt:lpstr>
      <vt:lpstr>'331'!OSRRefJ21_16x_0</vt:lpstr>
      <vt:lpstr>'332'!OSRRefJ21_16x_0</vt:lpstr>
      <vt:lpstr>'405'!OSRRefJ21_16x_0</vt:lpstr>
      <vt:lpstr>'406'!OSRRefJ21_16x_0</vt:lpstr>
      <vt:lpstr>'411'!OSRRefJ21_16x_0</vt:lpstr>
      <vt:lpstr>'412'!OSRRefJ21_16x_0</vt:lpstr>
      <vt:lpstr>'414'!OSRRefJ21_16x_0</vt:lpstr>
      <vt:lpstr>'415'!OSRRefJ21_16x_0</vt:lpstr>
      <vt:lpstr>'418'!OSRRefJ21_16x_0</vt:lpstr>
      <vt:lpstr>'425'!OSRRefJ21_16x_0</vt:lpstr>
      <vt:lpstr>'433'!OSRRefJ21_16x_0</vt:lpstr>
      <vt:lpstr>'444'!OSRRefJ21_16x_0</vt:lpstr>
      <vt:lpstr>'450'!OSRRefJ21_16x_0</vt:lpstr>
      <vt:lpstr>'491'!OSRRefJ21_16x_0</vt:lpstr>
      <vt:lpstr>'492'!OSRRefJ21_16x_0</vt:lpstr>
      <vt:lpstr>'501'!OSRRefJ21_16x_0</vt:lpstr>
      <vt:lpstr>'Div 2'!OSRRefJ21_16x_0</vt:lpstr>
      <vt:lpstr>'Div 3'!OSRRefJ21_16x_0</vt:lpstr>
      <vt:lpstr>'Div 4'!OSRRefJ21_16x_0</vt:lpstr>
      <vt:lpstr>'Div 5'!OSRRefJ21_16x_0</vt:lpstr>
      <vt:lpstr>Summary!OSRRefJ21_16x_0</vt:lpstr>
      <vt:lpstr>'201'!OSRRefJ21_17x_0</vt:lpstr>
      <vt:lpstr>'300'!OSRRefJ21_17x_0</vt:lpstr>
      <vt:lpstr>'300 &amp; 317'!OSRRefJ21_17x_0</vt:lpstr>
      <vt:lpstr>'301'!OSRRefJ21_17x_0</vt:lpstr>
      <vt:lpstr>'307'!OSRRefJ21_17x_0</vt:lpstr>
      <vt:lpstr>'308'!OSRRefJ21_17x_0</vt:lpstr>
      <vt:lpstr>'310'!OSRRefJ21_17x_0</vt:lpstr>
      <vt:lpstr>'310 &amp; 491'!OSRRefJ21_17x_0</vt:lpstr>
      <vt:lpstr>'311'!OSRRefJ21_17x_0</vt:lpstr>
      <vt:lpstr>'315'!OSRRefJ21_17x_0</vt:lpstr>
      <vt:lpstr>'321'!OSRRefJ21_17x_0</vt:lpstr>
      <vt:lpstr>'322'!OSRRefJ21_17x_0</vt:lpstr>
      <vt:lpstr>'325'!OSRRefJ21_17x_0</vt:lpstr>
      <vt:lpstr>'326'!OSRRefJ21_17x_0</vt:lpstr>
      <vt:lpstr>'330'!OSRRefJ21_17x_0</vt:lpstr>
      <vt:lpstr>'331'!OSRRefJ21_17x_0</vt:lpstr>
      <vt:lpstr>'405'!OSRRefJ21_17x_0</vt:lpstr>
      <vt:lpstr>'411'!OSRRefJ21_17x_0</vt:lpstr>
      <vt:lpstr>'412'!OSRRefJ21_17x_0</vt:lpstr>
      <vt:lpstr>'414'!OSRRefJ21_17x_0</vt:lpstr>
      <vt:lpstr>'415'!OSRRefJ21_17x_0</vt:lpstr>
      <vt:lpstr>'418'!OSRRefJ21_17x_0</vt:lpstr>
      <vt:lpstr>'433'!OSRRefJ21_17x_0</vt:lpstr>
      <vt:lpstr>'444'!OSRRefJ21_17x_0</vt:lpstr>
      <vt:lpstr>'450'!OSRRefJ21_17x_0</vt:lpstr>
      <vt:lpstr>'491'!OSRRefJ21_17x_0</vt:lpstr>
      <vt:lpstr>'492'!OSRRefJ21_17x_0</vt:lpstr>
      <vt:lpstr>'Div 2'!OSRRefJ21_17x_0</vt:lpstr>
      <vt:lpstr>'Div 3'!OSRRefJ21_17x_0</vt:lpstr>
      <vt:lpstr>'Div 4'!OSRRefJ21_17x_0</vt:lpstr>
      <vt:lpstr>Summary!OSRRefJ21_17x_0</vt:lpstr>
      <vt:lpstr>'201'!OSRRefJ21_18x_0</vt:lpstr>
      <vt:lpstr>'300'!OSRRefJ21_18x_0</vt:lpstr>
      <vt:lpstr>'300 &amp; 317'!OSRRefJ21_18x_0</vt:lpstr>
      <vt:lpstr>'301'!OSRRefJ21_18x_0</vt:lpstr>
      <vt:lpstr>'307'!OSRRefJ21_18x_0</vt:lpstr>
      <vt:lpstr>'310'!OSRRefJ21_18x_0</vt:lpstr>
      <vt:lpstr>'310 &amp; 491'!OSRRefJ21_18x_0</vt:lpstr>
      <vt:lpstr>'322'!OSRRefJ21_18x_0</vt:lpstr>
      <vt:lpstr>'325'!OSRRefJ21_18x_0</vt:lpstr>
      <vt:lpstr>'326'!OSRRefJ21_18x_0</vt:lpstr>
      <vt:lpstr>'330'!OSRRefJ21_18x_0</vt:lpstr>
      <vt:lpstr>'331'!OSRRefJ21_18x_0</vt:lpstr>
      <vt:lpstr>'405'!OSRRefJ21_18x_0</vt:lpstr>
      <vt:lpstr>'411'!OSRRefJ21_18x_0</vt:lpstr>
      <vt:lpstr>'412'!OSRRefJ21_18x_0</vt:lpstr>
      <vt:lpstr>'415'!OSRRefJ21_18x_0</vt:lpstr>
      <vt:lpstr>'418'!OSRRefJ21_18x_0</vt:lpstr>
      <vt:lpstr>'433'!OSRRefJ21_18x_0</vt:lpstr>
      <vt:lpstr>'444'!OSRRefJ21_18x_0</vt:lpstr>
      <vt:lpstr>'450'!OSRRefJ21_18x_0</vt:lpstr>
      <vt:lpstr>'491'!OSRRefJ21_18x_0</vt:lpstr>
      <vt:lpstr>'492'!OSRRefJ21_18x_0</vt:lpstr>
      <vt:lpstr>'Div 2'!OSRRefJ21_18x_0</vt:lpstr>
      <vt:lpstr>'Div 3'!OSRRefJ21_18x_0</vt:lpstr>
      <vt:lpstr>'Div 4'!OSRRefJ21_18x_0</vt:lpstr>
      <vt:lpstr>Summary!OSRRefJ21_18x_0</vt:lpstr>
      <vt:lpstr>'201'!OSRRefJ21_19x_0</vt:lpstr>
      <vt:lpstr>'300'!OSRRefJ21_19x_0</vt:lpstr>
      <vt:lpstr>'300 &amp; 317'!OSRRefJ21_19x_0</vt:lpstr>
      <vt:lpstr>'301'!OSRRefJ21_19x_0</vt:lpstr>
      <vt:lpstr>'310'!OSRRefJ21_19x_0</vt:lpstr>
      <vt:lpstr>'310 &amp; 491'!OSRRefJ21_19x_0</vt:lpstr>
      <vt:lpstr>'322'!OSRRefJ21_19x_0</vt:lpstr>
      <vt:lpstr>'325'!OSRRefJ21_19x_0</vt:lpstr>
      <vt:lpstr>'326'!OSRRefJ21_19x_0</vt:lpstr>
      <vt:lpstr>'331'!OSRRefJ21_19x_0</vt:lpstr>
      <vt:lpstr>'411'!OSRRefJ21_19x_0</vt:lpstr>
      <vt:lpstr>'415'!OSRRefJ21_19x_0</vt:lpstr>
      <vt:lpstr>'418'!OSRRefJ21_19x_0</vt:lpstr>
      <vt:lpstr>'433'!OSRRefJ21_19x_0</vt:lpstr>
      <vt:lpstr>'444'!OSRRefJ21_19x_0</vt:lpstr>
      <vt:lpstr>'491'!OSRRefJ21_19x_0</vt:lpstr>
      <vt:lpstr>'492'!OSRRefJ21_19x_0</vt:lpstr>
      <vt:lpstr>'Div 2'!OSRRefJ21_19x_0</vt:lpstr>
      <vt:lpstr>'Div 3'!OSRRefJ21_19x_0</vt:lpstr>
      <vt:lpstr>'Div 4'!OSRRefJ21_19x_0</vt:lpstr>
      <vt:lpstr>Summary!OSRRefJ21_19x_0</vt:lpstr>
      <vt:lpstr>'200'!OSRRefJ21_1x_0</vt:lpstr>
      <vt:lpstr>'201'!OSRRefJ21_1x_0</vt:lpstr>
      <vt:lpstr>'202'!OSRRefJ21_1x_0</vt:lpstr>
      <vt:lpstr>'203'!OSRRefJ21_1x_0</vt:lpstr>
      <vt:lpstr>'204'!OSRRefJ21_1x_0</vt:lpstr>
      <vt:lpstr>'205'!OSRRefJ21_1x_0</vt:lpstr>
      <vt:lpstr>'206'!OSRRefJ21_1x_0</vt:lpstr>
      <vt:lpstr>'300'!OSRRefJ21_1x_0</vt:lpstr>
      <vt:lpstr>'300 &amp; 317'!OSRRefJ21_1x_0</vt:lpstr>
      <vt:lpstr>'301'!OSRRefJ21_1x_0</vt:lpstr>
      <vt:lpstr>'306'!OSRRefJ21_1x_0</vt:lpstr>
      <vt:lpstr>'307'!OSRRefJ21_1x_0</vt:lpstr>
      <vt:lpstr>'308'!OSRRefJ21_1x_0</vt:lpstr>
      <vt:lpstr>'309'!OSRRefJ21_1x_0</vt:lpstr>
      <vt:lpstr>'310'!OSRRefJ21_1x_0</vt:lpstr>
      <vt:lpstr>'310 &amp; 491'!OSRRefJ21_1x_0</vt:lpstr>
      <vt:lpstr>'311'!OSRRefJ21_1x_0</vt:lpstr>
      <vt:lpstr>'312'!OSRRefJ21_1x_0</vt:lpstr>
      <vt:lpstr>'313'!OSRRefJ21_1x_0</vt:lpstr>
      <vt:lpstr>'314'!OSRRefJ21_1x_0</vt:lpstr>
      <vt:lpstr>'315'!OSRRefJ21_1x_0</vt:lpstr>
      <vt:lpstr>'316'!OSRRefJ21_1x_0</vt:lpstr>
      <vt:lpstr>'317'!OSRRefJ21_1x_0</vt:lpstr>
      <vt:lpstr>'318'!OSRRefJ21_1x_0</vt:lpstr>
      <vt:lpstr>'320'!OSRRefJ21_1x_0</vt:lpstr>
      <vt:lpstr>'321'!OSRRefJ21_1x_0</vt:lpstr>
      <vt:lpstr>'322'!OSRRefJ21_1x_0</vt:lpstr>
      <vt:lpstr>'323'!OSRRefJ21_1x_0</vt:lpstr>
      <vt:lpstr>'324'!OSRRefJ21_1x_0</vt:lpstr>
      <vt:lpstr>'325'!OSRRefJ21_1x_0</vt:lpstr>
      <vt:lpstr>'326'!OSRRefJ21_1x_0</vt:lpstr>
      <vt:lpstr>'327'!OSRRefJ21_1x_0</vt:lpstr>
      <vt:lpstr>'330'!OSRRefJ21_1x_0</vt:lpstr>
      <vt:lpstr>'331'!OSRRefJ21_1x_0</vt:lpstr>
      <vt:lpstr>'332'!OSRRefJ21_1x_0</vt:lpstr>
      <vt:lpstr>'335'!OSRRefJ21_1x_0</vt:lpstr>
      <vt:lpstr>'405'!OSRRefJ21_1x_0</vt:lpstr>
      <vt:lpstr>'406'!OSRRefJ21_1x_0</vt:lpstr>
      <vt:lpstr>'411'!OSRRefJ21_1x_0</vt:lpstr>
      <vt:lpstr>'412'!OSRRefJ21_1x_0</vt:lpstr>
      <vt:lpstr>'413'!OSRRefJ21_1x_0</vt:lpstr>
      <vt:lpstr>'414'!OSRRefJ21_1x_0</vt:lpstr>
      <vt:lpstr>'415'!OSRRefJ21_1x_0</vt:lpstr>
      <vt:lpstr>'418'!OSRRefJ21_1x_0</vt:lpstr>
      <vt:lpstr>'420'!OSRRefJ21_1x_0</vt:lpstr>
      <vt:lpstr>'423'!OSRRefJ21_1x_0</vt:lpstr>
      <vt:lpstr>'424'!OSRRefJ21_1x_0</vt:lpstr>
      <vt:lpstr>'425'!OSRRefJ21_1x_0</vt:lpstr>
      <vt:lpstr>'430'!OSRRefJ21_1x_0</vt:lpstr>
      <vt:lpstr>'433'!OSRRefJ21_1x_0</vt:lpstr>
      <vt:lpstr>'435'!OSRRefJ21_1x_0</vt:lpstr>
      <vt:lpstr>'444'!OSRRefJ21_1x_0</vt:lpstr>
      <vt:lpstr>'445'!OSRRefJ21_1x_0</vt:lpstr>
      <vt:lpstr>'450'!OSRRefJ21_1x_0</vt:lpstr>
      <vt:lpstr>'455'!OSRRefJ21_1x_0</vt:lpstr>
      <vt:lpstr>'491'!OSRRefJ21_1x_0</vt:lpstr>
      <vt:lpstr>'492'!OSRRefJ21_1x_0</vt:lpstr>
      <vt:lpstr>'501'!OSRRefJ21_1x_0</vt:lpstr>
      <vt:lpstr>'Div 2'!OSRRefJ21_1x_0</vt:lpstr>
      <vt:lpstr>'Div 3'!OSRRefJ21_1x_0</vt:lpstr>
      <vt:lpstr>'Div 4'!OSRRefJ21_1x_0</vt:lpstr>
      <vt:lpstr>'Div 5'!OSRRefJ21_1x_0</vt:lpstr>
      <vt:lpstr>'Div 6'!OSRRefJ21_1x_0</vt:lpstr>
      <vt:lpstr>Summary!OSRRefJ21_1x_0</vt:lpstr>
      <vt:lpstr>'300'!OSRRefJ21_20x_0</vt:lpstr>
      <vt:lpstr>'300 &amp; 317'!OSRRefJ21_20x_0</vt:lpstr>
      <vt:lpstr>'301'!OSRRefJ21_20x_0</vt:lpstr>
      <vt:lpstr>'310'!OSRRefJ21_20x_0</vt:lpstr>
      <vt:lpstr>'310 &amp; 491'!OSRRefJ21_20x_0</vt:lpstr>
      <vt:lpstr>'326'!OSRRefJ21_20x_0</vt:lpstr>
      <vt:lpstr>'331'!OSRRefJ21_20x_0</vt:lpstr>
      <vt:lpstr>'411'!OSRRefJ21_20x_0</vt:lpstr>
      <vt:lpstr>'433'!OSRRefJ21_20x_0</vt:lpstr>
      <vt:lpstr>'444'!OSRRefJ21_20x_0</vt:lpstr>
      <vt:lpstr>'491'!OSRRefJ21_20x_0</vt:lpstr>
      <vt:lpstr>'492'!OSRRefJ21_20x_0</vt:lpstr>
      <vt:lpstr>'Div 2'!OSRRefJ21_20x_0</vt:lpstr>
      <vt:lpstr>'Div 3'!OSRRefJ21_20x_0</vt:lpstr>
      <vt:lpstr>'Div 4'!OSRRefJ21_20x_0</vt:lpstr>
      <vt:lpstr>Summary!OSRRefJ21_20x_0</vt:lpstr>
      <vt:lpstr>'300'!OSRRefJ21_21x_0</vt:lpstr>
      <vt:lpstr>'300 &amp; 317'!OSRRefJ21_21x_0</vt:lpstr>
      <vt:lpstr>'301'!OSRRefJ21_21x_0</vt:lpstr>
      <vt:lpstr>'310'!OSRRefJ21_21x_0</vt:lpstr>
      <vt:lpstr>'310 &amp; 491'!OSRRefJ21_21x_0</vt:lpstr>
      <vt:lpstr>'326'!OSRRefJ21_21x_0</vt:lpstr>
      <vt:lpstr>'331'!OSRRefJ21_21x_0</vt:lpstr>
      <vt:lpstr>'411'!OSRRefJ21_21x_0</vt:lpstr>
      <vt:lpstr>'491'!OSRRefJ21_21x_0</vt:lpstr>
      <vt:lpstr>'492'!OSRRefJ21_21x_0</vt:lpstr>
      <vt:lpstr>'Div 2'!OSRRefJ21_21x_0</vt:lpstr>
      <vt:lpstr>'Div 3'!OSRRefJ21_21x_0</vt:lpstr>
      <vt:lpstr>'Div 4'!OSRRefJ21_21x_0</vt:lpstr>
      <vt:lpstr>Summary!OSRRefJ21_21x_0</vt:lpstr>
      <vt:lpstr>'300'!OSRRefJ21_22x_0</vt:lpstr>
      <vt:lpstr>'300 &amp; 317'!OSRRefJ21_22x_0</vt:lpstr>
      <vt:lpstr>'301'!OSRRefJ21_22x_0</vt:lpstr>
      <vt:lpstr>'310'!OSRRefJ21_22x_0</vt:lpstr>
      <vt:lpstr>'310 &amp; 491'!OSRRefJ21_22x_0</vt:lpstr>
      <vt:lpstr>'331'!OSRRefJ21_22x_0</vt:lpstr>
      <vt:lpstr>'411'!OSRRefJ21_22x_0</vt:lpstr>
      <vt:lpstr>'491'!OSRRefJ21_22x_0</vt:lpstr>
      <vt:lpstr>'492'!OSRRefJ21_22x_0</vt:lpstr>
      <vt:lpstr>'Div 3'!OSRRefJ21_22x_0</vt:lpstr>
      <vt:lpstr>'Div 4'!OSRRefJ21_22x_0</vt:lpstr>
      <vt:lpstr>Summary!OSRRefJ21_22x_0</vt:lpstr>
      <vt:lpstr>'300'!OSRRefJ21_23x_0</vt:lpstr>
      <vt:lpstr>'300 &amp; 317'!OSRRefJ21_23x_0</vt:lpstr>
      <vt:lpstr>'301'!OSRRefJ21_23x_0</vt:lpstr>
      <vt:lpstr>'310'!OSRRefJ21_23x_0</vt:lpstr>
      <vt:lpstr>'310 &amp; 491'!OSRRefJ21_23x_0</vt:lpstr>
      <vt:lpstr>'491'!OSRRefJ21_23x_0</vt:lpstr>
      <vt:lpstr>'Div 3'!OSRRefJ21_23x_0</vt:lpstr>
      <vt:lpstr>'Div 4'!OSRRefJ21_23x_0</vt:lpstr>
      <vt:lpstr>Summary!OSRRefJ21_23x_0</vt:lpstr>
      <vt:lpstr>'300'!OSRRefJ21_24x_0</vt:lpstr>
      <vt:lpstr>'300 &amp; 317'!OSRRefJ21_24x_0</vt:lpstr>
      <vt:lpstr>'301'!OSRRefJ21_24x_0</vt:lpstr>
      <vt:lpstr>'310 &amp; 491'!OSRRefJ21_24x_0</vt:lpstr>
      <vt:lpstr>'491'!OSRRefJ21_24x_0</vt:lpstr>
      <vt:lpstr>'Div 3'!OSRRefJ21_24x_0</vt:lpstr>
      <vt:lpstr>'Div 4'!OSRRefJ21_24x_0</vt:lpstr>
      <vt:lpstr>Summary!OSRRefJ21_24x_0</vt:lpstr>
      <vt:lpstr>'310 &amp; 491'!OSRRefJ21_25x_0</vt:lpstr>
      <vt:lpstr>'491'!OSRRefJ21_25x_0</vt:lpstr>
      <vt:lpstr>'Div 3'!OSRRefJ21_25x_0</vt:lpstr>
      <vt:lpstr>'Div 4'!OSRRefJ21_25x_0</vt:lpstr>
      <vt:lpstr>Summary!OSRRefJ21_25x_0</vt:lpstr>
      <vt:lpstr>Summary!OSRRefJ21_26x_0</vt:lpstr>
      <vt:lpstr>'200'!OSRRefJ21_2x_0</vt:lpstr>
      <vt:lpstr>'201'!OSRRefJ21_2x_0</vt:lpstr>
      <vt:lpstr>'202'!OSRRefJ21_2x_0</vt:lpstr>
      <vt:lpstr>'203'!OSRRefJ21_2x_0</vt:lpstr>
      <vt:lpstr>'204'!OSRRefJ21_2x_0</vt:lpstr>
      <vt:lpstr>'205'!OSRRefJ21_2x_0</vt:lpstr>
      <vt:lpstr>'206'!OSRRefJ21_2x_0</vt:lpstr>
      <vt:lpstr>'300'!OSRRefJ21_2x_0</vt:lpstr>
      <vt:lpstr>'300 &amp; 317'!OSRRefJ21_2x_0</vt:lpstr>
      <vt:lpstr>'301'!OSRRefJ21_2x_0</vt:lpstr>
      <vt:lpstr>'306'!OSRRefJ21_2x_0</vt:lpstr>
      <vt:lpstr>'307'!OSRRefJ21_2x_0</vt:lpstr>
      <vt:lpstr>'308'!OSRRefJ21_2x_0</vt:lpstr>
      <vt:lpstr>'309'!OSRRefJ21_2x_0</vt:lpstr>
      <vt:lpstr>'310'!OSRRefJ21_2x_0</vt:lpstr>
      <vt:lpstr>'310 &amp; 491'!OSRRefJ21_2x_0</vt:lpstr>
      <vt:lpstr>'311'!OSRRefJ21_2x_0</vt:lpstr>
      <vt:lpstr>'312'!OSRRefJ21_2x_0</vt:lpstr>
      <vt:lpstr>'313'!OSRRefJ21_2x_0</vt:lpstr>
      <vt:lpstr>'314'!OSRRefJ21_2x_0</vt:lpstr>
      <vt:lpstr>'315'!OSRRefJ21_2x_0</vt:lpstr>
      <vt:lpstr>'316'!OSRRefJ21_2x_0</vt:lpstr>
      <vt:lpstr>'317'!OSRRefJ21_2x_0</vt:lpstr>
      <vt:lpstr>'318'!OSRRefJ21_2x_0</vt:lpstr>
      <vt:lpstr>'320'!OSRRefJ21_2x_0</vt:lpstr>
      <vt:lpstr>'321'!OSRRefJ21_2x_0</vt:lpstr>
      <vt:lpstr>'322'!OSRRefJ21_2x_0</vt:lpstr>
      <vt:lpstr>'323'!OSRRefJ21_2x_0</vt:lpstr>
      <vt:lpstr>'324'!OSRRefJ21_2x_0</vt:lpstr>
      <vt:lpstr>'325'!OSRRefJ21_2x_0</vt:lpstr>
      <vt:lpstr>'326'!OSRRefJ21_2x_0</vt:lpstr>
      <vt:lpstr>'327'!OSRRefJ21_2x_0</vt:lpstr>
      <vt:lpstr>'330'!OSRRefJ21_2x_0</vt:lpstr>
      <vt:lpstr>'331'!OSRRefJ21_2x_0</vt:lpstr>
      <vt:lpstr>'332'!OSRRefJ21_2x_0</vt:lpstr>
      <vt:lpstr>'335'!OSRRefJ21_2x_0</vt:lpstr>
      <vt:lpstr>'405'!OSRRefJ21_2x_0</vt:lpstr>
      <vt:lpstr>'406'!OSRRefJ21_2x_0</vt:lpstr>
      <vt:lpstr>'411'!OSRRefJ21_2x_0</vt:lpstr>
      <vt:lpstr>'412'!OSRRefJ21_2x_0</vt:lpstr>
      <vt:lpstr>'413'!OSRRefJ21_2x_0</vt:lpstr>
      <vt:lpstr>'414'!OSRRefJ21_2x_0</vt:lpstr>
      <vt:lpstr>'415'!OSRRefJ21_2x_0</vt:lpstr>
      <vt:lpstr>'418'!OSRRefJ21_2x_0</vt:lpstr>
      <vt:lpstr>'420'!OSRRefJ21_2x_0</vt:lpstr>
      <vt:lpstr>'423'!OSRRefJ21_2x_0</vt:lpstr>
      <vt:lpstr>'424'!OSRRefJ21_2x_0</vt:lpstr>
      <vt:lpstr>'425'!OSRRefJ21_2x_0</vt:lpstr>
      <vt:lpstr>'430'!OSRRefJ21_2x_0</vt:lpstr>
      <vt:lpstr>'433'!OSRRefJ21_2x_0</vt:lpstr>
      <vt:lpstr>'435'!OSRRefJ21_2x_0</vt:lpstr>
      <vt:lpstr>'444'!OSRRefJ21_2x_0</vt:lpstr>
      <vt:lpstr>'445'!OSRRefJ21_2x_0</vt:lpstr>
      <vt:lpstr>'450'!OSRRefJ21_2x_0</vt:lpstr>
      <vt:lpstr>'455'!OSRRefJ21_2x_0</vt:lpstr>
      <vt:lpstr>'491'!OSRRefJ21_2x_0</vt:lpstr>
      <vt:lpstr>'492'!OSRRefJ21_2x_0</vt:lpstr>
      <vt:lpstr>'501'!OSRRefJ21_2x_0</vt:lpstr>
      <vt:lpstr>'Div 2'!OSRRefJ21_2x_0</vt:lpstr>
      <vt:lpstr>'Div 3'!OSRRefJ21_2x_0</vt:lpstr>
      <vt:lpstr>'Div 4'!OSRRefJ21_2x_0</vt:lpstr>
      <vt:lpstr>'Div 5'!OSRRefJ21_2x_0</vt:lpstr>
      <vt:lpstr>'Div 6'!OSRRefJ21_2x_0</vt:lpstr>
      <vt:lpstr>Summary!OSRRefJ21_2x_0</vt:lpstr>
      <vt:lpstr>'200'!OSRRefJ21_3x_0</vt:lpstr>
      <vt:lpstr>'201'!OSRRefJ21_3x_0</vt:lpstr>
      <vt:lpstr>'202'!OSRRefJ21_3x_0</vt:lpstr>
      <vt:lpstr>'203'!OSRRefJ21_3x_0</vt:lpstr>
      <vt:lpstr>'204'!OSRRefJ21_3x_0</vt:lpstr>
      <vt:lpstr>'205'!OSRRefJ21_3x_0</vt:lpstr>
      <vt:lpstr>'206'!OSRRefJ21_3x_0</vt:lpstr>
      <vt:lpstr>'300'!OSRRefJ21_3x_0</vt:lpstr>
      <vt:lpstr>'300 &amp; 317'!OSRRefJ21_3x_0</vt:lpstr>
      <vt:lpstr>'301'!OSRRefJ21_3x_0</vt:lpstr>
      <vt:lpstr>'306'!OSRRefJ21_3x_0</vt:lpstr>
      <vt:lpstr>'307'!OSRRefJ21_3x_0</vt:lpstr>
      <vt:lpstr>'308'!OSRRefJ21_3x_0</vt:lpstr>
      <vt:lpstr>'309'!OSRRefJ21_3x_0</vt:lpstr>
      <vt:lpstr>'310'!OSRRefJ21_3x_0</vt:lpstr>
      <vt:lpstr>'310 &amp; 491'!OSRRefJ21_3x_0</vt:lpstr>
      <vt:lpstr>'311'!OSRRefJ21_3x_0</vt:lpstr>
      <vt:lpstr>'312'!OSRRefJ21_3x_0</vt:lpstr>
      <vt:lpstr>'313'!OSRRefJ21_3x_0</vt:lpstr>
      <vt:lpstr>'314'!OSRRefJ21_3x_0</vt:lpstr>
      <vt:lpstr>'315'!OSRRefJ21_3x_0</vt:lpstr>
      <vt:lpstr>'316'!OSRRefJ21_3x_0</vt:lpstr>
      <vt:lpstr>'317'!OSRRefJ21_3x_0</vt:lpstr>
      <vt:lpstr>'318'!OSRRefJ21_3x_0</vt:lpstr>
      <vt:lpstr>'320'!OSRRefJ21_3x_0</vt:lpstr>
      <vt:lpstr>'321'!OSRRefJ21_3x_0</vt:lpstr>
      <vt:lpstr>'322'!OSRRefJ21_3x_0</vt:lpstr>
      <vt:lpstr>'323'!OSRRefJ21_3x_0</vt:lpstr>
      <vt:lpstr>'324'!OSRRefJ21_3x_0</vt:lpstr>
      <vt:lpstr>'325'!OSRRefJ21_3x_0</vt:lpstr>
      <vt:lpstr>'326'!OSRRefJ21_3x_0</vt:lpstr>
      <vt:lpstr>'330'!OSRRefJ21_3x_0</vt:lpstr>
      <vt:lpstr>'331'!OSRRefJ21_3x_0</vt:lpstr>
      <vt:lpstr>'332'!OSRRefJ21_3x_0</vt:lpstr>
      <vt:lpstr>'335'!OSRRefJ21_3x_0</vt:lpstr>
      <vt:lpstr>'405'!OSRRefJ21_3x_0</vt:lpstr>
      <vt:lpstr>'406'!OSRRefJ21_3x_0</vt:lpstr>
      <vt:lpstr>'411'!OSRRefJ21_3x_0</vt:lpstr>
      <vt:lpstr>'412'!OSRRefJ21_3x_0</vt:lpstr>
      <vt:lpstr>'413'!OSRRefJ21_3x_0</vt:lpstr>
      <vt:lpstr>'414'!OSRRefJ21_3x_0</vt:lpstr>
      <vt:lpstr>'415'!OSRRefJ21_3x_0</vt:lpstr>
      <vt:lpstr>'418'!OSRRefJ21_3x_0</vt:lpstr>
      <vt:lpstr>'420'!OSRRefJ21_3x_0</vt:lpstr>
      <vt:lpstr>'423'!OSRRefJ21_3x_0</vt:lpstr>
      <vt:lpstr>'424'!OSRRefJ21_3x_0</vt:lpstr>
      <vt:lpstr>'425'!OSRRefJ21_3x_0</vt:lpstr>
      <vt:lpstr>'430'!OSRRefJ21_3x_0</vt:lpstr>
      <vt:lpstr>'433'!OSRRefJ21_3x_0</vt:lpstr>
      <vt:lpstr>'435'!OSRRefJ21_3x_0</vt:lpstr>
      <vt:lpstr>'444'!OSRRefJ21_3x_0</vt:lpstr>
      <vt:lpstr>'445'!OSRRefJ21_3x_0</vt:lpstr>
      <vt:lpstr>'450'!OSRRefJ21_3x_0</vt:lpstr>
      <vt:lpstr>'455'!OSRRefJ21_3x_0</vt:lpstr>
      <vt:lpstr>'491'!OSRRefJ21_3x_0</vt:lpstr>
      <vt:lpstr>'492'!OSRRefJ21_3x_0</vt:lpstr>
      <vt:lpstr>'501'!OSRRefJ21_3x_0</vt:lpstr>
      <vt:lpstr>'Div 2'!OSRRefJ21_3x_0</vt:lpstr>
      <vt:lpstr>'Div 3'!OSRRefJ21_3x_0</vt:lpstr>
      <vt:lpstr>'Div 4'!OSRRefJ21_3x_0</vt:lpstr>
      <vt:lpstr>'Div 5'!OSRRefJ21_3x_0</vt:lpstr>
      <vt:lpstr>'Div 6'!OSRRefJ21_3x_0</vt:lpstr>
      <vt:lpstr>Summary!OSRRefJ21_3x_0</vt:lpstr>
      <vt:lpstr>'200'!OSRRefJ21_4x_0</vt:lpstr>
      <vt:lpstr>'201'!OSRRefJ21_4x_0</vt:lpstr>
      <vt:lpstr>'202'!OSRRefJ21_4x_0</vt:lpstr>
      <vt:lpstr>'203'!OSRRefJ21_4x_0</vt:lpstr>
      <vt:lpstr>'204'!OSRRefJ21_4x_0</vt:lpstr>
      <vt:lpstr>'205'!OSRRefJ21_4x_0</vt:lpstr>
      <vt:lpstr>'206'!OSRRefJ21_4x_0</vt:lpstr>
      <vt:lpstr>'300'!OSRRefJ21_4x_0</vt:lpstr>
      <vt:lpstr>'300 &amp; 317'!OSRRefJ21_4x_0</vt:lpstr>
      <vt:lpstr>'301'!OSRRefJ21_4x_0</vt:lpstr>
      <vt:lpstr>'306'!OSRRefJ21_4x_0</vt:lpstr>
      <vt:lpstr>'307'!OSRRefJ21_4x_0</vt:lpstr>
      <vt:lpstr>'308'!OSRRefJ21_4x_0</vt:lpstr>
      <vt:lpstr>'309'!OSRRefJ21_4x_0</vt:lpstr>
      <vt:lpstr>'310'!OSRRefJ21_4x_0</vt:lpstr>
      <vt:lpstr>'310 &amp; 491'!OSRRefJ21_4x_0</vt:lpstr>
      <vt:lpstr>'311'!OSRRefJ21_4x_0</vt:lpstr>
      <vt:lpstr>'312'!OSRRefJ21_4x_0</vt:lpstr>
      <vt:lpstr>'313'!OSRRefJ21_4x_0</vt:lpstr>
      <vt:lpstr>'314'!OSRRefJ21_4x_0</vt:lpstr>
      <vt:lpstr>'315'!OSRRefJ21_4x_0</vt:lpstr>
      <vt:lpstr>'316'!OSRRefJ21_4x_0</vt:lpstr>
      <vt:lpstr>'317'!OSRRefJ21_4x_0</vt:lpstr>
      <vt:lpstr>'318'!OSRRefJ21_4x_0</vt:lpstr>
      <vt:lpstr>'320'!OSRRefJ21_4x_0</vt:lpstr>
      <vt:lpstr>'321'!OSRRefJ21_4x_0</vt:lpstr>
      <vt:lpstr>'322'!OSRRefJ21_4x_0</vt:lpstr>
      <vt:lpstr>'323'!OSRRefJ21_4x_0</vt:lpstr>
      <vt:lpstr>'325'!OSRRefJ21_4x_0</vt:lpstr>
      <vt:lpstr>'326'!OSRRefJ21_4x_0</vt:lpstr>
      <vt:lpstr>'330'!OSRRefJ21_4x_0</vt:lpstr>
      <vt:lpstr>'331'!OSRRefJ21_4x_0</vt:lpstr>
      <vt:lpstr>'332'!OSRRefJ21_4x_0</vt:lpstr>
      <vt:lpstr>'335'!OSRRefJ21_4x_0</vt:lpstr>
      <vt:lpstr>'405'!OSRRefJ21_4x_0</vt:lpstr>
      <vt:lpstr>'406'!OSRRefJ21_4x_0</vt:lpstr>
      <vt:lpstr>'411'!OSRRefJ21_4x_0</vt:lpstr>
      <vt:lpstr>'412'!OSRRefJ21_4x_0</vt:lpstr>
      <vt:lpstr>'413'!OSRRefJ21_4x_0</vt:lpstr>
      <vt:lpstr>'414'!OSRRefJ21_4x_0</vt:lpstr>
      <vt:lpstr>'415'!OSRRefJ21_4x_0</vt:lpstr>
      <vt:lpstr>'418'!OSRRefJ21_4x_0</vt:lpstr>
      <vt:lpstr>'420'!OSRRefJ21_4x_0</vt:lpstr>
      <vt:lpstr>'423'!OSRRefJ21_4x_0</vt:lpstr>
      <vt:lpstr>'424'!OSRRefJ21_4x_0</vt:lpstr>
      <vt:lpstr>'425'!OSRRefJ21_4x_0</vt:lpstr>
      <vt:lpstr>'430'!OSRRefJ21_4x_0</vt:lpstr>
      <vt:lpstr>'433'!OSRRefJ21_4x_0</vt:lpstr>
      <vt:lpstr>'435'!OSRRefJ21_4x_0</vt:lpstr>
      <vt:lpstr>'444'!OSRRefJ21_4x_0</vt:lpstr>
      <vt:lpstr>'445'!OSRRefJ21_4x_0</vt:lpstr>
      <vt:lpstr>'450'!OSRRefJ21_4x_0</vt:lpstr>
      <vt:lpstr>'491'!OSRRefJ21_4x_0</vt:lpstr>
      <vt:lpstr>'492'!OSRRefJ21_4x_0</vt:lpstr>
      <vt:lpstr>'501'!OSRRefJ21_4x_0</vt:lpstr>
      <vt:lpstr>'Div 2'!OSRRefJ21_4x_0</vt:lpstr>
      <vt:lpstr>'Div 3'!OSRRefJ21_4x_0</vt:lpstr>
      <vt:lpstr>'Div 4'!OSRRefJ21_4x_0</vt:lpstr>
      <vt:lpstr>'Div 5'!OSRRefJ21_4x_0</vt:lpstr>
      <vt:lpstr>'Div 6'!OSRRefJ21_4x_0</vt:lpstr>
      <vt:lpstr>Summary!OSRRefJ21_4x_0</vt:lpstr>
      <vt:lpstr>'200'!OSRRefJ21_5x_0</vt:lpstr>
      <vt:lpstr>'201'!OSRRefJ21_5x_0</vt:lpstr>
      <vt:lpstr>'202'!OSRRefJ21_5x_0</vt:lpstr>
      <vt:lpstr>'203'!OSRRefJ21_5x_0</vt:lpstr>
      <vt:lpstr>'204'!OSRRefJ21_5x_0</vt:lpstr>
      <vt:lpstr>'205'!OSRRefJ21_5x_0</vt:lpstr>
      <vt:lpstr>'206'!OSRRefJ21_5x_0</vt:lpstr>
      <vt:lpstr>'300'!OSRRefJ21_5x_0</vt:lpstr>
      <vt:lpstr>'300 &amp; 317'!OSRRefJ21_5x_0</vt:lpstr>
      <vt:lpstr>'301'!OSRRefJ21_5x_0</vt:lpstr>
      <vt:lpstr>'306'!OSRRefJ21_5x_0</vt:lpstr>
      <vt:lpstr>'307'!OSRRefJ21_5x_0</vt:lpstr>
      <vt:lpstr>'308'!OSRRefJ21_5x_0</vt:lpstr>
      <vt:lpstr>'309'!OSRRefJ21_5x_0</vt:lpstr>
      <vt:lpstr>'310'!OSRRefJ21_5x_0</vt:lpstr>
      <vt:lpstr>'310 &amp; 491'!OSRRefJ21_5x_0</vt:lpstr>
      <vt:lpstr>'311'!OSRRefJ21_5x_0</vt:lpstr>
      <vt:lpstr>'312'!OSRRefJ21_5x_0</vt:lpstr>
      <vt:lpstr>'313'!OSRRefJ21_5x_0</vt:lpstr>
      <vt:lpstr>'314'!OSRRefJ21_5x_0</vt:lpstr>
      <vt:lpstr>'315'!OSRRefJ21_5x_0</vt:lpstr>
      <vt:lpstr>'316'!OSRRefJ21_5x_0</vt:lpstr>
      <vt:lpstr>'317'!OSRRefJ21_5x_0</vt:lpstr>
      <vt:lpstr>'318'!OSRRefJ21_5x_0</vt:lpstr>
      <vt:lpstr>'320'!OSRRefJ21_5x_0</vt:lpstr>
      <vt:lpstr>'321'!OSRRefJ21_5x_0</vt:lpstr>
      <vt:lpstr>'322'!OSRRefJ21_5x_0</vt:lpstr>
      <vt:lpstr>'323'!OSRRefJ21_5x_0</vt:lpstr>
      <vt:lpstr>'325'!OSRRefJ21_5x_0</vt:lpstr>
      <vt:lpstr>'326'!OSRRefJ21_5x_0</vt:lpstr>
      <vt:lpstr>'330'!OSRRefJ21_5x_0</vt:lpstr>
      <vt:lpstr>'331'!OSRRefJ21_5x_0</vt:lpstr>
      <vt:lpstr>'332'!OSRRefJ21_5x_0</vt:lpstr>
      <vt:lpstr>'335'!OSRRefJ21_5x_0</vt:lpstr>
      <vt:lpstr>'405'!OSRRefJ21_5x_0</vt:lpstr>
      <vt:lpstr>'406'!OSRRefJ21_5x_0</vt:lpstr>
      <vt:lpstr>'411'!OSRRefJ21_5x_0</vt:lpstr>
      <vt:lpstr>'412'!OSRRefJ21_5x_0</vt:lpstr>
      <vt:lpstr>'413'!OSRRefJ21_5x_0</vt:lpstr>
      <vt:lpstr>'414'!OSRRefJ21_5x_0</vt:lpstr>
      <vt:lpstr>'415'!OSRRefJ21_5x_0</vt:lpstr>
      <vt:lpstr>'418'!OSRRefJ21_5x_0</vt:lpstr>
      <vt:lpstr>'420'!OSRRefJ21_5x_0</vt:lpstr>
      <vt:lpstr>'423'!OSRRefJ21_5x_0</vt:lpstr>
      <vt:lpstr>'424'!OSRRefJ21_5x_0</vt:lpstr>
      <vt:lpstr>'425'!OSRRefJ21_5x_0</vt:lpstr>
      <vt:lpstr>'430'!OSRRefJ21_5x_0</vt:lpstr>
      <vt:lpstr>'433'!OSRRefJ21_5x_0</vt:lpstr>
      <vt:lpstr>'435'!OSRRefJ21_5x_0</vt:lpstr>
      <vt:lpstr>'444'!OSRRefJ21_5x_0</vt:lpstr>
      <vt:lpstr>'445'!OSRRefJ21_5x_0</vt:lpstr>
      <vt:lpstr>'450'!OSRRefJ21_5x_0</vt:lpstr>
      <vt:lpstr>'491'!OSRRefJ21_5x_0</vt:lpstr>
      <vt:lpstr>'492'!OSRRefJ21_5x_0</vt:lpstr>
      <vt:lpstr>'501'!OSRRefJ21_5x_0</vt:lpstr>
      <vt:lpstr>'Div 2'!OSRRefJ21_5x_0</vt:lpstr>
      <vt:lpstr>'Div 3'!OSRRefJ21_5x_0</vt:lpstr>
      <vt:lpstr>'Div 4'!OSRRefJ21_5x_0</vt:lpstr>
      <vt:lpstr>'Div 5'!OSRRefJ21_5x_0</vt:lpstr>
      <vt:lpstr>'Div 6'!OSRRefJ21_5x_0</vt:lpstr>
      <vt:lpstr>Summary!OSRRefJ21_5x_0</vt:lpstr>
      <vt:lpstr>'201'!OSRRefJ21_6x_0</vt:lpstr>
      <vt:lpstr>'202'!OSRRefJ21_6x_0</vt:lpstr>
      <vt:lpstr>'203'!OSRRefJ21_6x_0</vt:lpstr>
      <vt:lpstr>'204'!OSRRefJ21_6x_0</vt:lpstr>
      <vt:lpstr>'205'!OSRRefJ21_6x_0</vt:lpstr>
      <vt:lpstr>'206'!OSRRefJ21_6x_0</vt:lpstr>
      <vt:lpstr>'300'!OSRRefJ21_6x_0</vt:lpstr>
      <vt:lpstr>'300 &amp; 317'!OSRRefJ21_6x_0</vt:lpstr>
      <vt:lpstr>'301'!OSRRefJ21_6x_0</vt:lpstr>
      <vt:lpstr>'306'!OSRRefJ21_6x_0</vt:lpstr>
      <vt:lpstr>'307'!OSRRefJ21_6x_0</vt:lpstr>
      <vt:lpstr>'308'!OSRRefJ21_6x_0</vt:lpstr>
      <vt:lpstr>'309'!OSRRefJ21_6x_0</vt:lpstr>
      <vt:lpstr>'310'!OSRRefJ21_6x_0</vt:lpstr>
      <vt:lpstr>'310 &amp; 491'!OSRRefJ21_6x_0</vt:lpstr>
      <vt:lpstr>'311'!OSRRefJ21_6x_0</vt:lpstr>
      <vt:lpstr>'312'!OSRRefJ21_6x_0</vt:lpstr>
      <vt:lpstr>'313'!OSRRefJ21_6x_0</vt:lpstr>
      <vt:lpstr>'314'!OSRRefJ21_6x_0</vt:lpstr>
      <vt:lpstr>'315'!OSRRefJ21_6x_0</vt:lpstr>
      <vt:lpstr>'316'!OSRRefJ21_6x_0</vt:lpstr>
      <vt:lpstr>'317'!OSRRefJ21_6x_0</vt:lpstr>
      <vt:lpstr>'318'!OSRRefJ21_6x_0</vt:lpstr>
      <vt:lpstr>'320'!OSRRefJ21_6x_0</vt:lpstr>
      <vt:lpstr>'321'!OSRRefJ21_6x_0</vt:lpstr>
      <vt:lpstr>'322'!OSRRefJ21_6x_0</vt:lpstr>
      <vt:lpstr>'323'!OSRRefJ21_6x_0</vt:lpstr>
      <vt:lpstr>'325'!OSRRefJ21_6x_0</vt:lpstr>
      <vt:lpstr>'326'!OSRRefJ21_6x_0</vt:lpstr>
      <vt:lpstr>'330'!OSRRefJ21_6x_0</vt:lpstr>
      <vt:lpstr>'331'!OSRRefJ21_6x_0</vt:lpstr>
      <vt:lpstr>'332'!OSRRefJ21_6x_0</vt:lpstr>
      <vt:lpstr>'335'!OSRRefJ21_6x_0</vt:lpstr>
      <vt:lpstr>'405'!OSRRefJ21_6x_0</vt:lpstr>
      <vt:lpstr>'406'!OSRRefJ21_6x_0</vt:lpstr>
      <vt:lpstr>'411'!OSRRefJ21_6x_0</vt:lpstr>
      <vt:lpstr>'412'!OSRRefJ21_6x_0</vt:lpstr>
      <vt:lpstr>'413'!OSRRefJ21_6x_0</vt:lpstr>
      <vt:lpstr>'414'!OSRRefJ21_6x_0</vt:lpstr>
      <vt:lpstr>'415'!OSRRefJ21_6x_0</vt:lpstr>
      <vt:lpstr>'418'!OSRRefJ21_6x_0</vt:lpstr>
      <vt:lpstr>'420'!OSRRefJ21_6x_0</vt:lpstr>
      <vt:lpstr>'423'!OSRRefJ21_6x_0</vt:lpstr>
      <vt:lpstr>'424'!OSRRefJ21_6x_0</vt:lpstr>
      <vt:lpstr>'425'!OSRRefJ21_6x_0</vt:lpstr>
      <vt:lpstr>'430'!OSRRefJ21_6x_0</vt:lpstr>
      <vt:lpstr>'433'!OSRRefJ21_6x_0</vt:lpstr>
      <vt:lpstr>'435'!OSRRefJ21_6x_0</vt:lpstr>
      <vt:lpstr>'444'!OSRRefJ21_6x_0</vt:lpstr>
      <vt:lpstr>'445'!OSRRefJ21_6x_0</vt:lpstr>
      <vt:lpstr>'450'!OSRRefJ21_6x_0</vt:lpstr>
      <vt:lpstr>'491'!OSRRefJ21_6x_0</vt:lpstr>
      <vt:lpstr>'492'!OSRRefJ21_6x_0</vt:lpstr>
      <vt:lpstr>'501'!OSRRefJ21_6x_0</vt:lpstr>
      <vt:lpstr>'Div 2'!OSRRefJ21_6x_0</vt:lpstr>
      <vt:lpstr>'Div 3'!OSRRefJ21_6x_0</vt:lpstr>
      <vt:lpstr>'Div 4'!OSRRefJ21_6x_0</vt:lpstr>
      <vt:lpstr>'Div 5'!OSRRefJ21_6x_0</vt:lpstr>
      <vt:lpstr>'Div 6'!OSRRefJ21_6x_0</vt:lpstr>
      <vt:lpstr>Summary!OSRRefJ21_6x_0</vt:lpstr>
      <vt:lpstr>'201'!OSRRefJ21_7x_0</vt:lpstr>
      <vt:lpstr>'202'!OSRRefJ21_7x_0</vt:lpstr>
      <vt:lpstr>'203'!OSRRefJ21_7x_0</vt:lpstr>
      <vt:lpstr>'204'!OSRRefJ21_7x_0</vt:lpstr>
      <vt:lpstr>'205'!OSRRefJ21_7x_0</vt:lpstr>
      <vt:lpstr>'206'!OSRRefJ21_7x_0</vt:lpstr>
      <vt:lpstr>'300'!OSRRefJ21_7x_0</vt:lpstr>
      <vt:lpstr>'300 &amp; 317'!OSRRefJ21_7x_0</vt:lpstr>
      <vt:lpstr>'301'!OSRRefJ21_7x_0</vt:lpstr>
      <vt:lpstr>'306'!OSRRefJ21_7x_0</vt:lpstr>
      <vt:lpstr>'307'!OSRRefJ21_7x_0</vt:lpstr>
      <vt:lpstr>'308'!OSRRefJ21_7x_0</vt:lpstr>
      <vt:lpstr>'309'!OSRRefJ21_7x_0</vt:lpstr>
      <vt:lpstr>'310'!OSRRefJ21_7x_0</vt:lpstr>
      <vt:lpstr>'310 &amp; 491'!OSRRefJ21_7x_0</vt:lpstr>
      <vt:lpstr>'311'!OSRRefJ21_7x_0</vt:lpstr>
      <vt:lpstr>'312'!OSRRefJ21_7x_0</vt:lpstr>
      <vt:lpstr>'313'!OSRRefJ21_7x_0</vt:lpstr>
      <vt:lpstr>'314'!OSRRefJ21_7x_0</vt:lpstr>
      <vt:lpstr>'315'!OSRRefJ21_7x_0</vt:lpstr>
      <vt:lpstr>'316'!OSRRefJ21_7x_0</vt:lpstr>
      <vt:lpstr>'317'!OSRRefJ21_7x_0</vt:lpstr>
      <vt:lpstr>'318'!OSRRefJ21_7x_0</vt:lpstr>
      <vt:lpstr>'320'!OSRRefJ21_7x_0</vt:lpstr>
      <vt:lpstr>'321'!OSRRefJ21_7x_0</vt:lpstr>
      <vt:lpstr>'322'!OSRRefJ21_7x_0</vt:lpstr>
      <vt:lpstr>'323'!OSRRefJ21_7x_0</vt:lpstr>
      <vt:lpstr>'325'!OSRRefJ21_7x_0</vt:lpstr>
      <vt:lpstr>'326'!OSRRefJ21_7x_0</vt:lpstr>
      <vt:lpstr>'330'!OSRRefJ21_7x_0</vt:lpstr>
      <vt:lpstr>'331'!OSRRefJ21_7x_0</vt:lpstr>
      <vt:lpstr>'332'!OSRRefJ21_7x_0</vt:lpstr>
      <vt:lpstr>'335'!OSRRefJ21_7x_0</vt:lpstr>
      <vt:lpstr>'405'!OSRRefJ21_7x_0</vt:lpstr>
      <vt:lpstr>'406'!OSRRefJ21_7x_0</vt:lpstr>
      <vt:lpstr>'411'!OSRRefJ21_7x_0</vt:lpstr>
      <vt:lpstr>'412'!OSRRefJ21_7x_0</vt:lpstr>
      <vt:lpstr>'413'!OSRRefJ21_7x_0</vt:lpstr>
      <vt:lpstr>'414'!OSRRefJ21_7x_0</vt:lpstr>
      <vt:lpstr>'415'!OSRRefJ21_7x_0</vt:lpstr>
      <vt:lpstr>'418'!OSRRefJ21_7x_0</vt:lpstr>
      <vt:lpstr>'420'!OSRRefJ21_7x_0</vt:lpstr>
      <vt:lpstr>'423'!OSRRefJ21_7x_0</vt:lpstr>
      <vt:lpstr>'424'!OSRRefJ21_7x_0</vt:lpstr>
      <vt:lpstr>'425'!OSRRefJ21_7x_0</vt:lpstr>
      <vt:lpstr>'430'!OSRRefJ21_7x_0</vt:lpstr>
      <vt:lpstr>'433'!OSRRefJ21_7x_0</vt:lpstr>
      <vt:lpstr>'435'!OSRRefJ21_7x_0</vt:lpstr>
      <vt:lpstr>'444'!OSRRefJ21_7x_0</vt:lpstr>
      <vt:lpstr>'445'!OSRRefJ21_7x_0</vt:lpstr>
      <vt:lpstr>'450'!OSRRefJ21_7x_0</vt:lpstr>
      <vt:lpstr>'491'!OSRRefJ21_7x_0</vt:lpstr>
      <vt:lpstr>'492'!OSRRefJ21_7x_0</vt:lpstr>
      <vt:lpstr>'501'!OSRRefJ21_7x_0</vt:lpstr>
      <vt:lpstr>'Div 2'!OSRRefJ21_7x_0</vt:lpstr>
      <vt:lpstr>'Div 3'!OSRRefJ21_7x_0</vt:lpstr>
      <vt:lpstr>'Div 4'!OSRRefJ21_7x_0</vt:lpstr>
      <vt:lpstr>'Div 5'!OSRRefJ21_7x_0</vt:lpstr>
      <vt:lpstr>'Div 6'!OSRRefJ21_7x_0</vt:lpstr>
      <vt:lpstr>Summary!OSRRefJ21_7x_0</vt:lpstr>
      <vt:lpstr>'201'!OSRRefJ21_8x_0</vt:lpstr>
      <vt:lpstr>'202'!OSRRefJ21_8x_0</vt:lpstr>
      <vt:lpstr>'203'!OSRRefJ21_8x_0</vt:lpstr>
      <vt:lpstr>'204'!OSRRefJ21_8x_0</vt:lpstr>
      <vt:lpstr>'205'!OSRRefJ21_8x_0</vt:lpstr>
      <vt:lpstr>'206'!OSRRefJ21_8x_0</vt:lpstr>
      <vt:lpstr>'300'!OSRRefJ21_8x_0</vt:lpstr>
      <vt:lpstr>'300 &amp; 317'!OSRRefJ21_8x_0</vt:lpstr>
      <vt:lpstr>'301'!OSRRefJ21_8x_0</vt:lpstr>
      <vt:lpstr>'306'!OSRRefJ21_8x_0</vt:lpstr>
      <vt:lpstr>'307'!OSRRefJ21_8x_0</vt:lpstr>
      <vt:lpstr>'308'!OSRRefJ21_8x_0</vt:lpstr>
      <vt:lpstr>'309'!OSRRefJ21_8x_0</vt:lpstr>
      <vt:lpstr>'310'!OSRRefJ21_8x_0</vt:lpstr>
      <vt:lpstr>'310 &amp; 491'!OSRRefJ21_8x_0</vt:lpstr>
      <vt:lpstr>'311'!OSRRefJ21_8x_0</vt:lpstr>
      <vt:lpstr>'312'!OSRRefJ21_8x_0</vt:lpstr>
      <vt:lpstr>'313'!OSRRefJ21_8x_0</vt:lpstr>
      <vt:lpstr>'314'!OSRRefJ21_8x_0</vt:lpstr>
      <vt:lpstr>'315'!OSRRefJ21_8x_0</vt:lpstr>
      <vt:lpstr>'316'!OSRRefJ21_8x_0</vt:lpstr>
      <vt:lpstr>'317'!OSRRefJ21_8x_0</vt:lpstr>
      <vt:lpstr>'318'!OSRRefJ21_8x_0</vt:lpstr>
      <vt:lpstr>'320'!OSRRefJ21_8x_0</vt:lpstr>
      <vt:lpstr>'321'!OSRRefJ21_8x_0</vt:lpstr>
      <vt:lpstr>'322'!OSRRefJ21_8x_0</vt:lpstr>
      <vt:lpstr>'325'!OSRRefJ21_8x_0</vt:lpstr>
      <vt:lpstr>'326'!OSRRefJ21_8x_0</vt:lpstr>
      <vt:lpstr>'330'!OSRRefJ21_8x_0</vt:lpstr>
      <vt:lpstr>'331'!OSRRefJ21_8x_0</vt:lpstr>
      <vt:lpstr>'332'!OSRRefJ21_8x_0</vt:lpstr>
      <vt:lpstr>'335'!OSRRefJ21_8x_0</vt:lpstr>
      <vt:lpstr>'405'!OSRRefJ21_8x_0</vt:lpstr>
      <vt:lpstr>'406'!OSRRefJ21_8x_0</vt:lpstr>
      <vt:lpstr>'411'!OSRRefJ21_8x_0</vt:lpstr>
      <vt:lpstr>'412'!OSRRefJ21_8x_0</vt:lpstr>
      <vt:lpstr>'413'!OSRRefJ21_8x_0</vt:lpstr>
      <vt:lpstr>'414'!OSRRefJ21_8x_0</vt:lpstr>
      <vt:lpstr>'415'!OSRRefJ21_8x_0</vt:lpstr>
      <vt:lpstr>'418'!OSRRefJ21_8x_0</vt:lpstr>
      <vt:lpstr>'420'!OSRRefJ21_8x_0</vt:lpstr>
      <vt:lpstr>'423'!OSRRefJ21_8x_0</vt:lpstr>
      <vt:lpstr>'424'!OSRRefJ21_8x_0</vt:lpstr>
      <vt:lpstr>'425'!OSRRefJ21_8x_0</vt:lpstr>
      <vt:lpstr>'430'!OSRRefJ21_8x_0</vt:lpstr>
      <vt:lpstr>'433'!OSRRefJ21_8x_0</vt:lpstr>
      <vt:lpstr>'435'!OSRRefJ21_8x_0</vt:lpstr>
      <vt:lpstr>'444'!OSRRefJ21_8x_0</vt:lpstr>
      <vt:lpstr>'445'!OSRRefJ21_8x_0</vt:lpstr>
      <vt:lpstr>'450'!OSRRefJ21_8x_0</vt:lpstr>
      <vt:lpstr>'491'!OSRRefJ21_8x_0</vt:lpstr>
      <vt:lpstr>'492'!OSRRefJ21_8x_0</vt:lpstr>
      <vt:lpstr>'501'!OSRRefJ21_8x_0</vt:lpstr>
      <vt:lpstr>'Div 2'!OSRRefJ21_8x_0</vt:lpstr>
      <vt:lpstr>'Div 3'!OSRRefJ21_8x_0</vt:lpstr>
      <vt:lpstr>'Div 4'!OSRRefJ21_8x_0</vt:lpstr>
      <vt:lpstr>'Div 5'!OSRRefJ21_8x_0</vt:lpstr>
      <vt:lpstr>'Div 6'!OSRRefJ21_8x_0</vt:lpstr>
      <vt:lpstr>Summary!OSRRefJ21_8x_0</vt:lpstr>
      <vt:lpstr>'201'!OSRRefJ21_9x_0</vt:lpstr>
      <vt:lpstr>'202'!OSRRefJ21_9x_0</vt:lpstr>
      <vt:lpstr>'203'!OSRRefJ21_9x_0</vt:lpstr>
      <vt:lpstr>'204'!OSRRefJ21_9x_0</vt:lpstr>
      <vt:lpstr>'206'!OSRRefJ21_9x_0</vt:lpstr>
      <vt:lpstr>'300'!OSRRefJ21_9x_0</vt:lpstr>
      <vt:lpstr>'300 &amp; 317'!OSRRefJ21_9x_0</vt:lpstr>
      <vt:lpstr>'301'!OSRRefJ21_9x_0</vt:lpstr>
      <vt:lpstr>'306'!OSRRefJ21_9x_0</vt:lpstr>
      <vt:lpstr>'307'!OSRRefJ21_9x_0</vt:lpstr>
      <vt:lpstr>'308'!OSRRefJ21_9x_0</vt:lpstr>
      <vt:lpstr>'309'!OSRRefJ21_9x_0</vt:lpstr>
      <vt:lpstr>'310'!OSRRefJ21_9x_0</vt:lpstr>
      <vt:lpstr>'310 &amp; 491'!OSRRefJ21_9x_0</vt:lpstr>
      <vt:lpstr>'311'!OSRRefJ21_9x_0</vt:lpstr>
      <vt:lpstr>'312'!OSRRefJ21_9x_0</vt:lpstr>
      <vt:lpstr>'313'!OSRRefJ21_9x_0</vt:lpstr>
      <vt:lpstr>'314'!OSRRefJ21_9x_0</vt:lpstr>
      <vt:lpstr>'315'!OSRRefJ21_9x_0</vt:lpstr>
      <vt:lpstr>'316'!OSRRefJ21_9x_0</vt:lpstr>
      <vt:lpstr>'317'!OSRRefJ21_9x_0</vt:lpstr>
      <vt:lpstr>'320'!OSRRefJ21_9x_0</vt:lpstr>
      <vt:lpstr>'321'!OSRRefJ21_9x_0</vt:lpstr>
      <vt:lpstr>'322'!OSRRefJ21_9x_0</vt:lpstr>
      <vt:lpstr>'325'!OSRRefJ21_9x_0</vt:lpstr>
      <vt:lpstr>'326'!OSRRefJ21_9x_0</vt:lpstr>
      <vt:lpstr>'330'!OSRRefJ21_9x_0</vt:lpstr>
      <vt:lpstr>'331'!OSRRefJ21_9x_0</vt:lpstr>
      <vt:lpstr>'332'!OSRRefJ21_9x_0</vt:lpstr>
      <vt:lpstr>'335'!OSRRefJ21_9x_0</vt:lpstr>
      <vt:lpstr>'405'!OSRRefJ21_9x_0</vt:lpstr>
      <vt:lpstr>'406'!OSRRefJ21_9x_0</vt:lpstr>
      <vt:lpstr>'411'!OSRRefJ21_9x_0</vt:lpstr>
      <vt:lpstr>'412'!OSRRefJ21_9x_0</vt:lpstr>
      <vt:lpstr>'413'!OSRRefJ21_9x_0</vt:lpstr>
      <vt:lpstr>'414'!OSRRefJ21_9x_0</vt:lpstr>
      <vt:lpstr>'415'!OSRRefJ21_9x_0</vt:lpstr>
      <vt:lpstr>'418'!OSRRefJ21_9x_0</vt:lpstr>
      <vt:lpstr>'423'!OSRRefJ21_9x_0</vt:lpstr>
      <vt:lpstr>'424'!OSRRefJ21_9x_0</vt:lpstr>
      <vt:lpstr>'425'!OSRRefJ21_9x_0</vt:lpstr>
      <vt:lpstr>'430'!OSRRefJ21_9x_0</vt:lpstr>
      <vt:lpstr>'433'!OSRRefJ21_9x_0</vt:lpstr>
      <vt:lpstr>'435'!OSRRefJ21_9x_0</vt:lpstr>
      <vt:lpstr>'444'!OSRRefJ21_9x_0</vt:lpstr>
      <vt:lpstr>'445'!OSRRefJ21_9x_0</vt:lpstr>
      <vt:lpstr>'450'!OSRRefJ21_9x_0</vt:lpstr>
      <vt:lpstr>'491'!OSRRefJ21_9x_0</vt:lpstr>
      <vt:lpstr>'492'!OSRRefJ21_9x_0</vt:lpstr>
      <vt:lpstr>'501'!OSRRefJ21_9x_0</vt:lpstr>
      <vt:lpstr>'Div 2'!OSRRefJ21_9x_0</vt:lpstr>
      <vt:lpstr>'Div 3'!OSRRefJ21_9x_0</vt:lpstr>
      <vt:lpstr>'Div 4'!OSRRefJ21_9x_0</vt:lpstr>
      <vt:lpstr>'Div 5'!OSRRefJ21_9x_0</vt:lpstr>
      <vt:lpstr>'Div 6'!OSRRefJ21_9x_0</vt:lpstr>
      <vt:lpstr>Summary!OSRRefJ21_9x_0</vt:lpstr>
      <vt:lpstr>'200'!OSRRefJ21x_0</vt:lpstr>
      <vt:lpstr>'201'!OSRRefJ21x_0</vt:lpstr>
      <vt:lpstr>'202'!OSRRefJ21x_0</vt:lpstr>
      <vt:lpstr>'203'!OSRRefJ21x_0</vt:lpstr>
      <vt:lpstr>'204'!OSRRefJ21x_0</vt:lpstr>
      <vt:lpstr>'205'!OSRRefJ21x_0</vt:lpstr>
      <vt:lpstr>'206'!OSRRefJ21x_0</vt:lpstr>
      <vt:lpstr>'300'!OSRRefJ21x_0</vt:lpstr>
      <vt:lpstr>'300 &amp; 317'!OSRRefJ21x_0</vt:lpstr>
      <vt:lpstr>'301'!OSRRefJ21x_0</vt:lpstr>
      <vt:lpstr>'306'!OSRRefJ21x_0</vt:lpstr>
      <vt:lpstr>'307'!OSRRefJ21x_0</vt:lpstr>
      <vt:lpstr>'308'!OSRRefJ21x_0</vt:lpstr>
      <vt:lpstr>'309'!OSRRefJ21x_0</vt:lpstr>
      <vt:lpstr>'310'!OSRRefJ21x_0</vt:lpstr>
      <vt:lpstr>'310 &amp; 491'!OSRRefJ21x_0</vt:lpstr>
      <vt:lpstr>'311'!OSRRefJ21x_0</vt:lpstr>
      <vt:lpstr>'312'!OSRRefJ21x_0</vt:lpstr>
      <vt:lpstr>'313'!OSRRefJ21x_0</vt:lpstr>
      <vt:lpstr>'314'!OSRRefJ21x_0</vt:lpstr>
      <vt:lpstr>'315'!OSRRefJ21x_0</vt:lpstr>
      <vt:lpstr>'316'!OSRRefJ21x_0</vt:lpstr>
      <vt:lpstr>'317'!OSRRefJ21x_0</vt:lpstr>
      <vt:lpstr>'318'!OSRRefJ21x_0</vt:lpstr>
      <vt:lpstr>'320'!OSRRefJ21x_0</vt:lpstr>
      <vt:lpstr>'321'!OSRRefJ21x_0</vt:lpstr>
      <vt:lpstr>'322'!OSRRefJ21x_0</vt:lpstr>
      <vt:lpstr>'323'!OSRRefJ21x_0</vt:lpstr>
      <vt:lpstr>'324'!OSRRefJ21x_0</vt:lpstr>
      <vt:lpstr>'325'!OSRRefJ21x_0</vt:lpstr>
      <vt:lpstr>'326'!OSRRefJ21x_0</vt:lpstr>
      <vt:lpstr>'327'!OSRRefJ21x_0</vt:lpstr>
      <vt:lpstr>'330'!OSRRefJ21x_0</vt:lpstr>
      <vt:lpstr>'331'!OSRRefJ21x_0</vt:lpstr>
      <vt:lpstr>'332'!OSRRefJ21x_0</vt:lpstr>
      <vt:lpstr>'335'!OSRRefJ21x_0</vt:lpstr>
      <vt:lpstr>'405'!OSRRefJ21x_0</vt:lpstr>
      <vt:lpstr>'406'!OSRRefJ21x_0</vt:lpstr>
      <vt:lpstr>'411'!OSRRefJ21x_0</vt:lpstr>
      <vt:lpstr>'412'!OSRRefJ21x_0</vt:lpstr>
      <vt:lpstr>'413'!OSRRefJ21x_0</vt:lpstr>
      <vt:lpstr>'414'!OSRRefJ21x_0</vt:lpstr>
      <vt:lpstr>'415'!OSRRefJ21x_0</vt:lpstr>
      <vt:lpstr>'418'!OSRRefJ21x_0</vt:lpstr>
      <vt:lpstr>'420'!OSRRefJ21x_0</vt:lpstr>
      <vt:lpstr>'423'!OSRRefJ21x_0</vt:lpstr>
      <vt:lpstr>'424'!OSRRefJ21x_0</vt:lpstr>
      <vt:lpstr>'425'!OSRRefJ21x_0</vt:lpstr>
      <vt:lpstr>'430'!OSRRefJ21x_0</vt:lpstr>
      <vt:lpstr>'433'!OSRRefJ21x_0</vt:lpstr>
      <vt:lpstr>'435'!OSRRefJ21x_0</vt:lpstr>
      <vt:lpstr>'444'!OSRRefJ21x_0</vt:lpstr>
      <vt:lpstr>'445'!OSRRefJ21x_0</vt:lpstr>
      <vt:lpstr>'450'!OSRRefJ21x_0</vt:lpstr>
      <vt:lpstr>'455'!OSRRefJ21x_0</vt:lpstr>
      <vt:lpstr>'491'!OSRRefJ21x_0</vt:lpstr>
      <vt:lpstr>'492'!OSRRefJ21x_0</vt:lpstr>
      <vt:lpstr>'501'!OSRRefJ21x_0</vt:lpstr>
      <vt:lpstr>'Div 2'!OSRRefJ21x_0</vt:lpstr>
      <vt:lpstr>'Div 3'!OSRRefJ21x_0</vt:lpstr>
      <vt:lpstr>'Div 4'!OSRRefJ21x_0</vt:lpstr>
      <vt:lpstr>'Div 5'!OSRRefJ21x_0</vt:lpstr>
      <vt:lpstr>'Div 6'!OSRRefJ21x_0</vt:lpstr>
      <vt:lpstr>Summary!OSRRefJ21x_0</vt:lpstr>
      <vt:lpstr>'202'!OSRRefJ24x_0</vt:lpstr>
      <vt:lpstr>'300'!OSRRefJ24x_0</vt:lpstr>
      <vt:lpstr>'300 &amp; 317'!OSRRefJ24x_0</vt:lpstr>
      <vt:lpstr>'301'!OSRRefJ24x_0</vt:lpstr>
      <vt:lpstr>'307'!OSRRefJ24x_0</vt:lpstr>
      <vt:lpstr>'308'!OSRRefJ24x_0</vt:lpstr>
      <vt:lpstr>'309'!OSRRefJ24x_0</vt:lpstr>
      <vt:lpstr>'310'!OSRRefJ24x_0</vt:lpstr>
      <vt:lpstr>'310 &amp; 491'!OSRRefJ24x_0</vt:lpstr>
      <vt:lpstr>'311'!OSRRefJ24x_0</vt:lpstr>
      <vt:lpstr>'312'!OSRRefJ24x_0</vt:lpstr>
      <vt:lpstr>'314'!OSRRefJ24x_0</vt:lpstr>
      <vt:lpstr>'315'!OSRRefJ24x_0</vt:lpstr>
      <vt:lpstr>'316'!OSRRefJ24x_0</vt:lpstr>
      <vt:lpstr>'317'!OSRRefJ24x_0</vt:lpstr>
      <vt:lpstr>'320'!OSRRefJ24x_0</vt:lpstr>
      <vt:lpstr>'330'!OSRRefJ24x_0</vt:lpstr>
      <vt:lpstr>'331'!OSRRefJ24x_0</vt:lpstr>
      <vt:lpstr>'332'!OSRRefJ24x_0</vt:lpstr>
      <vt:lpstr>'411'!OSRRefJ24x_0</vt:lpstr>
      <vt:lpstr>'413'!OSRRefJ24x_0</vt:lpstr>
      <vt:lpstr>'415'!OSRRefJ24x_0</vt:lpstr>
      <vt:lpstr>'418'!OSRRefJ24x_0</vt:lpstr>
      <vt:lpstr>'423'!OSRRefJ24x_0</vt:lpstr>
      <vt:lpstr>'424'!OSRRefJ24x_0</vt:lpstr>
      <vt:lpstr>'425'!OSRRefJ24x_0</vt:lpstr>
      <vt:lpstr>'455'!OSRRefJ24x_0</vt:lpstr>
      <vt:lpstr>'491'!OSRRefJ24x_0</vt:lpstr>
      <vt:lpstr>'501'!OSRRefJ24x_0</vt:lpstr>
      <vt:lpstr>'Div 2'!OSRRefJ24x_0</vt:lpstr>
      <vt:lpstr>'Div 3'!OSRRefJ24x_0</vt:lpstr>
      <vt:lpstr>'Div 4'!OSRRefJ24x_0</vt:lpstr>
      <vt:lpstr>'Div 5'!OSRRefJ24x_0</vt:lpstr>
      <vt:lpstr>'Div 6'!OSRRefJ24x_0</vt:lpstr>
      <vt:lpstr>Summary!OSRRefJ24x_0</vt:lpstr>
      <vt:lpstr>'201'!OSRRefL11x_0</vt:lpstr>
      <vt:lpstr>'202'!OSRRefL11x_0</vt:lpstr>
      <vt:lpstr>'300'!OSRRefL11x_0</vt:lpstr>
      <vt:lpstr>'300 &amp; 317'!OSRRefL11x_0</vt:lpstr>
      <vt:lpstr>'307'!OSRRefL11x_0</vt:lpstr>
      <vt:lpstr>'308'!OSRRefL11x_0</vt:lpstr>
      <vt:lpstr>'309'!OSRRefL11x_0</vt:lpstr>
      <vt:lpstr>'310'!OSRRefL11x_0</vt:lpstr>
      <vt:lpstr>'310 &amp; 491'!OSRRefL11x_0</vt:lpstr>
      <vt:lpstr>'311'!OSRRefL11x_0</vt:lpstr>
      <vt:lpstr>'312'!OSRRefL11x_0</vt:lpstr>
      <vt:lpstr>'313'!OSRRefL11x_0</vt:lpstr>
      <vt:lpstr>'314'!OSRRefL11x_0</vt:lpstr>
      <vt:lpstr>'315'!OSRRefL11x_0</vt:lpstr>
      <vt:lpstr>'316'!OSRRefL11x_0</vt:lpstr>
      <vt:lpstr>'317'!OSRRefL11x_0</vt:lpstr>
      <vt:lpstr>'320'!OSRRefL11x_0</vt:lpstr>
      <vt:lpstr>'321'!OSRRefL11x_0</vt:lpstr>
      <vt:lpstr>'322'!OSRRefL11x_0</vt:lpstr>
      <vt:lpstr>'323'!OSRRefL11x_0</vt:lpstr>
      <vt:lpstr>'324'!OSRRefL11x_0</vt:lpstr>
      <vt:lpstr>'325'!OSRRefL11x_0</vt:lpstr>
      <vt:lpstr>'326'!OSRRefL11x_0</vt:lpstr>
      <vt:lpstr>'327'!OSRRefL11x_0</vt:lpstr>
      <vt:lpstr>'330'!OSRRefL11x_0</vt:lpstr>
      <vt:lpstr>'331'!OSRRefL11x_0</vt:lpstr>
      <vt:lpstr>'332'!OSRRefL11x_0</vt:lpstr>
      <vt:lpstr>'405'!OSRRefL11x_0</vt:lpstr>
      <vt:lpstr>'406'!OSRRefL11x_0</vt:lpstr>
      <vt:lpstr>'412'!OSRRefL11x_0</vt:lpstr>
      <vt:lpstr>'413'!OSRRefL11x_0</vt:lpstr>
      <vt:lpstr>'414'!OSRRefL11x_0</vt:lpstr>
      <vt:lpstr>'415'!OSRRefL11x_0</vt:lpstr>
      <vt:lpstr>'418'!OSRRefL11x_0</vt:lpstr>
      <vt:lpstr>'420'!OSRRefL11x_0</vt:lpstr>
      <vt:lpstr>'424'!OSRRefL11x_0</vt:lpstr>
      <vt:lpstr>'425'!OSRRefL11x_0</vt:lpstr>
      <vt:lpstr>'433'!OSRRefL11x_0</vt:lpstr>
      <vt:lpstr>'435'!OSRRefL11x_0</vt:lpstr>
      <vt:lpstr>'444'!OSRRefL11x_0</vt:lpstr>
      <vt:lpstr>'445'!OSRRefL11x_0</vt:lpstr>
      <vt:lpstr>'450'!OSRRefL11x_0</vt:lpstr>
      <vt:lpstr>'491'!OSRRefL11x_0</vt:lpstr>
      <vt:lpstr>'492'!OSRRefL11x_0</vt:lpstr>
      <vt:lpstr>'501'!OSRRefL11x_0</vt:lpstr>
      <vt:lpstr>'Div 2'!OSRRefL11x_0</vt:lpstr>
      <vt:lpstr>'Div 3'!OSRRefL11x_0</vt:lpstr>
      <vt:lpstr>'Div 4'!OSRRefL11x_0</vt:lpstr>
      <vt:lpstr>'Div 5'!OSRRefL11x_0</vt:lpstr>
      <vt:lpstr>'Div 6'!OSRRefL11x_0</vt:lpstr>
      <vt:lpstr>Summary!OSRRefL11x_0</vt:lpstr>
      <vt:lpstr>'300'!OSRRefL14x_0</vt:lpstr>
      <vt:lpstr>'300 &amp; 317'!OSRRefL14x_0</vt:lpstr>
      <vt:lpstr>'301'!OSRRefL14x_0</vt:lpstr>
      <vt:lpstr>'307'!OSRRefL14x_0</vt:lpstr>
      <vt:lpstr>'308'!OSRRefL14x_0</vt:lpstr>
      <vt:lpstr>'309'!OSRRefL14x_0</vt:lpstr>
      <vt:lpstr>'310'!OSRRefL14x_0</vt:lpstr>
      <vt:lpstr>'310 &amp; 491'!OSRRefL14x_0</vt:lpstr>
      <vt:lpstr>'311'!OSRRefL14x_0</vt:lpstr>
      <vt:lpstr>'312'!OSRRefL14x_0</vt:lpstr>
      <vt:lpstr>'313'!OSRRefL14x_0</vt:lpstr>
      <vt:lpstr>'314'!OSRRefL14x_0</vt:lpstr>
      <vt:lpstr>'315'!OSRRefL14x_0</vt:lpstr>
      <vt:lpstr>'316'!OSRRefL14x_0</vt:lpstr>
      <vt:lpstr>'317'!OSRRefL14x_0</vt:lpstr>
      <vt:lpstr>'320'!OSRRefL14x_0</vt:lpstr>
      <vt:lpstr>'321'!OSRRefL14x_0</vt:lpstr>
      <vt:lpstr>'322'!OSRRefL14x_0</vt:lpstr>
      <vt:lpstr>'324'!OSRRefL14x_0</vt:lpstr>
      <vt:lpstr>'325'!OSRRefL14x_0</vt:lpstr>
      <vt:lpstr>'326'!OSRRefL14x_0</vt:lpstr>
      <vt:lpstr>'327'!OSRRefL14x_0</vt:lpstr>
      <vt:lpstr>'330'!OSRRefL14x_0</vt:lpstr>
      <vt:lpstr>'331'!OSRRefL14x_0</vt:lpstr>
      <vt:lpstr>'332'!OSRRefL14x_0</vt:lpstr>
      <vt:lpstr>'405'!OSRRefL14x_0</vt:lpstr>
      <vt:lpstr>'406'!OSRRefL14x_0</vt:lpstr>
      <vt:lpstr>'412'!OSRRefL14x_0</vt:lpstr>
      <vt:lpstr>'413'!OSRRefL14x_0</vt:lpstr>
      <vt:lpstr>'414'!OSRRefL14x_0</vt:lpstr>
      <vt:lpstr>'415'!OSRRefL14x_0</vt:lpstr>
      <vt:lpstr>'418'!OSRRefL14x_0</vt:lpstr>
      <vt:lpstr>'420'!OSRRefL14x_0</vt:lpstr>
      <vt:lpstr>'423'!OSRRefL14x_0</vt:lpstr>
      <vt:lpstr>'424'!OSRRefL14x_0</vt:lpstr>
      <vt:lpstr>'425'!OSRRefL14x_0</vt:lpstr>
      <vt:lpstr>'433'!OSRRefL14x_0</vt:lpstr>
      <vt:lpstr>'435'!OSRRefL14x_0</vt:lpstr>
      <vt:lpstr>'444'!OSRRefL14x_0</vt:lpstr>
      <vt:lpstr>'445'!OSRRefL14x_0</vt:lpstr>
      <vt:lpstr>'450'!OSRRefL14x_0</vt:lpstr>
      <vt:lpstr>'491'!OSRRefL14x_0</vt:lpstr>
      <vt:lpstr>'492'!OSRRefL14x_0</vt:lpstr>
      <vt:lpstr>'Div 3'!OSRRefL14x_0</vt:lpstr>
      <vt:lpstr>'Div 4'!OSRRefL14x_0</vt:lpstr>
      <vt:lpstr>'Div 6'!OSRRefL14x_0</vt:lpstr>
      <vt:lpstr>Summary!OSRRefL14x_0</vt:lpstr>
      <vt:lpstr>'200'!OSRRefL21_0x_0</vt:lpstr>
      <vt:lpstr>'201'!OSRRefL21_0x_0</vt:lpstr>
      <vt:lpstr>'202'!OSRRefL21_0x_0</vt:lpstr>
      <vt:lpstr>'203'!OSRRefL21_0x_0</vt:lpstr>
      <vt:lpstr>'204'!OSRRefL21_0x_0</vt:lpstr>
      <vt:lpstr>'205'!OSRRefL21_0x_0</vt:lpstr>
      <vt:lpstr>'206'!OSRRefL21_0x_0</vt:lpstr>
      <vt:lpstr>'300'!OSRRefL21_0x_0</vt:lpstr>
      <vt:lpstr>'300 &amp; 317'!OSRRefL21_0x_0</vt:lpstr>
      <vt:lpstr>'301'!OSRRefL21_0x_0</vt:lpstr>
      <vt:lpstr>'306'!OSRRefL21_0x_0</vt:lpstr>
      <vt:lpstr>'307'!OSRRefL21_0x_0</vt:lpstr>
      <vt:lpstr>'308'!OSRRefL21_0x_0</vt:lpstr>
      <vt:lpstr>'309'!OSRRefL21_0x_0</vt:lpstr>
      <vt:lpstr>'310'!OSRRefL21_0x_0</vt:lpstr>
      <vt:lpstr>'310 &amp; 491'!OSRRefL21_0x_0</vt:lpstr>
      <vt:lpstr>'311'!OSRRefL21_0x_0</vt:lpstr>
      <vt:lpstr>'312'!OSRRefL21_0x_0</vt:lpstr>
      <vt:lpstr>'313'!OSRRefL21_0x_0</vt:lpstr>
      <vt:lpstr>'314'!OSRRefL21_0x_0</vt:lpstr>
      <vt:lpstr>'315'!OSRRefL21_0x_0</vt:lpstr>
      <vt:lpstr>'316'!OSRRefL21_0x_0</vt:lpstr>
      <vt:lpstr>'317'!OSRRefL21_0x_0</vt:lpstr>
      <vt:lpstr>'318'!OSRRefL21_0x_0</vt:lpstr>
      <vt:lpstr>'320'!OSRRefL21_0x_0</vt:lpstr>
      <vt:lpstr>'321'!OSRRefL21_0x_0</vt:lpstr>
      <vt:lpstr>'322'!OSRRefL21_0x_0</vt:lpstr>
      <vt:lpstr>'323'!OSRRefL21_0x_0</vt:lpstr>
      <vt:lpstr>'324'!OSRRefL21_0x_0</vt:lpstr>
      <vt:lpstr>'325'!OSRRefL21_0x_0</vt:lpstr>
      <vt:lpstr>'326'!OSRRefL21_0x_0</vt:lpstr>
      <vt:lpstr>'327'!OSRRefL21_0x_0</vt:lpstr>
      <vt:lpstr>'330'!OSRRefL21_0x_0</vt:lpstr>
      <vt:lpstr>'331'!OSRRefL21_0x_0</vt:lpstr>
      <vt:lpstr>'332'!OSRRefL21_0x_0</vt:lpstr>
      <vt:lpstr>'335'!OSRRefL21_0x_0</vt:lpstr>
      <vt:lpstr>'405'!OSRRefL21_0x_0</vt:lpstr>
      <vt:lpstr>'406'!OSRRefL21_0x_0</vt:lpstr>
      <vt:lpstr>'411'!OSRRefL21_0x_0</vt:lpstr>
      <vt:lpstr>'412'!OSRRefL21_0x_0</vt:lpstr>
      <vt:lpstr>'413'!OSRRefL21_0x_0</vt:lpstr>
      <vt:lpstr>'414'!OSRRefL21_0x_0</vt:lpstr>
      <vt:lpstr>'415'!OSRRefL21_0x_0</vt:lpstr>
      <vt:lpstr>'418'!OSRRefL21_0x_0</vt:lpstr>
      <vt:lpstr>'420'!OSRRefL21_0x_0</vt:lpstr>
      <vt:lpstr>'423'!OSRRefL21_0x_0</vt:lpstr>
      <vt:lpstr>'424'!OSRRefL21_0x_0</vt:lpstr>
      <vt:lpstr>'425'!OSRRefL21_0x_0</vt:lpstr>
      <vt:lpstr>'430'!OSRRefL21_0x_0</vt:lpstr>
      <vt:lpstr>'433'!OSRRefL21_0x_0</vt:lpstr>
      <vt:lpstr>'435'!OSRRefL21_0x_0</vt:lpstr>
      <vt:lpstr>'444'!OSRRefL21_0x_0</vt:lpstr>
      <vt:lpstr>'445'!OSRRefL21_0x_0</vt:lpstr>
      <vt:lpstr>'450'!OSRRefL21_0x_0</vt:lpstr>
      <vt:lpstr>'455'!OSRRefL21_0x_0</vt:lpstr>
      <vt:lpstr>'491'!OSRRefL21_0x_0</vt:lpstr>
      <vt:lpstr>'492'!OSRRefL21_0x_0</vt:lpstr>
      <vt:lpstr>'501'!OSRRefL21_0x_0</vt:lpstr>
      <vt:lpstr>'Div 2'!OSRRefL21_0x_0</vt:lpstr>
      <vt:lpstr>'Div 3'!OSRRefL21_0x_0</vt:lpstr>
      <vt:lpstr>'Div 4'!OSRRefL21_0x_0</vt:lpstr>
      <vt:lpstr>'Div 5'!OSRRefL21_0x_0</vt:lpstr>
      <vt:lpstr>'Div 6'!OSRRefL21_0x_0</vt:lpstr>
      <vt:lpstr>Summary!OSRRefL21_0x_0</vt:lpstr>
      <vt:lpstr>'201'!OSRRefL21_10x_0</vt:lpstr>
      <vt:lpstr>'202'!OSRRefL21_10x_0</vt:lpstr>
      <vt:lpstr>'203'!OSRRefL21_10x_0</vt:lpstr>
      <vt:lpstr>'204'!OSRRefL21_10x_0</vt:lpstr>
      <vt:lpstr>'206'!OSRRefL21_10x_0</vt:lpstr>
      <vt:lpstr>'300'!OSRRefL21_10x_0</vt:lpstr>
      <vt:lpstr>'300 &amp; 317'!OSRRefL21_10x_0</vt:lpstr>
      <vt:lpstr>'301'!OSRRefL21_10x_0</vt:lpstr>
      <vt:lpstr>'306'!OSRRefL21_10x_0</vt:lpstr>
      <vt:lpstr>'307'!OSRRefL21_10x_0</vt:lpstr>
      <vt:lpstr>'308'!OSRRefL21_10x_0</vt:lpstr>
      <vt:lpstr>'309'!OSRRefL21_10x_0</vt:lpstr>
      <vt:lpstr>'310'!OSRRefL21_10x_0</vt:lpstr>
      <vt:lpstr>'310 &amp; 491'!OSRRefL21_10x_0</vt:lpstr>
      <vt:lpstr>'311'!OSRRefL21_10x_0</vt:lpstr>
      <vt:lpstr>'313'!OSRRefL21_10x_0</vt:lpstr>
      <vt:lpstr>'314'!OSRRefL21_10x_0</vt:lpstr>
      <vt:lpstr>'315'!OSRRefL21_10x_0</vt:lpstr>
      <vt:lpstr>'316'!OSRRefL21_10x_0</vt:lpstr>
      <vt:lpstr>'317'!OSRRefL21_10x_0</vt:lpstr>
      <vt:lpstr>'320'!OSRRefL21_10x_0</vt:lpstr>
      <vt:lpstr>'321'!OSRRefL21_10x_0</vt:lpstr>
      <vt:lpstr>'322'!OSRRefL21_10x_0</vt:lpstr>
      <vt:lpstr>'325'!OSRRefL21_10x_0</vt:lpstr>
      <vt:lpstr>'326'!OSRRefL21_10x_0</vt:lpstr>
      <vt:lpstr>'330'!OSRRefL21_10x_0</vt:lpstr>
      <vt:lpstr>'331'!OSRRefL21_10x_0</vt:lpstr>
      <vt:lpstr>'332'!OSRRefL21_10x_0</vt:lpstr>
      <vt:lpstr>'405'!OSRRefL21_10x_0</vt:lpstr>
      <vt:lpstr>'406'!OSRRefL21_10x_0</vt:lpstr>
      <vt:lpstr>'411'!OSRRefL21_10x_0</vt:lpstr>
      <vt:lpstr>'412'!OSRRefL21_10x_0</vt:lpstr>
      <vt:lpstr>'413'!OSRRefL21_10x_0</vt:lpstr>
      <vt:lpstr>'414'!OSRRefL21_10x_0</vt:lpstr>
      <vt:lpstr>'415'!OSRRefL21_10x_0</vt:lpstr>
      <vt:lpstr>'418'!OSRRefL21_10x_0</vt:lpstr>
      <vt:lpstr>'423'!OSRRefL21_10x_0</vt:lpstr>
      <vt:lpstr>'424'!OSRRefL21_10x_0</vt:lpstr>
      <vt:lpstr>'425'!OSRRefL21_10x_0</vt:lpstr>
      <vt:lpstr>'430'!OSRRefL21_10x_0</vt:lpstr>
      <vt:lpstr>'433'!OSRRefL21_10x_0</vt:lpstr>
      <vt:lpstr>'435'!OSRRefL21_10x_0</vt:lpstr>
      <vt:lpstr>'444'!OSRRefL21_10x_0</vt:lpstr>
      <vt:lpstr>'445'!OSRRefL21_10x_0</vt:lpstr>
      <vt:lpstr>'450'!OSRRefL21_10x_0</vt:lpstr>
      <vt:lpstr>'491'!OSRRefL21_10x_0</vt:lpstr>
      <vt:lpstr>'492'!OSRRefL21_10x_0</vt:lpstr>
      <vt:lpstr>'501'!OSRRefL21_10x_0</vt:lpstr>
      <vt:lpstr>'Div 2'!OSRRefL21_10x_0</vt:lpstr>
      <vt:lpstr>'Div 3'!OSRRefL21_10x_0</vt:lpstr>
      <vt:lpstr>'Div 4'!OSRRefL21_10x_0</vt:lpstr>
      <vt:lpstr>'Div 5'!OSRRefL21_10x_0</vt:lpstr>
      <vt:lpstr>'Div 6'!OSRRefL21_10x_0</vt:lpstr>
      <vt:lpstr>Summary!OSRRefL21_10x_0</vt:lpstr>
      <vt:lpstr>'201'!OSRRefL21_11x_0</vt:lpstr>
      <vt:lpstr>'202'!OSRRefL21_11x_0</vt:lpstr>
      <vt:lpstr>'203'!OSRRefL21_11x_0</vt:lpstr>
      <vt:lpstr>'204'!OSRRefL21_11x_0</vt:lpstr>
      <vt:lpstr>'206'!OSRRefL21_11x_0</vt:lpstr>
      <vt:lpstr>'300'!OSRRefL21_11x_0</vt:lpstr>
      <vt:lpstr>'300 &amp; 317'!OSRRefL21_11x_0</vt:lpstr>
      <vt:lpstr>'301'!OSRRefL21_11x_0</vt:lpstr>
      <vt:lpstr>'306'!OSRRefL21_11x_0</vt:lpstr>
      <vt:lpstr>'307'!OSRRefL21_11x_0</vt:lpstr>
      <vt:lpstr>'308'!OSRRefL21_11x_0</vt:lpstr>
      <vt:lpstr>'309'!OSRRefL21_11x_0</vt:lpstr>
      <vt:lpstr>'310'!OSRRefL21_11x_0</vt:lpstr>
      <vt:lpstr>'310 &amp; 491'!OSRRefL21_11x_0</vt:lpstr>
      <vt:lpstr>'311'!OSRRefL21_11x_0</vt:lpstr>
      <vt:lpstr>'313'!OSRRefL21_11x_0</vt:lpstr>
      <vt:lpstr>'314'!OSRRefL21_11x_0</vt:lpstr>
      <vt:lpstr>'315'!OSRRefL21_11x_0</vt:lpstr>
      <vt:lpstr>'316'!OSRRefL21_11x_0</vt:lpstr>
      <vt:lpstr>'317'!OSRRefL21_11x_0</vt:lpstr>
      <vt:lpstr>'320'!OSRRefL21_11x_0</vt:lpstr>
      <vt:lpstr>'321'!OSRRefL21_11x_0</vt:lpstr>
      <vt:lpstr>'322'!OSRRefL21_11x_0</vt:lpstr>
      <vt:lpstr>'325'!OSRRefL21_11x_0</vt:lpstr>
      <vt:lpstr>'326'!OSRRefL21_11x_0</vt:lpstr>
      <vt:lpstr>'330'!OSRRefL21_11x_0</vt:lpstr>
      <vt:lpstr>'331'!OSRRefL21_11x_0</vt:lpstr>
      <vt:lpstr>'332'!OSRRefL21_11x_0</vt:lpstr>
      <vt:lpstr>'405'!OSRRefL21_11x_0</vt:lpstr>
      <vt:lpstr>'406'!OSRRefL21_11x_0</vt:lpstr>
      <vt:lpstr>'411'!OSRRefL21_11x_0</vt:lpstr>
      <vt:lpstr>'412'!OSRRefL21_11x_0</vt:lpstr>
      <vt:lpstr>'413'!OSRRefL21_11x_0</vt:lpstr>
      <vt:lpstr>'414'!OSRRefL21_11x_0</vt:lpstr>
      <vt:lpstr>'415'!OSRRefL21_11x_0</vt:lpstr>
      <vt:lpstr>'418'!OSRRefL21_11x_0</vt:lpstr>
      <vt:lpstr>'423'!OSRRefL21_11x_0</vt:lpstr>
      <vt:lpstr>'424'!OSRRefL21_11x_0</vt:lpstr>
      <vt:lpstr>'425'!OSRRefL21_11x_0</vt:lpstr>
      <vt:lpstr>'430'!OSRRefL21_11x_0</vt:lpstr>
      <vt:lpstr>'433'!OSRRefL21_11x_0</vt:lpstr>
      <vt:lpstr>'435'!OSRRefL21_11x_0</vt:lpstr>
      <vt:lpstr>'444'!OSRRefL21_11x_0</vt:lpstr>
      <vt:lpstr>'445'!OSRRefL21_11x_0</vt:lpstr>
      <vt:lpstr>'450'!OSRRefL21_11x_0</vt:lpstr>
      <vt:lpstr>'491'!OSRRefL21_11x_0</vt:lpstr>
      <vt:lpstr>'492'!OSRRefL21_11x_0</vt:lpstr>
      <vt:lpstr>'501'!OSRRefL21_11x_0</vt:lpstr>
      <vt:lpstr>'Div 2'!OSRRefL21_11x_0</vt:lpstr>
      <vt:lpstr>'Div 3'!OSRRefL21_11x_0</vt:lpstr>
      <vt:lpstr>'Div 4'!OSRRefL21_11x_0</vt:lpstr>
      <vt:lpstr>'Div 5'!OSRRefL21_11x_0</vt:lpstr>
      <vt:lpstr>'Div 6'!OSRRefL21_11x_0</vt:lpstr>
      <vt:lpstr>Summary!OSRRefL21_11x_0</vt:lpstr>
      <vt:lpstr>'201'!OSRRefL21_12x_0</vt:lpstr>
      <vt:lpstr>'202'!OSRRefL21_12x_0</vt:lpstr>
      <vt:lpstr>'203'!OSRRefL21_12x_0</vt:lpstr>
      <vt:lpstr>'204'!OSRRefL21_12x_0</vt:lpstr>
      <vt:lpstr>'206'!OSRRefL21_12x_0</vt:lpstr>
      <vt:lpstr>'300'!OSRRefL21_12x_0</vt:lpstr>
      <vt:lpstr>'300 &amp; 317'!OSRRefL21_12x_0</vt:lpstr>
      <vt:lpstr>'301'!OSRRefL21_12x_0</vt:lpstr>
      <vt:lpstr>'306'!OSRRefL21_12x_0</vt:lpstr>
      <vt:lpstr>'307'!OSRRefL21_12x_0</vt:lpstr>
      <vt:lpstr>'308'!OSRRefL21_12x_0</vt:lpstr>
      <vt:lpstr>'309'!OSRRefL21_12x_0</vt:lpstr>
      <vt:lpstr>'310'!OSRRefL21_12x_0</vt:lpstr>
      <vt:lpstr>'310 &amp; 491'!OSRRefL21_12x_0</vt:lpstr>
      <vt:lpstr>'311'!OSRRefL21_12x_0</vt:lpstr>
      <vt:lpstr>'313'!OSRRefL21_12x_0</vt:lpstr>
      <vt:lpstr>'314'!OSRRefL21_12x_0</vt:lpstr>
      <vt:lpstr>'315'!OSRRefL21_12x_0</vt:lpstr>
      <vt:lpstr>'316'!OSRRefL21_12x_0</vt:lpstr>
      <vt:lpstr>'317'!OSRRefL21_12x_0</vt:lpstr>
      <vt:lpstr>'320'!OSRRefL21_12x_0</vt:lpstr>
      <vt:lpstr>'321'!OSRRefL21_12x_0</vt:lpstr>
      <vt:lpstr>'322'!OSRRefL21_12x_0</vt:lpstr>
      <vt:lpstr>'325'!OSRRefL21_12x_0</vt:lpstr>
      <vt:lpstr>'326'!OSRRefL21_12x_0</vt:lpstr>
      <vt:lpstr>'330'!OSRRefL21_12x_0</vt:lpstr>
      <vt:lpstr>'331'!OSRRefL21_12x_0</vt:lpstr>
      <vt:lpstr>'332'!OSRRefL21_12x_0</vt:lpstr>
      <vt:lpstr>'405'!OSRRefL21_12x_0</vt:lpstr>
      <vt:lpstr>'406'!OSRRefL21_12x_0</vt:lpstr>
      <vt:lpstr>'411'!OSRRefL21_12x_0</vt:lpstr>
      <vt:lpstr>'412'!OSRRefL21_12x_0</vt:lpstr>
      <vt:lpstr>'413'!OSRRefL21_12x_0</vt:lpstr>
      <vt:lpstr>'414'!OSRRefL21_12x_0</vt:lpstr>
      <vt:lpstr>'415'!OSRRefL21_12x_0</vt:lpstr>
      <vt:lpstr>'418'!OSRRefL21_12x_0</vt:lpstr>
      <vt:lpstr>'423'!OSRRefL21_12x_0</vt:lpstr>
      <vt:lpstr>'424'!OSRRefL21_12x_0</vt:lpstr>
      <vt:lpstr>'425'!OSRRefL21_12x_0</vt:lpstr>
      <vt:lpstr>'433'!OSRRefL21_12x_0</vt:lpstr>
      <vt:lpstr>'435'!OSRRefL21_12x_0</vt:lpstr>
      <vt:lpstr>'444'!OSRRefL21_12x_0</vt:lpstr>
      <vt:lpstr>'445'!OSRRefL21_12x_0</vt:lpstr>
      <vt:lpstr>'450'!OSRRefL21_12x_0</vt:lpstr>
      <vt:lpstr>'491'!OSRRefL21_12x_0</vt:lpstr>
      <vt:lpstr>'492'!OSRRefL21_12x_0</vt:lpstr>
      <vt:lpstr>'501'!OSRRefL21_12x_0</vt:lpstr>
      <vt:lpstr>'Div 2'!OSRRefL21_12x_0</vt:lpstr>
      <vt:lpstr>'Div 3'!OSRRefL21_12x_0</vt:lpstr>
      <vt:lpstr>'Div 4'!OSRRefL21_12x_0</vt:lpstr>
      <vt:lpstr>'Div 5'!OSRRefL21_12x_0</vt:lpstr>
      <vt:lpstr>'Div 6'!OSRRefL21_12x_0</vt:lpstr>
      <vt:lpstr>Summary!OSRRefL21_12x_0</vt:lpstr>
      <vt:lpstr>'201'!OSRRefL21_13x_0</vt:lpstr>
      <vt:lpstr>'202'!OSRRefL21_13x_0</vt:lpstr>
      <vt:lpstr>'203'!OSRRefL21_13x_0</vt:lpstr>
      <vt:lpstr>'204'!OSRRefL21_13x_0</vt:lpstr>
      <vt:lpstr>'300'!OSRRefL21_13x_0</vt:lpstr>
      <vt:lpstr>'300 &amp; 317'!OSRRefL21_13x_0</vt:lpstr>
      <vt:lpstr>'301'!OSRRefL21_13x_0</vt:lpstr>
      <vt:lpstr>'307'!OSRRefL21_13x_0</vt:lpstr>
      <vt:lpstr>'308'!OSRRefL21_13x_0</vt:lpstr>
      <vt:lpstr>'309'!OSRRefL21_13x_0</vt:lpstr>
      <vt:lpstr>'310'!OSRRefL21_13x_0</vt:lpstr>
      <vt:lpstr>'310 &amp; 491'!OSRRefL21_13x_0</vt:lpstr>
      <vt:lpstr>'311'!OSRRefL21_13x_0</vt:lpstr>
      <vt:lpstr>'313'!OSRRefL21_13x_0</vt:lpstr>
      <vt:lpstr>'314'!OSRRefL21_13x_0</vt:lpstr>
      <vt:lpstr>'315'!OSRRefL21_13x_0</vt:lpstr>
      <vt:lpstr>'316'!OSRRefL21_13x_0</vt:lpstr>
      <vt:lpstr>'317'!OSRRefL21_13x_0</vt:lpstr>
      <vt:lpstr>'321'!OSRRefL21_13x_0</vt:lpstr>
      <vt:lpstr>'322'!OSRRefL21_13x_0</vt:lpstr>
      <vt:lpstr>'325'!OSRRefL21_13x_0</vt:lpstr>
      <vt:lpstr>'326'!OSRRefL21_13x_0</vt:lpstr>
      <vt:lpstr>'330'!OSRRefL21_13x_0</vt:lpstr>
      <vt:lpstr>'331'!OSRRefL21_13x_0</vt:lpstr>
      <vt:lpstr>'332'!OSRRefL21_13x_0</vt:lpstr>
      <vt:lpstr>'405'!OSRRefL21_13x_0</vt:lpstr>
      <vt:lpstr>'406'!OSRRefL21_13x_0</vt:lpstr>
      <vt:lpstr>'411'!OSRRefL21_13x_0</vt:lpstr>
      <vt:lpstr>'412'!OSRRefL21_13x_0</vt:lpstr>
      <vt:lpstr>'413'!OSRRefL21_13x_0</vt:lpstr>
      <vt:lpstr>'414'!OSRRefL21_13x_0</vt:lpstr>
      <vt:lpstr>'415'!OSRRefL21_13x_0</vt:lpstr>
      <vt:lpstr>'418'!OSRRefL21_13x_0</vt:lpstr>
      <vt:lpstr>'424'!OSRRefL21_13x_0</vt:lpstr>
      <vt:lpstr>'425'!OSRRefL21_13x_0</vt:lpstr>
      <vt:lpstr>'433'!OSRRefL21_13x_0</vt:lpstr>
      <vt:lpstr>'435'!OSRRefL21_13x_0</vt:lpstr>
      <vt:lpstr>'444'!OSRRefL21_13x_0</vt:lpstr>
      <vt:lpstr>'445'!OSRRefL21_13x_0</vt:lpstr>
      <vt:lpstr>'450'!OSRRefL21_13x_0</vt:lpstr>
      <vt:lpstr>'491'!OSRRefL21_13x_0</vt:lpstr>
      <vt:lpstr>'492'!OSRRefL21_13x_0</vt:lpstr>
      <vt:lpstr>'501'!OSRRefL21_13x_0</vt:lpstr>
      <vt:lpstr>'Div 2'!OSRRefL21_13x_0</vt:lpstr>
      <vt:lpstr>'Div 3'!OSRRefL21_13x_0</vt:lpstr>
      <vt:lpstr>'Div 4'!OSRRefL21_13x_0</vt:lpstr>
      <vt:lpstr>'Div 5'!OSRRefL21_13x_0</vt:lpstr>
      <vt:lpstr>'Div 6'!OSRRefL21_13x_0</vt:lpstr>
      <vt:lpstr>Summary!OSRRefL21_13x_0</vt:lpstr>
      <vt:lpstr>'201'!OSRRefL21_14x_0</vt:lpstr>
      <vt:lpstr>'202'!OSRRefL21_14x_0</vt:lpstr>
      <vt:lpstr>'203'!OSRRefL21_14x_0</vt:lpstr>
      <vt:lpstr>'300'!OSRRefL21_14x_0</vt:lpstr>
      <vt:lpstr>'300 &amp; 317'!OSRRefL21_14x_0</vt:lpstr>
      <vt:lpstr>'301'!OSRRefL21_14x_0</vt:lpstr>
      <vt:lpstr>'307'!OSRRefL21_14x_0</vt:lpstr>
      <vt:lpstr>'308'!OSRRefL21_14x_0</vt:lpstr>
      <vt:lpstr>'309'!OSRRefL21_14x_0</vt:lpstr>
      <vt:lpstr>'310'!OSRRefL21_14x_0</vt:lpstr>
      <vt:lpstr>'310 &amp; 491'!OSRRefL21_14x_0</vt:lpstr>
      <vt:lpstr>'311'!OSRRefL21_14x_0</vt:lpstr>
      <vt:lpstr>'313'!OSRRefL21_14x_0</vt:lpstr>
      <vt:lpstr>'315'!OSRRefL21_14x_0</vt:lpstr>
      <vt:lpstr>'316'!OSRRefL21_14x_0</vt:lpstr>
      <vt:lpstr>'317'!OSRRefL21_14x_0</vt:lpstr>
      <vt:lpstr>'321'!OSRRefL21_14x_0</vt:lpstr>
      <vt:lpstr>'322'!OSRRefL21_14x_0</vt:lpstr>
      <vt:lpstr>'325'!OSRRefL21_14x_0</vt:lpstr>
      <vt:lpstr>'326'!OSRRefL21_14x_0</vt:lpstr>
      <vt:lpstr>'330'!OSRRefL21_14x_0</vt:lpstr>
      <vt:lpstr>'331'!OSRRefL21_14x_0</vt:lpstr>
      <vt:lpstr>'332'!OSRRefL21_14x_0</vt:lpstr>
      <vt:lpstr>'405'!OSRRefL21_14x_0</vt:lpstr>
      <vt:lpstr>'406'!OSRRefL21_14x_0</vt:lpstr>
      <vt:lpstr>'411'!OSRRefL21_14x_0</vt:lpstr>
      <vt:lpstr>'412'!OSRRefL21_14x_0</vt:lpstr>
      <vt:lpstr>'414'!OSRRefL21_14x_0</vt:lpstr>
      <vt:lpstr>'415'!OSRRefL21_14x_0</vt:lpstr>
      <vt:lpstr>'418'!OSRRefL21_14x_0</vt:lpstr>
      <vt:lpstr>'425'!OSRRefL21_14x_0</vt:lpstr>
      <vt:lpstr>'433'!OSRRefL21_14x_0</vt:lpstr>
      <vt:lpstr>'444'!OSRRefL21_14x_0</vt:lpstr>
      <vt:lpstr>'450'!OSRRefL21_14x_0</vt:lpstr>
      <vt:lpstr>'491'!OSRRefL21_14x_0</vt:lpstr>
      <vt:lpstr>'492'!OSRRefL21_14x_0</vt:lpstr>
      <vt:lpstr>'501'!OSRRefL21_14x_0</vt:lpstr>
      <vt:lpstr>'Div 2'!OSRRefL21_14x_0</vt:lpstr>
      <vt:lpstr>'Div 3'!OSRRefL21_14x_0</vt:lpstr>
      <vt:lpstr>'Div 4'!OSRRefL21_14x_0</vt:lpstr>
      <vt:lpstr>'Div 5'!OSRRefL21_14x_0</vt:lpstr>
      <vt:lpstr>'Div 6'!OSRRefL21_14x_0</vt:lpstr>
      <vt:lpstr>Summary!OSRRefL21_14x_0</vt:lpstr>
      <vt:lpstr>'201'!OSRRefL21_15x_0</vt:lpstr>
      <vt:lpstr>'202'!OSRRefL21_15x_0</vt:lpstr>
      <vt:lpstr>'203'!OSRRefL21_15x_0</vt:lpstr>
      <vt:lpstr>'300'!OSRRefL21_15x_0</vt:lpstr>
      <vt:lpstr>'300 &amp; 317'!OSRRefL21_15x_0</vt:lpstr>
      <vt:lpstr>'301'!OSRRefL21_15x_0</vt:lpstr>
      <vt:lpstr>'307'!OSRRefL21_15x_0</vt:lpstr>
      <vt:lpstr>'308'!OSRRefL21_15x_0</vt:lpstr>
      <vt:lpstr>'309'!OSRRefL21_15x_0</vt:lpstr>
      <vt:lpstr>'310'!OSRRefL21_15x_0</vt:lpstr>
      <vt:lpstr>'310 &amp; 491'!OSRRefL21_15x_0</vt:lpstr>
      <vt:lpstr>'311'!OSRRefL21_15x_0</vt:lpstr>
      <vt:lpstr>'313'!OSRRefL21_15x_0</vt:lpstr>
      <vt:lpstr>'315'!OSRRefL21_15x_0</vt:lpstr>
      <vt:lpstr>'316'!OSRRefL21_15x_0</vt:lpstr>
      <vt:lpstr>'317'!OSRRefL21_15x_0</vt:lpstr>
      <vt:lpstr>'321'!OSRRefL21_15x_0</vt:lpstr>
      <vt:lpstr>'322'!OSRRefL21_15x_0</vt:lpstr>
      <vt:lpstr>'325'!OSRRefL21_15x_0</vt:lpstr>
      <vt:lpstr>'326'!OSRRefL21_15x_0</vt:lpstr>
      <vt:lpstr>'330'!OSRRefL21_15x_0</vt:lpstr>
      <vt:lpstr>'331'!OSRRefL21_15x_0</vt:lpstr>
      <vt:lpstr>'332'!OSRRefL21_15x_0</vt:lpstr>
      <vt:lpstr>'405'!OSRRefL21_15x_0</vt:lpstr>
      <vt:lpstr>'406'!OSRRefL21_15x_0</vt:lpstr>
      <vt:lpstr>'411'!OSRRefL21_15x_0</vt:lpstr>
      <vt:lpstr>'412'!OSRRefL21_15x_0</vt:lpstr>
      <vt:lpstr>'414'!OSRRefL21_15x_0</vt:lpstr>
      <vt:lpstr>'415'!OSRRefL21_15x_0</vt:lpstr>
      <vt:lpstr>'418'!OSRRefL21_15x_0</vt:lpstr>
      <vt:lpstr>'425'!OSRRefL21_15x_0</vt:lpstr>
      <vt:lpstr>'433'!OSRRefL21_15x_0</vt:lpstr>
      <vt:lpstr>'444'!OSRRefL21_15x_0</vt:lpstr>
      <vt:lpstr>'450'!OSRRefL21_15x_0</vt:lpstr>
      <vt:lpstr>'491'!OSRRefL21_15x_0</vt:lpstr>
      <vt:lpstr>'492'!OSRRefL21_15x_0</vt:lpstr>
      <vt:lpstr>'501'!OSRRefL21_15x_0</vt:lpstr>
      <vt:lpstr>'Div 2'!OSRRefL21_15x_0</vt:lpstr>
      <vt:lpstr>'Div 3'!OSRRefL21_15x_0</vt:lpstr>
      <vt:lpstr>'Div 4'!OSRRefL21_15x_0</vt:lpstr>
      <vt:lpstr>'Div 5'!OSRRefL21_15x_0</vt:lpstr>
      <vt:lpstr>'Div 6'!OSRRefL21_15x_0</vt:lpstr>
      <vt:lpstr>Summary!OSRRefL21_15x_0</vt:lpstr>
      <vt:lpstr>'201'!OSRRefL21_16x_0</vt:lpstr>
      <vt:lpstr>'202'!OSRRefL21_16x_0</vt:lpstr>
      <vt:lpstr>'300'!OSRRefL21_16x_0</vt:lpstr>
      <vt:lpstr>'300 &amp; 317'!OSRRefL21_16x_0</vt:lpstr>
      <vt:lpstr>'301'!OSRRefL21_16x_0</vt:lpstr>
      <vt:lpstr>'307'!OSRRefL21_16x_0</vt:lpstr>
      <vt:lpstr>'308'!OSRRefL21_16x_0</vt:lpstr>
      <vt:lpstr>'309'!OSRRefL21_16x_0</vt:lpstr>
      <vt:lpstr>'310'!OSRRefL21_16x_0</vt:lpstr>
      <vt:lpstr>'310 &amp; 491'!OSRRefL21_16x_0</vt:lpstr>
      <vt:lpstr>'311'!OSRRefL21_16x_0</vt:lpstr>
      <vt:lpstr>'313'!OSRRefL21_16x_0</vt:lpstr>
      <vt:lpstr>'315'!OSRRefL21_16x_0</vt:lpstr>
      <vt:lpstr>'321'!OSRRefL21_16x_0</vt:lpstr>
      <vt:lpstr>'322'!OSRRefL21_16x_0</vt:lpstr>
      <vt:lpstr>'325'!OSRRefL21_16x_0</vt:lpstr>
      <vt:lpstr>'326'!OSRRefL21_16x_0</vt:lpstr>
      <vt:lpstr>'330'!OSRRefL21_16x_0</vt:lpstr>
      <vt:lpstr>'331'!OSRRefL21_16x_0</vt:lpstr>
      <vt:lpstr>'332'!OSRRefL21_16x_0</vt:lpstr>
      <vt:lpstr>'405'!OSRRefL21_16x_0</vt:lpstr>
      <vt:lpstr>'406'!OSRRefL21_16x_0</vt:lpstr>
      <vt:lpstr>'411'!OSRRefL21_16x_0</vt:lpstr>
      <vt:lpstr>'412'!OSRRefL21_16x_0</vt:lpstr>
      <vt:lpstr>'414'!OSRRefL21_16x_0</vt:lpstr>
      <vt:lpstr>'415'!OSRRefL21_16x_0</vt:lpstr>
      <vt:lpstr>'418'!OSRRefL21_16x_0</vt:lpstr>
      <vt:lpstr>'425'!OSRRefL21_16x_0</vt:lpstr>
      <vt:lpstr>'433'!OSRRefL21_16x_0</vt:lpstr>
      <vt:lpstr>'444'!OSRRefL21_16x_0</vt:lpstr>
      <vt:lpstr>'450'!OSRRefL21_16x_0</vt:lpstr>
      <vt:lpstr>'491'!OSRRefL21_16x_0</vt:lpstr>
      <vt:lpstr>'492'!OSRRefL21_16x_0</vt:lpstr>
      <vt:lpstr>'501'!OSRRefL21_16x_0</vt:lpstr>
      <vt:lpstr>'Div 2'!OSRRefL21_16x_0</vt:lpstr>
      <vt:lpstr>'Div 3'!OSRRefL21_16x_0</vt:lpstr>
      <vt:lpstr>'Div 4'!OSRRefL21_16x_0</vt:lpstr>
      <vt:lpstr>'Div 5'!OSRRefL21_16x_0</vt:lpstr>
      <vt:lpstr>Summary!OSRRefL21_16x_0</vt:lpstr>
      <vt:lpstr>'201'!OSRRefL21_17x_0</vt:lpstr>
      <vt:lpstr>'300'!OSRRefL21_17x_0</vt:lpstr>
      <vt:lpstr>'300 &amp; 317'!OSRRefL21_17x_0</vt:lpstr>
      <vt:lpstr>'301'!OSRRefL21_17x_0</vt:lpstr>
      <vt:lpstr>'307'!OSRRefL21_17x_0</vt:lpstr>
      <vt:lpstr>'308'!OSRRefL21_17x_0</vt:lpstr>
      <vt:lpstr>'310'!OSRRefL21_17x_0</vt:lpstr>
      <vt:lpstr>'310 &amp; 491'!OSRRefL21_17x_0</vt:lpstr>
      <vt:lpstr>'311'!OSRRefL21_17x_0</vt:lpstr>
      <vt:lpstr>'315'!OSRRefL21_17x_0</vt:lpstr>
      <vt:lpstr>'321'!OSRRefL21_17x_0</vt:lpstr>
      <vt:lpstr>'322'!OSRRefL21_17x_0</vt:lpstr>
      <vt:lpstr>'325'!OSRRefL21_17x_0</vt:lpstr>
      <vt:lpstr>'326'!OSRRefL21_17x_0</vt:lpstr>
      <vt:lpstr>'330'!OSRRefL21_17x_0</vt:lpstr>
      <vt:lpstr>'331'!OSRRefL21_17x_0</vt:lpstr>
      <vt:lpstr>'405'!OSRRefL21_17x_0</vt:lpstr>
      <vt:lpstr>'411'!OSRRefL21_17x_0</vt:lpstr>
      <vt:lpstr>'412'!OSRRefL21_17x_0</vt:lpstr>
      <vt:lpstr>'414'!OSRRefL21_17x_0</vt:lpstr>
      <vt:lpstr>'415'!OSRRefL21_17x_0</vt:lpstr>
      <vt:lpstr>'418'!OSRRefL21_17x_0</vt:lpstr>
      <vt:lpstr>'433'!OSRRefL21_17x_0</vt:lpstr>
      <vt:lpstr>'444'!OSRRefL21_17x_0</vt:lpstr>
      <vt:lpstr>'450'!OSRRefL21_17x_0</vt:lpstr>
      <vt:lpstr>'491'!OSRRefL21_17x_0</vt:lpstr>
      <vt:lpstr>'492'!OSRRefL21_17x_0</vt:lpstr>
      <vt:lpstr>'Div 2'!OSRRefL21_17x_0</vt:lpstr>
      <vt:lpstr>'Div 3'!OSRRefL21_17x_0</vt:lpstr>
      <vt:lpstr>'Div 4'!OSRRefL21_17x_0</vt:lpstr>
      <vt:lpstr>Summary!OSRRefL21_17x_0</vt:lpstr>
      <vt:lpstr>'201'!OSRRefL21_18x_0</vt:lpstr>
      <vt:lpstr>'300'!OSRRefL21_18x_0</vt:lpstr>
      <vt:lpstr>'300 &amp; 317'!OSRRefL21_18x_0</vt:lpstr>
      <vt:lpstr>'301'!OSRRefL21_18x_0</vt:lpstr>
      <vt:lpstr>'307'!OSRRefL21_18x_0</vt:lpstr>
      <vt:lpstr>'310'!OSRRefL21_18x_0</vt:lpstr>
      <vt:lpstr>'310 &amp; 491'!OSRRefL21_18x_0</vt:lpstr>
      <vt:lpstr>'322'!OSRRefL21_18x_0</vt:lpstr>
      <vt:lpstr>'325'!OSRRefL21_18x_0</vt:lpstr>
      <vt:lpstr>'326'!OSRRefL21_18x_0</vt:lpstr>
      <vt:lpstr>'330'!OSRRefL21_18x_0</vt:lpstr>
      <vt:lpstr>'331'!OSRRefL21_18x_0</vt:lpstr>
      <vt:lpstr>'405'!OSRRefL21_18x_0</vt:lpstr>
      <vt:lpstr>'411'!OSRRefL21_18x_0</vt:lpstr>
      <vt:lpstr>'412'!OSRRefL21_18x_0</vt:lpstr>
      <vt:lpstr>'415'!OSRRefL21_18x_0</vt:lpstr>
      <vt:lpstr>'418'!OSRRefL21_18x_0</vt:lpstr>
      <vt:lpstr>'433'!OSRRefL21_18x_0</vt:lpstr>
      <vt:lpstr>'444'!OSRRefL21_18x_0</vt:lpstr>
      <vt:lpstr>'450'!OSRRefL21_18x_0</vt:lpstr>
      <vt:lpstr>'491'!OSRRefL21_18x_0</vt:lpstr>
      <vt:lpstr>'492'!OSRRefL21_18x_0</vt:lpstr>
      <vt:lpstr>'Div 2'!OSRRefL21_18x_0</vt:lpstr>
      <vt:lpstr>'Div 3'!OSRRefL21_18x_0</vt:lpstr>
      <vt:lpstr>'Div 4'!OSRRefL21_18x_0</vt:lpstr>
      <vt:lpstr>Summary!OSRRefL21_18x_0</vt:lpstr>
      <vt:lpstr>'201'!OSRRefL21_19x_0</vt:lpstr>
      <vt:lpstr>'300'!OSRRefL21_19x_0</vt:lpstr>
      <vt:lpstr>'300 &amp; 317'!OSRRefL21_19x_0</vt:lpstr>
      <vt:lpstr>'301'!OSRRefL21_19x_0</vt:lpstr>
      <vt:lpstr>'310'!OSRRefL21_19x_0</vt:lpstr>
      <vt:lpstr>'310 &amp; 491'!OSRRefL21_19x_0</vt:lpstr>
      <vt:lpstr>'322'!OSRRefL21_19x_0</vt:lpstr>
      <vt:lpstr>'325'!OSRRefL21_19x_0</vt:lpstr>
      <vt:lpstr>'326'!OSRRefL21_19x_0</vt:lpstr>
      <vt:lpstr>'331'!OSRRefL21_19x_0</vt:lpstr>
      <vt:lpstr>'411'!OSRRefL21_19x_0</vt:lpstr>
      <vt:lpstr>'415'!OSRRefL21_19x_0</vt:lpstr>
      <vt:lpstr>'418'!OSRRefL21_19x_0</vt:lpstr>
      <vt:lpstr>'433'!OSRRefL21_19x_0</vt:lpstr>
      <vt:lpstr>'444'!OSRRefL21_19x_0</vt:lpstr>
      <vt:lpstr>'491'!OSRRefL21_19x_0</vt:lpstr>
      <vt:lpstr>'492'!OSRRefL21_19x_0</vt:lpstr>
      <vt:lpstr>'Div 2'!OSRRefL21_19x_0</vt:lpstr>
      <vt:lpstr>'Div 3'!OSRRefL21_19x_0</vt:lpstr>
      <vt:lpstr>'Div 4'!OSRRefL21_19x_0</vt:lpstr>
      <vt:lpstr>Summary!OSRRefL21_19x_0</vt:lpstr>
      <vt:lpstr>'200'!OSRRefL21_1x_0</vt:lpstr>
      <vt:lpstr>'201'!OSRRefL21_1x_0</vt:lpstr>
      <vt:lpstr>'202'!OSRRefL21_1x_0</vt:lpstr>
      <vt:lpstr>'203'!OSRRefL21_1x_0</vt:lpstr>
      <vt:lpstr>'204'!OSRRefL21_1x_0</vt:lpstr>
      <vt:lpstr>'205'!OSRRefL21_1x_0</vt:lpstr>
      <vt:lpstr>'206'!OSRRefL21_1x_0</vt:lpstr>
      <vt:lpstr>'300'!OSRRefL21_1x_0</vt:lpstr>
      <vt:lpstr>'300 &amp; 317'!OSRRefL21_1x_0</vt:lpstr>
      <vt:lpstr>'301'!OSRRefL21_1x_0</vt:lpstr>
      <vt:lpstr>'306'!OSRRefL21_1x_0</vt:lpstr>
      <vt:lpstr>'307'!OSRRefL21_1x_0</vt:lpstr>
      <vt:lpstr>'308'!OSRRefL21_1x_0</vt:lpstr>
      <vt:lpstr>'309'!OSRRefL21_1x_0</vt:lpstr>
      <vt:lpstr>'310'!OSRRefL21_1x_0</vt:lpstr>
      <vt:lpstr>'310 &amp; 491'!OSRRefL21_1x_0</vt:lpstr>
      <vt:lpstr>'311'!OSRRefL21_1x_0</vt:lpstr>
      <vt:lpstr>'312'!OSRRefL21_1x_0</vt:lpstr>
      <vt:lpstr>'313'!OSRRefL21_1x_0</vt:lpstr>
      <vt:lpstr>'314'!OSRRefL21_1x_0</vt:lpstr>
      <vt:lpstr>'315'!OSRRefL21_1x_0</vt:lpstr>
      <vt:lpstr>'316'!OSRRefL21_1x_0</vt:lpstr>
      <vt:lpstr>'317'!OSRRefL21_1x_0</vt:lpstr>
      <vt:lpstr>'318'!OSRRefL21_1x_0</vt:lpstr>
      <vt:lpstr>'320'!OSRRefL21_1x_0</vt:lpstr>
      <vt:lpstr>'321'!OSRRefL21_1x_0</vt:lpstr>
      <vt:lpstr>'322'!OSRRefL21_1x_0</vt:lpstr>
      <vt:lpstr>'323'!OSRRefL21_1x_0</vt:lpstr>
      <vt:lpstr>'324'!OSRRefL21_1x_0</vt:lpstr>
      <vt:lpstr>'325'!OSRRefL21_1x_0</vt:lpstr>
      <vt:lpstr>'326'!OSRRefL21_1x_0</vt:lpstr>
      <vt:lpstr>'327'!OSRRefL21_1x_0</vt:lpstr>
      <vt:lpstr>'330'!OSRRefL21_1x_0</vt:lpstr>
      <vt:lpstr>'331'!OSRRefL21_1x_0</vt:lpstr>
      <vt:lpstr>'332'!OSRRefL21_1x_0</vt:lpstr>
      <vt:lpstr>'335'!OSRRefL21_1x_0</vt:lpstr>
      <vt:lpstr>'405'!OSRRefL21_1x_0</vt:lpstr>
      <vt:lpstr>'406'!OSRRefL21_1x_0</vt:lpstr>
      <vt:lpstr>'411'!OSRRefL21_1x_0</vt:lpstr>
      <vt:lpstr>'412'!OSRRefL21_1x_0</vt:lpstr>
      <vt:lpstr>'413'!OSRRefL21_1x_0</vt:lpstr>
      <vt:lpstr>'414'!OSRRefL21_1x_0</vt:lpstr>
      <vt:lpstr>'415'!OSRRefL21_1x_0</vt:lpstr>
      <vt:lpstr>'418'!OSRRefL21_1x_0</vt:lpstr>
      <vt:lpstr>'420'!OSRRefL21_1x_0</vt:lpstr>
      <vt:lpstr>'423'!OSRRefL21_1x_0</vt:lpstr>
      <vt:lpstr>'424'!OSRRefL21_1x_0</vt:lpstr>
      <vt:lpstr>'425'!OSRRefL21_1x_0</vt:lpstr>
      <vt:lpstr>'430'!OSRRefL21_1x_0</vt:lpstr>
      <vt:lpstr>'433'!OSRRefL21_1x_0</vt:lpstr>
      <vt:lpstr>'435'!OSRRefL21_1x_0</vt:lpstr>
      <vt:lpstr>'444'!OSRRefL21_1x_0</vt:lpstr>
      <vt:lpstr>'445'!OSRRefL21_1x_0</vt:lpstr>
      <vt:lpstr>'450'!OSRRefL21_1x_0</vt:lpstr>
      <vt:lpstr>'455'!OSRRefL21_1x_0</vt:lpstr>
      <vt:lpstr>'491'!OSRRefL21_1x_0</vt:lpstr>
      <vt:lpstr>'492'!OSRRefL21_1x_0</vt:lpstr>
      <vt:lpstr>'501'!OSRRefL21_1x_0</vt:lpstr>
      <vt:lpstr>'Div 2'!OSRRefL21_1x_0</vt:lpstr>
      <vt:lpstr>'Div 3'!OSRRefL21_1x_0</vt:lpstr>
      <vt:lpstr>'Div 4'!OSRRefL21_1x_0</vt:lpstr>
      <vt:lpstr>'Div 5'!OSRRefL21_1x_0</vt:lpstr>
      <vt:lpstr>'Div 6'!OSRRefL21_1x_0</vt:lpstr>
      <vt:lpstr>Summary!OSRRefL21_1x_0</vt:lpstr>
      <vt:lpstr>'300'!OSRRefL21_20x_0</vt:lpstr>
      <vt:lpstr>'300 &amp; 317'!OSRRefL21_20x_0</vt:lpstr>
      <vt:lpstr>'301'!OSRRefL21_20x_0</vt:lpstr>
      <vt:lpstr>'310'!OSRRefL21_20x_0</vt:lpstr>
      <vt:lpstr>'310 &amp; 491'!OSRRefL21_20x_0</vt:lpstr>
      <vt:lpstr>'326'!OSRRefL21_20x_0</vt:lpstr>
      <vt:lpstr>'331'!OSRRefL21_20x_0</vt:lpstr>
      <vt:lpstr>'411'!OSRRefL21_20x_0</vt:lpstr>
      <vt:lpstr>'433'!OSRRefL21_20x_0</vt:lpstr>
      <vt:lpstr>'444'!OSRRefL21_20x_0</vt:lpstr>
      <vt:lpstr>'491'!OSRRefL21_20x_0</vt:lpstr>
      <vt:lpstr>'492'!OSRRefL21_20x_0</vt:lpstr>
      <vt:lpstr>'Div 2'!OSRRefL21_20x_0</vt:lpstr>
      <vt:lpstr>'Div 3'!OSRRefL21_20x_0</vt:lpstr>
      <vt:lpstr>'Div 4'!OSRRefL21_20x_0</vt:lpstr>
      <vt:lpstr>Summary!OSRRefL21_20x_0</vt:lpstr>
      <vt:lpstr>'300'!OSRRefL21_21x_0</vt:lpstr>
      <vt:lpstr>'300 &amp; 317'!OSRRefL21_21x_0</vt:lpstr>
      <vt:lpstr>'301'!OSRRefL21_21x_0</vt:lpstr>
      <vt:lpstr>'310'!OSRRefL21_21x_0</vt:lpstr>
      <vt:lpstr>'310 &amp; 491'!OSRRefL21_21x_0</vt:lpstr>
      <vt:lpstr>'326'!OSRRefL21_21x_0</vt:lpstr>
      <vt:lpstr>'331'!OSRRefL21_21x_0</vt:lpstr>
      <vt:lpstr>'411'!OSRRefL21_21x_0</vt:lpstr>
      <vt:lpstr>'491'!OSRRefL21_21x_0</vt:lpstr>
      <vt:lpstr>'492'!OSRRefL21_21x_0</vt:lpstr>
      <vt:lpstr>'Div 2'!OSRRefL21_21x_0</vt:lpstr>
      <vt:lpstr>'Div 3'!OSRRefL21_21x_0</vt:lpstr>
      <vt:lpstr>'Div 4'!OSRRefL21_21x_0</vt:lpstr>
      <vt:lpstr>Summary!OSRRefL21_21x_0</vt:lpstr>
      <vt:lpstr>'300'!OSRRefL21_22x_0</vt:lpstr>
      <vt:lpstr>'300 &amp; 317'!OSRRefL21_22x_0</vt:lpstr>
      <vt:lpstr>'301'!OSRRefL21_22x_0</vt:lpstr>
      <vt:lpstr>'310'!OSRRefL21_22x_0</vt:lpstr>
      <vt:lpstr>'310 &amp; 491'!OSRRefL21_22x_0</vt:lpstr>
      <vt:lpstr>'331'!OSRRefL21_22x_0</vt:lpstr>
      <vt:lpstr>'411'!OSRRefL21_22x_0</vt:lpstr>
      <vt:lpstr>'491'!OSRRefL21_22x_0</vt:lpstr>
      <vt:lpstr>'492'!OSRRefL21_22x_0</vt:lpstr>
      <vt:lpstr>'Div 3'!OSRRefL21_22x_0</vt:lpstr>
      <vt:lpstr>'Div 4'!OSRRefL21_22x_0</vt:lpstr>
      <vt:lpstr>Summary!OSRRefL21_22x_0</vt:lpstr>
      <vt:lpstr>'300'!OSRRefL21_23x_0</vt:lpstr>
      <vt:lpstr>'300 &amp; 317'!OSRRefL21_23x_0</vt:lpstr>
      <vt:lpstr>'301'!OSRRefL21_23x_0</vt:lpstr>
      <vt:lpstr>'310'!OSRRefL21_23x_0</vt:lpstr>
      <vt:lpstr>'310 &amp; 491'!OSRRefL21_23x_0</vt:lpstr>
      <vt:lpstr>'491'!OSRRefL21_23x_0</vt:lpstr>
      <vt:lpstr>'Div 3'!OSRRefL21_23x_0</vt:lpstr>
      <vt:lpstr>'Div 4'!OSRRefL21_23x_0</vt:lpstr>
      <vt:lpstr>Summary!OSRRefL21_23x_0</vt:lpstr>
      <vt:lpstr>'300'!OSRRefL21_24x_0</vt:lpstr>
      <vt:lpstr>'300 &amp; 317'!OSRRefL21_24x_0</vt:lpstr>
      <vt:lpstr>'301'!OSRRefL21_24x_0</vt:lpstr>
      <vt:lpstr>'310 &amp; 491'!OSRRefL21_24x_0</vt:lpstr>
      <vt:lpstr>'491'!OSRRefL21_24x_0</vt:lpstr>
      <vt:lpstr>'Div 3'!OSRRefL21_24x_0</vt:lpstr>
      <vt:lpstr>'Div 4'!OSRRefL21_24x_0</vt:lpstr>
      <vt:lpstr>Summary!OSRRefL21_24x_0</vt:lpstr>
      <vt:lpstr>'310 &amp; 491'!OSRRefL21_25x_0</vt:lpstr>
      <vt:lpstr>'491'!OSRRefL21_25x_0</vt:lpstr>
      <vt:lpstr>'Div 3'!OSRRefL21_25x_0</vt:lpstr>
      <vt:lpstr>'Div 4'!OSRRefL21_25x_0</vt:lpstr>
      <vt:lpstr>Summary!OSRRefL21_25x_0</vt:lpstr>
      <vt:lpstr>Summary!OSRRefL21_26x_0</vt:lpstr>
      <vt:lpstr>'200'!OSRRefL21_2x_0</vt:lpstr>
      <vt:lpstr>'201'!OSRRefL21_2x_0</vt:lpstr>
      <vt:lpstr>'202'!OSRRefL21_2x_0</vt:lpstr>
      <vt:lpstr>'203'!OSRRefL21_2x_0</vt:lpstr>
      <vt:lpstr>'204'!OSRRefL21_2x_0</vt:lpstr>
      <vt:lpstr>'205'!OSRRefL21_2x_0</vt:lpstr>
      <vt:lpstr>'206'!OSRRefL21_2x_0</vt:lpstr>
      <vt:lpstr>'300'!OSRRefL21_2x_0</vt:lpstr>
      <vt:lpstr>'300 &amp; 317'!OSRRefL21_2x_0</vt:lpstr>
      <vt:lpstr>'301'!OSRRefL21_2x_0</vt:lpstr>
      <vt:lpstr>'306'!OSRRefL21_2x_0</vt:lpstr>
      <vt:lpstr>'307'!OSRRefL21_2x_0</vt:lpstr>
      <vt:lpstr>'308'!OSRRefL21_2x_0</vt:lpstr>
      <vt:lpstr>'309'!OSRRefL21_2x_0</vt:lpstr>
      <vt:lpstr>'310'!OSRRefL21_2x_0</vt:lpstr>
      <vt:lpstr>'310 &amp; 491'!OSRRefL21_2x_0</vt:lpstr>
      <vt:lpstr>'311'!OSRRefL21_2x_0</vt:lpstr>
      <vt:lpstr>'312'!OSRRefL21_2x_0</vt:lpstr>
      <vt:lpstr>'313'!OSRRefL21_2x_0</vt:lpstr>
      <vt:lpstr>'314'!OSRRefL21_2x_0</vt:lpstr>
      <vt:lpstr>'315'!OSRRefL21_2x_0</vt:lpstr>
      <vt:lpstr>'316'!OSRRefL21_2x_0</vt:lpstr>
      <vt:lpstr>'317'!OSRRefL21_2x_0</vt:lpstr>
      <vt:lpstr>'318'!OSRRefL21_2x_0</vt:lpstr>
      <vt:lpstr>'320'!OSRRefL21_2x_0</vt:lpstr>
      <vt:lpstr>'321'!OSRRefL21_2x_0</vt:lpstr>
      <vt:lpstr>'322'!OSRRefL21_2x_0</vt:lpstr>
      <vt:lpstr>'323'!OSRRefL21_2x_0</vt:lpstr>
      <vt:lpstr>'324'!OSRRefL21_2x_0</vt:lpstr>
      <vt:lpstr>'325'!OSRRefL21_2x_0</vt:lpstr>
      <vt:lpstr>'326'!OSRRefL21_2x_0</vt:lpstr>
      <vt:lpstr>'327'!OSRRefL21_2x_0</vt:lpstr>
      <vt:lpstr>'330'!OSRRefL21_2x_0</vt:lpstr>
      <vt:lpstr>'331'!OSRRefL21_2x_0</vt:lpstr>
      <vt:lpstr>'332'!OSRRefL21_2x_0</vt:lpstr>
      <vt:lpstr>'335'!OSRRefL21_2x_0</vt:lpstr>
      <vt:lpstr>'405'!OSRRefL21_2x_0</vt:lpstr>
      <vt:lpstr>'406'!OSRRefL21_2x_0</vt:lpstr>
      <vt:lpstr>'411'!OSRRefL21_2x_0</vt:lpstr>
      <vt:lpstr>'412'!OSRRefL21_2x_0</vt:lpstr>
      <vt:lpstr>'413'!OSRRefL21_2x_0</vt:lpstr>
      <vt:lpstr>'414'!OSRRefL21_2x_0</vt:lpstr>
      <vt:lpstr>'415'!OSRRefL21_2x_0</vt:lpstr>
      <vt:lpstr>'418'!OSRRefL21_2x_0</vt:lpstr>
      <vt:lpstr>'420'!OSRRefL21_2x_0</vt:lpstr>
      <vt:lpstr>'423'!OSRRefL21_2x_0</vt:lpstr>
      <vt:lpstr>'424'!OSRRefL21_2x_0</vt:lpstr>
      <vt:lpstr>'425'!OSRRefL21_2x_0</vt:lpstr>
      <vt:lpstr>'430'!OSRRefL21_2x_0</vt:lpstr>
      <vt:lpstr>'433'!OSRRefL21_2x_0</vt:lpstr>
      <vt:lpstr>'435'!OSRRefL21_2x_0</vt:lpstr>
      <vt:lpstr>'444'!OSRRefL21_2x_0</vt:lpstr>
      <vt:lpstr>'445'!OSRRefL21_2x_0</vt:lpstr>
      <vt:lpstr>'450'!OSRRefL21_2x_0</vt:lpstr>
      <vt:lpstr>'455'!OSRRefL21_2x_0</vt:lpstr>
      <vt:lpstr>'491'!OSRRefL21_2x_0</vt:lpstr>
      <vt:lpstr>'492'!OSRRefL21_2x_0</vt:lpstr>
      <vt:lpstr>'501'!OSRRefL21_2x_0</vt:lpstr>
      <vt:lpstr>'Div 2'!OSRRefL21_2x_0</vt:lpstr>
      <vt:lpstr>'Div 3'!OSRRefL21_2x_0</vt:lpstr>
      <vt:lpstr>'Div 4'!OSRRefL21_2x_0</vt:lpstr>
      <vt:lpstr>'Div 5'!OSRRefL21_2x_0</vt:lpstr>
      <vt:lpstr>'Div 6'!OSRRefL21_2x_0</vt:lpstr>
      <vt:lpstr>Summary!OSRRefL21_2x_0</vt:lpstr>
      <vt:lpstr>'200'!OSRRefL21_3x_0</vt:lpstr>
      <vt:lpstr>'201'!OSRRefL21_3x_0</vt:lpstr>
      <vt:lpstr>'202'!OSRRefL21_3x_0</vt:lpstr>
      <vt:lpstr>'203'!OSRRefL21_3x_0</vt:lpstr>
      <vt:lpstr>'204'!OSRRefL21_3x_0</vt:lpstr>
      <vt:lpstr>'205'!OSRRefL21_3x_0</vt:lpstr>
      <vt:lpstr>'206'!OSRRefL21_3x_0</vt:lpstr>
      <vt:lpstr>'300'!OSRRefL21_3x_0</vt:lpstr>
      <vt:lpstr>'300 &amp; 317'!OSRRefL21_3x_0</vt:lpstr>
      <vt:lpstr>'301'!OSRRefL21_3x_0</vt:lpstr>
      <vt:lpstr>'306'!OSRRefL21_3x_0</vt:lpstr>
      <vt:lpstr>'307'!OSRRefL21_3x_0</vt:lpstr>
      <vt:lpstr>'308'!OSRRefL21_3x_0</vt:lpstr>
      <vt:lpstr>'309'!OSRRefL21_3x_0</vt:lpstr>
      <vt:lpstr>'310'!OSRRefL21_3x_0</vt:lpstr>
      <vt:lpstr>'310 &amp; 491'!OSRRefL21_3x_0</vt:lpstr>
      <vt:lpstr>'311'!OSRRefL21_3x_0</vt:lpstr>
      <vt:lpstr>'312'!OSRRefL21_3x_0</vt:lpstr>
      <vt:lpstr>'313'!OSRRefL21_3x_0</vt:lpstr>
      <vt:lpstr>'314'!OSRRefL21_3x_0</vt:lpstr>
      <vt:lpstr>'315'!OSRRefL21_3x_0</vt:lpstr>
      <vt:lpstr>'316'!OSRRefL21_3x_0</vt:lpstr>
      <vt:lpstr>'317'!OSRRefL21_3x_0</vt:lpstr>
      <vt:lpstr>'318'!OSRRefL21_3x_0</vt:lpstr>
      <vt:lpstr>'320'!OSRRefL21_3x_0</vt:lpstr>
      <vt:lpstr>'321'!OSRRefL21_3x_0</vt:lpstr>
      <vt:lpstr>'322'!OSRRefL21_3x_0</vt:lpstr>
      <vt:lpstr>'323'!OSRRefL21_3x_0</vt:lpstr>
      <vt:lpstr>'324'!OSRRefL21_3x_0</vt:lpstr>
      <vt:lpstr>'325'!OSRRefL21_3x_0</vt:lpstr>
      <vt:lpstr>'326'!OSRRefL21_3x_0</vt:lpstr>
      <vt:lpstr>'330'!OSRRefL21_3x_0</vt:lpstr>
      <vt:lpstr>'331'!OSRRefL21_3x_0</vt:lpstr>
      <vt:lpstr>'332'!OSRRefL21_3x_0</vt:lpstr>
      <vt:lpstr>'335'!OSRRefL21_3x_0</vt:lpstr>
      <vt:lpstr>'405'!OSRRefL21_3x_0</vt:lpstr>
      <vt:lpstr>'406'!OSRRefL21_3x_0</vt:lpstr>
      <vt:lpstr>'411'!OSRRefL21_3x_0</vt:lpstr>
      <vt:lpstr>'412'!OSRRefL21_3x_0</vt:lpstr>
      <vt:lpstr>'413'!OSRRefL21_3x_0</vt:lpstr>
      <vt:lpstr>'414'!OSRRefL21_3x_0</vt:lpstr>
      <vt:lpstr>'415'!OSRRefL21_3x_0</vt:lpstr>
      <vt:lpstr>'418'!OSRRefL21_3x_0</vt:lpstr>
      <vt:lpstr>'420'!OSRRefL21_3x_0</vt:lpstr>
      <vt:lpstr>'423'!OSRRefL21_3x_0</vt:lpstr>
      <vt:lpstr>'424'!OSRRefL21_3x_0</vt:lpstr>
      <vt:lpstr>'425'!OSRRefL21_3x_0</vt:lpstr>
      <vt:lpstr>'430'!OSRRefL21_3x_0</vt:lpstr>
      <vt:lpstr>'433'!OSRRefL21_3x_0</vt:lpstr>
      <vt:lpstr>'435'!OSRRefL21_3x_0</vt:lpstr>
      <vt:lpstr>'444'!OSRRefL21_3x_0</vt:lpstr>
      <vt:lpstr>'445'!OSRRefL21_3x_0</vt:lpstr>
      <vt:lpstr>'450'!OSRRefL21_3x_0</vt:lpstr>
      <vt:lpstr>'455'!OSRRefL21_3x_0</vt:lpstr>
      <vt:lpstr>'491'!OSRRefL21_3x_0</vt:lpstr>
      <vt:lpstr>'492'!OSRRefL21_3x_0</vt:lpstr>
      <vt:lpstr>'501'!OSRRefL21_3x_0</vt:lpstr>
      <vt:lpstr>'Div 2'!OSRRefL21_3x_0</vt:lpstr>
      <vt:lpstr>'Div 3'!OSRRefL21_3x_0</vt:lpstr>
      <vt:lpstr>'Div 4'!OSRRefL21_3x_0</vt:lpstr>
      <vt:lpstr>'Div 5'!OSRRefL21_3x_0</vt:lpstr>
      <vt:lpstr>'Div 6'!OSRRefL21_3x_0</vt:lpstr>
      <vt:lpstr>Summary!OSRRefL21_3x_0</vt:lpstr>
      <vt:lpstr>'200'!OSRRefL21_4x_0</vt:lpstr>
      <vt:lpstr>'201'!OSRRefL21_4x_0</vt:lpstr>
      <vt:lpstr>'202'!OSRRefL21_4x_0</vt:lpstr>
      <vt:lpstr>'203'!OSRRefL21_4x_0</vt:lpstr>
      <vt:lpstr>'204'!OSRRefL21_4x_0</vt:lpstr>
      <vt:lpstr>'205'!OSRRefL21_4x_0</vt:lpstr>
      <vt:lpstr>'206'!OSRRefL21_4x_0</vt:lpstr>
      <vt:lpstr>'300'!OSRRefL21_4x_0</vt:lpstr>
      <vt:lpstr>'300 &amp; 317'!OSRRefL21_4x_0</vt:lpstr>
      <vt:lpstr>'301'!OSRRefL21_4x_0</vt:lpstr>
      <vt:lpstr>'306'!OSRRefL21_4x_0</vt:lpstr>
      <vt:lpstr>'307'!OSRRefL21_4x_0</vt:lpstr>
      <vt:lpstr>'308'!OSRRefL21_4x_0</vt:lpstr>
      <vt:lpstr>'309'!OSRRefL21_4x_0</vt:lpstr>
      <vt:lpstr>'310'!OSRRefL21_4x_0</vt:lpstr>
      <vt:lpstr>'310 &amp; 491'!OSRRefL21_4x_0</vt:lpstr>
      <vt:lpstr>'311'!OSRRefL21_4x_0</vt:lpstr>
      <vt:lpstr>'312'!OSRRefL21_4x_0</vt:lpstr>
      <vt:lpstr>'313'!OSRRefL21_4x_0</vt:lpstr>
      <vt:lpstr>'314'!OSRRefL21_4x_0</vt:lpstr>
      <vt:lpstr>'315'!OSRRefL21_4x_0</vt:lpstr>
      <vt:lpstr>'316'!OSRRefL21_4x_0</vt:lpstr>
      <vt:lpstr>'317'!OSRRefL21_4x_0</vt:lpstr>
      <vt:lpstr>'318'!OSRRefL21_4x_0</vt:lpstr>
      <vt:lpstr>'320'!OSRRefL21_4x_0</vt:lpstr>
      <vt:lpstr>'321'!OSRRefL21_4x_0</vt:lpstr>
      <vt:lpstr>'322'!OSRRefL21_4x_0</vt:lpstr>
      <vt:lpstr>'323'!OSRRefL21_4x_0</vt:lpstr>
      <vt:lpstr>'325'!OSRRefL21_4x_0</vt:lpstr>
      <vt:lpstr>'326'!OSRRefL21_4x_0</vt:lpstr>
      <vt:lpstr>'330'!OSRRefL21_4x_0</vt:lpstr>
      <vt:lpstr>'331'!OSRRefL21_4x_0</vt:lpstr>
      <vt:lpstr>'332'!OSRRefL21_4x_0</vt:lpstr>
      <vt:lpstr>'335'!OSRRefL21_4x_0</vt:lpstr>
      <vt:lpstr>'405'!OSRRefL21_4x_0</vt:lpstr>
      <vt:lpstr>'406'!OSRRefL21_4x_0</vt:lpstr>
      <vt:lpstr>'411'!OSRRefL21_4x_0</vt:lpstr>
      <vt:lpstr>'412'!OSRRefL21_4x_0</vt:lpstr>
      <vt:lpstr>'413'!OSRRefL21_4x_0</vt:lpstr>
      <vt:lpstr>'414'!OSRRefL21_4x_0</vt:lpstr>
      <vt:lpstr>'415'!OSRRefL21_4x_0</vt:lpstr>
      <vt:lpstr>'418'!OSRRefL21_4x_0</vt:lpstr>
      <vt:lpstr>'420'!OSRRefL21_4x_0</vt:lpstr>
      <vt:lpstr>'423'!OSRRefL21_4x_0</vt:lpstr>
      <vt:lpstr>'424'!OSRRefL21_4x_0</vt:lpstr>
      <vt:lpstr>'425'!OSRRefL21_4x_0</vt:lpstr>
      <vt:lpstr>'430'!OSRRefL21_4x_0</vt:lpstr>
      <vt:lpstr>'433'!OSRRefL21_4x_0</vt:lpstr>
      <vt:lpstr>'435'!OSRRefL21_4x_0</vt:lpstr>
      <vt:lpstr>'444'!OSRRefL21_4x_0</vt:lpstr>
      <vt:lpstr>'445'!OSRRefL21_4x_0</vt:lpstr>
      <vt:lpstr>'450'!OSRRefL21_4x_0</vt:lpstr>
      <vt:lpstr>'491'!OSRRefL21_4x_0</vt:lpstr>
      <vt:lpstr>'492'!OSRRefL21_4x_0</vt:lpstr>
      <vt:lpstr>'501'!OSRRefL21_4x_0</vt:lpstr>
      <vt:lpstr>'Div 2'!OSRRefL21_4x_0</vt:lpstr>
      <vt:lpstr>'Div 3'!OSRRefL21_4x_0</vt:lpstr>
      <vt:lpstr>'Div 4'!OSRRefL21_4x_0</vt:lpstr>
      <vt:lpstr>'Div 5'!OSRRefL21_4x_0</vt:lpstr>
      <vt:lpstr>'Div 6'!OSRRefL21_4x_0</vt:lpstr>
      <vt:lpstr>Summary!OSRRefL21_4x_0</vt:lpstr>
      <vt:lpstr>'200'!OSRRefL21_5x_0</vt:lpstr>
      <vt:lpstr>'201'!OSRRefL21_5x_0</vt:lpstr>
      <vt:lpstr>'202'!OSRRefL21_5x_0</vt:lpstr>
      <vt:lpstr>'203'!OSRRefL21_5x_0</vt:lpstr>
      <vt:lpstr>'204'!OSRRefL21_5x_0</vt:lpstr>
      <vt:lpstr>'205'!OSRRefL21_5x_0</vt:lpstr>
      <vt:lpstr>'206'!OSRRefL21_5x_0</vt:lpstr>
      <vt:lpstr>'300'!OSRRefL21_5x_0</vt:lpstr>
      <vt:lpstr>'300 &amp; 317'!OSRRefL21_5x_0</vt:lpstr>
      <vt:lpstr>'301'!OSRRefL21_5x_0</vt:lpstr>
      <vt:lpstr>'306'!OSRRefL21_5x_0</vt:lpstr>
      <vt:lpstr>'307'!OSRRefL21_5x_0</vt:lpstr>
      <vt:lpstr>'308'!OSRRefL21_5x_0</vt:lpstr>
      <vt:lpstr>'309'!OSRRefL21_5x_0</vt:lpstr>
      <vt:lpstr>'310'!OSRRefL21_5x_0</vt:lpstr>
      <vt:lpstr>'310 &amp; 491'!OSRRefL21_5x_0</vt:lpstr>
      <vt:lpstr>'311'!OSRRefL21_5x_0</vt:lpstr>
      <vt:lpstr>'312'!OSRRefL21_5x_0</vt:lpstr>
      <vt:lpstr>'313'!OSRRefL21_5x_0</vt:lpstr>
      <vt:lpstr>'314'!OSRRefL21_5x_0</vt:lpstr>
      <vt:lpstr>'315'!OSRRefL21_5x_0</vt:lpstr>
      <vt:lpstr>'316'!OSRRefL21_5x_0</vt:lpstr>
      <vt:lpstr>'317'!OSRRefL21_5x_0</vt:lpstr>
      <vt:lpstr>'318'!OSRRefL21_5x_0</vt:lpstr>
      <vt:lpstr>'320'!OSRRefL21_5x_0</vt:lpstr>
      <vt:lpstr>'321'!OSRRefL21_5x_0</vt:lpstr>
      <vt:lpstr>'322'!OSRRefL21_5x_0</vt:lpstr>
      <vt:lpstr>'323'!OSRRefL21_5x_0</vt:lpstr>
      <vt:lpstr>'325'!OSRRefL21_5x_0</vt:lpstr>
      <vt:lpstr>'326'!OSRRefL21_5x_0</vt:lpstr>
      <vt:lpstr>'330'!OSRRefL21_5x_0</vt:lpstr>
      <vt:lpstr>'331'!OSRRefL21_5x_0</vt:lpstr>
      <vt:lpstr>'332'!OSRRefL21_5x_0</vt:lpstr>
      <vt:lpstr>'335'!OSRRefL21_5x_0</vt:lpstr>
      <vt:lpstr>'405'!OSRRefL21_5x_0</vt:lpstr>
      <vt:lpstr>'406'!OSRRefL21_5x_0</vt:lpstr>
      <vt:lpstr>'411'!OSRRefL21_5x_0</vt:lpstr>
      <vt:lpstr>'412'!OSRRefL21_5x_0</vt:lpstr>
      <vt:lpstr>'413'!OSRRefL21_5x_0</vt:lpstr>
      <vt:lpstr>'414'!OSRRefL21_5x_0</vt:lpstr>
      <vt:lpstr>'415'!OSRRefL21_5x_0</vt:lpstr>
      <vt:lpstr>'418'!OSRRefL21_5x_0</vt:lpstr>
      <vt:lpstr>'420'!OSRRefL21_5x_0</vt:lpstr>
      <vt:lpstr>'423'!OSRRefL21_5x_0</vt:lpstr>
      <vt:lpstr>'424'!OSRRefL21_5x_0</vt:lpstr>
      <vt:lpstr>'425'!OSRRefL21_5x_0</vt:lpstr>
      <vt:lpstr>'430'!OSRRefL21_5x_0</vt:lpstr>
      <vt:lpstr>'433'!OSRRefL21_5x_0</vt:lpstr>
      <vt:lpstr>'435'!OSRRefL21_5x_0</vt:lpstr>
      <vt:lpstr>'444'!OSRRefL21_5x_0</vt:lpstr>
      <vt:lpstr>'445'!OSRRefL21_5x_0</vt:lpstr>
      <vt:lpstr>'450'!OSRRefL21_5x_0</vt:lpstr>
      <vt:lpstr>'491'!OSRRefL21_5x_0</vt:lpstr>
      <vt:lpstr>'492'!OSRRefL21_5x_0</vt:lpstr>
      <vt:lpstr>'501'!OSRRefL21_5x_0</vt:lpstr>
      <vt:lpstr>'Div 2'!OSRRefL21_5x_0</vt:lpstr>
      <vt:lpstr>'Div 3'!OSRRefL21_5x_0</vt:lpstr>
      <vt:lpstr>'Div 4'!OSRRefL21_5x_0</vt:lpstr>
      <vt:lpstr>'Div 5'!OSRRefL21_5x_0</vt:lpstr>
      <vt:lpstr>'Div 6'!OSRRefL21_5x_0</vt:lpstr>
      <vt:lpstr>Summary!OSRRefL21_5x_0</vt:lpstr>
      <vt:lpstr>'201'!OSRRefL21_6x_0</vt:lpstr>
      <vt:lpstr>'202'!OSRRefL21_6x_0</vt:lpstr>
      <vt:lpstr>'203'!OSRRefL21_6x_0</vt:lpstr>
      <vt:lpstr>'204'!OSRRefL21_6x_0</vt:lpstr>
      <vt:lpstr>'205'!OSRRefL21_6x_0</vt:lpstr>
      <vt:lpstr>'206'!OSRRefL21_6x_0</vt:lpstr>
      <vt:lpstr>'300'!OSRRefL21_6x_0</vt:lpstr>
      <vt:lpstr>'300 &amp; 317'!OSRRefL21_6x_0</vt:lpstr>
      <vt:lpstr>'301'!OSRRefL21_6x_0</vt:lpstr>
      <vt:lpstr>'306'!OSRRefL21_6x_0</vt:lpstr>
      <vt:lpstr>'307'!OSRRefL21_6x_0</vt:lpstr>
      <vt:lpstr>'308'!OSRRefL21_6x_0</vt:lpstr>
      <vt:lpstr>'309'!OSRRefL21_6x_0</vt:lpstr>
      <vt:lpstr>'310'!OSRRefL21_6x_0</vt:lpstr>
      <vt:lpstr>'310 &amp; 491'!OSRRefL21_6x_0</vt:lpstr>
      <vt:lpstr>'311'!OSRRefL21_6x_0</vt:lpstr>
      <vt:lpstr>'312'!OSRRefL21_6x_0</vt:lpstr>
      <vt:lpstr>'313'!OSRRefL21_6x_0</vt:lpstr>
      <vt:lpstr>'314'!OSRRefL21_6x_0</vt:lpstr>
      <vt:lpstr>'315'!OSRRefL21_6x_0</vt:lpstr>
      <vt:lpstr>'316'!OSRRefL21_6x_0</vt:lpstr>
      <vt:lpstr>'317'!OSRRefL21_6x_0</vt:lpstr>
      <vt:lpstr>'318'!OSRRefL21_6x_0</vt:lpstr>
      <vt:lpstr>'320'!OSRRefL21_6x_0</vt:lpstr>
      <vt:lpstr>'321'!OSRRefL21_6x_0</vt:lpstr>
      <vt:lpstr>'322'!OSRRefL21_6x_0</vt:lpstr>
      <vt:lpstr>'323'!OSRRefL21_6x_0</vt:lpstr>
      <vt:lpstr>'325'!OSRRefL21_6x_0</vt:lpstr>
      <vt:lpstr>'326'!OSRRefL21_6x_0</vt:lpstr>
      <vt:lpstr>'330'!OSRRefL21_6x_0</vt:lpstr>
      <vt:lpstr>'331'!OSRRefL21_6x_0</vt:lpstr>
      <vt:lpstr>'332'!OSRRefL21_6x_0</vt:lpstr>
      <vt:lpstr>'335'!OSRRefL21_6x_0</vt:lpstr>
      <vt:lpstr>'405'!OSRRefL21_6x_0</vt:lpstr>
      <vt:lpstr>'406'!OSRRefL21_6x_0</vt:lpstr>
      <vt:lpstr>'411'!OSRRefL21_6x_0</vt:lpstr>
      <vt:lpstr>'412'!OSRRefL21_6x_0</vt:lpstr>
      <vt:lpstr>'413'!OSRRefL21_6x_0</vt:lpstr>
      <vt:lpstr>'414'!OSRRefL21_6x_0</vt:lpstr>
      <vt:lpstr>'415'!OSRRefL21_6x_0</vt:lpstr>
      <vt:lpstr>'418'!OSRRefL21_6x_0</vt:lpstr>
      <vt:lpstr>'420'!OSRRefL21_6x_0</vt:lpstr>
      <vt:lpstr>'423'!OSRRefL21_6x_0</vt:lpstr>
      <vt:lpstr>'424'!OSRRefL21_6x_0</vt:lpstr>
      <vt:lpstr>'425'!OSRRefL21_6x_0</vt:lpstr>
      <vt:lpstr>'430'!OSRRefL21_6x_0</vt:lpstr>
      <vt:lpstr>'433'!OSRRefL21_6x_0</vt:lpstr>
      <vt:lpstr>'435'!OSRRefL21_6x_0</vt:lpstr>
      <vt:lpstr>'444'!OSRRefL21_6x_0</vt:lpstr>
      <vt:lpstr>'445'!OSRRefL21_6x_0</vt:lpstr>
      <vt:lpstr>'450'!OSRRefL21_6x_0</vt:lpstr>
      <vt:lpstr>'491'!OSRRefL21_6x_0</vt:lpstr>
      <vt:lpstr>'492'!OSRRefL21_6x_0</vt:lpstr>
      <vt:lpstr>'501'!OSRRefL21_6x_0</vt:lpstr>
      <vt:lpstr>'Div 2'!OSRRefL21_6x_0</vt:lpstr>
      <vt:lpstr>'Div 3'!OSRRefL21_6x_0</vt:lpstr>
      <vt:lpstr>'Div 4'!OSRRefL21_6x_0</vt:lpstr>
      <vt:lpstr>'Div 5'!OSRRefL21_6x_0</vt:lpstr>
      <vt:lpstr>'Div 6'!OSRRefL21_6x_0</vt:lpstr>
      <vt:lpstr>Summary!OSRRefL21_6x_0</vt:lpstr>
      <vt:lpstr>'201'!OSRRefL21_7x_0</vt:lpstr>
      <vt:lpstr>'202'!OSRRefL21_7x_0</vt:lpstr>
      <vt:lpstr>'203'!OSRRefL21_7x_0</vt:lpstr>
      <vt:lpstr>'204'!OSRRefL21_7x_0</vt:lpstr>
      <vt:lpstr>'205'!OSRRefL21_7x_0</vt:lpstr>
      <vt:lpstr>'206'!OSRRefL21_7x_0</vt:lpstr>
      <vt:lpstr>'300'!OSRRefL21_7x_0</vt:lpstr>
      <vt:lpstr>'300 &amp; 317'!OSRRefL21_7x_0</vt:lpstr>
      <vt:lpstr>'301'!OSRRefL21_7x_0</vt:lpstr>
      <vt:lpstr>'306'!OSRRefL21_7x_0</vt:lpstr>
      <vt:lpstr>'307'!OSRRefL21_7x_0</vt:lpstr>
      <vt:lpstr>'308'!OSRRefL21_7x_0</vt:lpstr>
      <vt:lpstr>'309'!OSRRefL21_7x_0</vt:lpstr>
      <vt:lpstr>'310'!OSRRefL21_7x_0</vt:lpstr>
      <vt:lpstr>'310 &amp; 491'!OSRRefL21_7x_0</vt:lpstr>
      <vt:lpstr>'311'!OSRRefL21_7x_0</vt:lpstr>
      <vt:lpstr>'312'!OSRRefL21_7x_0</vt:lpstr>
      <vt:lpstr>'313'!OSRRefL21_7x_0</vt:lpstr>
      <vt:lpstr>'314'!OSRRefL21_7x_0</vt:lpstr>
      <vt:lpstr>'315'!OSRRefL21_7x_0</vt:lpstr>
      <vt:lpstr>'316'!OSRRefL21_7x_0</vt:lpstr>
      <vt:lpstr>'317'!OSRRefL21_7x_0</vt:lpstr>
      <vt:lpstr>'318'!OSRRefL21_7x_0</vt:lpstr>
      <vt:lpstr>'320'!OSRRefL21_7x_0</vt:lpstr>
      <vt:lpstr>'321'!OSRRefL21_7x_0</vt:lpstr>
      <vt:lpstr>'322'!OSRRefL21_7x_0</vt:lpstr>
      <vt:lpstr>'323'!OSRRefL21_7x_0</vt:lpstr>
      <vt:lpstr>'325'!OSRRefL21_7x_0</vt:lpstr>
      <vt:lpstr>'326'!OSRRefL21_7x_0</vt:lpstr>
      <vt:lpstr>'330'!OSRRefL21_7x_0</vt:lpstr>
      <vt:lpstr>'331'!OSRRefL21_7x_0</vt:lpstr>
      <vt:lpstr>'332'!OSRRefL21_7x_0</vt:lpstr>
      <vt:lpstr>'335'!OSRRefL21_7x_0</vt:lpstr>
      <vt:lpstr>'405'!OSRRefL21_7x_0</vt:lpstr>
      <vt:lpstr>'406'!OSRRefL21_7x_0</vt:lpstr>
      <vt:lpstr>'411'!OSRRefL21_7x_0</vt:lpstr>
      <vt:lpstr>'412'!OSRRefL21_7x_0</vt:lpstr>
      <vt:lpstr>'413'!OSRRefL21_7x_0</vt:lpstr>
      <vt:lpstr>'414'!OSRRefL21_7x_0</vt:lpstr>
      <vt:lpstr>'415'!OSRRefL21_7x_0</vt:lpstr>
      <vt:lpstr>'418'!OSRRefL21_7x_0</vt:lpstr>
      <vt:lpstr>'420'!OSRRefL21_7x_0</vt:lpstr>
      <vt:lpstr>'423'!OSRRefL21_7x_0</vt:lpstr>
      <vt:lpstr>'424'!OSRRefL21_7x_0</vt:lpstr>
      <vt:lpstr>'425'!OSRRefL21_7x_0</vt:lpstr>
      <vt:lpstr>'430'!OSRRefL21_7x_0</vt:lpstr>
      <vt:lpstr>'433'!OSRRefL21_7x_0</vt:lpstr>
      <vt:lpstr>'435'!OSRRefL21_7x_0</vt:lpstr>
      <vt:lpstr>'444'!OSRRefL21_7x_0</vt:lpstr>
      <vt:lpstr>'445'!OSRRefL21_7x_0</vt:lpstr>
      <vt:lpstr>'450'!OSRRefL21_7x_0</vt:lpstr>
      <vt:lpstr>'491'!OSRRefL21_7x_0</vt:lpstr>
      <vt:lpstr>'492'!OSRRefL21_7x_0</vt:lpstr>
      <vt:lpstr>'501'!OSRRefL21_7x_0</vt:lpstr>
      <vt:lpstr>'Div 2'!OSRRefL21_7x_0</vt:lpstr>
      <vt:lpstr>'Div 3'!OSRRefL21_7x_0</vt:lpstr>
      <vt:lpstr>'Div 4'!OSRRefL21_7x_0</vt:lpstr>
      <vt:lpstr>'Div 5'!OSRRefL21_7x_0</vt:lpstr>
      <vt:lpstr>'Div 6'!OSRRefL21_7x_0</vt:lpstr>
      <vt:lpstr>Summary!OSRRefL21_7x_0</vt:lpstr>
      <vt:lpstr>'201'!OSRRefL21_8x_0</vt:lpstr>
      <vt:lpstr>'202'!OSRRefL21_8x_0</vt:lpstr>
      <vt:lpstr>'203'!OSRRefL21_8x_0</vt:lpstr>
      <vt:lpstr>'204'!OSRRefL21_8x_0</vt:lpstr>
      <vt:lpstr>'205'!OSRRefL21_8x_0</vt:lpstr>
      <vt:lpstr>'206'!OSRRefL21_8x_0</vt:lpstr>
      <vt:lpstr>'300'!OSRRefL21_8x_0</vt:lpstr>
      <vt:lpstr>'300 &amp; 317'!OSRRefL21_8x_0</vt:lpstr>
      <vt:lpstr>'301'!OSRRefL21_8x_0</vt:lpstr>
      <vt:lpstr>'306'!OSRRefL21_8x_0</vt:lpstr>
      <vt:lpstr>'307'!OSRRefL21_8x_0</vt:lpstr>
      <vt:lpstr>'308'!OSRRefL21_8x_0</vt:lpstr>
      <vt:lpstr>'309'!OSRRefL21_8x_0</vt:lpstr>
      <vt:lpstr>'310'!OSRRefL21_8x_0</vt:lpstr>
      <vt:lpstr>'310 &amp; 491'!OSRRefL21_8x_0</vt:lpstr>
      <vt:lpstr>'311'!OSRRefL21_8x_0</vt:lpstr>
      <vt:lpstr>'312'!OSRRefL21_8x_0</vt:lpstr>
      <vt:lpstr>'313'!OSRRefL21_8x_0</vt:lpstr>
      <vt:lpstr>'314'!OSRRefL21_8x_0</vt:lpstr>
      <vt:lpstr>'315'!OSRRefL21_8x_0</vt:lpstr>
      <vt:lpstr>'316'!OSRRefL21_8x_0</vt:lpstr>
      <vt:lpstr>'317'!OSRRefL21_8x_0</vt:lpstr>
      <vt:lpstr>'318'!OSRRefL21_8x_0</vt:lpstr>
      <vt:lpstr>'320'!OSRRefL21_8x_0</vt:lpstr>
      <vt:lpstr>'321'!OSRRefL21_8x_0</vt:lpstr>
      <vt:lpstr>'322'!OSRRefL21_8x_0</vt:lpstr>
      <vt:lpstr>'325'!OSRRefL21_8x_0</vt:lpstr>
      <vt:lpstr>'326'!OSRRefL21_8x_0</vt:lpstr>
      <vt:lpstr>'330'!OSRRefL21_8x_0</vt:lpstr>
      <vt:lpstr>'331'!OSRRefL21_8x_0</vt:lpstr>
      <vt:lpstr>'332'!OSRRefL21_8x_0</vt:lpstr>
      <vt:lpstr>'335'!OSRRefL21_8x_0</vt:lpstr>
      <vt:lpstr>'405'!OSRRefL21_8x_0</vt:lpstr>
      <vt:lpstr>'406'!OSRRefL21_8x_0</vt:lpstr>
      <vt:lpstr>'411'!OSRRefL21_8x_0</vt:lpstr>
      <vt:lpstr>'412'!OSRRefL21_8x_0</vt:lpstr>
      <vt:lpstr>'413'!OSRRefL21_8x_0</vt:lpstr>
      <vt:lpstr>'414'!OSRRefL21_8x_0</vt:lpstr>
      <vt:lpstr>'415'!OSRRefL21_8x_0</vt:lpstr>
      <vt:lpstr>'418'!OSRRefL21_8x_0</vt:lpstr>
      <vt:lpstr>'420'!OSRRefL21_8x_0</vt:lpstr>
      <vt:lpstr>'423'!OSRRefL21_8x_0</vt:lpstr>
      <vt:lpstr>'424'!OSRRefL21_8x_0</vt:lpstr>
      <vt:lpstr>'425'!OSRRefL21_8x_0</vt:lpstr>
      <vt:lpstr>'430'!OSRRefL21_8x_0</vt:lpstr>
      <vt:lpstr>'433'!OSRRefL21_8x_0</vt:lpstr>
      <vt:lpstr>'435'!OSRRefL21_8x_0</vt:lpstr>
      <vt:lpstr>'444'!OSRRefL21_8x_0</vt:lpstr>
      <vt:lpstr>'445'!OSRRefL21_8x_0</vt:lpstr>
      <vt:lpstr>'450'!OSRRefL21_8x_0</vt:lpstr>
      <vt:lpstr>'491'!OSRRefL21_8x_0</vt:lpstr>
      <vt:lpstr>'492'!OSRRefL21_8x_0</vt:lpstr>
      <vt:lpstr>'501'!OSRRefL21_8x_0</vt:lpstr>
      <vt:lpstr>'Div 2'!OSRRefL21_8x_0</vt:lpstr>
      <vt:lpstr>'Div 3'!OSRRefL21_8x_0</vt:lpstr>
      <vt:lpstr>'Div 4'!OSRRefL21_8x_0</vt:lpstr>
      <vt:lpstr>'Div 5'!OSRRefL21_8x_0</vt:lpstr>
      <vt:lpstr>'Div 6'!OSRRefL21_8x_0</vt:lpstr>
      <vt:lpstr>Summary!OSRRefL21_8x_0</vt:lpstr>
      <vt:lpstr>'201'!OSRRefL21_9x_0</vt:lpstr>
      <vt:lpstr>'202'!OSRRefL21_9x_0</vt:lpstr>
      <vt:lpstr>'203'!OSRRefL21_9x_0</vt:lpstr>
      <vt:lpstr>'204'!OSRRefL21_9x_0</vt:lpstr>
      <vt:lpstr>'206'!OSRRefL21_9x_0</vt:lpstr>
      <vt:lpstr>'300'!OSRRefL21_9x_0</vt:lpstr>
      <vt:lpstr>'300 &amp; 317'!OSRRefL21_9x_0</vt:lpstr>
      <vt:lpstr>'301'!OSRRefL21_9x_0</vt:lpstr>
      <vt:lpstr>'306'!OSRRefL21_9x_0</vt:lpstr>
      <vt:lpstr>'307'!OSRRefL21_9x_0</vt:lpstr>
      <vt:lpstr>'308'!OSRRefL21_9x_0</vt:lpstr>
      <vt:lpstr>'309'!OSRRefL21_9x_0</vt:lpstr>
      <vt:lpstr>'310'!OSRRefL21_9x_0</vt:lpstr>
      <vt:lpstr>'310 &amp; 491'!OSRRefL21_9x_0</vt:lpstr>
      <vt:lpstr>'311'!OSRRefL21_9x_0</vt:lpstr>
      <vt:lpstr>'312'!OSRRefL21_9x_0</vt:lpstr>
      <vt:lpstr>'313'!OSRRefL21_9x_0</vt:lpstr>
      <vt:lpstr>'314'!OSRRefL21_9x_0</vt:lpstr>
      <vt:lpstr>'315'!OSRRefL21_9x_0</vt:lpstr>
      <vt:lpstr>'316'!OSRRefL21_9x_0</vt:lpstr>
      <vt:lpstr>'317'!OSRRefL21_9x_0</vt:lpstr>
      <vt:lpstr>'320'!OSRRefL21_9x_0</vt:lpstr>
      <vt:lpstr>'321'!OSRRefL21_9x_0</vt:lpstr>
      <vt:lpstr>'322'!OSRRefL21_9x_0</vt:lpstr>
      <vt:lpstr>'325'!OSRRefL21_9x_0</vt:lpstr>
      <vt:lpstr>'326'!OSRRefL21_9x_0</vt:lpstr>
      <vt:lpstr>'330'!OSRRefL21_9x_0</vt:lpstr>
      <vt:lpstr>'331'!OSRRefL21_9x_0</vt:lpstr>
      <vt:lpstr>'332'!OSRRefL21_9x_0</vt:lpstr>
      <vt:lpstr>'335'!OSRRefL21_9x_0</vt:lpstr>
      <vt:lpstr>'405'!OSRRefL21_9x_0</vt:lpstr>
      <vt:lpstr>'406'!OSRRefL21_9x_0</vt:lpstr>
      <vt:lpstr>'411'!OSRRefL21_9x_0</vt:lpstr>
      <vt:lpstr>'412'!OSRRefL21_9x_0</vt:lpstr>
      <vt:lpstr>'413'!OSRRefL21_9x_0</vt:lpstr>
      <vt:lpstr>'414'!OSRRefL21_9x_0</vt:lpstr>
      <vt:lpstr>'415'!OSRRefL21_9x_0</vt:lpstr>
      <vt:lpstr>'418'!OSRRefL21_9x_0</vt:lpstr>
      <vt:lpstr>'423'!OSRRefL21_9x_0</vt:lpstr>
      <vt:lpstr>'424'!OSRRefL21_9x_0</vt:lpstr>
      <vt:lpstr>'425'!OSRRefL21_9x_0</vt:lpstr>
      <vt:lpstr>'430'!OSRRefL21_9x_0</vt:lpstr>
      <vt:lpstr>'433'!OSRRefL21_9x_0</vt:lpstr>
      <vt:lpstr>'435'!OSRRefL21_9x_0</vt:lpstr>
      <vt:lpstr>'444'!OSRRefL21_9x_0</vt:lpstr>
      <vt:lpstr>'445'!OSRRefL21_9x_0</vt:lpstr>
      <vt:lpstr>'450'!OSRRefL21_9x_0</vt:lpstr>
      <vt:lpstr>'491'!OSRRefL21_9x_0</vt:lpstr>
      <vt:lpstr>'492'!OSRRefL21_9x_0</vt:lpstr>
      <vt:lpstr>'501'!OSRRefL21_9x_0</vt:lpstr>
      <vt:lpstr>'Div 2'!OSRRefL21_9x_0</vt:lpstr>
      <vt:lpstr>'Div 3'!OSRRefL21_9x_0</vt:lpstr>
      <vt:lpstr>'Div 4'!OSRRefL21_9x_0</vt:lpstr>
      <vt:lpstr>'Div 5'!OSRRefL21_9x_0</vt:lpstr>
      <vt:lpstr>'Div 6'!OSRRefL21_9x_0</vt:lpstr>
      <vt:lpstr>Summary!OSRRefL21_9x_0</vt:lpstr>
      <vt:lpstr>'200'!OSRRefL21x_0</vt:lpstr>
      <vt:lpstr>'201'!OSRRefL21x_0</vt:lpstr>
      <vt:lpstr>'202'!OSRRefL21x_0</vt:lpstr>
      <vt:lpstr>'203'!OSRRefL21x_0</vt:lpstr>
      <vt:lpstr>'204'!OSRRefL21x_0</vt:lpstr>
      <vt:lpstr>'205'!OSRRefL21x_0</vt:lpstr>
      <vt:lpstr>'206'!OSRRefL21x_0</vt:lpstr>
      <vt:lpstr>'300'!OSRRefL21x_0</vt:lpstr>
      <vt:lpstr>'300 &amp; 317'!OSRRefL21x_0</vt:lpstr>
      <vt:lpstr>'301'!OSRRefL21x_0</vt:lpstr>
      <vt:lpstr>'306'!OSRRefL21x_0</vt:lpstr>
      <vt:lpstr>'307'!OSRRefL21x_0</vt:lpstr>
      <vt:lpstr>'308'!OSRRefL21x_0</vt:lpstr>
      <vt:lpstr>'309'!OSRRefL21x_0</vt:lpstr>
      <vt:lpstr>'310'!OSRRefL21x_0</vt:lpstr>
      <vt:lpstr>'310 &amp; 491'!OSRRefL21x_0</vt:lpstr>
      <vt:lpstr>'311'!OSRRefL21x_0</vt:lpstr>
      <vt:lpstr>'312'!OSRRefL21x_0</vt:lpstr>
      <vt:lpstr>'313'!OSRRefL21x_0</vt:lpstr>
      <vt:lpstr>'314'!OSRRefL21x_0</vt:lpstr>
      <vt:lpstr>'315'!OSRRefL21x_0</vt:lpstr>
      <vt:lpstr>'316'!OSRRefL21x_0</vt:lpstr>
      <vt:lpstr>'317'!OSRRefL21x_0</vt:lpstr>
      <vt:lpstr>'318'!OSRRefL21x_0</vt:lpstr>
      <vt:lpstr>'320'!OSRRefL21x_0</vt:lpstr>
      <vt:lpstr>'321'!OSRRefL21x_0</vt:lpstr>
      <vt:lpstr>'322'!OSRRefL21x_0</vt:lpstr>
      <vt:lpstr>'323'!OSRRefL21x_0</vt:lpstr>
      <vt:lpstr>'324'!OSRRefL21x_0</vt:lpstr>
      <vt:lpstr>'325'!OSRRefL21x_0</vt:lpstr>
      <vt:lpstr>'326'!OSRRefL21x_0</vt:lpstr>
      <vt:lpstr>'327'!OSRRefL21x_0</vt:lpstr>
      <vt:lpstr>'330'!OSRRefL21x_0</vt:lpstr>
      <vt:lpstr>'331'!OSRRefL21x_0</vt:lpstr>
      <vt:lpstr>'332'!OSRRefL21x_0</vt:lpstr>
      <vt:lpstr>'335'!OSRRefL21x_0</vt:lpstr>
      <vt:lpstr>'405'!OSRRefL21x_0</vt:lpstr>
      <vt:lpstr>'406'!OSRRefL21x_0</vt:lpstr>
      <vt:lpstr>'411'!OSRRefL21x_0</vt:lpstr>
      <vt:lpstr>'412'!OSRRefL21x_0</vt:lpstr>
      <vt:lpstr>'413'!OSRRefL21x_0</vt:lpstr>
      <vt:lpstr>'414'!OSRRefL21x_0</vt:lpstr>
      <vt:lpstr>'415'!OSRRefL21x_0</vt:lpstr>
      <vt:lpstr>'418'!OSRRefL21x_0</vt:lpstr>
      <vt:lpstr>'420'!OSRRefL21x_0</vt:lpstr>
      <vt:lpstr>'423'!OSRRefL21x_0</vt:lpstr>
      <vt:lpstr>'424'!OSRRefL21x_0</vt:lpstr>
      <vt:lpstr>'425'!OSRRefL21x_0</vt:lpstr>
      <vt:lpstr>'430'!OSRRefL21x_0</vt:lpstr>
      <vt:lpstr>'433'!OSRRefL21x_0</vt:lpstr>
      <vt:lpstr>'435'!OSRRefL21x_0</vt:lpstr>
      <vt:lpstr>'444'!OSRRefL21x_0</vt:lpstr>
      <vt:lpstr>'445'!OSRRefL21x_0</vt:lpstr>
      <vt:lpstr>'450'!OSRRefL21x_0</vt:lpstr>
      <vt:lpstr>'455'!OSRRefL21x_0</vt:lpstr>
      <vt:lpstr>'491'!OSRRefL21x_0</vt:lpstr>
      <vt:lpstr>'492'!OSRRefL21x_0</vt:lpstr>
      <vt:lpstr>'501'!OSRRefL21x_0</vt:lpstr>
      <vt:lpstr>'Div 2'!OSRRefL21x_0</vt:lpstr>
      <vt:lpstr>'Div 3'!OSRRefL21x_0</vt:lpstr>
      <vt:lpstr>'Div 4'!OSRRefL21x_0</vt:lpstr>
      <vt:lpstr>'Div 5'!OSRRefL21x_0</vt:lpstr>
      <vt:lpstr>'Div 6'!OSRRefL21x_0</vt:lpstr>
      <vt:lpstr>Summary!OSRRefL21x_0</vt:lpstr>
      <vt:lpstr>'202'!OSRRefL24x_0</vt:lpstr>
      <vt:lpstr>'300'!OSRRefL24x_0</vt:lpstr>
      <vt:lpstr>'300 &amp; 317'!OSRRefL24x_0</vt:lpstr>
      <vt:lpstr>'301'!OSRRefL24x_0</vt:lpstr>
      <vt:lpstr>'307'!OSRRefL24x_0</vt:lpstr>
      <vt:lpstr>'308'!OSRRefL24x_0</vt:lpstr>
      <vt:lpstr>'309'!OSRRefL24x_0</vt:lpstr>
      <vt:lpstr>'310'!OSRRefL24x_0</vt:lpstr>
      <vt:lpstr>'310 &amp; 491'!OSRRefL24x_0</vt:lpstr>
      <vt:lpstr>'311'!OSRRefL24x_0</vt:lpstr>
      <vt:lpstr>'312'!OSRRefL24x_0</vt:lpstr>
      <vt:lpstr>'314'!OSRRefL24x_0</vt:lpstr>
      <vt:lpstr>'315'!OSRRefL24x_0</vt:lpstr>
      <vt:lpstr>'316'!OSRRefL24x_0</vt:lpstr>
      <vt:lpstr>'317'!OSRRefL24x_0</vt:lpstr>
      <vt:lpstr>'320'!OSRRefL24x_0</vt:lpstr>
      <vt:lpstr>'330'!OSRRefL24x_0</vt:lpstr>
      <vt:lpstr>'331'!OSRRefL24x_0</vt:lpstr>
      <vt:lpstr>'332'!OSRRefL24x_0</vt:lpstr>
      <vt:lpstr>'411'!OSRRefL24x_0</vt:lpstr>
      <vt:lpstr>'413'!OSRRefL24x_0</vt:lpstr>
      <vt:lpstr>'415'!OSRRefL24x_0</vt:lpstr>
      <vt:lpstr>'418'!OSRRefL24x_0</vt:lpstr>
      <vt:lpstr>'423'!OSRRefL24x_0</vt:lpstr>
      <vt:lpstr>'424'!OSRRefL24x_0</vt:lpstr>
      <vt:lpstr>'425'!OSRRefL24x_0</vt:lpstr>
      <vt:lpstr>'455'!OSRRefL24x_0</vt:lpstr>
      <vt:lpstr>'491'!OSRRefL24x_0</vt:lpstr>
      <vt:lpstr>'501'!OSRRefL24x_0</vt:lpstr>
      <vt:lpstr>'Div 2'!OSRRefL24x_0</vt:lpstr>
      <vt:lpstr>'Div 3'!OSRRefL24x_0</vt:lpstr>
      <vt:lpstr>'Div 4'!OSRRefL24x_0</vt:lpstr>
      <vt:lpstr>'Div 5'!OSRRefL24x_0</vt:lpstr>
      <vt:lpstr>'Div 6'!OSRRefL24x_0</vt:lpstr>
      <vt:lpstr>Summary!OSRRefL24x_0</vt:lpstr>
      <vt:lpstr>'201'!OSRRefN11x_0</vt:lpstr>
      <vt:lpstr>'202'!OSRRefN11x_0</vt:lpstr>
      <vt:lpstr>'300'!OSRRefN11x_0</vt:lpstr>
      <vt:lpstr>'300 &amp; 317'!OSRRefN11x_0</vt:lpstr>
      <vt:lpstr>'307'!OSRRefN11x_0</vt:lpstr>
      <vt:lpstr>'308'!OSRRefN11x_0</vt:lpstr>
      <vt:lpstr>'309'!OSRRefN11x_0</vt:lpstr>
      <vt:lpstr>'310'!OSRRefN11x_0</vt:lpstr>
      <vt:lpstr>'310 &amp; 491'!OSRRefN11x_0</vt:lpstr>
      <vt:lpstr>'311'!OSRRefN11x_0</vt:lpstr>
      <vt:lpstr>'312'!OSRRefN11x_0</vt:lpstr>
      <vt:lpstr>'313'!OSRRefN11x_0</vt:lpstr>
      <vt:lpstr>'314'!OSRRefN11x_0</vt:lpstr>
      <vt:lpstr>'315'!OSRRefN11x_0</vt:lpstr>
      <vt:lpstr>'316'!OSRRefN11x_0</vt:lpstr>
      <vt:lpstr>'317'!OSRRefN11x_0</vt:lpstr>
      <vt:lpstr>'320'!OSRRefN11x_0</vt:lpstr>
      <vt:lpstr>'321'!OSRRefN11x_0</vt:lpstr>
      <vt:lpstr>'322'!OSRRefN11x_0</vt:lpstr>
      <vt:lpstr>'323'!OSRRefN11x_0</vt:lpstr>
      <vt:lpstr>'324'!OSRRefN11x_0</vt:lpstr>
      <vt:lpstr>'325'!OSRRefN11x_0</vt:lpstr>
      <vt:lpstr>'326'!OSRRefN11x_0</vt:lpstr>
      <vt:lpstr>'327'!OSRRefN11x_0</vt:lpstr>
      <vt:lpstr>'330'!OSRRefN11x_0</vt:lpstr>
      <vt:lpstr>'331'!OSRRefN11x_0</vt:lpstr>
      <vt:lpstr>'332'!OSRRefN11x_0</vt:lpstr>
      <vt:lpstr>'405'!OSRRefN11x_0</vt:lpstr>
      <vt:lpstr>'406'!OSRRefN11x_0</vt:lpstr>
      <vt:lpstr>'412'!OSRRefN11x_0</vt:lpstr>
      <vt:lpstr>'413'!OSRRefN11x_0</vt:lpstr>
      <vt:lpstr>'414'!OSRRefN11x_0</vt:lpstr>
      <vt:lpstr>'415'!OSRRefN11x_0</vt:lpstr>
      <vt:lpstr>'418'!OSRRefN11x_0</vt:lpstr>
      <vt:lpstr>'420'!OSRRefN11x_0</vt:lpstr>
      <vt:lpstr>'424'!OSRRefN11x_0</vt:lpstr>
      <vt:lpstr>'425'!OSRRefN11x_0</vt:lpstr>
      <vt:lpstr>'433'!OSRRefN11x_0</vt:lpstr>
      <vt:lpstr>'435'!OSRRefN11x_0</vt:lpstr>
      <vt:lpstr>'444'!OSRRefN11x_0</vt:lpstr>
      <vt:lpstr>'445'!OSRRefN11x_0</vt:lpstr>
      <vt:lpstr>'450'!OSRRefN11x_0</vt:lpstr>
      <vt:lpstr>'491'!OSRRefN11x_0</vt:lpstr>
      <vt:lpstr>'492'!OSRRefN11x_0</vt:lpstr>
      <vt:lpstr>'501'!OSRRefN11x_0</vt:lpstr>
      <vt:lpstr>'Div 2'!OSRRefN11x_0</vt:lpstr>
      <vt:lpstr>'Div 3'!OSRRefN11x_0</vt:lpstr>
      <vt:lpstr>'Div 4'!OSRRefN11x_0</vt:lpstr>
      <vt:lpstr>'Div 5'!OSRRefN11x_0</vt:lpstr>
      <vt:lpstr>'Div 6'!OSRRefN11x_0</vt:lpstr>
      <vt:lpstr>Summary!OSRRefN11x_0</vt:lpstr>
      <vt:lpstr>'300'!OSRRefN14x_0</vt:lpstr>
      <vt:lpstr>'300 &amp; 317'!OSRRefN14x_0</vt:lpstr>
      <vt:lpstr>'301'!OSRRefN14x_0</vt:lpstr>
      <vt:lpstr>'307'!OSRRefN14x_0</vt:lpstr>
      <vt:lpstr>'308'!OSRRefN14x_0</vt:lpstr>
      <vt:lpstr>'309'!OSRRefN14x_0</vt:lpstr>
      <vt:lpstr>'310'!OSRRefN14x_0</vt:lpstr>
      <vt:lpstr>'310 &amp; 491'!OSRRefN14x_0</vt:lpstr>
      <vt:lpstr>'311'!OSRRefN14x_0</vt:lpstr>
      <vt:lpstr>'312'!OSRRefN14x_0</vt:lpstr>
      <vt:lpstr>'313'!OSRRefN14x_0</vt:lpstr>
      <vt:lpstr>'314'!OSRRefN14x_0</vt:lpstr>
      <vt:lpstr>'315'!OSRRefN14x_0</vt:lpstr>
      <vt:lpstr>'316'!OSRRefN14x_0</vt:lpstr>
      <vt:lpstr>'317'!OSRRefN14x_0</vt:lpstr>
      <vt:lpstr>'320'!OSRRefN14x_0</vt:lpstr>
      <vt:lpstr>'321'!OSRRefN14x_0</vt:lpstr>
      <vt:lpstr>'322'!OSRRefN14x_0</vt:lpstr>
      <vt:lpstr>'324'!OSRRefN14x_0</vt:lpstr>
      <vt:lpstr>'325'!OSRRefN14x_0</vt:lpstr>
      <vt:lpstr>'326'!OSRRefN14x_0</vt:lpstr>
      <vt:lpstr>'327'!OSRRefN14x_0</vt:lpstr>
      <vt:lpstr>'330'!OSRRefN14x_0</vt:lpstr>
      <vt:lpstr>'331'!OSRRefN14x_0</vt:lpstr>
      <vt:lpstr>'332'!OSRRefN14x_0</vt:lpstr>
      <vt:lpstr>'405'!OSRRefN14x_0</vt:lpstr>
      <vt:lpstr>'406'!OSRRefN14x_0</vt:lpstr>
      <vt:lpstr>'412'!OSRRefN14x_0</vt:lpstr>
      <vt:lpstr>'413'!OSRRefN14x_0</vt:lpstr>
      <vt:lpstr>'414'!OSRRefN14x_0</vt:lpstr>
      <vt:lpstr>'415'!OSRRefN14x_0</vt:lpstr>
      <vt:lpstr>'418'!OSRRefN14x_0</vt:lpstr>
      <vt:lpstr>'420'!OSRRefN14x_0</vt:lpstr>
      <vt:lpstr>'423'!OSRRefN14x_0</vt:lpstr>
      <vt:lpstr>'424'!OSRRefN14x_0</vt:lpstr>
      <vt:lpstr>'425'!OSRRefN14x_0</vt:lpstr>
      <vt:lpstr>'433'!OSRRefN14x_0</vt:lpstr>
      <vt:lpstr>'435'!OSRRefN14x_0</vt:lpstr>
      <vt:lpstr>'444'!OSRRefN14x_0</vt:lpstr>
      <vt:lpstr>'445'!OSRRefN14x_0</vt:lpstr>
      <vt:lpstr>'450'!OSRRefN14x_0</vt:lpstr>
      <vt:lpstr>'491'!OSRRefN14x_0</vt:lpstr>
      <vt:lpstr>'492'!OSRRefN14x_0</vt:lpstr>
      <vt:lpstr>'Div 3'!OSRRefN14x_0</vt:lpstr>
      <vt:lpstr>'Div 4'!OSRRefN14x_0</vt:lpstr>
      <vt:lpstr>'Div 6'!OSRRefN14x_0</vt:lpstr>
      <vt:lpstr>Summary!OSRRefN14x_0</vt:lpstr>
      <vt:lpstr>'200'!OSRRefN21_0x_0</vt:lpstr>
      <vt:lpstr>'201'!OSRRefN21_0x_0</vt:lpstr>
      <vt:lpstr>'202'!OSRRefN21_0x_0</vt:lpstr>
      <vt:lpstr>'203'!OSRRefN21_0x_0</vt:lpstr>
      <vt:lpstr>'204'!OSRRefN21_0x_0</vt:lpstr>
      <vt:lpstr>'205'!OSRRefN21_0x_0</vt:lpstr>
      <vt:lpstr>'206'!OSRRefN21_0x_0</vt:lpstr>
      <vt:lpstr>'300'!OSRRefN21_0x_0</vt:lpstr>
      <vt:lpstr>'300 &amp; 317'!OSRRefN21_0x_0</vt:lpstr>
      <vt:lpstr>'301'!OSRRefN21_0x_0</vt:lpstr>
      <vt:lpstr>'306'!OSRRefN21_0x_0</vt:lpstr>
      <vt:lpstr>'307'!OSRRefN21_0x_0</vt:lpstr>
      <vt:lpstr>'308'!OSRRefN21_0x_0</vt:lpstr>
      <vt:lpstr>'309'!OSRRefN21_0x_0</vt:lpstr>
      <vt:lpstr>'310'!OSRRefN21_0x_0</vt:lpstr>
      <vt:lpstr>'310 &amp; 491'!OSRRefN21_0x_0</vt:lpstr>
      <vt:lpstr>'311'!OSRRefN21_0x_0</vt:lpstr>
      <vt:lpstr>'312'!OSRRefN21_0x_0</vt:lpstr>
      <vt:lpstr>'313'!OSRRefN21_0x_0</vt:lpstr>
      <vt:lpstr>'314'!OSRRefN21_0x_0</vt:lpstr>
      <vt:lpstr>'315'!OSRRefN21_0x_0</vt:lpstr>
      <vt:lpstr>'316'!OSRRefN21_0x_0</vt:lpstr>
      <vt:lpstr>'317'!OSRRefN21_0x_0</vt:lpstr>
      <vt:lpstr>'318'!OSRRefN21_0x_0</vt:lpstr>
      <vt:lpstr>'320'!OSRRefN21_0x_0</vt:lpstr>
      <vt:lpstr>'321'!OSRRefN21_0x_0</vt:lpstr>
      <vt:lpstr>'322'!OSRRefN21_0x_0</vt:lpstr>
      <vt:lpstr>'323'!OSRRefN21_0x_0</vt:lpstr>
      <vt:lpstr>'324'!OSRRefN21_0x_0</vt:lpstr>
      <vt:lpstr>'325'!OSRRefN21_0x_0</vt:lpstr>
      <vt:lpstr>'326'!OSRRefN21_0x_0</vt:lpstr>
      <vt:lpstr>'327'!OSRRefN21_0x_0</vt:lpstr>
      <vt:lpstr>'330'!OSRRefN21_0x_0</vt:lpstr>
      <vt:lpstr>'331'!OSRRefN21_0x_0</vt:lpstr>
      <vt:lpstr>'332'!OSRRefN21_0x_0</vt:lpstr>
      <vt:lpstr>'335'!OSRRefN21_0x_0</vt:lpstr>
      <vt:lpstr>'405'!OSRRefN21_0x_0</vt:lpstr>
      <vt:lpstr>'406'!OSRRefN21_0x_0</vt:lpstr>
      <vt:lpstr>'411'!OSRRefN21_0x_0</vt:lpstr>
      <vt:lpstr>'412'!OSRRefN21_0x_0</vt:lpstr>
      <vt:lpstr>'413'!OSRRefN21_0x_0</vt:lpstr>
      <vt:lpstr>'414'!OSRRefN21_0x_0</vt:lpstr>
      <vt:lpstr>'415'!OSRRefN21_0x_0</vt:lpstr>
      <vt:lpstr>'418'!OSRRefN21_0x_0</vt:lpstr>
      <vt:lpstr>'420'!OSRRefN21_0x_0</vt:lpstr>
      <vt:lpstr>'423'!OSRRefN21_0x_0</vt:lpstr>
      <vt:lpstr>'424'!OSRRefN21_0x_0</vt:lpstr>
      <vt:lpstr>'425'!OSRRefN21_0x_0</vt:lpstr>
      <vt:lpstr>'430'!OSRRefN21_0x_0</vt:lpstr>
      <vt:lpstr>'433'!OSRRefN21_0x_0</vt:lpstr>
      <vt:lpstr>'435'!OSRRefN21_0x_0</vt:lpstr>
      <vt:lpstr>'444'!OSRRefN21_0x_0</vt:lpstr>
      <vt:lpstr>'445'!OSRRefN21_0x_0</vt:lpstr>
      <vt:lpstr>'450'!OSRRefN21_0x_0</vt:lpstr>
      <vt:lpstr>'455'!OSRRefN21_0x_0</vt:lpstr>
      <vt:lpstr>'491'!OSRRefN21_0x_0</vt:lpstr>
      <vt:lpstr>'492'!OSRRefN21_0x_0</vt:lpstr>
      <vt:lpstr>'501'!OSRRefN21_0x_0</vt:lpstr>
      <vt:lpstr>'Div 2'!OSRRefN21_0x_0</vt:lpstr>
      <vt:lpstr>'Div 3'!OSRRefN21_0x_0</vt:lpstr>
      <vt:lpstr>'Div 4'!OSRRefN21_0x_0</vt:lpstr>
      <vt:lpstr>'Div 5'!OSRRefN21_0x_0</vt:lpstr>
      <vt:lpstr>'Div 6'!OSRRefN21_0x_0</vt:lpstr>
      <vt:lpstr>Summary!OSRRefN21_0x_0</vt:lpstr>
      <vt:lpstr>'201'!OSRRefN21_10x_0</vt:lpstr>
      <vt:lpstr>'202'!OSRRefN21_10x_0</vt:lpstr>
      <vt:lpstr>'203'!OSRRefN21_10x_0</vt:lpstr>
      <vt:lpstr>'204'!OSRRefN21_10x_0</vt:lpstr>
      <vt:lpstr>'206'!OSRRefN21_10x_0</vt:lpstr>
      <vt:lpstr>'300'!OSRRefN21_10x_0</vt:lpstr>
      <vt:lpstr>'300 &amp; 317'!OSRRefN21_10x_0</vt:lpstr>
      <vt:lpstr>'301'!OSRRefN21_10x_0</vt:lpstr>
      <vt:lpstr>'306'!OSRRefN21_10x_0</vt:lpstr>
      <vt:lpstr>'307'!OSRRefN21_10x_0</vt:lpstr>
      <vt:lpstr>'308'!OSRRefN21_10x_0</vt:lpstr>
      <vt:lpstr>'309'!OSRRefN21_10x_0</vt:lpstr>
      <vt:lpstr>'310'!OSRRefN21_10x_0</vt:lpstr>
      <vt:lpstr>'310 &amp; 491'!OSRRefN21_10x_0</vt:lpstr>
      <vt:lpstr>'311'!OSRRefN21_10x_0</vt:lpstr>
      <vt:lpstr>'313'!OSRRefN21_10x_0</vt:lpstr>
      <vt:lpstr>'314'!OSRRefN21_10x_0</vt:lpstr>
      <vt:lpstr>'315'!OSRRefN21_10x_0</vt:lpstr>
      <vt:lpstr>'316'!OSRRefN21_10x_0</vt:lpstr>
      <vt:lpstr>'317'!OSRRefN21_10x_0</vt:lpstr>
      <vt:lpstr>'320'!OSRRefN21_10x_0</vt:lpstr>
      <vt:lpstr>'321'!OSRRefN21_10x_0</vt:lpstr>
      <vt:lpstr>'322'!OSRRefN21_10x_0</vt:lpstr>
      <vt:lpstr>'325'!OSRRefN21_10x_0</vt:lpstr>
      <vt:lpstr>'326'!OSRRefN21_10x_0</vt:lpstr>
      <vt:lpstr>'330'!OSRRefN21_10x_0</vt:lpstr>
      <vt:lpstr>'331'!OSRRefN21_10x_0</vt:lpstr>
      <vt:lpstr>'332'!OSRRefN21_10x_0</vt:lpstr>
      <vt:lpstr>'405'!OSRRefN21_10x_0</vt:lpstr>
      <vt:lpstr>'406'!OSRRefN21_10x_0</vt:lpstr>
      <vt:lpstr>'411'!OSRRefN21_10x_0</vt:lpstr>
      <vt:lpstr>'412'!OSRRefN21_10x_0</vt:lpstr>
      <vt:lpstr>'413'!OSRRefN21_10x_0</vt:lpstr>
      <vt:lpstr>'414'!OSRRefN21_10x_0</vt:lpstr>
      <vt:lpstr>'415'!OSRRefN21_10x_0</vt:lpstr>
      <vt:lpstr>'418'!OSRRefN21_10x_0</vt:lpstr>
      <vt:lpstr>'423'!OSRRefN21_10x_0</vt:lpstr>
      <vt:lpstr>'424'!OSRRefN21_10x_0</vt:lpstr>
      <vt:lpstr>'425'!OSRRefN21_10x_0</vt:lpstr>
      <vt:lpstr>'430'!OSRRefN21_10x_0</vt:lpstr>
      <vt:lpstr>'433'!OSRRefN21_10x_0</vt:lpstr>
      <vt:lpstr>'435'!OSRRefN21_10x_0</vt:lpstr>
      <vt:lpstr>'444'!OSRRefN21_10x_0</vt:lpstr>
      <vt:lpstr>'445'!OSRRefN21_10x_0</vt:lpstr>
      <vt:lpstr>'450'!OSRRefN21_10x_0</vt:lpstr>
      <vt:lpstr>'491'!OSRRefN21_10x_0</vt:lpstr>
      <vt:lpstr>'492'!OSRRefN21_10x_0</vt:lpstr>
      <vt:lpstr>'501'!OSRRefN21_10x_0</vt:lpstr>
      <vt:lpstr>'Div 2'!OSRRefN21_10x_0</vt:lpstr>
      <vt:lpstr>'Div 3'!OSRRefN21_10x_0</vt:lpstr>
      <vt:lpstr>'Div 4'!OSRRefN21_10x_0</vt:lpstr>
      <vt:lpstr>'Div 5'!OSRRefN21_10x_0</vt:lpstr>
      <vt:lpstr>'Div 6'!OSRRefN21_10x_0</vt:lpstr>
      <vt:lpstr>Summary!OSRRefN21_10x_0</vt:lpstr>
      <vt:lpstr>'201'!OSRRefN21_11x_0</vt:lpstr>
      <vt:lpstr>'202'!OSRRefN21_11x_0</vt:lpstr>
      <vt:lpstr>'203'!OSRRefN21_11x_0</vt:lpstr>
      <vt:lpstr>'204'!OSRRefN21_11x_0</vt:lpstr>
      <vt:lpstr>'206'!OSRRefN21_11x_0</vt:lpstr>
      <vt:lpstr>'300'!OSRRefN21_11x_0</vt:lpstr>
      <vt:lpstr>'300 &amp; 317'!OSRRefN21_11x_0</vt:lpstr>
      <vt:lpstr>'301'!OSRRefN21_11x_0</vt:lpstr>
      <vt:lpstr>'306'!OSRRefN21_11x_0</vt:lpstr>
      <vt:lpstr>'307'!OSRRefN21_11x_0</vt:lpstr>
      <vt:lpstr>'308'!OSRRefN21_11x_0</vt:lpstr>
      <vt:lpstr>'309'!OSRRefN21_11x_0</vt:lpstr>
      <vt:lpstr>'310'!OSRRefN21_11x_0</vt:lpstr>
      <vt:lpstr>'310 &amp; 491'!OSRRefN21_11x_0</vt:lpstr>
      <vt:lpstr>'311'!OSRRefN21_11x_0</vt:lpstr>
      <vt:lpstr>'313'!OSRRefN21_11x_0</vt:lpstr>
      <vt:lpstr>'314'!OSRRefN21_11x_0</vt:lpstr>
      <vt:lpstr>'315'!OSRRefN21_11x_0</vt:lpstr>
      <vt:lpstr>'316'!OSRRefN21_11x_0</vt:lpstr>
      <vt:lpstr>'317'!OSRRefN21_11x_0</vt:lpstr>
      <vt:lpstr>'320'!OSRRefN21_11x_0</vt:lpstr>
      <vt:lpstr>'321'!OSRRefN21_11x_0</vt:lpstr>
      <vt:lpstr>'322'!OSRRefN21_11x_0</vt:lpstr>
      <vt:lpstr>'325'!OSRRefN21_11x_0</vt:lpstr>
      <vt:lpstr>'326'!OSRRefN21_11x_0</vt:lpstr>
      <vt:lpstr>'330'!OSRRefN21_11x_0</vt:lpstr>
      <vt:lpstr>'331'!OSRRefN21_11x_0</vt:lpstr>
      <vt:lpstr>'332'!OSRRefN21_11x_0</vt:lpstr>
      <vt:lpstr>'405'!OSRRefN21_11x_0</vt:lpstr>
      <vt:lpstr>'406'!OSRRefN21_11x_0</vt:lpstr>
      <vt:lpstr>'411'!OSRRefN21_11x_0</vt:lpstr>
      <vt:lpstr>'412'!OSRRefN21_11x_0</vt:lpstr>
      <vt:lpstr>'413'!OSRRefN21_11x_0</vt:lpstr>
      <vt:lpstr>'414'!OSRRefN21_11x_0</vt:lpstr>
      <vt:lpstr>'415'!OSRRefN21_11x_0</vt:lpstr>
      <vt:lpstr>'418'!OSRRefN21_11x_0</vt:lpstr>
      <vt:lpstr>'423'!OSRRefN21_11x_0</vt:lpstr>
      <vt:lpstr>'424'!OSRRefN21_11x_0</vt:lpstr>
      <vt:lpstr>'425'!OSRRefN21_11x_0</vt:lpstr>
      <vt:lpstr>'430'!OSRRefN21_11x_0</vt:lpstr>
      <vt:lpstr>'433'!OSRRefN21_11x_0</vt:lpstr>
      <vt:lpstr>'435'!OSRRefN21_11x_0</vt:lpstr>
      <vt:lpstr>'444'!OSRRefN21_11x_0</vt:lpstr>
      <vt:lpstr>'445'!OSRRefN21_11x_0</vt:lpstr>
      <vt:lpstr>'450'!OSRRefN21_11x_0</vt:lpstr>
      <vt:lpstr>'491'!OSRRefN21_11x_0</vt:lpstr>
      <vt:lpstr>'492'!OSRRefN21_11x_0</vt:lpstr>
      <vt:lpstr>'501'!OSRRefN21_11x_0</vt:lpstr>
      <vt:lpstr>'Div 2'!OSRRefN21_11x_0</vt:lpstr>
      <vt:lpstr>'Div 3'!OSRRefN21_11x_0</vt:lpstr>
      <vt:lpstr>'Div 4'!OSRRefN21_11x_0</vt:lpstr>
      <vt:lpstr>'Div 5'!OSRRefN21_11x_0</vt:lpstr>
      <vt:lpstr>'Div 6'!OSRRefN21_11x_0</vt:lpstr>
      <vt:lpstr>Summary!OSRRefN21_11x_0</vt:lpstr>
      <vt:lpstr>'201'!OSRRefN21_12x_0</vt:lpstr>
      <vt:lpstr>'202'!OSRRefN21_12x_0</vt:lpstr>
      <vt:lpstr>'203'!OSRRefN21_12x_0</vt:lpstr>
      <vt:lpstr>'204'!OSRRefN21_12x_0</vt:lpstr>
      <vt:lpstr>'206'!OSRRefN21_12x_0</vt:lpstr>
      <vt:lpstr>'300'!OSRRefN21_12x_0</vt:lpstr>
      <vt:lpstr>'300 &amp; 317'!OSRRefN21_12x_0</vt:lpstr>
      <vt:lpstr>'301'!OSRRefN21_12x_0</vt:lpstr>
      <vt:lpstr>'306'!OSRRefN21_12x_0</vt:lpstr>
      <vt:lpstr>'307'!OSRRefN21_12x_0</vt:lpstr>
      <vt:lpstr>'308'!OSRRefN21_12x_0</vt:lpstr>
      <vt:lpstr>'309'!OSRRefN21_12x_0</vt:lpstr>
      <vt:lpstr>'310'!OSRRefN21_12x_0</vt:lpstr>
      <vt:lpstr>'310 &amp; 491'!OSRRefN21_12x_0</vt:lpstr>
      <vt:lpstr>'311'!OSRRefN21_12x_0</vt:lpstr>
      <vt:lpstr>'313'!OSRRefN21_12x_0</vt:lpstr>
      <vt:lpstr>'314'!OSRRefN21_12x_0</vt:lpstr>
      <vt:lpstr>'315'!OSRRefN21_12x_0</vt:lpstr>
      <vt:lpstr>'316'!OSRRefN21_12x_0</vt:lpstr>
      <vt:lpstr>'317'!OSRRefN21_12x_0</vt:lpstr>
      <vt:lpstr>'320'!OSRRefN21_12x_0</vt:lpstr>
      <vt:lpstr>'321'!OSRRefN21_12x_0</vt:lpstr>
      <vt:lpstr>'322'!OSRRefN21_12x_0</vt:lpstr>
      <vt:lpstr>'325'!OSRRefN21_12x_0</vt:lpstr>
      <vt:lpstr>'326'!OSRRefN21_12x_0</vt:lpstr>
      <vt:lpstr>'330'!OSRRefN21_12x_0</vt:lpstr>
      <vt:lpstr>'331'!OSRRefN21_12x_0</vt:lpstr>
      <vt:lpstr>'332'!OSRRefN21_12x_0</vt:lpstr>
      <vt:lpstr>'405'!OSRRefN21_12x_0</vt:lpstr>
      <vt:lpstr>'406'!OSRRefN21_12x_0</vt:lpstr>
      <vt:lpstr>'411'!OSRRefN21_12x_0</vt:lpstr>
      <vt:lpstr>'412'!OSRRefN21_12x_0</vt:lpstr>
      <vt:lpstr>'413'!OSRRefN21_12x_0</vt:lpstr>
      <vt:lpstr>'414'!OSRRefN21_12x_0</vt:lpstr>
      <vt:lpstr>'415'!OSRRefN21_12x_0</vt:lpstr>
      <vt:lpstr>'418'!OSRRefN21_12x_0</vt:lpstr>
      <vt:lpstr>'423'!OSRRefN21_12x_0</vt:lpstr>
      <vt:lpstr>'424'!OSRRefN21_12x_0</vt:lpstr>
      <vt:lpstr>'425'!OSRRefN21_12x_0</vt:lpstr>
      <vt:lpstr>'433'!OSRRefN21_12x_0</vt:lpstr>
      <vt:lpstr>'435'!OSRRefN21_12x_0</vt:lpstr>
      <vt:lpstr>'444'!OSRRefN21_12x_0</vt:lpstr>
      <vt:lpstr>'445'!OSRRefN21_12x_0</vt:lpstr>
      <vt:lpstr>'450'!OSRRefN21_12x_0</vt:lpstr>
      <vt:lpstr>'491'!OSRRefN21_12x_0</vt:lpstr>
      <vt:lpstr>'492'!OSRRefN21_12x_0</vt:lpstr>
      <vt:lpstr>'501'!OSRRefN21_12x_0</vt:lpstr>
      <vt:lpstr>'Div 2'!OSRRefN21_12x_0</vt:lpstr>
      <vt:lpstr>'Div 3'!OSRRefN21_12x_0</vt:lpstr>
      <vt:lpstr>'Div 4'!OSRRefN21_12x_0</vt:lpstr>
      <vt:lpstr>'Div 5'!OSRRefN21_12x_0</vt:lpstr>
      <vt:lpstr>'Div 6'!OSRRefN21_12x_0</vt:lpstr>
      <vt:lpstr>Summary!OSRRefN21_12x_0</vt:lpstr>
      <vt:lpstr>'201'!OSRRefN21_13x_0</vt:lpstr>
      <vt:lpstr>'202'!OSRRefN21_13x_0</vt:lpstr>
      <vt:lpstr>'203'!OSRRefN21_13x_0</vt:lpstr>
      <vt:lpstr>'204'!OSRRefN21_13x_0</vt:lpstr>
      <vt:lpstr>'300'!OSRRefN21_13x_0</vt:lpstr>
      <vt:lpstr>'300 &amp; 317'!OSRRefN21_13x_0</vt:lpstr>
      <vt:lpstr>'301'!OSRRefN21_13x_0</vt:lpstr>
      <vt:lpstr>'307'!OSRRefN21_13x_0</vt:lpstr>
      <vt:lpstr>'308'!OSRRefN21_13x_0</vt:lpstr>
      <vt:lpstr>'309'!OSRRefN21_13x_0</vt:lpstr>
      <vt:lpstr>'310'!OSRRefN21_13x_0</vt:lpstr>
      <vt:lpstr>'310 &amp; 491'!OSRRefN21_13x_0</vt:lpstr>
      <vt:lpstr>'311'!OSRRefN21_13x_0</vt:lpstr>
      <vt:lpstr>'313'!OSRRefN21_13x_0</vt:lpstr>
      <vt:lpstr>'314'!OSRRefN21_13x_0</vt:lpstr>
      <vt:lpstr>'315'!OSRRefN21_13x_0</vt:lpstr>
      <vt:lpstr>'316'!OSRRefN21_13x_0</vt:lpstr>
      <vt:lpstr>'317'!OSRRefN21_13x_0</vt:lpstr>
      <vt:lpstr>'321'!OSRRefN21_13x_0</vt:lpstr>
      <vt:lpstr>'322'!OSRRefN21_13x_0</vt:lpstr>
      <vt:lpstr>'325'!OSRRefN21_13x_0</vt:lpstr>
      <vt:lpstr>'326'!OSRRefN21_13x_0</vt:lpstr>
      <vt:lpstr>'330'!OSRRefN21_13x_0</vt:lpstr>
      <vt:lpstr>'331'!OSRRefN21_13x_0</vt:lpstr>
      <vt:lpstr>'332'!OSRRefN21_13x_0</vt:lpstr>
      <vt:lpstr>'405'!OSRRefN21_13x_0</vt:lpstr>
      <vt:lpstr>'406'!OSRRefN21_13x_0</vt:lpstr>
      <vt:lpstr>'411'!OSRRefN21_13x_0</vt:lpstr>
      <vt:lpstr>'412'!OSRRefN21_13x_0</vt:lpstr>
      <vt:lpstr>'413'!OSRRefN21_13x_0</vt:lpstr>
      <vt:lpstr>'414'!OSRRefN21_13x_0</vt:lpstr>
      <vt:lpstr>'415'!OSRRefN21_13x_0</vt:lpstr>
      <vt:lpstr>'418'!OSRRefN21_13x_0</vt:lpstr>
      <vt:lpstr>'424'!OSRRefN21_13x_0</vt:lpstr>
      <vt:lpstr>'425'!OSRRefN21_13x_0</vt:lpstr>
      <vt:lpstr>'433'!OSRRefN21_13x_0</vt:lpstr>
      <vt:lpstr>'435'!OSRRefN21_13x_0</vt:lpstr>
      <vt:lpstr>'444'!OSRRefN21_13x_0</vt:lpstr>
      <vt:lpstr>'445'!OSRRefN21_13x_0</vt:lpstr>
      <vt:lpstr>'450'!OSRRefN21_13x_0</vt:lpstr>
      <vt:lpstr>'491'!OSRRefN21_13x_0</vt:lpstr>
      <vt:lpstr>'492'!OSRRefN21_13x_0</vt:lpstr>
      <vt:lpstr>'501'!OSRRefN21_13x_0</vt:lpstr>
      <vt:lpstr>'Div 2'!OSRRefN21_13x_0</vt:lpstr>
      <vt:lpstr>'Div 3'!OSRRefN21_13x_0</vt:lpstr>
      <vt:lpstr>'Div 4'!OSRRefN21_13x_0</vt:lpstr>
      <vt:lpstr>'Div 5'!OSRRefN21_13x_0</vt:lpstr>
      <vt:lpstr>'Div 6'!OSRRefN21_13x_0</vt:lpstr>
      <vt:lpstr>Summary!OSRRefN21_13x_0</vt:lpstr>
      <vt:lpstr>'201'!OSRRefN21_14x_0</vt:lpstr>
      <vt:lpstr>'202'!OSRRefN21_14x_0</vt:lpstr>
      <vt:lpstr>'203'!OSRRefN21_14x_0</vt:lpstr>
      <vt:lpstr>'300'!OSRRefN21_14x_0</vt:lpstr>
      <vt:lpstr>'300 &amp; 317'!OSRRefN21_14x_0</vt:lpstr>
      <vt:lpstr>'301'!OSRRefN21_14x_0</vt:lpstr>
      <vt:lpstr>'307'!OSRRefN21_14x_0</vt:lpstr>
      <vt:lpstr>'308'!OSRRefN21_14x_0</vt:lpstr>
      <vt:lpstr>'309'!OSRRefN21_14x_0</vt:lpstr>
      <vt:lpstr>'310'!OSRRefN21_14x_0</vt:lpstr>
      <vt:lpstr>'310 &amp; 491'!OSRRefN21_14x_0</vt:lpstr>
      <vt:lpstr>'311'!OSRRefN21_14x_0</vt:lpstr>
      <vt:lpstr>'313'!OSRRefN21_14x_0</vt:lpstr>
      <vt:lpstr>'315'!OSRRefN21_14x_0</vt:lpstr>
      <vt:lpstr>'316'!OSRRefN21_14x_0</vt:lpstr>
      <vt:lpstr>'317'!OSRRefN21_14x_0</vt:lpstr>
      <vt:lpstr>'321'!OSRRefN21_14x_0</vt:lpstr>
      <vt:lpstr>'322'!OSRRefN21_14x_0</vt:lpstr>
      <vt:lpstr>'325'!OSRRefN21_14x_0</vt:lpstr>
      <vt:lpstr>'326'!OSRRefN21_14x_0</vt:lpstr>
      <vt:lpstr>'330'!OSRRefN21_14x_0</vt:lpstr>
      <vt:lpstr>'331'!OSRRefN21_14x_0</vt:lpstr>
      <vt:lpstr>'332'!OSRRefN21_14x_0</vt:lpstr>
      <vt:lpstr>'405'!OSRRefN21_14x_0</vt:lpstr>
      <vt:lpstr>'406'!OSRRefN21_14x_0</vt:lpstr>
      <vt:lpstr>'411'!OSRRefN21_14x_0</vt:lpstr>
      <vt:lpstr>'412'!OSRRefN21_14x_0</vt:lpstr>
      <vt:lpstr>'414'!OSRRefN21_14x_0</vt:lpstr>
      <vt:lpstr>'415'!OSRRefN21_14x_0</vt:lpstr>
      <vt:lpstr>'418'!OSRRefN21_14x_0</vt:lpstr>
      <vt:lpstr>'425'!OSRRefN21_14x_0</vt:lpstr>
      <vt:lpstr>'433'!OSRRefN21_14x_0</vt:lpstr>
      <vt:lpstr>'444'!OSRRefN21_14x_0</vt:lpstr>
      <vt:lpstr>'450'!OSRRefN21_14x_0</vt:lpstr>
      <vt:lpstr>'491'!OSRRefN21_14x_0</vt:lpstr>
      <vt:lpstr>'492'!OSRRefN21_14x_0</vt:lpstr>
      <vt:lpstr>'501'!OSRRefN21_14x_0</vt:lpstr>
      <vt:lpstr>'Div 2'!OSRRefN21_14x_0</vt:lpstr>
      <vt:lpstr>'Div 3'!OSRRefN21_14x_0</vt:lpstr>
      <vt:lpstr>'Div 4'!OSRRefN21_14x_0</vt:lpstr>
      <vt:lpstr>'Div 5'!OSRRefN21_14x_0</vt:lpstr>
      <vt:lpstr>'Div 6'!OSRRefN21_14x_0</vt:lpstr>
      <vt:lpstr>Summary!OSRRefN21_14x_0</vt:lpstr>
      <vt:lpstr>'201'!OSRRefN21_15x_0</vt:lpstr>
      <vt:lpstr>'202'!OSRRefN21_15x_0</vt:lpstr>
      <vt:lpstr>'203'!OSRRefN21_15x_0</vt:lpstr>
      <vt:lpstr>'300'!OSRRefN21_15x_0</vt:lpstr>
      <vt:lpstr>'300 &amp; 317'!OSRRefN21_15x_0</vt:lpstr>
      <vt:lpstr>'301'!OSRRefN21_15x_0</vt:lpstr>
      <vt:lpstr>'307'!OSRRefN21_15x_0</vt:lpstr>
      <vt:lpstr>'308'!OSRRefN21_15x_0</vt:lpstr>
      <vt:lpstr>'309'!OSRRefN21_15x_0</vt:lpstr>
      <vt:lpstr>'310'!OSRRefN21_15x_0</vt:lpstr>
      <vt:lpstr>'310 &amp; 491'!OSRRefN21_15x_0</vt:lpstr>
      <vt:lpstr>'311'!OSRRefN21_15x_0</vt:lpstr>
      <vt:lpstr>'313'!OSRRefN21_15x_0</vt:lpstr>
      <vt:lpstr>'315'!OSRRefN21_15x_0</vt:lpstr>
      <vt:lpstr>'316'!OSRRefN21_15x_0</vt:lpstr>
      <vt:lpstr>'317'!OSRRefN21_15x_0</vt:lpstr>
      <vt:lpstr>'321'!OSRRefN21_15x_0</vt:lpstr>
      <vt:lpstr>'322'!OSRRefN21_15x_0</vt:lpstr>
      <vt:lpstr>'325'!OSRRefN21_15x_0</vt:lpstr>
      <vt:lpstr>'326'!OSRRefN21_15x_0</vt:lpstr>
      <vt:lpstr>'330'!OSRRefN21_15x_0</vt:lpstr>
      <vt:lpstr>'331'!OSRRefN21_15x_0</vt:lpstr>
      <vt:lpstr>'332'!OSRRefN21_15x_0</vt:lpstr>
      <vt:lpstr>'405'!OSRRefN21_15x_0</vt:lpstr>
      <vt:lpstr>'406'!OSRRefN21_15x_0</vt:lpstr>
      <vt:lpstr>'411'!OSRRefN21_15x_0</vt:lpstr>
      <vt:lpstr>'412'!OSRRefN21_15x_0</vt:lpstr>
      <vt:lpstr>'414'!OSRRefN21_15x_0</vt:lpstr>
      <vt:lpstr>'415'!OSRRefN21_15x_0</vt:lpstr>
      <vt:lpstr>'418'!OSRRefN21_15x_0</vt:lpstr>
      <vt:lpstr>'425'!OSRRefN21_15x_0</vt:lpstr>
      <vt:lpstr>'433'!OSRRefN21_15x_0</vt:lpstr>
      <vt:lpstr>'444'!OSRRefN21_15x_0</vt:lpstr>
      <vt:lpstr>'450'!OSRRefN21_15x_0</vt:lpstr>
      <vt:lpstr>'491'!OSRRefN21_15x_0</vt:lpstr>
      <vt:lpstr>'492'!OSRRefN21_15x_0</vt:lpstr>
      <vt:lpstr>'501'!OSRRefN21_15x_0</vt:lpstr>
      <vt:lpstr>'Div 2'!OSRRefN21_15x_0</vt:lpstr>
      <vt:lpstr>'Div 3'!OSRRefN21_15x_0</vt:lpstr>
      <vt:lpstr>'Div 4'!OSRRefN21_15x_0</vt:lpstr>
      <vt:lpstr>'Div 5'!OSRRefN21_15x_0</vt:lpstr>
      <vt:lpstr>'Div 6'!OSRRefN21_15x_0</vt:lpstr>
      <vt:lpstr>Summary!OSRRefN21_15x_0</vt:lpstr>
      <vt:lpstr>'201'!OSRRefN21_16x_0</vt:lpstr>
      <vt:lpstr>'202'!OSRRefN21_16x_0</vt:lpstr>
      <vt:lpstr>'300'!OSRRefN21_16x_0</vt:lpstr>
      <vt:lpstr>'300 &amp; 317'!OSRRefN21_16x_0</vt:lpstr>
      <vt:lpstr>'301'!OSRRefN21_16x_0</vt:lpstr>
      <vt:lpstr>'307'!OSRRefN21_16x_0</vt:lpstr>
      <vt:lpstr>'308'!OSRRefN21_16x_0</vt:lpstr>
      <vt:lpstr>'309'!OSRRefN21_16x_0</vt:lpstr>
      <vt:lpstr>'310'!OSRRefN21_16x_0</vt:lpstr>
      <vt:lpstr>'310 &amp; 491'!OSRRefN21_16x_0</vt:lpstr>
      <vt:lpstr>'311'!OSRRefN21_16x_0</vt:lpstr>
      <vt:lpstr>'313'!OSRRefN21_16x_0</vt:lpstr>
      <vt:lpstr>'315'!OSRRefN21_16x_0</vt:lpstr>
      <vt:lpstr>'321'!OSRRefN21_16x_0</vt:lpstr>
      <vt:lpstr>'322'!OSRRefN21_16x_0</vt:lpstr>
      <vt:lpstr>'325'!OSRRefN21_16x_0</vt:lpstr>
      <vt:lpstr>'326'!OSRRefN21_16x_0</vt:lpstr>
      <vt:lpstr>'330'!OSRRefN21_16x_0</vt:lpstr>
      <vt:lpstr>'331'!OSRRefN21_16x_0</vt:lpstr>
      <vt:lpstr>'332'!OSRRefN21_16x_0</vt:lpstr>
      <vt:lpstr>'405'!OSRRefN21_16x_0</vt:lpstr>
      <vt:lpstr>'406'!OSRRefN21_16x_0</vt:lpstr>
      <vt:lpstr>'411'!OSRRefN21_16x_0</vt:lpstr>
      <vt:lpstr>'412'!OSRRefN21_16x_0</vt:lpstr>
      <vt:lpstr>'414'!OSRRefN21_16x_0</vt:lpstr>
      <vt:lpstr>'415'!OSRRefN21_16x_0</vt:lpstr>
      <vt:lpstr>'418'!OSRRefN21_16x_0</vt:lpstr>
      <vt:lpstr>'425'!OSRRefN21_16x_0</vt:lpstr>
      <vt:lpstr>'433'!OSRRefN21_16x_0</vt:lpstr>
      <vt:lpstr>'444'!OSRRefN21_16x_0</vt:lpstr>
      <vt:lpstr>'450'!OSRRefN21_16x_0</vt:lpstr>
      <vt:lpstr>'491'!OSRRefN21_16x_0</vt:lpstr>
      <vt:lpstr>'492'!OSRRefN21_16x_0</vt:lpstr>
      <vt:lpstr>'501'!OSRRefN21_16x_0</vt:lpstr>
      <vt:lpstr>'Div 2'!OSRRefN21_16x_0</vt:lpstr>
      <vt:lpstr>'Div 3'!OSRRefN21_16x_0</vt:lpstr>
      <vt:lpstr>'Div 4'!OSRRefN21_16x_0</vt:lpstr>
      <vt:lpstr>'Div 5'!OSRRefN21_16x_0</vt:lpstr>
      <vt:lpstr>Summary!OSRRefN21_16x_0</vt:lpstr>
      <vt:lpstr>'201'!OSRRefN21_17x_0</vt:lpstr>
      <vt:lpstr>'300'!OSRRefN21_17x_0</vt:lpstr>
      <vt:lpstr>'300 &amp; 317'!OSRRefN21_17x_0</vt:lpstr>
      <vt:lpstr>'301'!OSRRefN21_17x_0</vt:lpstr>
      <vt:lpstr>'307'!OSRRefN21_17x_0</vt:lpstr>
      <vt:lpstr>'308'!OSRRefN21_17x_0</vt:lpstr>
      <vt:lpstr>'310'!OSRRefN21_17x_0</vt:lpstr>
      <vt:lpstr>'310 &amp; 491'!OSRRefN21_17x_0</vt:lpstr>
      <vt:lpstr>'311'!OSRRefN21_17x_0</vt:lpstr>
      <vt:lpstr>'315'!OSRRefN21_17x_0</vt:lpstr>
      <vt:lpstr>'321'!OSRRefN21_17x_0</vt:lpstr>
      <vt:lpstr>'322'!OSRRefN21_17x_0</vt:lpstr>
      <vt:lpstr>'325'!OSRRefN21_17x_0</vt:lpstr>
      <vt:lpstr>'326'!OSRRefN21_17x_0</vt:lpstr>
      <vt:lpstr>'330'!OSRRefN21_17x_0</vt:lpstr>
      <vt:lpstr>'331'!OSRRefN21_17x_0</vt:lpstr>
      <vt:lpstr>'405'!OSRRefN21_17x_0</vt:lpstr>
      <vt:lpstr>'411'!OSRRefN21_17x_0</vt:lpstr>
      <vt:lpstr>'412'!OSRRefN21_17x_0</vt:lpstr>
      <vt:lpstr>'414'!OSRRefN21_17x_0</vt:lpstr>
      <vt:lpstr>'415'!OSRRefN21_17x_0</vt:lpstr>
      <vt:lpstr>'418'!OSRRefN21_17x_0</vt:lpstr>
      <vt:lpstr>'433'!OSRRefN21_17x_0</vt:lpstr>
      <vt:lpstr>'444'!OSRRefN21_17x_0</vt:lpstr>
      <vt:lpstr>'450'!OSRRefN21_17x_0</vt:lpstr>
      <vt:lpstr>'491'!OSRRefN21_17x_0</vt:lpstr>
      <vt:lpstr>'492'!OSRRefN21_17x_0</vt:lpstr>
      <vt:lpstr>'Div 2'!OSRRefN21_17x_0</vt:lpstr>
      <vt:lpstr>'Div 3'!OSRRefN21_17x_0</vt:lpstr>
      <vt:lpstr>'Div 4'!OSRRefN21_17x_0</vt:lpstr>
      <vt:lpstr>Summary!OSRRefN21_17x_0</vt:lpstr>
      <vt:lpstr>'201'!OSRRefN21_18x_0</vt:lpstr>
      <vt:lpstr>'300'!OSRRefN21_18x_0</vt:lpstr>
      <vt:lpstr>'300 &amp; 317'!OSRRefN21_18x_0</vt:lpstr>
      <vt:lpstr>'301'!OSRRefN21_18x_0</vt:lpstr>
      <vt:lpstr>'307'!OSRRefN21_18x_0</vt:lpstr>
      <vt:lpstr>'310'!OSRRefN21_18x_0</vt:lpstr>
      <vt:lpstr>'310 &amp; 491'!OSRRefN21_18x_0</vt:lpstr>
      <vt:lpstr>'322'!OSRRefN21_18x_0</vt:lpstr>
      <vt:lpstr>'325'!OSRRefN21_18x_0</vt:lpstr>
      <vt:lpstr>'326'!OSRRefN21_18x_0</vt:lpstr>
      <vt:lpstr>'330'!OSRRefN21_18x_0</vt:lpstr>
      <vt:lpstr>'331'!OSRRefN21_18x_0</vt:lpstr>
      <vt:lpstr>'405'!OSRRefN21_18x_0</vt:lpstr>
      <vt:lpstr>'411'!OSRRefN21_18x_0</vt:lpstr>
      <vt:lpstr>'412'!OSRRefN21_18x_0</vt:lpstr>
      <vt:lpstr>'415'!OSRRefN21_18x_0</vt:lpstr>
      <vt:lpstr>'418'!OSRRefN21_18x_0</vt:lpstr>
      <vt:lpstr>'433'!OSRRefN21_18x_0</vt:lpstr>
      <vt:lpstr>'444'!OSRRefN21_18x_0</vt:lpstr>
      <vt:lpstr>'450'!OSRRefN21_18x_0</vt:lpstr>
      <vt:lpstr>'491'!OSRRefN21_18x_0</vt:lpstr>
      <vt:lpstr>'492'!OSRRefN21_18x_0</vt:lpstr>
      <vt:lpstr>'Div 2'!OSRRefN21_18x_0</vt:lpstr>
      <vt:lpstr>'Div 3'!OSRRefN21_18x_0</vt:lpstr>
      <vt:lpstr>'Div 4'!OSRRefN21_18x_0</vt:lpstr>
      <vt:lpstr>Summary!OSRRefN21_18x_0</vt:lpstr>
      <vt:lpstr>'201'!OSRRefN21_19x_0</vt:lpstr>
      <vt:lpstr>'300'!OSRRefN21_19x_0</vt:lpstr>
      <vt:lpstr>'300 &amp; 317'!OSRRefN21_19x_0</vt:lpstr>
      <vt:lpstr>'301'!OSRRefN21_19x_0</vt:lpstr>
      <vt:lpstr>'310'!OSRRefN21_19x_0</vt:lpstr>
      <vt:lpstr>'310 &amp; 491'!OSRRefN21_19x_0</vt:lpstr>
      <vt:lpstr>'322'!OSRRefN21_19x_0</vt:lpstr>
      <vt:lpstr>'325'!OSRRefN21_19x_0</vt:lpstr>
      <vt:lpstr>'326'!OSRRefN21_19x_0</vt:lpstr>
      <vt:lpstr>'331'!OSRRefN21_19x_0</vt:lpstr>
      <vt:lpstr>'411'!OSRRefN21_19x_0</vt:lpstr>
      <vt:lpstr>'415'!OSRRefN21_19x_0</vt:lpstr>
      <vt:lpstr>'418'!OSRRefN21_19x_0</vt:lpstr>
      <vt:lpstr>'433'!OSRRefN21_19x_0</vt:lpstr>
      <vt:lpstr>'444'!OSRRefN21_19x_0</vt:lpstr>
      <vt:lpstr>'491'!OSRRefN21_19x_0</vt:lpstr>
      <vt:lpstr>'492'!OSRRefN21_19x_0</vt:lpstr>
      <vt:lpstr>'Div 2'!OSRRefN21_19x_0</vt:lpstr>
      <vt:lpstr>'Div 3'!OSRRefN21_19x_0</vt:lpstr>
      <vt:lpstr>'Div 4'!OSRRefN21_19x_0</vt:lpstr>
      <vt:lpstr>Summary!OSRRefN21_19x_0</vt:lpstr>
      <vt:lpstr>'200'!OSRRefN21_1x_0</vt:lpstr>
      <vt:lpstr>'201'!OSRRefN21_1x_0</vt:lpstr>
      <vt:lpstr>'202'!OSRRefN21_1x_0</vt:lpstr>
      <vt:lpstr>'203'!OSRRefN21_1x_0</vt:lpstr>
      <vt:lpstr>'204'!OSRRefN21_1x_0</vt:lpstr>
      <vt:lpstr>'205'!OSRRefN21_1x_0</vt:lpstr>
      <vt:lpstr>'206'!OSRRefN21_1x_0</vt:lpstr>
      <vt:lpstr>'300'!OSRRefN21_1x_0</vt:lpstr>
      <vt:lpstr>'300 &amp; 317'!OSRRefN21_1x_0</vt:lpstr>
      <vt:lpstr>'301'!OSRRefN21_1x_0</vt:lpstr>
      <vt:lpstr>'306'!OSRRefN21_1x_0</vt:lpstr>
      <vt:lpstr>'307'!OSRRefN21_1x_0</vt:lpstr>
      <vt:lpstr>'308'!OSRRefN21_1x_0</vt:lpstr>
      <vt:lpstr>'309'!OSRRefN21_1x_0</vt:lpstr>
      <vt:lpstr>'310'!OSRRefN21_1x_0</vt:lpstr>
      <vt:lpstr>'310 &amp; 491'!OSRRefN21_1x_0</vt:lpstr>
      <vt:lpstr>'311'!OSRRefN21_1x_0</vt:lpstr>
      <vt:lpstr>'312'!OSRRefN21_1x_0</vt:lpstr>
      <vt:lpstr>'313'!OSRRefN21_1x_0</vt:lpstr>
      <vt:lpstr>'314'!OSRRefN21_1x_0</vt:lpstr>
      <vt:lpstr>'315'!OSRRefN21_1x_0</vt:lpstr>
      <vt:lpstr>'316'!OSRRefN21_1x_0</vt:lpstr>
      <vt:lpstr>'317'!OSRRefN21_1x_0</vt:lpstr>
      <vt:lpstr>'318'!OSRRefN21_1x_0</vt:lpstr>
      <vt:lpstr>'320'!OSRRefN21_1x_0</vt:lpstr>
      <vt:lpstr>'321'!OSRRefN21_1x_0</vt:lpstr>
      <vt:lpstr>'322'!OSRRefN21_1x_0</vt:lpstr>
      <vt:lpstr>'323'!OSRRefN21_1x_0</vt:lpstr>
      <vt:lpstr>'324'!OSRRefN21_1x_0</vt:lpstr>
      <vt:lpstr>'325'!OSRRefN21_1x_0</vt:lpstr>
      <vt:lpstr>'326'!OSRRefN21_1x_0</vt:lpstr>
      <vt:lpstr>'327'!OSRRefN21_1x_0</vt:lpstr>
      <vt:lpstr>'330'!OSRRefN21_1x_0</vt:lpstr>
      <vt:lpstr>'331'!OSRRefN21_1x_0</vt:lpstr>
      <vt:lpstr>'332'!OSRRefN21_1x_0</vt:lpstr>
      <vt:lpstr>'335'!OSRRefN21_1x_0</vt:lpstr>
      <vt:lpstr>'405'!OSRRefN21_1x_0</vt:lpstr>
      <vt:lpstr>'406'!OSRRefN21_1x_0</vt:lpstr>
      <vt:lpstr>'411'!OSRRefN21_1x_0</vt:lpstr>
      <vt:lpstr>'412'!OSRRefN21_1x_0</vt:lpstr>
      <vt:lpstr>'413'!OSRRefN21_1x_0</vt:lpstr>
      <vt:lpstr>'414'!OSRRefN21_1x_0</vt:lpstr>
      <vt:lpstr>'415'!OSRRefN21_1x_0</vt:lpstr>
      <vt:lpstr>'418'!OSRRefN21_1x_0</vt:lpstr>
      <vt:lpstr>'420'!OSRRefN21_1x_0</vt:lpstr>
      <vt:lpstr>'423'!OSRRefN21_1x_0</vt:lpstr>
      <vt:lpstr>'424'!OSRRefN21_1x_0</vt:lpstr>
      <vt:lpstr>'425'!OSRRefN21_1x_0</vt:lpstr>
      <vt:lpstr>'430'!OSRRefN21_1x_0</vt:lpstr>
      <vt:lpstr>'433'!OSRRefN21_1x_0</vt:lpstr>
      <vt:lpstr>'435'!OSRRefN21_1x_0</vt:lpstr>
      <vt:lpstr>'444'!OSRRefN21_1x_0</vt:lpstr>
      <vt:lpstr>'445'!OSRRefN21_1x_0</vt:lpstr>
      <vt:lpstr>'450'!OSRRefN21_1x_0</vt:lpstr>
      <vt:lpstr>'455'!OSRRefN21_1x_0</vt:lpstr>
      <vt:lpstr>'491'!OSRRefN21_1x_0</vt:lpstr>
      <vt:lpstr>'492'!OSRRefN21_1x_0</vt:lpstr>
      <vt:lpstr>'501'!OSRRefN21_1x_0</vt:lpstr>
      <vt:lpstr>'Div 2'!OSRRefN21_1x_0</vt:lpstr>
      <vt:lpstr>'Div 3'!OSRRefN21_1x_0</vt:lpstr>
      <vt:lpstr>'Div 4'!OSRRefN21_1x_0</vt:lpstr>
      <vt:lpstr>'Div 5'!OSRRefN21_1x_0</vt:lpstr>
      <vt:lpstr>'Div 6'!OSRRefN21_1x_0</vt:lpstr>
      <vt:lpstr>Summary!OSRRefN21_1x_0</vt:lpstr>
      <vt:lpstr>'300'!OSRRefN21_20x_0</vt:lpstr>
      <vt:lpstr>'300 &amp; 317'!OSRRefN21_20x_0</vt:lpstr>
      <vt:lpstr>'301'!OSRRefN21_20x_0</vt:lpstr>
      <vt:lpstr>'310'!OSRRefN21_20x_0</vt:lpstr>
      <vt:lpstr>'310 &amp; 491'!OSRRefN21_20x_0</vt:lpstr>
      <vt:lpstr>'326'!OSRRefN21_20x_0</vt:lpstr>
      <vt:lpstr>'331'!OSRRefN21_20x_0</vt:lpstr>
      <vt:lpstr>'411'!OSRRefN21_20x_0</vt:lpstr>
      <vt:lpstr>'433'!OSRRefN21_20x_0</vt:lpstr>
      <vt:lpstr>'444'!OSRRefN21_20x_0</vt:lpstr>
      <vt:lpstr>'491'!OSRRefN21_20x_0</vt:lpstr>
      <vt:lpstr>'492'!OSRRefN21_20x_0</vt:lpstr>
      <vt:lpstr>'Div 2'!OSRRefN21_20x_0</vt:lpstr>
      <vt:lpstr>'Div 3'!OSRRefN21_20x_0</vt:lpstr>
      <vt:lpstr>'Div 4'!OSRRefN21_20x_0</vt:lpstr>
      <vt:lpstr>Summary!OSRRefN21_20x_0</vt:lpstr>
      <vt:lpstr>'300'!OSRRefN21_21x_0</vt:lpstr>
      <vt:lpstr>'300 &amp; 317'!OSRRefN21_21x_0</vt:lpstr>
      <vt:lpstr>'301'!OSRRefN21_21x_0</vt:lpstr>
      <vt:lpstr>'310'!OSRRefN21_21x_0</vt:lpstr>
      <vt:lpstr>'310 &amp; 491'!OSRRefN21_21x_0</vt:lpstr>
      <vt:lpstr>'326'!OSRRefN21_21x_0</vt:lpstr>
      <vt:lpstr>'331'!OSRRefN21_21x_0</vt:lpstr>
      <vt:lpstr>'411'!OSRRefN21_21x_0</vt:lpstr>
      <vt:lpstr>'491'!OSRRefN21_21x_0</vt:lpstr>
      <vt:lpstr>'492'!OSRRefN21_21x_0</vt:lpstr>
      <vt:lpstr>'Div 2'!OSRRefN21_21x_0</vt:lpstr>
      <vt:lpstr>'Div 3'!OSRRefN21_21x_0</vt:lpstr>
      <vt:lpstr>'Div 4'!OSRRefN21_21x_0</vt:lpstr>
      <vt:lpstr>Summary!OSRRefN21_21x_0</vt:lpstr>
      <vt:lpstr>'300'!OSRRefN21_22x_0</vt:lpstr>
      <vt:lpstr>'300 &amp; 317'!OSRRefN21_22x_0</vt:lpstr>
      <vt:lpstr>'301'!OSRRefN21_22x_0</vt:lpstr>
      <vt:lpstr>'310'!OSRRefN21_22x_0</vt:lpstr>
      <vt:lpstr>'310 &amp; 491'!OSRRefN21_22x_0</vt:lpstr>
      <vt:lpstr>'331'!OSRRefN21_22x_0</vt:lpstr>
      <vt:lpstr>'411'!OSRRefN21_22x_0</vt:lpstr>
      <vt:lpstr>'491'!OSRRefN21_22x_0</vt:lpstr>
      <vt:lpstr>'492'!OSRRefN21_22x_0</vt:lpstr>
      <vt:lpstr>'Div 3'!OSRRefN21_22x_0</vt:lpstr>
      <vt:lpstr>'Div 4'!OSRRefN21_22x_0</vt:lpstr>
      <vt:lpstr>Summary!OSRRefN21_22x_0</vt:lpstr>
      <vt:lpstr>'300'!OSRRefN21_23x_0</vt:lpstr>
      <vt:lpstr>'300 &amp; 317'!OSRRefN21_23x_0</vt:lpstr>
      <vt:lpstr>'301'!OSRRefN21_23x_0</vt:lpstr>
      <vt:lpstr>'310'!OSRRefN21_23x_0</vt:lpstr>
      <vt:lpstr>'310 &amp; 491'!OSRRefN21_23x_0</vt:lpstr>
      <vt:lpstr>'491'!OSRRefN21_23x_0</vt:lpstr>
      <vt:lpstr>'Div 3'!OSRRefN21_23x_0</vt:lpstr>
      <vt:lpstr>'Div 4'!OSRRefN21_23x_0</vt:lpstr>
      <vt:lpstr>Summary!OSRRefN21_23x_0</vt:lpstr>
      <vt:lpstr>'300'!OSRRefN21_24x_0</vt:lpstr>
      <vt:lpstr>'300 &amp; 317'!OSRRefN21_24x_0</vt:lpstr>
      <vt:lpstr>'301'!OSRRefN21_24x_0</vt:lpstr>
      <vt:lpstr>'310 &amp; 491'!OSRRefN21_24x_0</vt:lpstr>
      <vt:lpstr>'491'!OSRRefN21_24x_0</vt:lpstr>
      <vt:lpstr>'Div 3'!OSRRefN21_24x_0</vt:lpstr>
      <vt:lpstr>'Div 4'!OSRRefN21_24x_0</vt:lpstr>
      <vt:lpstr>Summary!OSRRefN21_24x_0</vt:lpstr>
      <vt:lpstr>'310 &amp; 491'!OSRRefN21_25x_0</vt:lpstr>
      <vt:lpstr>'491'!OSRRefN21_25x_0</vt:lpstr>
      <vt:lpstr>'Div 3'!OSRRefN21_25x_0</vt:lpstr>
      <vt:lpstr>'Div 4'!OSRRefN21_25x_0</vt:lpstr>
      <vt:lpstr>Summary!OSRRefN21_25x_0</vt:lpstr>
      <vt:lpstr>Summary!OSRRefN21_26x_0</vt:lpstr>
      <vt:lpstr>'200'!OSRRefN21_2x_0</vt:lpstr>
      <vt:lpstr>'201'!OSRRefN21_2x_0</vt:lpstr>
      <vt:lpstr>'202'!OSRRefN21_2x_0</vt:lpstr>
      <vt:lpstr>'203'!OSRRefN21_2x_0</vt:lpstr>
      <vt:lpstr>'204'!OSRRefN21_2x_0</vt:lpstr>
      <vt:lpstr>'205'!OSRRefN21_2x_0</vt:lpstr>
      <vt:lpstr>'206'!OSRRefN21_2x_0</vt:lpstr>
      <vt:lpstr>'300'!OSRRefN21_2x_0</vt:lpstr>
      <vt:lpstr>'300 &amp; 317'!OSRRefN21_2x_0</vt:lpstr>
      <vt:lpstr>'301'!OSRRefN21_2x_0</vt:lpstr>
      <vt:lpstr>'306'!OSRRefN21_2x_0</vt:lpstr>
      <vt:lpstr>'307'!OSRRefN21_2x_0</vt:lpstr>
      <vt:lpstr>'308'!OSRRefN21_2x_0</vt:lpstr>
      <vt:lpstr>'309'!OSRRefN21_2x_0</vt:lpstr>
      <vt:lpstr>'310'!OSRRefN21_2x_0</vt:lpstr>
      <vt:lpstr>'310 &amp; 491'!OSRRefN21_2x_0</vt:lpstr>
      <vt:lpstr>'311'!OSRRefN21_2x_0</vt:lpstr>
      <vt:lpstr>'312'!OSRRefN21_2x_0</vt:lpstr>
      <vt:lpstr>'313'!OSRRefN21_2x_0</vt:lpstr>
      <vt:lpstr>'314'!OSRRefN21_2x_0</vt:lpstr>
      <vt:lpstr>'315'!OSRRefN21_2x_0</vt:lpstr>
      <vt:lpstr>'316'!OSRRefN21_2x_0</vt:lpstr>
      <vt:lpstr>'317'!OSRRefN21_2x_0</vt:lpstr>
      <vt:lpstr>'318'!OSRRefN21_2x_0</vt:lpstr>
      <vt:lpstr>'320'!OSRRefN21_2x_0</vt:lpstr>
      <vt:lpstr>'321'!OSRRefN21_2x_0</vt:lpstr>
      <vt:lpstr>'322'!OSRRefN21_2x_0</vt:lpstr>
      <vt:lpstr>'323'!OSRRefN21_2x_0</vt:lpstr>
      <vt:lpstr>'324'!OSRRefN21_2x_0</vt:lpstr>
      <vt:lpstr>'325'!OSRRefN21_2x_0</vt:lpstr>
      <vt:lpstr>'326'!OSRRefN21_2x_0</vt:lpstr>
      <vt:lpstr>'327'!OSRRefN21_2x_0</vt:lpstr>
      <vt:lpstr>'330'!OSRRefN21_2x_0</vt:lpstr>
      <vt:lpstr>'331'!OSRRefN21_2x_0</vt:lpstr>
      <vt:lpstr>'332'!OSRRefN21_2x_0</vt:lpstr>
      <vt:lpstr>'335'!OSRRefN21_2x_0</vt:lpstr>
      <vt:lpstr>'405'!OSRRefN21_2x_0</vt:lpstr>
      <vt:lpstr>'406'!OSRRefN21_2x_0</vt:lpstr>
      <vt:lpstr>'411'!OSRRefN21_2x_0</vt:lpstr>
      <vt:lpstr>'412'!OSRRefN21_2x_0</vt:lpstr>
      <vt:lpstr>'413'!OSRRefN21_2x_0</vt:lpstr>
      <vt:lpstr>'414'!OSRRefN21_2x_0</vt:lpstr>
      <vt:lpstr>'415'!OSRRefN21_2x_0</vt:lpstr>
      <vt:lpstr>'418'!OSRRefN21_2x_0</vt:lpstr>
      <vt:lpstr>'420'!OSRRefN21_2x_0</vt:lpstr>
      <vt:lpstr>'423'!OSRRefN21_2x_0</vt:lpstr>
      <vt:lpstr>'424'!OSRRefN21_2x_0</vt:lpstr>
      <vt:lpstr>'425'!OSRRefN21_2x_0</vt:lpstr>
      <vt:lpstr>'430'!OSRRefN21_2x_0</vt:lpstr>
      <vt:lpstr>'433'!OSRRefN21_2x_0</vt:lpstr>
      <vt:lpstr>'435'!OSRRefN21_2x_0</vt:lpstr>
      <vt:lpstr>'444'!OSRRefN21_2x_0</vt:lpstr>
      <vt:lpstr>'445'!OSRRefN21_2x_0</vt:lpstr>
      <vt:lpstr>'450'!OSRRefN21_2x_0</vt:lpstr>
      <vt:lpstr>'455'!OSRRefN21_2x_0</vt:lpstr>
      <vt:lpstr>'491'!OSRRefN21_2x_0</vt:lpstr>
      <vt:lpstr>'492'!OSRRefN21_2x_0</vt:lpstr>
      <vt:lpstr>'501'!OSRRefN21_2x_0</vt:lpstr>
      <vt:lpstr>'Div 2'!OSRRefN21_2x_0</vt:lpstr>
      <vt:lpstr>'Div 3'!OSRRefN21_2x_0</vt:lpstr>
      <vt:lpstr>'Div 4'!OSRRefN21_2x_0</vt:lpstr>
      <vt:lpstr>'Div 5'!OSRRefN21_2x_0</vt:lpstr>
      <vt:lpstr>'Div 6'!OSRRefN21_2x_0</vt:lpstr>
      <vt:lpstr>Summary!OSRRefN21_2x_0</vt:lpstr>
      <vt:lpstr>'200'!OSRRefN21_3x_0</vt:lpstr>
      <vt:lpstr>'201'!OSRRefN21_3x_0</vt:lpstr>
      <vt:lpstr>'202'!OSRRefN21_3x_0</vt:lpstr>
      <vt:lpstr>'203'!OSRRefN21_3x_0</vt:lpstr>
      <vt:lpstr>'204'!OSRRefN21_3x_0</vt:lpstr>
      <vt:lpstr>'205'!OSRRefN21_3x_0</vt:lpstr>
      <vt:lpstr>'206'!OSRRefN21_3x_0</vt:lpstr>
      <vt:lpstr>'300'!OSRRefN21_3x_0</vt:lpstr>
      <vt:lpstr>'300 &amp; 317'!OSRRefN21_3x_0</vt:lpstr>
      <vt:lpstr>'301'!OSRRefN21_3x_0</vt:lpstr>
      <vt:lpstr>'306'!OSRRefN21_3x_0</vt:lpstr>
      <vt:lpstr>'307'!OSRRefN21_3x_0</vt:lpstr>
      <vt:lpstr>'308'!OSRRefN21_3x_0</vt:lpstr>
      <vt:lpstr>'309'!OSRRefN21_3x_0</vt:lpstr>
      <vt:lpstr>'310'!OSRRefN21_3x_0</vt:lpstr>
      <vt:lpstr>'310 &amp; 491'!OSRRefN21_3x_0</vt:lpstr>
      <vt:lpstr>'311'!OSRRefN21_3x_0</vt:lpstr>
      <vt:lpstr>'312'!OSRRefN21_3x_0</vt:lpstr>
      <vt:lpstr>'313'!OSRRefN21_3x_0</vt:lpstr>
      <vt:lpstr>'314'!OSRRefN21_3x_0</vt:lpstr>
      <vt:lpstr>'315'!OSRRefN21_3x_0</vt:lpstr>
      <vt:lpstr>'316'!OSRRefN21_3x_0</vt:lpstr>
      <vt:lpstr>'317'!OSRRefN21_3x_0</vt:lpstr>
      <vt:lpstr>'318'!OSRRefN21_3x_0</vt:lpstr>
      <vt:lpstr>'320'!OSRRefN21_3x_0</vt:lpstr>
      <vt:lpstr>'321'!OSRRefN21_3x_0</vt:lpstr>
      <vt:lpstr>'322'!OSRRefN21_3x_0</vt:lpstr>
      <vt:lpstr>'323'!OSRRefN21_3x_0</vt:lpstr>
      <vt:lpstr>'324'!OSRRefN21_3x_0</vt:lpstr>
      <vt:lpstr>'325'!OSRRefN21_3x_0</vt:lpstr>
      <vt:lpstr>'326'!OSRRefN21_3x_0</vt:lpstr>
      <vt:lpstr>'330'!OSRRefN21_3x_0</vt:lpstr>
      <vt:lpstr>'331'!OSRRefN21_3x_0</vt:lpstr>
      <vt:lpstr>'332'!OSRRefN21_3x_0</vt:lpstr>
      <vt:lpstr>'335'!OSRRefN21_3x_0</vt:lpstr>
      <vt:lpstr>'405'!OSRRefN21_3x_0</vt:lpstr>
      <vt:lpstr>'406'!OSRRefN21_3x_0</vt:lpstr>
      <vt:lpstr>'411'!OSRRefN21_3x_0</vt:lpstr>
      <vt:lpstr>'412'!OSRRefN21_3x_0</vt:lpstr>
      <vt:lpstr>'413'!OSRRefN21_3x_0</vt:lpstr>
      <vt:lpstr>'414'!OSRRefN21_3x_0</vt:lpstr>
      <vt:lpstr>'415'!OSRRefN21_3x_0</vt:lpstr>
      <vt:lpstr>'418'!OSRRefN21_3x_0</vt:lpstr>
      <vt:lpstr>'420'!OSRRefN21_3x_0</vt:lpstr>
      <vt:lpstr>'423'!OSRRefN21_3x_0</vt:lpstr>
      <vt:lpstr>'424'!OSRRefN21_3x_0</vt:lpstr>
      <vt:lpstr>'425'!OSRRefN21_3x_0</vt:lpstr>
      <vt:lpstr>'430'!OSRRefN21_3x_0</vt:lpstr>
      <vt:lpstr>'433'!OSRRefN21_3x_0</vt:lpstr>
      <vt:lpstr>'435'!OSRRefN21_3x_0</vt:lpstr>
      <vt:lpstr>'444'!OSRRefN21_3x_0</vt:lpstr>
      <vt:lpstr>'445'!OSRRefN21_3x_0</vt:lpstr>
      <vt:lpstr>'450'!OSRRefN21_3x_0</vt:lpstr>
      <vt:lpstr>'455'!OSRRefN21_3x_0</vt:lpstr>
      <vt:lpstr>'491'!OSRRefN21_3x_0</vt:lpstr>
      <vt:lpstr>'492'!OSRRefN21_3x_0</vt:lpstr>
      <vt:lpstr>'501'!OSRRefN21_3x_0</vt:lpstr>
      <vt:lpstr>'Div 2'!OSRRefN21_3x_0</vt:lpstr>
      <vt:lpstr>'Div 3'!OSRRefN21_3x_0</vt:lpstr>
      <vt:lpstr>'Div 4'!OSRRefN21_3x_0</vt:lpstr>
      <vt:lpstr>'Div 5'!OSRRefN21_3x_0</vt:lpstr>
      <vt:lpstr>'Div 6'!OSRRefN21_3x_0</vt:lpstr>
      <vt:lpstr>Summary!OSRRefN21_3x_0</vt:lpstr>
      <vt:lpstr>'200'!OSRRefN21_4x_0</vt:lpstr>
      <vt:lpstr>'201'!OSRRefN21_4x_0</vt:lpstr>
      <vt:lpstr>'202'!OSRRefN21_4x_0</vt:lpstr>
      <vt:lpstr>'203'!OSRRefN21_4x_0</vt:lpstr>
      <vt:lpstr>'204'!OSRRefN21_4x_0</vt:lpstr>
      <vt:lpstr>'205'!OSRRefN21_4x_0</vt:lpstr>
      <vt:lpstr>'206'!OSRRefN21_4x_0</vt:lpstr>
      <vt:lpstr>'300'!OSRRefN21_4x_0</vt:lpstr>
      <vt:lpstr>'300 &amp; 317'!OSRRefN21_4x_0</vt:lpstr>
      <vt:lpstr>'301'!OSRRefN21_4x_0</vt:lpstr>
      <vt:lpstr>'306'!OSRRefN21_4x_0</vt:lpstr>
      <vt:lpstr>'307'!OSRRefN21_4x_0</vt:lpstr>
      <vt:lpstr>'308'!OSRRefN21_4x_0</vt:lpstr>
      <vt:lpstr>'309'!OSRRefN21_4x_0</vt:lpstr>
      <vt:lpstr>'310'!OSRRefN21_4x_0</vt:lpstr>
      <vt:lpstr>'310 &amp; 491'!OSRRefN21_4x_0</vt:lpstr>
      <vt:lpstr>'311'!OSRRefN21_4x_0</vt:lpstr>
      <vt:lpstr>'312'!OSRRefN21_4x_0</vt:lpstr>
      <vt:lpstr>'313'!OSRRefN21_4x_0</vt:lpstr>
      <vt:lpstr>'314'!OSRRefN21_4x_0</vt:lpstr>
      <vt:lpstr>'315'!OSRRefN21_4x_0</vt:lpstr>
      <vt:lpstr>'316'!OSRRefN21_4x_0</vt:lpstr>
      <vt:lpstr>'317'!OSRRefN21_4x_0</vt:lpstr>
      <vt:lpstr>'318'!OSRRefN21_4x_0</vt:lpstr>
      <vt:lpstr>'320'!OSRRefN21_4x_0</vt:lpstr>
      <vt:lpstr>'321'!OSRRefN21_4x_0</vt:lpstr>
      <vt:lpstr>'322'!OSRRefN21_4x_0</vt:lpstr>
      <vt:lpstr>'323'!OSRRefN21_4x_0</vt:lpstr>
      <vt:lpstr>'325'!OSRRefN21_4x_0</vt:lpstr>
      <vt:lpstr>'326'!OSRRefN21_4x_0</vt:lpstr>
      <vt:lpstr>'330'!OSRRefN21_4x_0</vt:lpstr>
      <vt:lpstr>'331'!OSRRefN21_4x_0</vt:lpstr>
      <vt:lpstr>'332'!OSRRefN21_4x_0</vt:lpstr>
      <vt:lpstr>'335'!OSRRefN21_4x_0</vt:lpstr>
      <vt:lpstr>'405'!OSRRefN21_4x_0</vt:lpstr>
      <vt:lpstr>'406'!OSRRefN21_4x_0</vt:lpstr>
      <vt:lpstr>'411'!OSRRefN21_4x_0</vt:lpstr>
      <vt:lpstr>'412'!OSRRefN21_4x_0</vt:lpstr>
      <vt:lpstr>'413'!OSRRefN21_4x_0</vt:lpstr>
      <vt:lpstr>'414'!OSRRefN21_4x_0</vt:lpstr>
      <vt:lpstr>'415'!OSRRefN21_4x_0</vt:lpstr>
      <vt:lpstr>'418'!OSRRefN21_4x_0</vt:lpstr>
      <vt:lpstr>'420'!OSRRefN21_4x_0</vt:lpstr>
      <vt:lpstr>'423'!OSRRefN21_4x_0</vt:lpstr>
      <vt:lpstr>'424'!OSRRefN21_4x_0</vt:lpstr>
      <vt:lpstr>'425'!OSRRefN21_4x_0</vt:lpstr>
      <vt:lpstr>'430'!OSRRefN21_4x_0</vt:lpstr>
      <vt:lpstr>'433'!OSRRefN21_4x_0</vt:lpstr>
      <vt:lpstr>'435'!OSRRefN21_4x_0</vt:lpstr>
      <vt:lpstr>'444'!OSRRefN21_4x_0</vt:lpstr>
      <vt:lpstr>'445'!OSRRefN21_4x_0</vt:lpstr>
      <vt:lpstr>'450'!OSRRefN21_4x_0</vt:lpstr>
      <vt:lpstr>'491'!OSRRefN21_4x_0</vt:lpstr>
      <vt:lpstr>'492'!OSRRefN21_4x_0</vt:lpstr>
      <vt:lpstr>'501'!OSRRefN21_4x_0</vt:lpstr>
      <vt:lpstr>'Div 2'!OSRRefN21_4x_0</vt:lpstr>
      <vt:lpstr>'Div 3'!OSRRefN21_4x_0</vt:lpstr>
      <vt:lpstr>'Div 4'!OSRRefN21_4x_0</vt:lpstr>
      <vt:lpstr>'Div 5'!OSRRefN21_4x_0</vt:lpstr>
      <vt:lpstr>'Div 6'!OSRRefN21_4x_0</vt:lpstr>
      <vt:lpstr>Summary!OSRRefN21_4x_0</vt:lpstr>
      <vt:lpstr>'200'!OSRRefN21_5x_0</vt:lpstr>
      <vt:lpstr>'201'!OSRRefN21_5x_0</vt:lpstr>
      <vt:lpstr>'202'!OSRRefN21_5x_0</vt:lpstr>
      <vt:lpstr>'203'!OSRRefN21_5x_0</vt:lpstr>
      <vt:lpstr>'204'!OSRRefN21_5x_0</vt:lpstr>
      <vt:lpstr>'205'!OSRRefN21_5x_0</vt:lpstr>
      <vt:lpstr>'206'!OSRRefN21_5x_0</vt:lpstr>
      <vt:lpstr>'300'!OSRRefN21_5x_0</vt:lpstr>
      <vt:lpstr>'300 &amp; 317'!OSRRefN21_5x_0</vt:lpstr>
      <vt:lpstr>'301'!OSRRefN21_5x_0</vt:lpstr>
      <vt:lpstr>'306'!OSRRefN21_5x_0</vt:lpstr>
      <vt:lpstr>'307'!OSRRefN21_5x_0</vt:lpstr>
      <vt:lpstr>'308'!OSRRefN21_5x_0</vt:lpstr>
      <vt:lpstr>'309'!OSRRefN21_5x_0</vt:lpstr>
      <vt:lpstr>'310'!OSRRefN21_5x_0</vt:lpstr>
      <vt:lpstr>'310 &amp; 491'!OSRRefN21_5x_0</vt:lpstr>
      <vt:lpstr>'311'!OSRRefN21_5x_0</vt:lpstr>
      <vt:lpstr>'312'!OSRRefN21_5x_0</vt:lpstr>
      <vt:lpstr>'313'!OSRRefN21_5x_0</vt:lpstr>
      <vt:lpstr>'314'!OSRRefN21_5x_0</vt:lpstr>
      <vt:lpstr>'315'!OSRRefN21_5x_0</vt:lpstr>
      <vt:lpstr>'316'!OSRRefN21_5x_0</vt:lpstr>
      <vt:lpstr>'317'!OSRRefN21_5x_0</vt:lpstr>
      <vt:lpstr>'318'!OSRRefN21_5x_0</vt:lpstr>
      <vt:lpstr>'320'!OSRRefN21_5x_0</vt:lpstr>
      <vt:lpstr>'321'!OSRRefN21_5x_0</vt:lpstr>
      <vt:lpstr>'322'!OSRRefN21_5x_0</vt:lpstr>
      <vt:lpstr>'323'!OSRRefN21_5x_0</vt:lpstr>
      <vt:lpstr>'325'!OSRRefN21_5x_0</vt:lpstr>
      <vt:lpstr>'326'!OSRRefN21_5x_0</vt:lpstr>
      <vt:lpstr>'330'!OSRRefN21_5x_0</vt:lpstr>
      <vt:lpstr>'331'!OSRRefN21_5x_0</vt:lpstr>
      <vt:lpstr>'332'!OSRRefN21_5x_0</vt:lpstr>
      <vt:lpstr>'335'!OSRRefN21_5x_0</vt:lpstr>
      <vt:lpstr>'405'!OSRRefN21_5x_0</vt:lpstr>
      <vt:lpstr>'406'!OSRRefN21_5x_0</vt:lpstr>
      <vt:lpstr>'411'!OSRRefN21_5x_0</vt:lpstr>
      <vt:lpstr>'412'!OSRRefN21_5x_0</vt:lpstr>
      <vt:lpstr>'413'!OSRRefN21_5x_0</vt:lpstr>
      <vt:lpstr>'414'!OSRRefN21_5x_0</vt:lpstr>
      <vt:lpstr>'415'!OSRRefN21_5x_0</vt:lpstr>
      <vt:lpstr>'418'!OSRRefN21_5x_0</vt:lpstr>
      <vt:lpstr>'420'!OSRRefN21_5x_0</vt:lpstr>
      <vt:lpstr>'423'!OSRRefN21_5x_0</vt:lpstr>
      <vt:lpstr>'424'!OSRRefN21_5x_0</vt:lpstr>
      <vt:lpstr>'425'!OSRRefN21_5x_0</vt:lpstr>
      <vt:lpstr>'430'!OSRRefN21_5x_0</vt:lpstr>
      <vt:lpstr>'433'!OSRRefN21_5x_0</vt:lpstr>
      <vt:lpstr>'435'!OSRRefN21_5x_0</vt:lpstr>
      <vt:lpstr>'444'!OSRRefN21_5x_0</vt:lpstr>
      <vt:lpstr>'445'!OSRRefN21_5x_0</vt:lpstr>
      <vt:lpstr>'450'!OSRRefN21_5x_0</vt:lpstr>
      <vt:lpstr>'491'!OSRRefN21_5x_0</vt:lpstr>
      <vt:lpstr>'492'!OSRRefN21_5x_0</vt:lpstr>
      <vt:lpstr>'501'!OSRRefN21_5x_0</vt:lpstr>
      <vt:lpstr>'Div 2'!OSRRefN21_5x_0</vt:lpstr>
      <vt:lpstr>'Div 3'!OSRRefN21_5x_0</vt:lpstr>
      <vt:lpstr>'Div 4'!OSRRefN21_5x_0</vt:lpstr>
      <vt:lpstr>'Div 5'!OSRRefN21_5x_0</vt:lpstr>
      <vt:lpstr>'Div 6'!OSRRefN21_5x_0</vt:lpstr>
      <vt:lpstr>Summary!OSRRefN21_5x_0</vt:lpstr>
      <vt:lpstr>'201'!OSRRefN21_6x_0</vt:lpstr>
      <vt:lpstr>'202'!OSRRefN21_6x_0</vt:lpstr>
      <vt:lpstr>'203'!OSRRefN21_6x_0</vt:lpstr>
      <vt:lpstr>'204'!OSRRefN21_6x_0</vt:lpstr>
      <vt:lpstr>'205'!OSRRefN21_6x_0</vt:lpstr>
      <vt:lpstr>'206'!OSRRefN21_6x_0</vt:lpstr>
      <vt:lpstr>'300'!OSRRefN21_6x_0</vt:lpstr>
      <vt:lpstr>'300 &amp; 317'!OSRRefN21_6x_0</vt:lpstr>
      <vt:lpstr>'301'!OSRRefN21_6x_0</vt:lpstr>
      <vt:lpstr>'306'!OSRRefN21_6x_0</vt:lpstr>
      <vt:lpstr>'307'!OSRRefN21_6x_0</vt:lpstr>
      <vt:lpstr>'308'!OSRRefN21_6x_0</vt:lpstr>
      <vt:lpstr>'309'!OSRRefN21_6x_0</vt:lpstr>
      <vt:lpstr>'310'!OSRRefN21_6x_0</vt:lpstr>
      <vt:lpstr>'310 &amp; 491'!OSRRefN21_6x_0</vt:lpstr>
      <vt:lpstr>'311'!OSRRefN21_6x_0</vt:lpstr>
      <vt:lpstr>'312'!OSRRefN21_6x_0</vt:lpstr>
      <vt:lpstr>'313'!OSRRefN21_6x_0</vt:lpstr>
      <vt:lpstr>'314'!OSRRefN21_6x_0</vt:lpstr>
      <vt:lpstr>'315'!OSRRefN21_6x_0</vt:lpstr>
      <vt:lpstr>'316'!OSRRefN21_6x_0</vt:lpstr>
      <vt:lpstr>'317'!OSRRefN21_6x_0</vt:lpstr>
      <vt:lpstr>'318'!OSRRefN21_6x_0</vt:lpstr>
      <vt:lpstr>'320'!OSRRefN21_6x_0</vt:lpstr>
      <vt:lpstr>'321'!OSRRefN21_6x_0</vt:lpstr>
      <vt:lpstr>'322'!OSRRefN21_6x_0</vt:lpstr>
      <vt:lpstr>'323'!OSRRefN21_6x_0</vt:lpstr>
      <vt:lpstr>'325'!OSRRefN21_6x_0</vt:lpstr>
      <vt:lpstr>'326'!OSRRefN21_6x_0</vt:lpstr>
      <vt:lpstr>'330'!OSRRefN21_6x_0</vt:lpstr>
      <vt:lpstr>'331'!OSRRefN21_6x_0</vt:lpstr>
      <vt:lpstr>'332'!OSRRefN21_6x_0</vt:lpstr>
      <vt:lpstr>'335'!OSRRefN21_6x_0</vt:lpstr>
      <vt:lpstr>'405'!OSRRefN21_6x_0</vt:lpstr>
      <vt:lpstr>'406'!OSRRefN21_6x_0</vt:lpstr>
      <vt:lpstr>'411'!OSRRefN21_6x_0</vt:lpstr>
      <vt:lpstr>'412'!OSRRefN21_6x_0</vt:lpstr>
      <vt:lpstr>'413'!OSRRefN21_6x_0</vt:lpstr>
      <vt:lpstr>'414'!OSRRefN21_6x_0</vt:lpstr>
      <vt:lpstr>'415'!OSRRefN21_6x_0</vt:lpstr>
      <vt:lpstr>'418'!OSRRefN21_6x_0</vt:lpstr>
      <vt:lpstr>'420'!OSRRefN21_6x_0</vt:lpstr>
      <vt:lpstr>'423'!OSRRefN21_6x_0</vt:lpstr>
      <vt:lpstr>'424'!OSRRefN21_6x_0</vt:lpstr>
      <vt:lpstr>'425'!OSRRefN21_6x_0</vt:lpstr>
      <vt:lpstr>'430'!OSRRefN21_6x_0</vt:lpstr>
      <vt:lpstr>'433'!OSRRefN21_6x_0</vt:lpstr>
      <vt:lpstr>'435'!OSRRefN21_6x_0</vt:lpstr>
      <vt:lpstr>'444'!OSRRefN21_6x_0</vt:lpstr>
      <vt:lpstr>'445'!OSRRefN21_6x_0</vt:lpstr>
      <vt:lpstr>'450'!OSRRefN21_6x_0</vt:lpstr>
      <vt:lpstr>'491'!OSRRefN21_6x_0</vt:lpstr>
      <vt:lpstr>'492'!OSRRefN21_6x_0</vt:lpstr>
      <vt:lpstr>'501'!OSRRefN21_6x_0</vt:lpstr>
      <vt:lpstr>'Div 2'!OSRRefN21_6x_0</vt:lpstr>
      <vt:lpstr>'Div 3'!OSRRefN21_6x_0</vt:lpstr>
      <vt:lpstr>'Div 4'!OSRRefN21_6x_0</vt:lpstr>
      <vt:lpstr>'Div 5'!OSRRefN21_6x_0</vt:lpstr>
      <vt:lpstr>'Div 6'!OSRRefN21_6x_0</vt:lpstr>
      <vt:lpstr>Summary!OSRRefN21_6x_0</vt:lpstr>
      <vt:lpstr>'201'!OSRRefN21_7x_0</vt:lpstr>
      <vt:lpstr>'202'!OSRRefN21_7x_0</vt:lpstr>
      <vt:lpstr>'203'!OSRRefN21_7x_0</vt:lpstr>
      <vt:lpstr>'204'!OSRRefN21_7x_0</vt:lpstr>
      <vt:lpstr>'205'!OSRRefN21_7x_0</vt:lpstr>
      <vt:lpstr>'206'!OSRRefN21_7x_0</vt:lpstr>
      <vt:lpstr>'300'!OSRRefN21_7x_0</vt:lpstr>
      <vt:lpstr>'300 &amp; 317'!OSRRefN21_7x_0</vt:lpstr>
      <vt:lpstr>'301'!OSRRefN21_7x_0</vt:lpstr>
      <vt:lpstr>'306'!OSRRefN21_7x_0</vt:lpstr>
      <vt:lpstr>'307'!OSRRefN21_7x_0</vt:lpstr>
      <vt:lpstr>'308'!OSRRefN21_7x_0</vt:lpstr>
      <vt:lpstr>'309'!OSRRefN21_7x_0</vt:lpstr>
      <vt:lpstr>'310'!OSRRefN21_7x_0</vt:lpstr>
      <vt:lpstr>'310 &amp; 491'!OSRRefN21_7x_0</vt:lpstr>
      <vt:lpstr>'311'!OSRRefN21_7x_0</vt:lpstr>
      <vt:lpstr>'312'!OSRRefN21_7x_0</vt:lpstr>
      <vt:lpstr>'313'!OSRRefN21_7x_0</vt:lpstr>
      <vt:lpstr>'314'!OSRRefN21_7x_0</vt:lpstr>
      <vt:lpstr>'315'!OSRRefN21_7x_0</vt:lpstr>
      <vt:lpstr>'316'!OSRRefN21_7x_0</vt:lpstr>
      <vt:lpstr>'317'!OSRRefN21_7x_0</vt:lpstr>
      <vt:lpstr>'318'!OSRRefN21_7x_0</vt:lpstr>
      <vt:lpstr>'320'!OSRRefN21_7x_0</vt:lpstr>
      <vt:lpstr>'321'!OSRRefN21_7x_0</vt:lpstr>
      <vt:lpstr>'322'!OSRRefN21_7x_0</vt:lpstr>
      <vt:lpstr>'323'!OSRRefN21_7x_0</vt:lpstr>
      <vt:lpstr>'325'!OSRRefN21_7x_0</vt:lpstr>
      <vt:lpstr>'326'!OSRRefN21_7x_0</vt:lpstr>
      <vt:lpstr>'330'!OSRRefN21_7x_0</vt:lpstr>
      <vt:lpstr>'331'!OSRRefN21_7x_0</vt:lpstr>
      <vt:lpstr>'332'!OSRRefN21_7x_0</vt:lpstr>
      <vt:lpstr>'335'!OSRRefN21_7x_0</vt:lpstr>
      <vt:lpstr>'405'!OSRRefN21_7x_0</vt:lpstr>
      <vt:lpstr>'406'!OSRRefN21_7x_0</vt:lpstr>
      <vt:lpstr>'411'!OSRRefN21_7x_0</vt:lpstr>
      <vt:lpstr>'412'!OSRRefN21_7x_0</vt:lpstr>
      <vt:lpstr>'413'!OSRRefN21_7x_0</vt:lpstr>
      <vt:lpstr>'414'!OSRRefN21_7x_0</vt:lpstr>
      <vt:lpstr>'415'!OSRRefN21_7x_0</vt:lpstr>
      <vt:lpstr>'418'!OSRRefN21_7x_0</vt:lpstr>
      <vt:lpstr>'420'!OSRRefN21_7x_0</vt:lpstr>
      <vt:lpstr>'423'!OSRRefN21_7x_0</vt:lpstr>
      <vt:lpstr>'424'!OSRRefN21_7x_0</vt:lpstr>
      <vt:lpstr>'425'!OSRRefN21_7x_0</vt:lpstr>
      <vt:lpstr>'430'!OSRRefN21_7x_0</vt:lpstr>
      <vt:lpstr>'433'!OSRRefN21_7x_0</vt:lpstr>
      <vt:lpstr>'435'!OSRRefN21_7x_0</vt:lpstr>
      <vt:lpstr>'444'!OSRRefN21_7x_0</vt:lpstr>
      <vt:lpstr>'445'!OSRRefN21_7x_0</vt:lpstr>
      <vt:lpstr>'450'!OSRRefN21_7x_0</vt:lpstr>
      <vt:lpstr>'491'!OSRRefN21_7x_0</vt:lpstr>
      <vt:lpstr>'492'!OSRRefN21_7x_0</vt:lpstr>
      <vt:lpstr>'501'!OSRRefN21_7x_0</vt:lpstr>
      <vt:lpstr>'Div 2'!OSRRefN21_7x_0</vt:lpstr>
      <vt:lpstr>'Div 3'!OSRRefN21_7x_0</vt:lpstr>
      <vt:lpstr>'Div 4'!OSRRefN21_7x_0</vt:lpstr>
      <vt:lpstr>'Div 5'!OSRRefN21_7x_0</vt:lpstr>
      <vt:lpstr>'Div 6'!OSRRefN21_7x_0</vt:lpstr>
      <vt:lpstr>Summary!OSRRefN21_7x_0</vt:lpstr>
      <vt:lpstr>'201'!OSRRefN21_8x_0</vt:lpstr>
      <vt:lpstr>'202'!OSRRefN21_8x_0</vt:lpstr>
      <vt:lpstr>'203'!OSRRefN21_8x_0</vt:lpstr>
      <vt:lpstr>'204'!OSRRefN21_8x_0</vt:lpstr>
      <vt:lpstr>'205'!OSRRefN21_8x_0</vt:lpstr>
      <vt:lpstr>'206'!OSRRefN21_8x_0</vt:lpstr>
      <vt:lpstr>'300'!OSRRefN21_8x_0</vt:lpstr>
      <vt:lpstr>'300 &amp; 317'!OSRRefN21_8x_0</vt:lpstr>
      <vt:lpstr>'301'!OSRRefN21_8x_0</vt:lpstr>
      <vt:lpstr>'306'!OSRRefN21_8x_0</vt:lpstr>
      <vt:lpstr>'307'!OSRRefN21_8x_0</vt:lpstr>
      <vt:lpstr>'308'!OSRRefN21_8x_0</vt:lpstr>
      <vt:lpstr>'309'!OSRRefN21_8x_0</vt:lpstr>
      <vt:lpstr>'310'!OSRRefN21_8x_0</vt:lpstr>
      <vt:lpstr>'310 &amp; 491'!OSRRefN21_8x_0</vt:lpstr>
      <vt:lpstr>'311'!OSRRefN21_8x_0</vt:lpstr>
      <vt:lpstr>'312'!OSRRefN21_8x_0</vt:lpstr>
      <vt:lpstr>'313'!OSRRefN21_8x_0</vt:lpstr>
      <vt:lpstr>'314'!OSRRefN21_8x_0</vt:lpstr>
      <vt:lpstr>'315'!OSRRefN21_8x_0</vt:lpstr>
      <vt:lpstr>'316'!OSRRefN21_8x_0</vt:lpstr>
      <vt:lpstr>'317'!OSRRefN21_8x_0</vt:lpstr>
      <vt:lpstr>'318'!OSRRefN21_8x_0</vt:lpstr>
      <vt:lpstr>'320'!OSRRefN21_8x_0</vt:lpstr>
      <vt:lpstr>'321'!OSRRefN21_8x_0</vt:lpstr>
      <vt:lpstr>'322'!OSRRefN21_8x_0</vt:lpstr>
      <vt:lpstr>'325'!OSRRefN21_8x_0</vt:lpstr>
      <vt:lpstr>'326'!OSRRefN21_8x_0</vt:lpstr>
      <vt:lpstr>'330'!OSRRefN21_8x_0</vt:lpstr>
      <vt:lpstr>'331'!OSRRefN21_8x_0</vt:lpstr>
      <vt:lpstr>'332'!OSRRefN21_8x_0</vt:lpstr>
      <vt:lpstr>'335'!OSRRefN21_8x_0</vt:lpstr>
      <vt:lpstr>'405'!OSRRefN21_8x_0</vt:lpstr>
      <vt:lpstr>'406'!OSRRefN21_8x_0</vt:lpstr>
      <vt:lpstr>'411'!OSRRefN21_8x_0</vt:lpstr>
      <vt:lpstr>'412'!OSRRefN21_8x_0</vt:lpstr>
      <vt:lpstr>'413'!OSRRefN21_8x_0</vt:lpstr>
      <vt:lpstr>'414'!OSRRefN21_8x_0</vt:lpstr>
      <vt:lpstr>'415'!OSRRefN21_8x_0</vt:lpstr>
      <vt:lpstr>'418'!OSRRefN21_8x_0</vt:lpstr>
      <vt:lpstr>'420'!OSRRefN21_8x_0</vt:lpstr>
      <vt:lpstr>'423'!OSRRefN21_8x_0</vt:lpstr>
      <vt:lpstr>'424'!OSRRefN21_8x_0</vt:lpstr>
      <vt:lpstr>'425'!OSRRefN21_8x_0</vt:lpstr>
      <vt:lpstr>'430'!OSRRefN21_8x_0</vt:lpstr>
      <vt:lpstr>'433'!OSRRefN21_8x_0</vt:lpstr>
      <vt:lpstr>'435'!OSRRefN21_8x_0</vt:lpstr>
      <vt:lpstr>'444'!OSRRefN21_8x_0</vt:lpstr>
      <vt:lpstr>'445'!OSRRefN21_8x_0</vt:lpstr>
      <vt:lpstr>'450'!OSRRefN21_8x_0</vt:lpstr>
      <vt:lpstr>'491'!OSRRefN21_8x_0</vt:lpstr>
      <vt:lpstr>'492'!OSRRefN21_8x_0</vt:lpstr>
      <vt:lpstr>'501'!OSRRefN21_8x_0</vt:lpstr>
      <vt:lpstr>'Div 2'!OSRRefN21_8x_0</vt:lpstr>
      <vt:lpstr>'Div 3'!OSRRefN21_8x_0</vt:lpstr>
      <vt:lpstr>'Div 4'!OSRRefN21_8x_0</vt:lpstr>
      <vt:lpstr>'Div 5'!OSRRefN21_8x_0</vt:lpstr>
      <vt:lpstr>'Div 6'!OSRRefN21_8x_0</vt:lpstr>
      <vt:lpstr>Summary!OSRRefN21_8x_0</vt:lpstr>
      <vt:lpstr>'201'!OSRRefN21_9x_0</vt:lpstr>
      <vt:lpstr>'202'!OSRRefN21_9x_0</vt:lpstr>
      <vt:lpstr>'203'!OSRRefN21_9x_0</vt:lpstr>
      <vt:lpstr>'204'!OSRRefN21_9x_0</vt:lpstr>
      <vt:lpstr>'206'!OSRRefN21_9x_0</vt:lpstr>
      <vt:lpstr>'300'!OSRRefN21_9x_0</vt:lpstr>
      <vt:lpstr>'300 &amp; 317'!OSRRefN21_9x_0</vt:lpstr>
      <vt:lpstr>'301'!OSRRefN21_9x_0</vt:lpstr>
      <vt:lpstr>'306'!OSRRefN21_9x_0</vt:lpstr>
      <vt:lpstr>'307'!OSRRefN21_9x_0</vt:lpstr>
      <vt:lpstr>'308'!OSRRefN21_9x_0</vt:lpstr>
      <vt:lpstr>'309'!OSRRefN21_9x_0</vt:lpstr>
      <vt:lpstr>'310'!OSRRefN21_9x_0</vt:lpstr>
      <vt:lpstr>'310 &amp; 491'!OSRRefN21_9x_0</vt:lpstr>
      <vt:lpstr>'311'!OSRRefN21_9x_0</vt:lpstr>
      <vt:lpstr>'312'!OSRRefN21_9x_0</vt:lpstr>
      <vt:lpstr>'313'!OSRRefN21_9x_0</vt:lpstr>
      <vt:lpstr>'314'!OSRRefN21_9x_0</vt:lpstr>
      <vt:lpstr>'315'!OSRRefN21_9x_0</vt:lpstr>
      <vt:lpstr>'316'!OSRRefN21_9x_0</vt:lpstr>
      <vt:lpstr>'317'!OSRRefN21_9x_0</vt:lpstr>
      <vt:lpstr>'320'!OSRRefN21_9x_0</vt:lpstr>
      <vt:lpstr>'321'!OSRRefN21_9x_0</vt:lpstr>
      <vt:lpstr>'322'!OSRRefN21_9x_0</vt:lpstr>
      <vt:lpstr>'325'!OSRRefN21_9x_0</vt:lpstr>
      <vt:lpstr>'326'!OSRRefN21_9x_0</vt:lpstr>
      <vt:lpstr>'330'!OSRRefN21_9x_0</vt:lpstr>
      <vt:lpstr>'331'!OSRRefN21_9x_0</vt:lpstr>
      <vt:lpstr>'332'!OSRRefN21_9x_0</vt:lpstr>
      <vt:lpstr>'335'!OSRRefN21_9x_0</vt:lpstr>
      <vt:lpstr>'405'!OSRRefN21_9x_0</vt:lpstr>
      <vt:lpstr>'406'!OSRRefN21_9x_0</vt:lpstr>
      <vt:lpstr>'411'!OSRRefN21_9x_0</vt:lpstr>
      <vt:lpstr>'412'!OSRRefN21_9x_0</vt:lpstr>
      <vt:lpstr>'413'!OSRRefN21_9x_0</vt:lpstr>
      <vt:lpstr>'414'!OSRRefN21_9x_0</vt:lpstr>
      <vt:lpstr>'415'!OSRRefN21_9x_0</vt:lpstr>
      <vt:lpstr>'418'!OSRRefN21_9x_0</vt:lpstr>
      <vt:lpstr>'423'!OSRRefN21_9x_0</vt:lpstr>
      <vt:lpstr>'424'!OSRRefN21_9x_0</vt:lpstr>
      <vt:lpstr>'425'!OSRRefN21_9x_0</vt:lpstr>
      <vt:lpstr>'430'!OSRRefN21_9x_0</vt:lpstr>
      <vt:lpstr>'433'!OSRRefN21_9x_0</vt:lpstr>
      <vt:lpstr>'435'!OSRRefN21_9x_0</vt:lpstr>
      <vt:lpstr>'444'!OSRRefN21_9x_0</vt:lpstr>
      <vt:lpstr>'445'!OSRRefN21_9x_0</vt:lpstr>
      <vt:lpstr>'450'!OSRRefN21_9x_0</vt:lpstr>
      <vt:lpstr>'491'!OSRRefN21_9x_0</vt:lpstr>
      <vt:lpstr>'492'!OSRRefN21_9x_0</vt:lpstr>
      <vt:lpstr>'501'!OSRRefN21_9x_0</vt:lpstr>
      <vt:lpstr>'Div 2'!OSRRefN21_9x_0</vt:lpstr>
      <vt:lpstr>'Div 3'!OSRRefN21_9x_0</vt:lpstr>
      <vt:lpstr>'Div 4'!OSRRefN21_9x_0</vt:lpstr>
      <vt:lpstr>'Div 5'!OSRRefN21_9x_0</vt:lpstr>
      <vt:lpstr>'Div 6'!OSRRefN21_9x_0</vt:lpstr>
      <vt:lpstr>Summary!OSRRefN21_9x_0</vt:lpstr>
      <vt:lpstr>'200'!OSRRefN21x_0</vt:lpstr>
      <vt:lpstr>'201'!OSRRefN21x_0</vt:lpstr>
      <vt:lpstr>'202'!OSRRefN21x_0</vt:lpstr>
      <vt:lpstr>'203'!OSRRefN21x_0</vt:lpstr>
      <vt:lpstr>'204'!OSRRefN21x_0</vt:lpstr>
      <vt:lpstr>'205'!OSRRefN21x_0</vt:lpstr>
      <vt:lpstr>'206'!OSRRefN21x_0</vt:lpstr>
      <vt:lpstr>'300'!OSRRefN21x_0</vt:lpstr>
      <vt:lpstr>'300 &amp; 317'!OSRRefN21x_0</vt:lpstr>
      <vt:lpstr>'301'!OSRRefN21x_0</vt:lpstr>
      <vt:lpstr>'306'!OSRRefN21x_0</vt:lpstr>
      <vt:lpstr>'307'!OSRRefN21x_0</vt:lpstr>
      <vt:lpstr>'308'!OSRRefN21x_0</vt:lpstr>
      <vt:lpstr>'309'!OSRRefN21x_0</vt:lpstr>
      <vt:lpstr>'310'!OSRRefN21x_0</vt:lpstr>
      <vt:lpstr>'310 &amp; 491'!OSRRefN21x_0</vt:lpstr>
      <vt:lpstr>'311'!OSRRefN21x_0</vt:lpstr>
      <vt:lpstr>'312'!OSRRefN21x_0</vt:lpstr>
      <vt:lpstr>'313'!OSRRefN21x_0</vt:lpstr>
      <vt:lpstr>'314'!OSRRefN21x_0</vt:lpstr>
      <vt:lpstr>'315'!OSRRefN21x_0</vt:lpstr>
      <vt:lpstr>'316'!OSRRefN21x_0</vt:lpstr>
      <vt:lpstr>'317'!OSRRefN21x_0</vt:lpstr>
      <vt:lpstr>'318'!OSRRefN21x_0</vt:lpstr>
      <vt:lpstr>'320'!OSRRefN21x_0</vt:lpstr>
      <vt:lpstr>'321'!OSRRefN21x_0</vt:lpstr>
      <vt:lpstr>'322'!OSRRefN21x_0</vt:lpstr>
      <vt:lpstr>'323'!OSRRefN21x_0</vt:lpstr>
      <vt:lpstr>'324'!OSRRefN21x_0</vt:lpstr>
      <vt:lpstr>'325'!OSRRefN21x_0</vt:lpstr>
      <vt:lpstr>'326'!OSRRefN21x_0</vt:lpstr>
      <vt:lpstr>'327'!OSRRefN21x_0</vt:lpstr>
      <vt:lpstr>'330'!OSRRefN21x_0</vt:lpstr>
      <vt:lpstr>'331'!OSRRefN21x_0</vt:lpstr>
      <vt:lpstr>'332'!OSRRefN21x_0</vt:lpstr>
      <vt:lpstr>'335'!OSRRefN21x_0</vt:lpstr>
      <vt:lpstr>'405'!OSRRefN21x_0</vt:lpstr>
      <vt:lpstr>'406'!OSRRefN21x_0</vt:lpstr>
      <vt:lpstr>'411'!OSRRefN21x_0</vt:lpstr>
      <vt:lpstr>'412'!OSRRefN21x_0</vt:lpstr>
      <vt:lpstr>'413'!OSRRefN21x_0</vt:lpstr>
      <vt:lpstr>'414'!OSRRefN21x_0</vt:lpstr>
      <vt:lpstr>'415'!OSRRefN21x_0</vt:lpstr>
      <vt:lpstr>'418'!OSRRefN21x_0</vt:lpstr>
      <vt:lpstr>'420'!OSRRefN21x_0</vt:lpstr>
      <vt:lpstr>'423'!OSRRefN21x_0</vt:lpstr>
      <vt:lpstr>'424'!OSRRefN21x_0</vt:lpstr>
      <vt:lpstr>'425'!OSRRefN21x_0</vt:lpstr>
      <vt:lpstr>'430'!OSRRefN21x_0</vt:lpstr>
      <vt:lpstr>'433'!OSRRefN21x_0</vt:lpstr>
      <vt:lpstr>'435'!OSRRefN21x_0</vt:lpstr>
      <vt:lpstr>'444'!OSRRefN21x_0</vt:lpstr>
      <vt:lpstr>'445'!OSRRefN21x_0</vt:lpstr>
      <vt:lpstr>'450'!OSRRefN21x_0</vt:lpstr>
      <vt:lpstr>'455'!OSRRefN21x_0</vt:lpstr>
      <vt:lpstr>'491'!OSRRefN21x_0</vt:lpstr>
      <vt:lpstr>'492'!OSRRefN21x_0</vt:lpstr>
      <vt:lpstr>'501'!OSRRefN21x_0</vt:lpstr>
      <vt:lpstr>'Div 2'!OSRRefN21x_0</vt:lpstr>
      <vt:lpstr>'Div 3'!OSRRefN21x_0</vt:lpstr>
      <vt:lpstr>'Div 4'!OSRRefN21x_0</vt:lpstr>
      <vt:lpstr>'Div 5'!OSRRefN21x_0</vt:lpstr>
      <vt:lpstr>'Div 6'!OSRRefN21x_0</vt:lpstr>
      <vt:lpstr>Summary!OSRRefN21x_0</vt:lpstr>
      <vt:lpstr>'202'!OSRRefN24x_0</vt:lpstr>
      <vt:lpstr>'300'!OSRRefN24x_0</vt:lpstr>
      <vt:lpstr>'300 &amp; 317'!OSRRefN24x_0</vt:lpstr>
      <vt:lpstr>'301'!OSRRefN24x_0</vt:lpstr>
      <vt:lpstr>'307'!OSRRefN24x_0</vt:lpstr>
      <vt:lpstr>'308'!OSRRefN24x_0</vt:lpstr>
      <vt:lpstr>'309'!OSRRefN24x_0</vt:lpstr>
      <vt:lpstr>'310'!OSRRefN24x_0</vt:lpstr>
      <vt:lpstr>'310 &amp; 491'!OSRRefN24x_0</vt:lpstr>
      <vt:lpstr>'311'!OSRRefN24x_0</vt:lpstr>
      <vt:lpstr>'312'!OSRRefN24x_0</vt:lpstr>
      <vt:lpstr>'314'!OSRRefN24x_0</vt:lpstr>
      <vt:lpstr>'315'!OSRRefN24x_0</vt:lpstr>
      <vt:lpstr>'316'!OSRRefN24x_0</vt:lpstr>
      <vt:lpstr>'317'!OSRRefN24x_0</vt:lpstr>
      <vt:lpstr>'320'!OSRRefN24x_0</vt:lpstr>
      <vt:lpstr>'330'!OSRRefN24x_0</vt:lpstr>
      <vt:lpstr>'331'!OSRRefN24x_0</vt:lpstr>
      <vt:lpstr>'332'!OSRRefN24x_0</vt:lpstr>
      <vt:lpstr>'411'!OSRRefN24x_0</vt:lpstr>
      <vt:lpstr>'413'!OSRRefN24x_0</vt:lpstr>
      <vt:lpstr>'415'!OSRRefN24x_0</vt:lpstr>
      <vt:lpstr>'418'!OSRRefN24x_0</vt:lpstr>
      <vt:lpstr>'423'!OSRRefN24x_0</vt:lpstr>
      <vt:lpstr>'424'!OSRRefN24x_0</vt:lpstr>
      <vt:lpstr>'425'!OSRRefN24x_0</vt:lpstr>
      <vt:lpstr>'455'!OSRRefN24x_0</vt:lpstr>
      <vt:lpstr>'491'!OSRRefN24x_0</vt:lpstr>
      <vt:lpstr>'501'!OSRRefN24x_0</vt:lpstr>
      <vt:lpstr>'Div 2'!OSRRefN24x_0</vt:lpstr>
      <vt:lpstr>'Div 3'!OSRRefN24x_0</vt:lpstr>
      <vt:lpstr>'Div 4'!OSRRefN24x_0</vt:lpstr>
      <vt:lpstr>'Div 5'!OSRRefN24x_0</vt:lpstr>
      <vt:lpstr>'Div 6'!OSRRefN24x_0</vt:lpstr>
      <vt:lpstr>Summary!OSRRefN24x_0</vt:lpstr>
      <vt:lpstr>'201'!OSRRefP11x_0</vt:lpstr>
      <vt:lpstr>'202'!OSRRefP11x_0</vt:lpstr>
      <vt:lpstr>'300'!OSRRefP11x_0</vt:lpstr>
      <vt:lpstr>'300 &amp; 317'!OSRRefP11x_0</vt:lpstr>
      <vt:lpstr>'307'!OSRRefP11x_0</vt:lpstr>
      <vt:lpstr>'308'!OSRRefP11x_0</vt:lpstr>
      <vt:lpstr>'309'!OSRRefP11x_0</vt:lpstr>
      <vt:lpstr>'310'!OSRRefP11x_0</vt:lpstr>
      <vt:lpstr>'310 &amp; 491'!OSRRefP11x_0</vt:lpstr>
      <vt:lpstr>'311'!OSRRefP11x_0</vt:lpstr>
      <vt:lpstr>'312'!OSRRefP11x_0</vt:lpstr>
      <vt:lpstr>'313'!OSRRefP11x_0</vt:lpstr>
      <vt:lpstr>'314'!OSRRefP11x_0</vt:lpstr>
      <vt:lpstr>'315'!OSRRefP11x_0</vt:lpstr>
      <vt:lpstr>'316'!OSRRefP11x_0</vt:lpstr>
      <vt:lpstr>'317'!OSRRefP11x_0</vt:lpstr>
      <vt:lpstr>'320'!OSRRefP11x_0</vt:lpstr>
      <vt:lpstr>'321'!OSRRefP11x_0</vt:lpstr>
      <vt:lpstr>'322'!OSRRefP11x_0</vt:lpstr>
      <vt:lpstr>'323'!OSRRefP11x_0</vt:lpstr>
      <vt:lpstr>'324'!OSRRefP11x_0</vt:lpstr>
      <vt:lpstr>'325'!OSRRefP11x_0</vt:lpstr>
      <vt:lpstr>'326'!OSRRefP11x_0</vt:lpstr>
      <vt:lpstr>'327'!OSRRefP11x_0</vt:lpstr>
      <vt:lpstr>'330'!OSRRefP11x_0</vt:lpstr>
      <vt:lpstr>'331'!OSRRefP11x_0</vt:lpstr>
      <vt:lpstr>'332'!OSRRefP11x_0</vt:lpstr>
      <vt:lpstr>'405'!OSRRefP11x_0</vt:lpstr>
      <vt:lpstr>'406'!OSRRefP11x_0</vt:lpstr>
      <vt:lpstr>'412'!OSRRefP11x_0</vt:lpstr>
      <vt:lpstr>'413'!OSRRefP11x_0</vt:lpstr>
      <vt:lpstr>'414'!OSRRefP11x_0</vt:lpstr>
      <vt:lpstr>'415'!OSRRefP11x_0</vt:lpstr>
      <vt:lpstr>'418'!OSRRefP11x_0</vt:lpstr>
      <vt:lpstr>'420'!OSRRefP11x_0</vt:lpstr>
      <vt:lpstr>'424'!OSRRefP11x_0</vt:lpstr>
      <vt:lpstr>'425'!OSRRefP11x_0</vt:lpstr>
      <vt:lpstr>'433'!OSRRefP11x_0</vt:lpstr>
      <vt:lpstr>'435'!OSRRefP11x_0</vt:lpstr>
      <vt:lpstr>'444'!OSRRefP11x_0</vt:lpstr>
      <vt:lpstr>'445'!OSRRefP11x_0</vt:lpstr>
      <vt:lpstr>'450'!OSRRefP11x_0</vt:lpstr>
      <vt:lpstr>'491'!OSRRefP11x_0</vt:lpstr>
      <vt:lpstr>'492'!OSRRefP11x_0</vt:lpstr>
      <vt:lpstr>'501'!OSRRefP11x_0</vt:lpstr>
      <vt:lpstr>'Div 2'!OSRRefP11x_0</vt:lpstr>
      <vt:lpstr>'Div 3'!OSRRefP11x_0</vt:lpstr>
      <vt:lpstr>'Div 4'!OSRRefP11x_0</vt:lpstr>
      <vt:lpstr>'Div 5'!OSRRefP11x_0</vt:lpstr>
      <vt:lpstr>'Div 6'!OSRRefP11x_0</vt:lpstr>
      <vt:lpstr>Summary!OSRRefP11x_0</vt:lpstr>
      <vt:lpstr>'300'!OSRRefP14x_0</vt:lpstr>
      <vt:lpstr>'300 &amp; 317'!OSRRefP14x_0</vt:lpstr>
      <vt:lpstr>'301'!OSRRefP14x_0</vt:lpstr>
      <vt:lpstr>'307'!OSRRefP14x_0</vt:lpstr>
      <vt:lpstr>'308'!OSRRefP14x_0</vt:lpstr>
      <vt:lpstr>'309'!OSRRefP14x_0</vt:lpstr>
      <vt:lpstr>'310'!OSRRefP14x_0</vt:lpstr>
      <vt:lpstr>'310 &amp; 491'!OSRRefP14x_0</vt:lpstr>
      <vt:lpstr>'311'!OSRRefP14x_0</vt:lpstr>
      <vt:lpstr>'312'!OSRRefP14x_0</vt:lpstr>
      <vt:lpstr>'313'!OSRRefP14x_0</vt:lpstr>
      <vt:lpstr>'314'!OSRRefP14x_0</vt:lpstr>
      <vt:lpstr>'315'!OSRRefP14x_0</vt:lpstr>
      <vt:lpstr>'316'!OSRRefP14x_0</vt:lpstr>
      <vt:lpstr>'317'!OSRRefP14x_0</vt:lpstr>
      <vt:lpstr>'320'!OSRRefP14x_0</vt:lpstr>
      <vt:lpstr>'321'!OSRRefP14x_0</vt:lpstr>
      <vt:lpstr>'322'!OSRRefP14x_0</vt:lpstr>
      <vt:lpstr>'324'!OSRRefP14x_0</vt:lpstr>
      <vt:lpstr>'325'!OSRRefP14x_0</vt:lpstr>
      <vt:lpstr>'326'!OSRRefP14x_0</vt:lpstr>
      <vt:lpstr>'327'!OSRRefP14x_0</vt:lpstr>
      <vt:lpstr>'330'!OSRRefP14x_0</vt:lpstr>
      <vt:lpstr>'331'!OSRRefP14x_0</vt:lpstr>
      <vt:lpstr>'332'!OSRRefP14x_0</vt:lpstr>
      <vt:lpstr>'405'!OSRRefP14x_0</vt:lpstr>
      <vt:lpstr>'406'!OSRRefP14x_0</vt:lpstr>
      <vt:lpstr>'412'!OSRRefP14x_0</vt:lpstr>
      <vt:lpstr>'413'!OSRRefP14x_0</vt:lpstr>
      <vt:lpstr>'414'!OSRRefP14x_0</vt:lpstr>
      <vt:lpstr>'415'!OSRRefP14x_0</vt:lpstr>
      <vt:lpstr>'418'!OSRRefP14x_0</vt:lpstr>
      <vt:lpstr>'420'!OSRRefP14x_0</vt:lpstr>
      <vt:lpstr>'423'!OSRRefP14x_0</vt:lpstr>
      <vt:lpstr>'424'!OSRRefP14x_0</vt:lpstr>
      <vt:lpstr>'425'!OSRRefP14x_0</vt:lpstr>
      <vt:lpstr>'433'!OSRRefP14x_0</vt:lpstr>
      <vt:lpstr>'435'!OSRRefP14x_0</vt:lpstr>
      <vt:lpstr>'444'!OSRRefP14x_0</vt:lpstr>
      <vt:lpstr>'445'!OSRRefP14x_0</vt:lpstr>
      <vt:lpstr>'450'!OSRRefP14x_0</vt:lpstr>
      <vt:lpstr>'491'!OSRRefP14x_0</vt:lpstr>
      <vt:lpstr>'492'!OSRRefP14x_0</vt:lpstr>
      <vt:lpstr>'Div 3'!OSRRefP14x_0</vt:lpstr>
      <vt:lpstr>'Div 4'!OSRRefP14x_0</vt:lpstr>
      <vt:lpstr>'Div 6'!OSRRefP14x_0</vt:lpstr>
      <vt:lpstr>Summary!OSRRefP14x_0</vt:lpstr>
      <vt:lpstr>'200'!OSRRefP21_0x_0</vt:lpstr>
      <vt:lpstr>'201'!OSRRefP21_0x_0</vt:lpstr>
      <vt:lpstr>'202'!OSRRefP21_0x_0</vt:lpstr>
      <vt:lpstr>'203'!OSRRefP21_0x_0</vt:lpstr>
      <vt:lpstr>'204'!OSRRefP21_0x_0</vt:lpstr>
      <vt:lpstr>'205'!OSRRefP21_0x_0</vt:lpstr>
      <vt:lpstr>'206'!OSRRefP21_0x_0</vt:lpstr>
      <vt:lpstr>'300'!OSRRefP21_0x_0</vt:lpstr>
      <vt:lpstr>'300 &amp; 317'!OSRRefP21_0x_0</vt:lpstr>
      <vt:lpstr>'301'!OSRRefP21_0x_0</vt:lpstr>
      <vt:lpstr>'306'!OSRRefP21_0x_0</vt:lpstr>
      <vt:lpstr>'307'!OSRRefP21_0x_0</vt:lpstr>
      <vt:lpstr>'308'!OSRRefP21_0x_0</vt:lpstr>
      <vt:lpstr>'309'!OSRRefP21_0x_0</vt:lpstr>
      <vt:lpstr>'310'!OSRRefP21_0x_0</vt:lpstr>
      <vt:lpstr>'310 &amp; 491'!OSRRefP21_0x_0</vt:lpstr>
      <vt:lpstr>'311'!OSRRefP21_0x_0</vt:lpstr>
      <vt:lpstr>'312'!OSRRefP21_0x_0</vt:lpstr>
      <vt:lpstr>'313'!OSRRefP21_0x_0</vt:lpstr>
      <vt:lpstr>'314'!OSRRefP21_0x_0</vt:lpstr>
      <vt:lpstr>'315'!OSRRefP21_0x_0</vt:lpstr>
      <vt:lpstr>'316'!OSRRefP21_0x_0</vt:lpstr>
      <vt:lpstr>'317'!OSRRefP21_0x_0</vt:lpstr>
      <vt:lpstr>'318'!OSRRefP21_0x_0</vt:lpstr>
      <vt:lpstr>'320'!OSRRefP21_0x_0</vt:lpstr>
      <vt:lpstr>'321'!OSRRefP21_0x_0</vt:lpstr>
      <vt:lpstr>'322'!OSRRefP21_0x_0</vt:lpstr>
      <vt:lpstr>'323'!OSRRefP21_0x_0</vt:lpstr>
      <vt:lpstr>'324'!OSRRefP21_0x_0</vt:lpstr>
      <vt:lpstr>'325'!OSRRefP21_0x_0</vt:lpstr>
      <vt:lpstr>'326'!OSRRefP21_0x_0</vt:lpstr>
      <vt:lpstr>'327'!OSRRefP21_0x_0</vt:lpstr>
      <vt:lpstr>'330'!OSRRefP21_0x_0</vt:lpstr>
      <vt:lpstr>'331'!OSRRefP21_0x_0</vt:lpstr>
      <vt:lpstr>'332'!OSRRefP21_0x_0</vt:lpstr>
      <vt:lpstr>'335'!OSRRefP21_0x_0</vt:lpstr>
      <vt:lpstr>'405'!OSRRefP21_0x_0</vt:lpstr>
      <vt:lpstr>'406'!OSRRefP21_0x_0</vt:lpstr>
      <vt:lpstr>'411'!OSRRefP21_0x_0</vt:lpstr>
      <vt:lpstr>'412'!OSRRefP21_0x_0</vt:lpstr>
      <vt:lpstr>'413'!OSRRefP21_0x_0</vt:lpstr>
      <vt:lpstr>'414'!OSRRefP21_0x_0</vt:lpstr>
      <vt:lpstr>'415'!OSRRefP21_0x_0</vt:lpstr>
      <vt:lpstr>'418'!OSRRefP21_0x_0</vt:lpstr>
      <vt:lpstr>'420'!OSRRefP21_0x_0</vt:lpstr>
      <vt:lpstr>'423'!OSRRefP21_0x_0</vt:lpstr>
      <vt:lpstr>'424'!OSRRefP21_0x_0</vt:lpstr>
      <vt:lpstr>'425'!OSRRefP21_0x_0</vt:lpstr>
      <vt:lpstr>'430'!OSRRefP21_0x_0</vt:lpstr>
      <vt:lpstr>'433'!OSRRefP21_0x_0</vt:lpstr>
      <vt:lpstr>'435'!OSRRefP21_0x_0</vt:lpstr>
      <vt:lpstr>'444'!OSRRefP21_0x_0</vt:lpstr>
      <vt:lpstr>'445'!OSRRefP21_0x_0</vt:lpstr>
      <vt:lpstr>'450'!OSRRefP21_0x_0</vt:lpstr>
      <vt:lpstr>'455'!OSRRefP21_0x_0</vt:lpstr>
      <vt:lpstr>'491'!OSRRefP21_0x_0</vt:lpstr>
      <vt:lpstr>'492'!OSRRefP21_0x_0</vt:lpstr>
      <vt:lpstr>'501'!OSRRefP21_0x_0</vt:lpstr>
      <vt:lpstr>'Div 2'!OSRRefP21_0x_0</vt:lpstr>
      <vt:lpstr>'Div 3'!OSRRefP21_0x_0</vt:lpstr>
      <vt:lpstr>'Div 4'!OSRRefP21_0x_0</vt:lpstr>
      <vt:lpstr>'Div 5'!OSRRefP21_0x_0</vt:lpstr>
      <vt:lpstr>'Div 6'!OSRRefP21_0x_0</vt:lpstr>
      <vt:lpstr>Summary!OSRRefP21_0x_0</vt:lpstr>
      <vt:lpstr>'201'!OSRRefP21_10x_0</vt:lpstr>
      <vt:lpstr>'202'!OSRRefP21_10x_0</vt:lpstr>
      <vt:lpstr>'203'!OSRRefP21_10x_0</vt:lpstr>
      <vt:lpstr>'204'!OSRRefP21_10x_0</vt:lpstr>
      <vt:lpstr>'206'!OSRRefP21_10x_0</vt:lpstr>
      <vt:lpstr>'300'!OSRRefP21_10x_0</vt:lpstr>
      <vt:lpstr>'300 &amp; 317'!OSRRefP21_10x_0</vt:lpstr>
      <vt:lpstr>'301'!OSRRefP21_10x_0</vt:lpstr>
      <vt:lpstr>'306'!OSRRefP21_10x_0</vt:lpstr>
      <vt:lpstr>'307'!OSRRefP21_10x_0</vt:lpstr>
      <vt:lpstr>'308'!OSRRefP21_10x_0</vt:lpstr>
      <vt:lpstr>'309'!OSRRefP21_10x_0</vt:lpstr>
      <vt:lpstr>'310'!OSRRefP21_10x_0</vt:lpstr>
      <vt:lpstr>'310 &amp; 491'!OSRRefP21_10x_0</vt:lpstr>
      <vt:lpstr>'311'!OSRRefP21_10x_0</vt:lpstr>
      <vt:lpstr>'313'!OSRRefP21_10x_0</vt:lpstr>
      <vt:lpstr>'314'!OSRRefP21_10x_0</vt:lpstr>
      <vt:lpstr>'315'!OSRRefP21_10x_0</vt:lpstr>
      <vt:lpstr>'316'!OSRRefP21_10x_0</vt:lpstr>
      <vt:lpstr>'317'!OSRRefP21_10x_0</vt:lpstr>
      <vt:lpstr>'320'!OSRRefP21_10x_0</vt:lpstr>
      <vt:lpstr>'321'!OSRRefP21_10x_0</vt:lpstr>
      <vt:lpstr>'322'!OSRRefP21_10x_0</vt:lpstr>
      <vt:lpstr>'325'!OSRRefP21_10x_0</vt:lpstr>
      <vt:lpstr>'326'!OSRRefP21_10x_0</vt:lpstr>
      <vt:lpstr>'330'!OSRRefP21_10x_0</vt:lpstr>
      <vt:lpstr>'331'!OSRRefP21_10x_0</vt:lpstr>
      <vt:lpstr>'332'!OSRRefP21_10x_0</vt:lpstr>
      <vt:lpstr>'405'!OSRRefP21_10x_0</vt:lpstr>
      <vt:lpstr>'406'!OSRRefP21_10x_0</vt:lpstr>
      <vt:lpstr>'411'!OSRRefP21_10x_0</vt:lpstr>
      <vt:lpstr>'412'!OSRRefP21_10x_0</vt:lpstr>
      <vt:lpstr>'413'!OSRRefP21_10x_0</vt:lpstr>
      <vt:lpstr>'414'!OSRRefP21_10x_0</vt:lpstr>
      <vt:lpstr>'415'!OSRRefP21_10x_0</vt:lpstr>
      <vt:lpstr>'418'!OSRRefP21_10x_0</vt:lpstr>
      <vt:lpstr>'423'!OSRRefP21_10x_0</vt:lpstr>
      <vt:lpstr>'424'!OSRRefP21_10x_0</vt:lpstr>
      <vt:lpstr>'425'!OSRRefP21_10x_0</vt:lpstr>
      <vt:lpstr>'430'!OSRRefP21_10x_0</vt:lpstr>
      <vt:lpstr>'433'!OSRRefP21_10x_0</vt:lpstr>
      <vt:lpstr>'435'!OSRRefP21_10x_0</vt:lpstr>
      <vt:lpstr>'444'!OSRRefP21_10x_0</vt:lpstr>
      <vt:lpstr>'445'!OSRRefP21_10x_0</vt:lpstr>
      <vt:lpstr>'450'!OSRRefP21_10x_0</vt:lpstr>
      <vt:lpstr>'491'!OSRRefP21_10x_0</vt:lpstr>
      <vt:lpstr>'492'!OSRRefP21_10x_0</vt:lpstr>
      <vt:lpstr>'501'!OSRRefP21_10x_0</vt:lpstr>
      <vt:lpstr>'Div 2'!OSRRefP21_10x_0</vt:lpstr>
      <vt:lpstr>'Div 3'!OSRRefP21_10x_0</vt:lpstr>
      <vt:lpstr>'Div 4'!OSRRefP21_10x_0</vt:lpstr>
      <vt:lpstr>'Div 5'!OSRRefP21_10x_0</vt:lpstr>
      <vt:lpstr>'Div 6'!OSRRefP21_10x_0</vt:lpstr>
      <vt:lpstr>Summary!OSRRefP21_10x_0</vt:lpstr>
      <vt:lpstr>'201'!OSRRefP21_11x_0</vt:lpstr>
      <vt:lpstr>'202'!OSRRefP21_11x_0</vt:lpstr>
      <vt:lpstr>'203'!OSRRefP21_11x_0</vt:lpstr>
      <vt:lpstr>'204'!OSRRefP21_11x_0</vt:lpstr>
      <vt:lpstr>'206'!OSRRefP21_11x_0</vt:lpstr>
      <vt:lpstr>'300'!OSRRefP21_11x_0</vt:lpstr>
      <vt:lpstr>'300 &amp; 317'!OSRRefP21_11x_0</vt:lpstr>
      <vt:lpstr>'301'!OSRRefP21_11x_0</vt:lpstr>
      <vt:lpstr>'306'!OSRRefP21_11x_0</vt:lpstr>
      <vt:lpstr>'307'!OSRRefP21_11x_0</vt:lpstr>
      <vt:lpstr>'308'!OSRRefP21_11x_0</vt:lpstr>
      <vt:lpstr>'309'!OSRRefP21_11x_0</vt:lpstr>
      <vt:lpstr>'310'!OSRRefP21_11x_0</vt:lpstr>
      <vt:lpstr>'310 &amp; 491'!OSRRefP21_11x_0</vt:lpstr>
      <vt:lpstr>'311'!OSRRefP21_11x_0</vt:lpstr>
      <vt:lpstr>'313'!OSRRefP21_11x_0</vt:lpstr>
      <vt:lpstr>'314'!OSRRefP21_11x_0</vt:lpstr>
      <vt:lpstr>'315'!OSRRefP21_11x_0</vt:lpstr>
      <vt:lpstr>'316'!OSRRefP21_11x_0</vt:lpstr>
      <vt:lpstr>'317'!OSRRefP21_11x_0</vt:lpstr>
      <vt:lpstr>'320'!OSRRefP21_11x_0</vt:lpstr>
      <vt:lpstr>'321'!OSRRefP21_11x_0</vt:lpstr>
      <vt:lpstr>'322'!OSRRefP21_11x_0</vt:lpstr>
      <vt:lpstr>'325'!OSRRefP21_11x_0</vt:lpstr>
      <vt:lpstr>'326'!OSRRefP21_11x_0</vt:lpstr>
      <vt:lpstr>'330'!OSRRefP21_11x_0</vt:lpstr>
      <vt:lpstr>'331'!OSRRefP21_11x_0</vt:lpstr>
      <vt:lpstr>'332'!OSRRefP21_11x_0</vt:lpstr>
      <vt:lpstr>'405'!OSRRefP21_11x_0</vt:lpstr>
      <vt:lpstr>'406'!OSRRefP21_11x_0</vt:lpstr>
      <vt:lpstr>'411'!OSRRefP21_11x_0</vt:lpstr>
      <vt:lpstr>'412'!OSRRefP21_11x_0</vt:lpstr>
      <vt:lpstr>'413'!OSRRefP21_11x_0</vt:lpstr>
      <vt:lpstr>'414'!OSRRefP21_11x_0</vt:lpstr>
      <vt:lpstr>'415'!OSRRefP21_11x_0</vt:lpstr>
      <vt:lpstr>'418'!OSRRefP21_11x_0</vt:lpstr>
      <vt:lpstr>'423'!OSRRefP21_11x_0</vt:lpstr>
      <vt:lpstr>'424'!OSRRefP21_11x_0</vt:lpstr>
      <vt:lpstr>'425'!OSRRefP21_11x_0</vt:lpstr>
      <vt:lpstr>'430'!OSRRefP21_11x_0</vt:lpstr>
      <vt:lpstr>'433'!OSRRefP21_11x_0</vt:lpstr>
      <vt:lpstr>'435'!OSRRefP21_11x_0</vt:lpstr>
      <vt:lpstr>'444'!OSRRefP21_11x_0</vt:lpstr>
      <vt:lpstr>'445'!OSRRefP21_11x_0</vt:lpstr>
      <vt:lpstr>'450'!OSRRefP21_11x_0</vt:lpstr>
      <vt:lpstr>'491'!OSRRefP21_11x_0</vt:lpstr>
      <vt:lpstr>'492'!OSRRefP21_11x_0</vt:lpstr>
      <vt:lpstr>'501'!OSRRefP21_11x_0</vt:lpstr>
      <vt:lpstr>'Div 2'!OSRRefP21_11x_0</vt:lpstr>
      <vt:lpstr>'Div 3'!OSRRefP21_11x_0</vt:lpstr>
      <vt:lpstr>'Div 4'!OSRRefP21_11x_0</vt:lpstr>
      <vt:lpstr>'Div 5'!OSRRefP21_11x_0</vt:lpstr>
      <vt:lpstr>'Div 6'!OSRRefP21_11x_0</vt:lpstr>
      <vt:lpstr>Summary!OSRRefP21_11x_0</vt:lpstr>
      <vt:lpstr>'201'!OSRRefP21_12x_0</vt:lpstr>
      <vt:lpstr>'202'!OSRRefP21_12x_0</vt:lpstr>
      <vt:lpstr>'203'!OSRRefP21_12x_0</vt:lpstr>
      <vt:lpstr>'204'!OSRRefP21_12x_0</vt:lpstr>
      <vt:lpstr>'206'!OSRRefP21_12x_0</vt:lpstr>
      <vt:lpstr>'300'!OSRRefP21_12x_0</vt:lpstr>
      <vt:lpstr>'300 &amp; 317'!OSRRefP21_12x_0</vt:lpstr>
      <vt:lpstr>'301'!OSRRefP21_12x_0</vt:lpstr>
      <vt:lpstr>'306'!OSRRefP21_12x_0</vt:lpstr>
      <vt:lpstr>'307'!OSRRefP21_12x_0</vt:lpstr>
      <vt:lpstr>'308'!OSRRefP21_12x_0</vt:lpstr>
      <vt:lpstr>'309'!OSRRefP21_12x_0</vt:lpstr>
      <vt:lpstr>'310'!OSRRefP21_12x_0</vt:lpstr>
      <vt:lpstr>'310 &amp; 491'!OSRRefP21_12x_0</vt:lpstr>
      <vt:lpstr>'311'!OSRRefP21_12x_0</vt:lpstr>
      <vt:lpstr>'313'!OSRRefP21_12x_0</vt:lpstr>
      <vt:lpstr>'314'!OSRRefP21_12x_0</vt:lpstr>
      <vt:lpstr>'315'!OSRRefP21_12x_0</vt:lpstr>
      <vt:lpstr>'316'!OSRRefP21_12x_0</vt:lpstr>
      <vt:lpstr>'317'!OSRRefP21_12x_0</vt:lpstr>
      <vt:lpstr>'320'!OSRRefP21_12x_0</vt:lpstr>
      <vt:lpstr>'321'!OSRRefP21_12x_0</vt:lpstr>
      <vt:lpstr>'322'!OSRRefP21_12x_0</vt:lpstr>
      <vt:lpstr>'325'!OSRRefP21_12x_0</vt:lpstr>
      <vt:lpstr>'326'!OSRRefP21_12x_0</vt:lpstr>
      <vt:lpstr>'330'!OSRRefP21_12x_0</vt:lpstr>
      <vt:lpstr>'331'!OSRRefP21_12x_0</vt:lpstr>
      <vt:lpstr>'332'!OSRRefP21_12x_0</vt:lpstr>
      <vt:lpstr>'405'!OSRRefP21_12x_0</vt:lpstr>
      <vt:lpstr>'406'!OSRRefP21_12x_0</vt:lpstr>
      <vt:lpstr>'411'!OSRRefP21_12x_0</vt:lpstr>
      <vt:lpstr>'412'!OSRRefP21_12x_0</vt:lpstr>
      <vt:lpstr>'413'!OSRRefP21_12x_0</vt:lpstr>
      <vt:lpstr>'414'!OSRRefP21_12x_0</vt:lpstr>
      <vt:lpstr>'415'!OSRRefP21_12x_0</vt:lpstr>
      <vt:lpstr>'418'!OSRRefP21_12x_0</vt:lpstr>
      <vt:lpstr>'423'!OSRRefP21_12x_0</vt:lpstr>
      <vt:lpstr>'424'!OSRRefP21_12x_0</vt:lpstr>
      <vt:lpstr>'425'!OSRRefP21_12x_0</vt:lpstr>
      <vt:lpstr>'433'!OSRRefP21_12x_0</vt:lpstr>
      <vt:lpstr>'435'!OSRRefP21_12x_0</vt:lpstr>
      <vt:lpstr>'444'!OSRRefP21_12x_0</vt:lpstr>
      <vt:lpstr>'445'!OSRRefP21_12x_0</vt:lpstr>
      <vt:lpstr>'450'!OSRRefP21_12x_0</vt:lpstr>
      <vt:lpstr>'491'!OSRRefP21_12x_0</vt:lpstr>
      <vt:lpstr>'492'!OSRRefP21_12x_0</vt:lpstr>
      <vt:lpstr>'501'!OSRRefP21_12x_0</vt:lpstr>
      <vt:lpstr>'Div 2'!OSRRefP21_12x_0</vt:lpstr>
      <vt:lpstr>'Div 3'!OSRRefP21_12x_0</vt:lpstr>
      <vt:lpstr>'Div 4'!OSRRefP21_12x_0</vt:lpstr>
      <vt:lpstr>'Div 5'!OSRRefP21_12x_0</vt:lpstr>
      <vt:lpstr>'Div 6'!OSRRefP21_12x_0</vt:lpstr>
      <vt:lpstr>Summary!OSRRefP21_12x_0</vt:lpstr>
      <vt:lpstr>'201'!OSRRefP21_13x_0</vt:lpstr>
      <vt:lpstr>'202'!OSRRefP21_13x_0</vt:lpstr>
      <vt:lpstr>'203'!OSRRefP21_13x_0</vt:lpstr>
      <vt:lpstr>'204'!OSRRefP21_13x_0</vt:lpstr>
      <vt:lpstr>'300'!OSRRefP21_13x_0</vt:lpstr>
      <vt:lpstr>'300 &amp; 317'!OSRRefP21_13x_0</vt:lpstr>
      <vt:lpstr>'301'!OSRRefP21_13x_0</vt:lpstr>
      <vt:lpstr>'307'!OSRRefP21_13x_0</vt:lpstr>
      <vt:lpstr>'308'!OSRRefP21_13x_0</vt:lpstr>
      <vt:lpstr>'309'!OSRRefP21_13x_0</vt:lpstr>
      <vt:lpstr>'310'!OSRRefP21_13x_0</vt:lpstr>
      <vt:lpstr>'310 &amp; 491'!OSRRefP21_13x_0</vt:lpstr>
      <vt:lpstr>'311'!OSRRefP21_13x_0</vt:lpstr>
      <vt:lpstr>'313'!OSRRefP21_13x_0</vt:lpstr>
      <vt:lpstr>'314'!OSRRefP21_13x_0</vt:lpstr>
      <vt:lpstr>'315'!OSRRefP21_13x_0</vt:lpstr>
      <vt:lpstr>'316'!OSRRefP21_13x_0</vt:lpstr>
      <vt:lpstr>'317'!OSRRefP21_13x_0</vt:lpstr>
      <vt:lpstr>'321'!OSRRefP21_13x_0</vt:lpstr>
      <vt:lpstr>'322'!OSRRefP21_13x_0</vt:lpstr>
      <vt:lpstr>'325'!OSRRefP21_13x_0</vt:lpstr>
      <vt:lpstr>'326'!OSRRefP21_13x_0</vt:lpstr>
      <vt:lpstr>'330'!OSRRefP21_13x_0</vt:lpstr>
      <vt:lpstr>'331'!OSRRefP21_13x_0</vt:lpstr>
      <vt:lpstr>'332'!OSRRefP21_13x_0</vt:lpstr>
      <vt:lpstr>'405'!OSRRefP21_13x_0</vt:lpstr>
      <vt:lpstr>'406'!OSRRefP21_13x_0</vt:lpstr>
      <vt:lpstr>'411'!OSRRefP21_13x_0</vt:lpstr>
      <vt:lpstr>'412'!OSRRefP21_13x_0</vt:lpstr>
      <vt:lpstr>'413'!OSRRefP21_13x_0</vt:lpstr>
      <vt:lpstr>'414'!OSRRefP21_13x_0</vt:lpstr>
      <vt:lpstr>'415'!OSRRefP21_13x_0</vt:lpstr>
      <vt:lpstr>'418'!OSRRefP21_13x_0</vt:lpstr>
      <vt:lpstr>'424'!OSRRefP21_13x_0</vt:lpstr>
      <vt:lpstr>'425'!OSRRefP21_13x_0</vt:lpstr>
      <vt:lpstr>'433'!OSRRefP21_13x_0</vt:lpstr>
      <vt:lpstr>'435'!OSRRefP21_13x_0</vt:lpstr>
      <vt:lpstr>'444'!OSRRefP21_13x_0</vt:lpstr>
      <vt:lpstr>'445'!OSRRefP21_13x_0</vt:lpstr>
      <vt:lpstr>'450'!OSRRefP21_13x_0</vt:lpstr>
      <vt:lpstr>'491'!OSRRefP21_13x_0</vt:lpstr>
      <vt:lpstr>'492'!OSRRefP21_13x_0</vt:lpstr>
      <vt:lpstr>'501'!OSRRefP21_13x_0</vt:lpstr>
      <vt:lpstr>'Div 2'!OSRRefP21_13x_0</vt:lpstr>
      <vt:lpstr>'Div 3'!OSRRefP21_13x_0</vt:lpstr>
      <vt:lpstr>'Div 4'!OSRRefP21_13x_0</vt:lpstr>
      <vt:lpstr>'Div 5'!OSRRefP21_13x_0</vt:lpstr>
      <vt:lpstr>'Div 6'!OSRRefP21_13x_0</vt:lpstr>
      <vt:lpstr>Summary!OSRRefP21_13x_0</vt:lpstr>
      <vt:lpstr>'201'!OSRRefP21_14x_0</vt:lpstr>
      <vt:lpstr>'202'!OSRRefP21_14x_0</vt:lpstr>
      <vt:lpstr>'203'!OSRRefP21_14x_0</vt:lpstr>
      <vt:lpstr>'300'!OSRRefP21_14x_0</vt:lpstr>
      <vt:lpstr>'300 &amp; 317'!OSRRefP21_14x_0</vt:lpstr>
      <vt:lpstr>'301'!OSRRefP21_14x_0</vt:lpstr>
      <vt:lpstr>'307'!OSRRefP21_14x_0</vt:lpstr>
      <vt:lpstr>'308'!OSRRefP21_14x_0</vt:lpstr>
      <vt:lpstr>'309'!OSRRefP21_14x_0</vt:lpstr>
      <vt:lpstr>'310'!OSRRefP21_14x_0</vt:lpstr>
      <vt:lpstr>'310 &amp; 491'!OSRRefP21_14x_0</vt:lpstr>
      <vt:lpstr>'311'!OSRRefP21_14x_0</vt:lpstr>
      <vt:lpstr>'313'!OSRRefP21_14x_0</vt:lpstr>
      <vt:lpstr>'315'!OSRRefP21_14x_0</vt:lpstr>
      <vt:lpstr>'316'!OSRRefP21_14x_0</vt:lpstr>
      <vt:lpstr>'317'!OSRRefP21_14x_0</vt:lpstr>
      <vt:lpstr>'321'!OSRRefP21_14x_0</vt:lpstr>
      <vt:lpstr>'322'!OSRRefP21_14x_0</vt:lpstr>
      <vt:lpstr>'325'!OSRRefP21_14x_0</vt:lpstr>
      <vt:lpstr>'326'!OSRRefP21_14x_0</vt:lpstr>
      <vt:lpstr>'330'!OSRRefP21_14x_0</vt:lpstr>
      <vt:lpstr>'331'!OSRRefP21_14x_0</vt:lpstr>
      <vt:lpstr>'332'!OSRRefP21_14x_0</vt:lpstr>
      <vt:lpstr>'405'!OSRRefP21_14x_0</vt:lpstr>
      <vt:lpstr>'406'!OSRRefP21_14x_0</vt:lpstr>
      <vt:lpstr>'411'!OSRRefP21_14x_0</vt:lpstr>
      <vt:lpstr>'412'!OSRRefP21_14x_0</vt:lpstr>
      <vt:lpstr>'414'!OSRRefP21_14x_0</vt:lpstr>
      <vt:lpstr>'415'!OSRRefP21_14x_0</vt:lpstr>
      <vt:lpstr>'418'!OSRRefP21_14x_0</vt:lpstr>
      <vt:lpstr>'425'!OSRRefP21_14x_0</vt:lpstr>
      <vt:lpstr>'433'!OSRRefP21_14x_0</vt:lpstr>
      <vt:lpstr>'444'!OSRRefP21_14x_0</vt:lpstr>
      <vt:lpstr>'450'!OSRRefP21_14x_0</vt:lpstr>
      <vt:lpstr>'491'!OSRRefP21_14x_0</vt:lpstr>
      <vt:lpstr>'492'!OSRRefP21_14x_0</vt:lpstr>
      <vt:lpstr>'501'!OSRRefP21_14x_0</vt:lpstr>
      <vt:lpstr>'Div 2'!OSRRefP21_14x_0</vt:lpstr>
      <vt:lpstr>'Div 3'!OSRRefP21_14x_0</vt:lpstr>
      <vt:lpstr>'Div 4'!OSRRefP21_14x_0</vt:lpstr>
      <vt:lpstr>'Div 5'!OSRRefP21_14x_0</vt:lpstr>
      <vt:lpstr>'Div 6'!OSRRefP21_14x_0</vt:lpstr>
      <vt:lpstr>Summary!OSRRefP21_14x_0</vt:lpstr>
      <vt:lpstr>'201'!OSRRefP21_15x_0</vt:lpstr>
      <vt:lpstr>'202'!OSRRefP21_15x_0</vt:lpstr>
      <vt:lpstr>'203'!OSRRefP21_15x_0</vt:lpstr>
      <vt:lpstr>'300'!OSRRefP21_15x_0</vt:lpstr>
      <vt:lpstr>'300 &amp; 317'!OSRRefP21_15x_0</vt:lpstr>
      <vt:lpstr>'301'!OSRRefP21_15x_0</vt:lpstr>
      <vt:lpstr>'307'!OSRRefP21_15x_0</vt:lpstr>
      <vt:lpstr>'308'!OSRRefP21_15x_0</vt:lpstr>
      <vt:lpstr>'309'!OSRRefP21_15x_0</vt:lpstr>
      <vt:lpstr>'310'!OSRRefP21_15x_0</vt:lpstr>
      <vt:lpstr>'310 &amp; 491'!OSRRefP21_15x_0</vt:lpstr>
      <vt:lpstr>'311'!OSRRefP21_15x_0</vt:lpstr>
      <vt:lpstr>'313'!OSRRefP21_15x_0</vt:lpstr>
      <vt:lpstr>'315'!OSRRefP21_15x_0</vt:lpstr>
      <vt:lpstr>'316'!OSRRefP21_15x_0</vt:lpstr>
      <vt:lpstr>'317'!OSRRefP21_15x_0</vt:lpstr>
      <vt:lpstr>'321'!OSRRefP21_15x_0</vt:lpstr>
      <vt:lpstr>'322'!OSRRefP21_15x_0</vt:lpstr>
      <vt:lpstr>'325'!OSRRefP21_15x_0</vt:lpstr>
      <vt:lpstr>'326'!OSRRefP21_15x_0</vt:lpstr>
      <vt:lpstr>'330'!OSRRefP21_15x_0</vt:lpstr>
      <vt:lpstr>'331'!OSRRefP21_15x_0</vt:lpstr>
      <vt:lpstr>'332'!OSRRefP21_15x_0</vt:lpstr>
      <vt:lpstr>'405'!OSRRefP21_15x_0</vt:lpstr>
      <vt:lpstr>'406'!OSRRefP21_15x_0</vt:lpstr>
      <vt:lpstr>'411'!OSRRefP21_15x_0</vt:lpstr>
      <vt:lpstr>'412'!OSRRefP21_15x_0</vt:lpstr>
      <vt:lpstr>'414'!OSRRefP21_15x_0</vt:lpstr>
      <vt:lpstr>'415'!OSRRefP21_15x_0</vt:lpstr>
      <vt:lpstr>'418'!OSRRefP21_15x_0</vt:lpstr>
      <vt:lpstr>'425'!OSRRefP21_15x_0</vt:lpstr>
      <vt:lpstr>'433'!OSRRefP21_15x_0</vt:lpstr>
      <vt:lpstr>'444'!OSRRefP21_15x_0</vt:lpstr>
      <vt:lpstr>'450'!OSRRefP21_15x_0</vt:lpstr>
      <vt:lpstr>'491'!OSRRefP21_15x_0</vt:lpstr>
      <vt:lpstr>'492'!OSRRefP21_15x_0</vt:lpstr>
      <vt:lpstr>'501'!OSRRefP21_15x_0</vt:lpstr>
      <vt:lpstr>'Div 2'!OSRRefP21_15x_0</vt:lpstr>
      <vt:lpstr>'Div 3'!OSRRefP21_15x_0</vt:lpstr>
      <vt:lpstr>'Div 4'!OSRRefP21_15x_0</vt:lpstr>
      <vt:lpstr>'Div 5'!OSRRefP21_15x_0</vt:lpstr>
      <vt:lpstr>'Div 6'!OSRRefP21_15x_0</vt:lpstr>
      <vt:lpstr>Summary!OSRRefP21_15x_0</vt:lpstr>
      <vt:lpstr>'201'!OSRRefP21_16x_0</vt:lpstr>
      <vt:lpstr>'202'!OSRRefP21_16x_0</vt:lpstr>
      <vt:lpstr>'300'!OSRRefP21_16x_0</vt:lpstr>
      <vt:lpstr>'300 &amp; 317'!OSRRefP21_16x_0</vt:lpstr>
      <vt:lpstr>'301'!OSRRefP21_16x_0</vt:lpstr>
      <vt:lpstr>'307'!OSRRefP21_16x_0</vt:lpstr>
      <vt:lpstr>'308'!OSRRefP21_16x_0</vt:lpstr>
      <vt:lpstr>'309'!OSRRefP21_16x_0</vt:lpstr>
      <vt:lpstr>'310'!OSRRefP21_16x_0</vt:lpstr>
      <vt:lpstr>'310 &amp; 491'!OSRRefP21_16x_0</vt:lpstr>
      <vt:lpstr>'311'!OSRRefP21_16x_0</vt:lpstr>
      <vt:lpstr>'313'!OSRRefP21_16x_0</vt:lpstr>
      <vt:lpstr>'315'!OSRRefP21_16x_0</vt:lpstr>
      <vt:lpstr>'321'!OSRRefP21_16x_0</vt:lpstr>
      <vt:lpstr>'322'!OSRRefP21_16x_0</vt:lpstr>
      <vt:lpstr>'325'!OSRRefP21_16x_0</vt:lpstr>
      <vt:lpstr>'326'!OSRRefP21_16x_0</vt:lpstr>
      <vt:lpstr>'330'!OSRRefP21_16x_0</vt:lpstr>
      <vt:lpstr>'331'!OSRRefP21_16x_0</vt:lpstr>
      <vt:lpstr>'332'!OSRRefP21_16x_0</vt:lpstr>
      <vt:lpstr>'405'!OSRRefP21_16x_0</vt:lpstr>
      <vt:lpstr>'406'!OSRRefP21_16x_0</vt:lpstr>
      <vt:lpstr>'411'!OSRRefP21_16x_0</vt:lpstr>
      <vt:lpstr>'412'!OSRRefP21_16x_0</vt:lpstr>
      <vt:lpstr>'414'!OSRRefP21_16x_0</vt:lpstr>
      <vt:lpstr>'415'!OSRRefP21_16x_0</vt:lpstr>
      <vt:lpstr>'418'!OSRRefP21_16x_0</vt:lpstr>
      <vt:lpstr>'425'!OSRRefP21_16x_0</vt:lpstr>
      <vt:lpstr>'433'!OSRRefP21_16x_0</vt:lpstr>
      <vt:lpstr>'444'!OSRRefP21_16x_0</vt:lpstr>
      <vt:lpstr>'450'!OSRRefP21_16x_0</vt:lpstr>
      <vt:lpstr>'491'!OSRRefP21_16x_0</vt:lpstr>
      <vt:lpstr>'492'!OSRRefP21_16x_0</vt:lpstr>
      <vt:lpstr>'501'!OSRRefP21_16x_0</vt:lpstr>
      <vt:lpstr>'Div 2'!OSRRefP21_16x_0</vt:lpstr>
      <vt:lpstr>'Div 3'!OSRRefP21_16x_0</vt:lpstr>
      <vt:lpstr>'Div 4'!OSRRefP21_16x_0</vt:lpstr>
      <vt:lpstr>'Div 5'!OSRRefP21_16x_0</vt:lpstr>
      <vt:lpstr>Summary!OSRRefP21_16x_0</vt:lpstr>
      <vt:lpstr>'201'!OSRRefP21_17x_0</vt:lpstr>
      <vt:lpstr>'300'!OSRRefP21_17x_0</vt:lpstr>
      <vt:lpstr>'300 &amp; 317'!OSRRefP21_17x_0</vt:lpstr>
      <vt:lpstr>'301'!OSRRefP21_17x_0</vt:lpstr>
      <vt:lpstr>'307'!OSRRefP21_17x_0</vt:lpstr>
      <vt:lpstr>'308'!OSRRefP21_17x_0</vt:lpstr>
      <vt:lpstr>'310'!OSRRefP21_17x_0</vt:lpstr>
      <vt:lpstr>'310 &amp; 491'!OSRRefP21_17x_0</vt:lpstr>
      <vt:lpstr>'311'!OSRRefP21_17x_0</vt:lpstr>
      <vt:lpstr>'315'!OSRRefP21_17x_0</vt:lpstr>
      <vt:lpstr>'321'!OSRRefP21_17x_0</vt:lpstr>
      <vt:lpstr>'322'!OSRRefP21_17x_0</vt:lpstr>
      <vt:lpstr>'325'!OSRRefP21_17x_0</vt:lpstr>
      <vt:lpstr>'326'!OSRRefP21_17x_0</vt:lpstr>
      <vt:lpstr>'330'!OSRRefP21_17x_0</vt:lpstr>
      <vt:lpstr>'331'!OSRRefP21_17x_0</vt:lpstr>
      <vt:lpstr>'405'!OSRRefP21_17x_0</vt:lpstr>
      <vt:lpstr>'411'!OSRRefP21_17x_0</vt:lpstr>
      <vt:lpstr>'412'!OSRRefP21_17x_0</vt:lpstr>
      <vt:lpstr>'414'!OSRRefP21_17x_0</vt:lpstr>
      <vt:lpstr>'415'!OSRRefP21_17x_0</vt:lpstr>
      <vt:lpstr>'418'!OSRRefP21_17x_0</vt:lpstr>
      <vt:lpstr>'433'!OSRRefP21_17x_0</vt:lpstr>
      <vt:lpstr>'444'!OSRRefP21_17x_0</vt:lpstr>
      <vt:lpstr>'450'!OSRRefP21_17x_0</vt:lpstr>
      <vt:lpstr>'491'!OSRRefP21_17x_0</vt:lpstr>
      <vt:lpstr>'492'!OSRRefP21_17x_0</vt:lpstr>
      <vt:lpstr>'Div 2'!OSRRefP21_17x_0</vt:lpstr>
      <vt:lpstr>'Div 3'!OSRRefP21_17x_0</vt:lpstr>
      <vt:lpstr>'Div 4'!OSRRefP21_17x_0</vt:lpstr>
      <vt:lpstr>Summary!OSRRefP21_17x_0</vt:lpstr>
      <vt:lpstr>'201'!OSRRefP21_18x_0</vt:lpstr>
      <vt:lpstr>'300'!OSRRefP21_18x_0</vt:lpstr>
      <vt:lpstr>'300 &amp; 317'!OSRRefP21_18x_0</vt:lpstr>
      <vt:lpstr>'301'!OSRRefP21_18x_0</vt:lpstr>
      <vt:lpstr>'307'!OSRRefP21_18x_0</vt:lpstr>
      <vt:lpstr>'310'!OSRRefP21_18x_0</vt:lpstr>
      <vt:lpstr>'310 &amp; 491'!OSRRefP21_18x_0</vt:lpstr>
      <vt:lpstr>'322'!OSRRefP21_18x_0</vt:lpstr>
      <vt:lpstr>'325'!OSRRefP21_18x_0</vt:lpstr>
      <vt:lpstr>'326'!OSRRefP21_18x_0</vt:lpstr>
      <vt:lpstr>'330'!OSRRefP21_18x_0</vt:lpstr>
      <vt:lpstr>'331'!OSRRefP21_18x_0</vt:lpstr>
      <vt:lpstr>'405'!OSRRefP21_18x_0</vt:lpstr>
      <vt:lpstr>'411'!OSRRefP21_18x_0</vt:lpstr>
      <vt:lpstr>'412'!OSRRefP21_18x_0</vt:lpstr>
      <vt:lpstr>'415'!OSRRefP21_18x_0</vt:lpstr>
      <vt:lpstr>'418'!OSRRefP21_18x_0</vt:lpstr>
      <vt:lpstr>'433'!OSRRefP21_18x_0</vt:lpstr>
      <vt:lpstr>'444'!OSRRefP21_18x_0</vt:lpstr>
      <vt:lpstr>'450'!OSRRefP21_18x_0</vt:lpstr>
      <vt:lpstr>'491'!OSRRefP21_18x_0</vt:lpstr>
      <vt:lpstr>'492'!OSRRefP21_18x_0</vt:lpstr>
      <vt:lpstr>'Div 2'!OSRRefP21_18x_0</vt:lpstr>
      <vt:lpstr>'Div 3'!OSRRefP21_18x_0</vt:lpstr>
      <vt:lpstr>'Div 4'!OSRRefP21_18x_0</vt:lpstr>
      <vt:lpstr>Summary!OSRRefP21_18x_0</vt:lpstr>
      <vt:lpstr>'201'!OSRRefP21_19x_0</vt:lpstr>
      <vt:lpstr>'300'!OSRRefP21_19x_0</vt:lpstr>
      <vt:lpstr>'300 &amp; 317'!OSRRefP21_19x_0</vt:lpstr>
      <vt:lpstr>'301'!OSRRefP21_19x_0</vt:lpstr>
      <vt:lpstr>'310'!OSRRefP21_19x_0</vt:lpstr>
      <vt:lpstr>'310 &amp; 491'!OSRRefP21_19x_0</vt:lpstr>
      <vt:lpstr>'322'!OSRRefP21_19x_0</vt:lpstr>
      <vt:lpstr>'325'!OSRRefP21_19x_0</vt:lpstr>
      <vt:lpstr>'326'!OSRRefP21_19x_0</vt:lpstr>
      <vt:lpstr>'331'!OSRRefP21_19x_0</vt:lpstr>
      <vt:lpstr>'411'!OSRRefP21_19x_0</vt:lpstr>
      <vt:lpstr>'415'!OSRRefP21_19x_0</vt:lpstr>
      <vt:lpstr>'418'!OSRRefP21_19x_0</vt:lpstr>
      <vt:lpstr>'433'!OSRRefP21_19x_0</vt:lpstr>
      <vt:lpstr>'444'!OSRRefP21_19x_0</vt:lpstr>
      <vt:lpstr>'491'!OSRRefP21_19x_0</vt:lpstr>
      <vt:lpstr>'492'!OSRRefP21_19x_0</vt:lpstr>
      <vt:lpstr>'Div 2'!OSRRefP21_19x_0</vt:lpstr>
      <vt:lpstr>'Div 3'!OSRRefP21_19x_0</vt:lpstr>
      <vt:lpstr>'Div 4'!OSRRefP21_19x_0</vt:lpstr>
      <vt:lpstr>Summary!OSRRefP21_19x_0</vt:lpstr>
      <vt:lpstr>'200'!OSRRefP21_1x_0</vt:lpstr>
      <vt:lpstr>'201'!OSRRefP21_1x_0</vt:lpstr>
      <vt:lpstr>'202'!OSRRefP21_1x_0</vt:lpstr>
      <vt:lpstr>'203'!OSRRefP21_1x_0</vt:lpstr>
      <vt:lpstr>'204'!OSRRefP21_1x_0</vt:lpstr>
      <vt:lpstr>'205'!OSRRefP21_1x_0</vt:lpstr>
      <vt:lpstr>'206'!OSRRefP21_1x_0</vt:lpstr>
      <vt:lpstr>'300'!OSRRefP21_1x_0</vt:lpstr>
      <vt:lpstr>'300 &amp; 317'!OSRRefP21_1x_0</vt:lpstr>
      <vt:lpstr>'301'!OSRRefP21_1x_0</vt:lpstr>
      <vt:lpstr>'306'!OSRRefP21_1x_0</vt:lpstr>
      <vt:lpstr>'307'!OSRRefP21_1x_0</vt:lpstr>
      <vt:lpstr>'308'!OSRRefP21_1x_0</vt:lpstr>
      <vt:lpstr>'309'!OSRRefP21_1x_0</vt:lpstr>
      <vt:lpstr>'310'!OSRRefP21_1x_0</vt:lpstr>
      <vt:lpstr>'310 &amp; 491'!OSRRefP21_1x_0</vt:lpstr>
      <vt:lpstr>'311'!OSRRefP21_1x_0</vt:lpstr>
      <vt:lpstr>'312'!OSRRefP21_1x_0</vt:lpstr>
      <vt:lpstr>'313'!OSRRefP21_1x_0</vt:lpstr>
      <vt:lpstr>'314'!OSRRefP21_1x_0</vt:lpstr>
      <vt:lpstr>'315'!OSRRefP21_1x_0</vt:lpstr>
      <vt:lpstr>'316'!OSRRefP21_1x_0</vt:lpstr>
      <vt:lpstr>'317'!OSRRefP21_1x_0</vt:lpstr>
      <vt:lpstr>'318'!OSRRefP21_1x_0</vt:lpstr>
      <vt:lpstr>'320'!OSRRefP21_1x_0</vt:lpstr>
      <vt:lpstr>'321'!OSRRefP21_1x_0</vt:lpstr>
      <vt:lpstr>'322'!OSRRefP21_1x_0</vt:lpstr>
      <vt:lpstr>'323'!OSRRefP21_1x_0</vt:lpstr>
      <vt:lpstr>'324'!OSRRefP21_1x_0</vt:lpstr>
      <vt:lpstr>'325'!OSRRefP21_1x_0</vt:lpstr>
      <vt:lpstr>'326'!OSRRefP21_1x_0</vt:lpstr>
      <vt:lpstr>'327'!OSRRefP21_1x_0</vt:lpstr>
      <vt:lpstr>'330'!OSRRefP21_1x_0</vt:lpstr>
      <vt:lpstr>'331'!OSRRefP21_1x_0</vt:lpstr>
      <vt:lpstr>'332'!OSRRefP21_1x_0</vt:lpstr>
      <vt:lpstr>'335'!OSRRefP21_1x_0</vt:lpstr>
      <vt:lpstr>'405'!OSRRefP21_1x_0</vt:lpstr>
      <vt:lpstr>'406'!OSRRefP21_1x_0</vt:lpstr>
      <vt:lpstr>'411'!OSRRefP21_1x_0</vt:lpstr>
      <vt:lpstr>'412'!OSRRefP21_1x_0</vt:lpstr>
      <vt:lpstr>'413'!OSRRefP21_1x_0</vt:lpstr>
      <vt:lpstr>'414'!OSRRefP21_1x_0</vt:lpstr>
      <vt:lpstr>'415'!OSRRefP21_1x_0</vt:lpstr>
      <vt:lpstr>'418'!OSRRefP21_1x_0</vt:lpstr>
      <vt:lpstr>'420'!OSRRefP21_1x_0</vt:lpstr>
      <vt:lpstr>'423'!OSRRefP21_1x_0</vt:lpstr>
      <vt:lpstr>'424'!OSRRefP21_1x_0</vt:lpstr>
      <vt:lpstr>'425'!OSRRefP21_1x_0</vt:lpstr>
      <vt:lpstr>'430'!OSRRefP21_1x_0</vt:lpstr>
      <vt:lpstr>'433'!OSRRefP21_1x_0</vt:lpstr>
      <vt:lpstr>'435'!OSRRefP21_1x_0</vt:lpstr>
      <vt:lpstr>'444'!OSRRefP21_1x_0</vt:lpstr>
      <vt:lpstr>'445'!OSRRefP21_1x_0</vt:lpstr>
      <vt:lpstr>'450'!OSRRefP21_1x_0</vt:lpstr>
      <vt:lpstr>'455'!OSRRefP21_1x_0</vt:lpstr>
      <vt:lpstr>'491'!OSRRefP21_1x_0</vt:lpstr>
      <vt:lpstr>'492'!OSRRefP21_1x_0</vt:lpstr>
      <vt:lpstr>'501'!OSRRefP21_1x_0</vt:lpstr>
      <vt:lpstr>'Div 2'!OSRRefP21_1x_0</vt:lpstr>
      <vt:lpstr>'Div 3'!OSRRefP21_1x_0</vt:lpstr>
      <vt:lpstr>'Div 4'!OSRRefP21_1x_0</vt:lpstr>
      <vt:lpstr>'Div 5'!OSRRefP21_1x_0</vt:lpstr>
      <vt:lpstr>'Div 6'!OSRRefP21_1x_0</vt:lpstr>
      <vt:lpstr>Summary!OSRRefP21_1x_0</vt:lpstr>
      <vt:lpstr>'300'!OSRRefP21_20x_0</vt:lpstr>
      <vt:lpstr>'300 &amp; 317'!OSRRefP21_20x_0</vt:lpstr>
      <vt:lpstr>'301'!OSRRefP21_20x_0</vt:lpstr>
      <vt:lpstr>'310'!OSRRefP21_20x_0</vt:lpstr>
      <vt:lpstr>'310 &amp; 491'!OSRRefP21_20x_0</vt:lpstr>
      <vt:lpstr>'326'!OSRRefP21_20x_0</vt:lpstr>
      <vt:lpstr>'331'!OSRRefP21_20x_0</vt:lpstr>
      <vt:lpstr>'411'!OSRRefP21_20x_0</vt:lpstr>
      <vt:lpstr>'433'!OSRRefP21_20x_0</vt:lpstr>
      <vt:lpstr>'444'!OSRRefP21_20x_0</vt:lpstr>
      <vt:lpstr>'491'!OSRRefP21_20x_0</vt:lpstr>
      <vt:lpstr>'492'!OSRRefP21_20x_0</vt:lpstr>
      <vt:lpstr>'Div 2'!OSRRefP21_20x_0</vt:lpstr>
      <vt:lpstr>'Div 3'!OSRRefP21_20x_0</vt:lpstr>
      <vt:lpstr>'Div 4'!OSRRefP21_20x_0</vt:lpstr>
      <vt:lpstr>Summary!OSRRefP21_20x_0</vt:lpstr>
      <vt:lpstr>'300'!OSRRefP21_21x_0</vt:lpstr>
      <vt:lpstr>'300 &amp; 317'!OSRRefP21_21x_0</vt:lpstr>
      <vt:lpstr>'301'!OSRRefP21_21x_0</vt:lpstr>
      <vt:lpstr>'310'!OSRRefP21_21x_0</vt:lpstr>
      <vt:lpstr>'310 &amp; 491'!OSRRefP21_21x_0</vt:lpstr>
      <vt:lpstr>'326'!OSRRefP21_21x_0</vt:lpstr>
      <vt:lpstr>'331'!OSRRefP21_21x_0</vt:lpstr>
      <vt:lpstr>'411'!OSRRefP21_21x_0</vt:lpstr>
      <vt:lpstr>'491'!OSRRefP21_21x_0</vt:lpstr>
      <vt:lpstr>'492'!OSRRefP21_21x_0</vt:lpstr>
      <vt:lpstr>'Div 2'!OSRRefP21_21x_0</vt:lpstr>
      <vt:lpstr>'Div 3'!OSRRefP21_21x_0</vt:lpstr>
      <vt:lpstr>'Div 4'!OSRRefP21_21x_0</vt:lpstr>
      <vt:lpstr>Summary!OSRRefP21_21x_0</vt:lpstr>
      <vt:lpstr>'300'!OSRRefP21_22x_0</vt:lpstr>
      <vt:lpstr>'300 &amp; 317'!OSRRefP21_22x_0</vt:lpstr>
      <vt:lpstr>'301'!OSRRefP21_22x_0</vt:lpstr>
      <vt:lpstr>'310'!OSRRefP21_22x_0</vt:lpstr>
      <vt:lpstr>'310 &amp; 491'!OSRRefP21_22x_0</vt:lpstr>
      <vt:lpstr>'331'!OSRRefP21_22x_0</vt:lpstr>
      <vt:lpstr>'411'!OSRRefP21_22x_0</vt:lpstr>
      <vt:lpstr>'491'!OSRRefP21_22x_0</vt:lpstr>
      <vt:lpstr>'492'!OSRRefP21_22x_0</vt:lpstr>
      <vt:lpstr>'Div 3'!OSRRefP21_22x_0</vt:lpstr>
      <vt:lpstr>'Div 4'!OSRRefP21_22x_0</vt:lpstr>
      <vt:lpstr>Summary!OSRRefP21_22x_0</vt:lpstr>
      <vt:lpstr>'300'!OSRRefP21_23x_0</vt:lpstr>
      <vt:lpstr>'300 &amp; 317'!OSRRefP21_23x_0</vt:lpstr>
      <vt:lpstr>'301'!OSRRefP21_23x_0</vt:lpstr>
      <vt:lpstr>'310'!OSRRefP21_23x_0</vt:lpstr>
      <vt:lpstr>'310 &amp; 491'!OSRRefP21_23x_0</vt:lpstr>
      <vt:lpstr>'491'!OSRRefP21_23x_0</vt:lpstr>
      <vt:lpstr>'Div 3'!OSRRefP21_23x_0</vt:lpstr>
      <vt:lpstr>'Div 4'!OSRRefP21_23x_0</vt:lpstr>
      <vt:lpstr>Summary!OSRRefP21_23x_0</vt:lpstr>
      <vt:lpstr>'300'!OSRRefP21_24x_0</vt:lpstr>
      <vt:lpstr>'300 &amp; 317'!OSRRefP21_24x_0</vt:lpstr>
      <vt:lpstr>'301'!OSRRefP21_24x_0</vt:lpstr>
      <vt:lpstr>'310 &amp; 491'!OSRRefP21_24x_0</vt:lpstr>
      <vt:lpstr>'491'!OSRRefP21_24x_0</vt:lpstr>
      <vt:lpstr>'Div 3'!OSRRefP21_24x_0</vt:lpstr>
      <vt:lpstr>'Div 4'!OSRRefP21_24x_0</vt:lpstr>
      <vt:lpstr>Summary!OSRRefP21_24x_0</vt:lpstr>
      <vt:lpstr>'310 &amp; 491'!OSRRefP21_25x_0</vt:lpstr>
      <vt:lpstr>'491'!OSRRefP21_25x_0</vt:lpstr>
      <vt:lpstr>'Div 3'!OSRRefP21_25x_0</vt:lpstr>
      <vt:lpstr>'Div 4'!OSRRefP21_25x_0</vt:lpstr>
      <vt:lpstr>Summary!OSRRefP21_25x_0</vt:lpstr>
      <vt:lpstr>Summary!OSRRefP21_26x_0</vt:lpstr>
      <vt:lpstr>'200'!OSRRefP21_2x_0</vt:lpstr>
      <vt:lpstr>'201'!OSRRefP21_2x_0</vt:lpstr>
      <vt:lpstr>'202'!OSRRefP21_2x_0</vt:lpstr>
      <vt:lpstr>'203'!OSRRefP21_2x_0</vt:lpstr>
      <vt:lpstr>'204'!OSRRefP21_2x_0</vt:lpstr>
      <vt:lpstr>'205'!OSRRefP21_2x_0</vt:lpstr>
      <vt:lpstr>'206'!OSRRefP21_2x_0</vt:lpstr>
      <vt:lpstr>'300'!OSRRefP21_2x_0</vt:lpstr>
      <vt:lpstr>'300 &amp; 317'!OSRRefP21_2x_0</vt:lpstr>
      <vt:lpstr>'301'!OSRRefP21_2x_0</vt:lpstr>
      <vt:lpstr>'306'!OSRRefP21_2x_0</vt:lpstr>
      <vt:lpstr>'307'!OSRRefP21_2x_0</vt:lpstr>
      <vt:lpstr>'308'!OSRRefP21_2x_0</vt:lpstr>
      <vt:lpstr>'309'!OSRRefP21_2x_0</vt:lpstr>
      <vt:lpstr>'310'!OSRRefP21_2x_0</vt:lpstr>
      <vt:lpstr>'310 &amp; 491'!OSRRefP21_2x_0</vt:lpstr>
      <vt:lpstr>'311'!OSRRefP21_2x_0</vt:lpstr>
      <vt:lpstr>'312'!OSRRefP21_2x_0</vt:lpstr>
      <vt:lpstr>'313'!OSRRefP21_2x_0</vt:lpstr>
      <vt:lpstr>'314'!OSRRefP21_2x_0</vt:lpstr>
      <vt:lpstr>'315'!OSRRefP21_2x_0</vt:lpstr>
      <vt:lpstr>'316'!OSRRefP21_2x_0</vt:lpstr>
      <vt:lpstr>'317'!OSRRefP21_2x_0</vt:lpstr>
      <vt:lpstr>'318'!OSRRefP21_2x_0</vt:lpstr>
      <vt:lpstr>'320'!OSRRefP21_2x_0</vt:lpstr>
      <vt:lpstr>'321'!OSRRefP21_2x_0</vt:lpstr>
      <vt:lpstr>'322'!OSRRefP21_2x_0</vt:lpstr>
      <vt:lpstr>'323'!OSRRefP21_2x_0</vt:lpstr>
      <vt:lpstr>'324'!OSRRefP21_2x_0</vt:lpstr>
      <vt:lpstr>'325'!OSRRefP21_2x_0</vt:lpstr>
      <vt:lpstr>'326'!OSRRefP21_2x_0</vt:lpstr>
      <vt:lpstr>'327'!OSRRefP21_2x_0</vt:lpstr>
      <vt:lpstr>'330'!OSRRefP21_2x_0</vt:lpstr>
      <vt:lpstr>'331'!OSRRefP21_2x_0</vt:lpstr>
      <vt:lpstr>'332'!OSRRefP21_2x_0</vt:lpstr>
      <vt:lpstr>'335'!OSRRefP21_2x_0</vt:lpstr>
      <vt:lpstr>'405'!OSRRefP21_2x_0</vt:lpstr>
      <vt:lpstr>'406'!OSRRefP21_2x_0</vt:lpstr>
      <vt:lpstr>'411'!OSRRefP21_2x_0</vt:lpstr>
      <vt:lpstr>'412'!OSRRefP21_2x_0</vt:lpstr>
      <vt:lpstr>'413'!OSRRefP21_2x_0</vt:lpstr>
      <vt:lpstr>'414'!OSRRefP21_2x_0</vt:lpstr>
      <vt:lpstr>'415'!OSRRefP21_2x_0</vt:lpstr>
      <vt:lpstr>'418'!OSRRefP21_2x_0</vt:lpstr>
      <vt:lpstr>'420'!OSRRefP21_2x_0</vt:lpstr>
      <vt:lpstr>'423'!OSRRefP21_2x_0</vt:lpstr>
      <vt:lpstr>'424'!OSRRefP21_2x_0</vt:lpstr>
      <vt:lpstr>'425'!OSRRefP21_2x_0</vt:lpstr>
      <vt:lpstr>'430'!OSRRefP21_2x_0</vt:lpstr>
      <vt:lpstr>'433'!OSRRefP21_2x_0</vt:lpstr>
      <vt:lpstr>'435'!OSRRefP21_2x_0</vt:lpstr>
      <vt:lpstr>'444'!OSRRefP21_2x_0</vt:lpstr>
      <vt:lpstr>'445'!OSRRefP21_2x_0</vt:lpstr>
      <vt:lpstr>'450'!OSRRefP21_2x_0</vt:lpstr>
      <vt:lpstr>'455'!OSRRefP21_2x_0</vt:lpstr>
      <vt:lpstr>'491'!OSRRefP21_2x_0</vt:lpstr>
      <vt:lpstr>'492'!OSRRefP21_2x_0</vt:lpstr>
      <vt:lpstr>'501'!OSRRefP21_2x_0</vt:lpstr>
      <vt:lpstr>'Div 2'!OSRRefP21_2x_0</vt:lpstr>
      <vt:lpstr>'Div 3'!OSRRefP21_2x_0</vt:lpstr>
      <vt:lpstr>'Div 4'!OSRRefP21_2x_0</vt:lpstr>
      <vt:lpstr>'Div 5'!OSRRefP21_2x_0</vt:lpstr>
      <vt:lpstr>'Div 6'!OSRRefP21_2x_0</vt:lpstr>
      <vt:lpstr>Summary!OSRRefP21_2x_0</vt:lpstr>
      <vt:lpstr>'200'!OSRRefP21_3x_0</vt:lpstr>
      <vt:lpstr>'201'!OSRRefP21_3x_0</vt:lpstr>
      <vt:lpstr>'202'!OSRRefP21_3x_0</vt:lpstr>
      <vt:lpstr>'203'!OSRRefP21_3x_0</vt:lpstr>
      <vt:lpstr>'204'!OSRRefP21_3x_0</vt:lpstr>
      <vt:lpstr>'205'!OSRRefP21_3x_0</vt:lpstr>
      <vt:lpstr>'206'!OSRRefP21_3x_0</vt:lpstr>
      <vt:lpstr>'300'!OSRRefP21_3x_0</vt:lpstr>
      <vt:lpstr>'300 &amp; 317'!OSRRefP21_3x_0</vt:lpstr>
      <vt:lpstr>'301'!OSRRefP21_3x_0</vt:lpstr>
      <vt:lpstr>'306'!OSRRefP21_3x_0</vt:lpstr>
      <vt:lpstr>'307'!OSRRefP21_3x_0</vt:lpstr>
      <vt:lpstr>'308'!OSRRefP21_3x_0</vt:lpstr>
      <vt:lpstr>'309'!OSRRefP21_3x_0</vt:lpstr>
      <vt:lpstr>'310'!OSRRefP21_3x_0</vt:lpstr>
      <vt:lpstr>'310 &amp; 491'!OSRRefP21_3x_0</vt:lpstr>
      <vt:lpstr>'311'!OSRRefP21_3x_0</vt:lpstr>
      <vt:lpstr>'312'!OSRRefP21_3x_0</vt:lpstr>
      <vt:lpstr>'313'!OSRRefP21_3x_0</vt:lpstr>
      <vt:lpstr>'314'!OSRRefP21_3x_0</vt:lpstr>
      <vt:lpstr>'315'!OSRRefP21_3x_0</vt:lpstr>
      <vt:lpstr>'316'!OSRRefP21_3x_0</vt:lpstr>
      <vt:lpstr>'317'!OSRRefP21_3x_0</vt:lpstr>
      <vt:lpstr>'318'!OSRRefP21_3x_0</vt:lpstr>
      <vt:lpstr>'320'!OSRRefP21_3x_0</vt:lpstr>
      <vt:lpstr>'321'!OSRRefP21_3x_0</vt:lpstr>
      <vt:lpstr>'322'!OSRRefP21_3x_0</vt:lpstr>
      <vt:lpstr>'323'!OSRRefP21_3x_0</vt:lpstr>
      <vt:lpstr>'324'!OSRRefP21_3x_0</vt:lpstr>
      <vt:lpstr>'325'!OSRRefP21_3x_0</vt:lpstr>
      <vt:lpstr>'326'!OSRRefP21_3x_0</vt:lpstr>
      <vt:lpstr>'330'!OSRRefP21_3x_0</vt:lpstr>
      <vt:lpstr>'331'!OSRRefP21_3x_0</vt:lpstr>
      <vt:lpstr>'332'!OSRRefP21_3x_0</vt:lpstr>
      <vt:lpstr>'335'!OSRRefP21_3x_0</vt:lpstr>
      <vt:lpstr>'405'!OSRRefP21_3x_0</vt:lpstr>
      <vt:lpstr>'406'!OSRRefP21_3x_0</vt:lpstr>
      <vt:lpstr>'411'!OSRRefP21_3x_0</vt:lpstr>
      <vt:lpstr>'412'!OSRRefP21_3x_0</vt:lpstr>
      <vt:lpstr>'413'!OSRRefP21_3x_0</vt:lpstr>
      <vt:lpstr>'414'!OSRRefP21_3x_0</vt:lpstr>
      <vt:lpstr>'415'!OSRRefP21_3x_0</vt:lpstr>
      <vt:lpstr>'418'!OSRRefP21_3x_0</vt:lpstr>
      <vt:lpstr>'420'!OSRRefP21_3x_0</vt:lpstr>
      <vt:lpstr>'423'!OSRRefP21_3x_0</vt:lpstr>
      <vt:lpstr>'424'!OSRRefP21_3x_0</vt:lpstr>
      <vt:lpstr>'425'!OSRRefP21_3x_0</vt:lpstr>
      <vt:lpstr>'430'!OSRRefP21_3x_0</vt:lpstr>
      <vt:lpstr>'433'!OSRRefP21_3x_0</vt:lpstr>
      <vt:lpstr>'435'!OSRRefP21_3x_0</vt:lpstr>
      <vt:lpstr>'444'!OSRRefP21_3x_0</vt:lpstr>
      <vt:lpstr>'445'!OSRRefP21_3x_0</vt:lpstr>
      <vt:lpstr>'450'!OSRRefP21_3x_0</vt:lpstr>
      <vt:lpstr>'455'!OSRRefP21_3x_0</vt:lpstr>
      <vt:lpstr>'491'!OSRRefP21_3x_0</vt:lpstr>
      <vt:lpstr>'492'!OSRRefP21_3x_0</vt:lpstr>
      <vt:lpstr>'501'!OSRRefP21_3x_0</vt:lpstr>
      <vt:lpstr>'Div 2'!OSRRefP21_3x_0</vt:lpstr>
      <vt:lpstr>'Div 3'!OSRRefP21_3x_0</vt:lpstr>
      <vt:lpstr>'Div 4'!OSRRefP21_3x_0</vt:lpstr>
      <vt:lpstr>'Div 5'!OSRRefP21_3x_0</vt:lpstr>
      <vt:lpstr>'Div 6'!OSRRefP21_3x_0</vt:lpstr>
      <vt:lpstr>Summary!OSRRefP21_3x_0</vt:lpstr>
      <vt:lpstr>'200'!OSRRefP21_4x_0</vt:lpstr>
      <vt:lpstr>'201'!OSRRefP21_4x_0</vt:lpstr>
      <vt:lpstr>'202'!OSRRefP21_4x_0</vt:lpstr>
      <vt:lpstr>'203'!OSRRefP21_4x_0</vt:lpstr>
      <vt:lpstr>'204'!OSRRefP21_4x_0</vt:lpstr>
      <vt:lpstr>'205'!OSRRefP21_4x_0</vt:lpstr>
      <vt:lpstr>'206'!OSRRefP21_4x_0</vt:lpstr>
      <vt:lpstr>'300'!OSRRefP21_4x_0</vt:lpstr>
      <vt:lpstr>'300 &amp; 317'!OSRRefP21_4x_0</vt:lpstr>
      <vt:lpstr>'301'!OSRRefP21_4x_0</vt:lpstr>
      <vt:lpstr>'306'!OSRRefP21_4x_0</vt:lpstr>
      <vt:lpstr>'307'!OSRRefP21_4x_0</vt:lpstr>
      <vt:lpstr>'308'!OSRRefP21_4x_0</vt:lpstr>
      <vt:lpstr>'309'!OSRRefP21_4x_0</vt:lpstr>
      <vt:lpstr>'310'!OSRRefP21_4x_0</vt:lpstr>
      <vt:lpstr>'310 &amp; 491'!OSRRefP21_4x_0</vt:lpstr>
      <vt:lpstr>'311'!OSRRefP21_4x_0</vt:lpstr>
      <vt:lpstr>'312'!OSRRefP21_4x_0</vt:lpstr>
      <vt:lpstr>'313'!OSRRefP21_4x_0</vt:lpstr>
      <vt:lpstr>'314'!OSRRefP21_4x_0</vt:lpstr>
      <vt:lpstr>'315'!OSRRefP21_4x_0</vt:lpstr>
      <vt:lpstr>'316'!OSRRefP21_4x_0</vt:lpstr>
      <vt:lpstr>'317'!OSRRefP21_4x_0</vt:lpstr>
      <vt:lpstr>'318'!OSRRefP21_4x_0</vt:lpstr>
      <vt:lpstr>'320'!OSRRefP21_4x_0</vt:lpstr>
      <vt:lpstr>'321'!OSRRefP21_4x_0</vt:lpstr>
      <vt:lpstr>'322'!OSRRefP21_4x_0</vt:lpstr>
      <vt:lpstr>'323'!OSRRefP21_4x_0</vt:lpstr>
      <vt:lpstr>'325'!OSRRefP21_4x_0</vt:lpstr>
      <vt:lpstr>'326'!OSRRefP21_4x_0</vt:lpstr>
      <vt:lpstr>'330'!OSRRefP21_4x_0</vt:lpstr>
      <vt:lpstr>'331'!OSRRefP21_4x_0</vt:lpstr>
      <vt:lpstr>'332'!OSRRefP21_4x_0</vt:lpstr>
      <vt:lpstr>'335'!OSRRefP21_4x_0</vt:lpstr>
      <vt:lpstr>'405'!OSRRefP21_4x_0</vt:lpstr>
      <vt:lpstr>'406'!OSRRefP21_4x_0</vt:lpstr>
      <vt:lpstr>'411'!OSRRefP21_4x_0</vt:lpstr>
      <vt:lpstr>'412'!OSRRefP21_4x_0</vt:lpstr>
      <vt:lpstr>'413'!OSRRefP21_4x_0</vt:lpstr>
      <vt:lpstr>'414'!OSRRefP21_4x_0</vt:lpstr>
      <vt:lpstr>'415'!OSRRefP21_4x_0</vt:lpstr>
      <vt:lpstr>'418'!OSRRefP21_4x_0</vt:lpstr>
      <vt:lpstr>'420'!OSRRefP21_4x_0</vt:lpstr>
      <vt:lpstr>'423'!OSRRefP21_4x_0</vt:lpstr>
      <vt:lpstr>'424'!OSRRefP21_4x_0</vt:lpstr>
      <vt:lpstr>'425'!OSRRefP21_4x_0</vt:lpstr>
      <vt:lpstr>'430'!OSRRefP21_4x_0</vt:lpstr>
      <vt:lpstr>'433'!OSRRefP21_4x_0</vt:lpstr>
      <vt:lpstr>'435'!OSRRefP21_4x_0</vt:lpstr>
      <vt:lpstr>'444'!OSRRefP21_4x_0</vt:lpstr>
      <vt:lpstr>'445'!OSRRefP21_4x_0</vt:lpstr>
      <vt:lpstr>'450'!OSRRefP21_4x_0</vt:lpstr>
      <vt:lpstr>'491'!OSRRefP21_4x_0</vt:lpstr>
      <vt:lpstr>'492'!OSRRefP21_4x_0</vt:lpstr>
      <vt:lpstr>'501'!OSRRefP21_4x_0</vt:lpstr>
      <vt:lpstr>'Div 2'!OSRRefP21_4x_0</vt:lpstr>
      <vt:lpstr>'Div 3'!OSRRefP21_4x_0</vt:lpstr>
      <vt:lpstr>'Div 4'!OSRRefP21_4x_0</vt:lpstr>
      <vt:lpstr>'Div 5'!OSRRefP21_4x_0</vt:lpstr>
      <vt:lpstr>'Div 6'!OSRRefP21_4x_0</vt:lpstr>
      <vt:lpstr>Summary!OSRRefP21_4x_0</vt:lpstr>
      <vt:lpstr>'200'!OSRRefP21_5x_0</vt:lpstr>
      <vt:lpstr>'201'!OSRRefP21_5x_0</vt:lpstr>
      <vt:lpstr>'202'!OSRRefP21_5x_0</vt:lpstr>
      <vt:lpstr>'203'!OSRRefP21_5x_0</vt:lpstr>
      <vt:lpstr>'204'!OSRRefP21_5x_0</vt:lpstr>
      <vt:lpstr>'205'!OSRRefP21_5x_0</vt:lpstr>
      <vt:lpstr>'206'!OSRRefP21_5x_0</vt:lpstr>
      <vt:lpstr>'300'!OSRRefP21_5x_0</vt:lpstr>
      <vt:lpstr>'300 &amp; 317'!OSRRefP21_5x_0</vt:lpstr>
      <vt:lpstr>'301'!OSRRefP21_5x_0</vt:lpstr>
      <vt:lpstr>'306'!OSRRefP21_5x_0</vt:lpstr>
      <vt:lpstr>'307'!OSRRefP21_5x_0</vt:lpstr>
      <vt:lpstr>'308'!OSRRefP21_5x_0</vt:lpstr>
      <vt:lpstr>'309'!OSRRefP21_5x_0</vt:lpstr>
      <vt:lpstr>'310'!OSRRefP21_5x_0</vt:lpstr>
      <vt:lpstr>'310 &amp; 491'!OSRRefP21_5x_0</vt:lpstr>
      <vt:lpstr>'311'!OSRRefP21_5x_0</vt:lpstr>
      <vt:lpstr>'312'!OSRRefP21_5x_0</vt:lpstr>
      <vt:lpstr>'313'!OSRRefP21_5x_0</vt:lpstr>
      <vt:lpstr>'314'!OSRRefP21_5x_0</vt:lpstr>
      <vt:lpstr>'315'!OSRRefP21_5x_0</vt:lpstr>
      <vt:lpstr>'316'!OSRRefP21_5x_0</vt:lpstr>
      <vt:lpstr>'317'!OSRRefP21_5x_0</vt:lpstr>
      <vt:lpstr>'318'!OSRRefP21_5x_0</vt:lpstr>
      <vt:lpstr>'320'!OSRRefP21_5x_0</vt:lpstr>
      <vt:lpstr>'321'!OSRRefP21_5x_0</vt:lpstr>
      <vt:lpstr>'322'!OSRRefP21_5x_0</vt:lpstr>
      <vt:lpstr>'323'!OSRRefP21_5x_0</vt:lpstr>
      <vt:lpstr>'325'!OSRRefP21_5x_0</vt:lpstr>
      <vt:lpstr>'326'!OSRRefP21_5x_0</vt:lpstr>
      <vt:lpstr>'330'!OSRRefP21_5x_0</vt:lpstr>
      <vt:lpstr>'331'!OSRRefP21_5x_0</vt:lpstr>
      <vt:lpstr>'332'!OSRRefP21_5x_0</vt:lpstr>
      <vt:lpstr>'335'!OSRRefP21_5x_0</vt:lpstr>
      <vt:lpstr>'405'!OSRRefP21_5x_0</vt:lpstr>
      <vt:lpstr>'406'!OSRRefP21_5x_0</vt:lpstr>
      <vt:lpstr>'411'!OSRRefP21_5x_0</vt:lpstr>
      <vt:lpstr>'412'!OSRRefP21_5x_0</vt:lpstr>
      <vt:lpstr>'413'!OSRRefP21_5x_0</vt:lpstr>
      <vt:lpstr>'414'!OSRRefP21_5x_0</vt:lpstr>
      <vt:lpstr>'415'!OSRRefP21_5x_0</vt:lpstr>
      <vt:lpstr>'418'!OSRRefP21_5x_0</vt:lpstr>
      <vt:lpstr>'420'!OSRRefP21_5x_0</vt:lpstr>
      <vt:lpstr>'423'!OSRRefP21_5x_0</vt:lpstr>
      <vt:lpstr>'424'!OSRRefP21_5x_0</vt:lpstr>
      <vt:lpstr>'425'!OSRRefP21_5x_0</vt:lpstr>
      <vt:lpstr>'430'!OSRRefP21_5x_0</vt:lpstr>
      <vt:lpstr>'433'!OSRRefP21_5x_0</vt:lpstr>
      <vt:lpstr>'435'!OSRRefP21_5x_0</vt:lpstr>
      <vt:lpstr>'444'!OSRRefP21_5x_0</vt:lpstr>
      <vt:lpstr>'445'!OSRRefP21_5x_0</vt:lpstr>
      <vt:lpstr>'450'!OSRRefP21_5x_0</vt:lpstr>
      <vt:lpstr>'491'!OSRRefP21_5x_0</vt:lpstr>
      <vt:lpstr>'492'!OSRRefP21_5x_0</vt:lpstr>
      <vt:lpstr>'501'!OSRRefP21_5x_0</vt:lpstr>
      <vt:lpstr>'Div 2'!OSRRefP21_5x_0</vt:lpstr>
      <vt:lpstr>'Div 3'!OSRRefP21_5x_0</vt:lpstr>
      <vt:lpstr>'Div 4'!OSRRefP21_5x_0</vt:lpstr>
      <vt:lpstr>'Div 5'!OSRRefP21_5x_0</vt:lpstr>
      <vt:lpstr>'Div 6'!OSRRefP21_5x_0</vt:lpstr>
      <vt:lpstr>Summary!OSRRefP21_5x_0</vt:lpstr>
      <vt:lpstr>'201'!OSRRefP21_6x_0</vt:lpstr>
      <vt:lpstr>'202'!OSRRefP21_6x_0</vt:lpstr>
      <vt:lpstr>'203'!OSRRefP21_6x_0</vt:lpstr>
      <vt:lpstr>'204'!OSRRefP21_6x_0</vt:lpstr>
      <vt:lpstr>'205'!OSRRefP21_6x_0</vt:lpstr>
      <vt:lpstr>'206'!OSRRefP21_6x_0</vt:lpstr>
      <vt:lpstr>'300'!OSRRefP21_6x_0</vt:lpstr>
      <vt:lpstr>'300 &amp; 317'!OSRRefP21_6x_0</vt:lpstr>
      <vt:lpstr>'301'!OSRRefP21_6x_0</vt:lpstr>
      <vt:lpstr>'306'!OSRRefP21_6x_0</vt:lpstr>
      <vt:lpstr>'307'!OSRRefP21_6x_0</vt:lpstr>
      <vt:lpstr>'308'!OSRRefP21_6x_0</vt:lpstr>
      <vt:lpstr>'309'!OSRRefP21_6x_0</vt:lpstr>
      <vt:lpstr>'310'!OSRRefP21_6x_0</vt:lpstr>
      <vt:lpstr>'310 &amp; 491'!OSRRefP21_6x_0</vt:lpstr>
      <vt:lpstr>'311'!OSRRefP21_6x_0</vt:lpstr>
      <vt:lpstr>'312'!OSRRefP21_6x_0</vt:lpstr>
      <vt:lpstr>'313'!OSRRefP21_6x_0</vt:lpstr>
      <vt:lpstr>'314'!OSRRefP21_6x_0</vt:lpstr>
      <vt:lpstr>'315'!OSRRefP21_6x_0</vt:lpstr>
      <vt:lpstr>'316'!OSRRefP21_6x_0</vt:lpstr>
      <vt:lpstr>'317'!OSRRefP21_6x_0</vt:lpstr>
      <vt:lpstr>'318'!OSRRefP21_6x_0</vt:lpstr>
      <vt:lpstr>'320'!OSRRefP21_6x_0</vt:lpstr>
      <vt:lpstr>'321'!OSRRefP21_6x_0</vt:lpstr>
      <vt:lpstr>'322'!OSRRefP21_6x_0</vt:lpstr>
      <vt:lpstr>'323'!OSRRefP21_6x_0</vt:lpstr>
      <vt:lpstr>'325'!OSRRefP21_6x_0</vt:lpstr>
      <vt:lpstr>'326'!OSRRefP21_6x_0</vt:lpstr>
      <vt:lpstr>'330'!OSRRefP21_6x_0</vt:lpstr>
      <vt:lpstr>'331'!OSRRefP21_6x_0</vt:lpstr>
      <vt:lpstr>'332'!OSRRefP21_6x_0</vt:lpstr>
      <vt:lpstr>'335'!OSRRefP21_6x_0</vt:lpstr>
      <vt:lpstr>'405'!OSRRefP21_6x_0</vt:lpstr>
      <vt:lpstr>'406'!OSRRefP21_6x_0</vt:lpstr>
      <vt:lpstr>'411'!OSRRefP21_6x_0</vt:lpstr>
      <vt:lpstr>'412'!OSRRefP21_6x_0</vt:lpstr>
      <vt:lpstr>'413'!OSRRefP21_6x_0</vt:lpstr>
      <vt:lpstr>'414'!OSRRefP21_6x_0</vt:lpstr>
      <vt:lpstr>'415'!OSRRefP21_6x_0</vt:lpstr>
      <vt:lpstr>'418'!OSRRefP21_6x_0</vt:lpstr>
      <vt:lpstr>'420'!OSRRefP21_6x_0</vt:lpstr>
      <vt:lpstr>'423'!OSRRefP21_6x_0</vt:lpstr>
      <vt:lpstr>'424'!OSRRefP21_6x_0</vt:lpstr>
      <vt:lpstr>'425'!OSRRefP21_6x_0</vt:lpstr>
      <vt:lpstr>'430'!OSRRefP21_6x_0</vt:lpstr>
      <vt:lpstr>'433'!OSRRefP21_6x_0</vt:lpstr>
      <vt:lpstr>'435'!OSRRefP21_6x_0</vt:lpstr>
      <vt:lpstr>'444'!OSRRefP21_6x_0</vt:lpstr>
      <vt:lpstr>'445'!OSRRefP21_6x_0</vt:lpstr>
      <vt:lpstr>'450'!OSRRefP21_6x_0</vt:lpstr>
      <vt:lpstr>'491'!OSRRefP21_6x_0</vt:lpstr>
      <vt:lpstr>'492'!OSRRefP21_6x_0</vt:lpstr>
      <vt:lpstr>'501'!OSRRefP21_6x_0</vt:lpstr>
      <vt:lpstr>'Div 2'!OSRRefP21_6x_0</vt:lpstr>
      <vt:lpstr>'Div 3'!OSRRefP21_6x_0</vt:lpstr>
      <vt:lpstr>'Div 4'!OSRRefP21_6x_0</vt:lpstr>
      <vt:lpstr>'Div 5'!OSRRefP21_6x_0</vt:lpstr>
      <vt:lpstr>'Div 6'!OSRRefP21_6x_0</vt:lpstr>
      <vt:lpstr>Summary!OSRRefP21_6x_0</vt:lpstr>
      <vt:lpstr>'201'!OSRRefP21_7x_0</vt:lpstr>
      <vt:lpstr>'202'!OSRRefP21_7x_0</vt:lpstr>
      <vt:lpstr>'203'!OSRRefP21_7x_0</vt:lpstr>
      <vt:lpstr>'204'!OSRRefP21_7x_0</vt:lpstr>
      <vt:lpstr>'205'!OSRRefP21_7x_0</vt:lpstr>
      <vt:lpstr>'206'!OSRRefP21_7x_0</vt:lpstr>
      <vt:lpstr>'300'!OSRRefP21_7x_0</vt:lpstr>
      <vt:lpstr>'300 &amp; 317'!OSRRefP21_7x_0</vt:lpstr>
      <vt:lpstr>'301'!OSRRefP21_7x_0</vt:lpstr>
      <vt:lpstr>'306'!OSRRefP21_7x_0</vt:lpstr>
      <vt:lpstr>'307'!OSRRefP21_7x_0</vt:lpstr>
      <vt:lpstr>'308'!OSRRefP21_7x_0</vt:lpstr>
      <vt:lpstr>'309'!OSRRefP21_7x_0</vt:lpstr>
      <vt:lpstr>'310'!OSRRefP21_7x_0</vt:lpstr>
      <vt:lpstr>'310 &amp; 491'!OSRRefP21_7x_0</vt:lpstr>
      <vt:lpstr>'311'!OSRRefP21_7x_0</vt:lpstr>
      <vt:lpstr>'312'!OSRRefP21_7x_0</vt:lpstr>
      <vt:lpstr>'313'!OSRRefP21_7x_0</vt:lpstr>
      <vt:lpstr>'314'!OSRRefP21_7x_0</vt:lpstr>
      <vt:lpstr>'315'!OSRRefP21_7x_0</vt:lpstr>
      <vt:lpstr>'316'!OSRRefP21_7x_0</vt:lpstr>
      <vt:lpstr>'317'!OSRRefP21_7x_0</vt:lpstr>
      <vt:lpstr>'318'!OSRRefP21_7x_0</vt:lpstr>
      <vt:lpstr>'320'!OSRRefP21_7x_0</vt:lpstr>
      <vt:lpstr>'321'!OSRRefP21_7x_0</vt:lpstr>
      <vt:lpstr>'322'!OSRRefP21_7x_0</vt:lpstr>
      <vt:lpstr>'323'!OSRRefP21_7x_0</vt:lpstr>
      <vt:lpstr>'325'!OSRRefP21_7x_0</vt:lpstr>
      <vt:lpstr>'326'!OSRRefP21_7x_0</vt:lpstr>
      <vt:lpstr>'330'!OSRRefP21_7x_0</vt:lpstr>
      <vt:lpstr>'331'!OSRRefP21_7x_0</vt:lpstr>
      <vt:lpstr>'332'!OSRRefP21_7x_0</vt:lpstr>
      <vt:lpstr>'335'!OSRRefP21_7x_0</vt:lpstr>
      <vt:lpstr>'405'!OSRRefP21_7x_0</vt:lpstr>
      <vt:lpstr>'406'!OSRRefP21_7x_0</vt:lpstr>
      <vt:lpstr>'411'!OSRRefP21_7x_0</vt:lpstr>
      <vt:lpstr>'412'!OSRRefP21_7x_0</vt:lpstr>
      <vt:lpstr>'413'!OSRRefP21_7x_0</vt:lpstr>
      <vt:lpstr>'414'!OSRRefP21_7x_0</vt:lpstr>
      <vt:lpstr>'415'!OSRRefP21_7x_0</vt:lpstr>
      <vt:lpstr>'418'!OSRRefP21_7x_0</vt:lpstr>
      <vt:lpstr>'420'!OSRRefP21_7x_0</vt:lpstr>
      <vt:lpstr>'423'!OSRRefP21_7x_0</vt:lpstr>
      <vt:lpstr>'424'!OSRRefP21_7x_0</vt:lpstr>
      <vt:lpstr>'425'!OSRRefP21_7x_0</vt:lpstr>
      <vt:lpstr>'430'!OSRRefP21_7x_0</vt:lpstr>
      <vt:lpstr>'433'!OSRRefP21_7x_0</vt:lpstr>
      <vt:lpstr>'435'!OSRRefP21_7x_0</vt:lpstr>
      <vt:lpstr>'444'!OSRRefP21_7x_0</vt:lpstr>
      <vt:lpstr>'445'!OSRRefP21_7x_0</vt:lpstr>
      <vt:lpstr>'450'!OSRRefP21_7x_0</vt:lpstr>
      <vt:lpstr>'491'!OSRRefP21_7x_0</vt:lpstr>
      <vt:lpstr>'492'!OSRRefP21_7x_0</vt:lpstr>
      <vt:lpstr>'501'!OSRRefP21_7x_0</vt:lpstr>
      <vt:lpstr>'Div 2'!OSRRefP21_7x_0</vt:lpstr>
      <vt:lpstr>'Div 3'!OSRRefP21_7x_0</vt:lpstr>
      <vt:lpstr>'Div 4'!OSRRefP21_7x_0</vt:lpstr>
      <vt:lpstr>'Div 5'!OSRRefP21_7x_0</vt:lpstr>
      <vt:lpstr>'Div 6'!OSRRefP21_7x_0</vt:lpstr>
      <vt:lpstr>Summary!OSRRefP21_7x_0</vt:lpstr>
      <vt:lpstr>'201'!OSRRefP21_8x_0</vt:lpstr>
      <vt:lpstr>'202'!OSRRefP21_8x_0</vt:lpstr>
      <vt:lpstr>'203'!OSRRefP21_8x_0</vt:lpstr>
      <vt:lpstr>'204'!OSRRefP21_8x_0</vt:lpstr>
      <vt:lpstr>'205'!OSRRefP21_8x_0</vt:lpstr>
      <vt:lpstr>'206'!OSRRefP21_8x_0</vt:lpstr>
      <vt:lpstr>'300'!OSRRefP21_8x_0</vt:lpstr>
      <vt:lpstr>'300 &amp; 317'!OSRRefP21_8x_0</vt:lpstr>
      <vt:lpstr>'301'!OSRRefP21_8x_0</vt:lpstr>
      <vt:lpstr>'306'!OSRRefP21_8x_0</vt:lpstr>
      <vt:lpstr>'307'!OSRRefP21_8x_0</vt:lpstr>
      <vt:lpstr>'308'!OSRRefP21_8x_0</vt:lpstr>
      <vt:lpstr>'309'!OSRRefP21_8x_0</vt:lpstr>
      <vt:lpstr>'310'!OSRRefP21_8x_0</vt:lpstr>
      <vt:lpstr>'310 &amp; 491'!OSRRefP21_8x_0</vt:lpstr>
      <vt:lpstr>'311'!OSRRefP21_8x_0</vt:lpstr>
      <vt:lpstr>'312'!OSRRefP21_8x_0</vt:lpstr>
      <vt:lpstr>'313'!OSRRefP21_8x_0</vt:lpstr>
      <vt:lpstr>'314'!OSRRefP21_8x_0</vt:lpstr>
      <vt:lpstr>'315'!OSRRefP21_8x_0</vt:lpstr>
      <vt:lpstr>'316'!OSRRefP21_8x_0</vt:lpstr>
      <vt:lpstr>'317'!OSRRefP21_8x_0</vt:lpstr>
      <vt:lpstr>'318'!OSRRefP21_8x_0</vt:lpstr>
      <vt:lpstr>'320'!OSRRefP21_8x_0</vt:lpstr>
      <vt:lpstr>'321'!OSRRefP21_8x_0</vt:lpstr>
      <vt:lpstr>'322'!OSRRefP21_8x_0</vt:lpstr>
      <vt:lpstr>'325'!OSRRefP21_8x_0</vt:lpstr>
      <vt:lpstr>'326'!OSRRefP21_8x_0</vt:lpstr>
      <vt:lpstr>'330'!OSRRefP21_8x_0</vt:lpstr>
      <vt:lpstr>'331'!OSRRefP21_8x_0</vt:lpstr>
      <vt:lpstr>'332'!OSRRefP21_8x_0</vt:lpstr>
      <vt:lpstr>'335'!OSRRefP21_8x_0</vt:lpstr>
      <vt:lpstr>'405'!OSRRefP21_8x_0</vt:lpstr>
      <vt:lpstr>'406'!OSRRefP21_8x_0</vt:lpstr>
      <vt:lpstr>'411'!OSRRefP21_8x_0</vt:lpstr>
      <vt:lpstr>'412'!OSRRefP21_8x_0</vt:lpstr>
      <vt:lpstr>'413'!OSRRefP21_8x_0</vt:lpstr>
      <vt:lpstr>'414'!OSRRefP21_8x_0</vt:lpstr>
      <vt:lpstr>'415'!OSRRefP21_8x_0</vt:lpstr>
      <vt:lpstr>'418'!OSRRefP21_8x_0</vt:lpstr>
      <vt:lpstr>'420'!OSRRefP21_8x_0</vt:lpstr>
      <vt:lpstr>'423'!OSRRefP21_8x_0</vt:lpstr>
      <vt:lpstr>'424'!OSRRefP21_8x_0</vt:lpstr>
      <vt:lpstr>'425'!OSRRefP21_8x_0</vt:lpstr>
      <vt:lpstr>'430'!OSRRefP21_8x_0</vt:lpstr>
      <vt:lpstr>'433'!OSRRefP21_8x_0</vt:lpstr>
      <vt:lpstr>'435'!OSRRefP21_8x_0</vt:lpstr>
      <vt:lpstr>'444'!OSRRefP21_8x_0</vt:lpstr>
      <vt:lpstr>'445'!OSRRefP21_8x_0</vt:lpstr>
      <vt:lpstr>'450'!OSRRefP21_8x_0</vt:lpstr>
      <vt:lpstr>'491'!OSRRefP21_8x_0</vt:lpstr>
      <vt:lpstr>'492'!OSRRefP21_8x_0</vt:lpstr>
      <vt:lpstr>'501'!OSRRefP21_8x_0</vt:lpstr>
      <vt:lpstr>'Div 2'!OSRRefP21_8x_0</vt:lpstr>
      <vt:lpstr>'Div 3'!OSRRefP21_8x_0</vt:lpstr>
      <vt:lpstr>'Div 4'!OSRRefP21_8x_0</vt:lpstr>
      <vt:lpstr>'Div 5'!OSRRefP21_8x_0</vt:lpstr>
      <vt:lpstr>'Div 6'!OSRRefP21_8x_0</vt:lpstr>
      <vt:lpstr>Summary!OSRRefP21_8x_0</vt:lpstr>
      <vt:lpstr>'201'!OSRRefP21_9x_0</vt:lpstr>
      <vt:lpstr>'202'!OSRRefP21_9x_0</vt:lpstr>
      <vt:lpstr>'203'!OSRRefP21_9x_0</vt:lpstr>
      <vt:lpstr>'204'!OSRRefP21_9x_0</vt:lpstr>
      <vt:lpstr>'206'!OSRRefP21_9x_0</vt:lpstr>
      <vt:lpstr>'300'!OSRRefP21_9x_0</vt:lpstr>
      <vt:lpstr>'300 &amp; 317'!OSRRefP21_9x_0</vt:lpstr>
      <vt:lpstr>'301'!OSRRefP21_9x_0</vt:lpstr>
      <vt:lpstr>'306'!OSRRefP21_9x_0</vt:lpstr>
      <vt:lpstr>'307'!OSRRefP21_9x_0</vt:lpstr>
      <vt:lpstr>'308'!OSRRefP21_9x_0</vt:lpstr>
      <vt:lpstr>'309'!OSRRefP21_9x_0</vt:lpstr>
      <vt:lpstr>'310'!OSRRefP21_9x_0</vt:lpstr>
      <vt:lpstr>'310 &amp; 491'!OSRRefP21_9x_0</vt:lpstr>
      <vt:lpstr>'311'!OSRRefP21_9x_0</vt:lpstr>
      <vt:lpstr>'312'!OSRRefP21_9x_0</vt:lpstr>
      <vt:lpstr>'313'!OSRRefP21_9x_0</vt:lpstr>
      <vt:lpstr>'314'!OSRRefP21_9x_0</vt:lpstr>
      <vt:lpstr>'315'!OSRRefP21_9x_0</vt:lpstr>
      <vt:lpstr>'316'!OSRRefP21_9x_0</vt:lpstr>
      <vt:lpstr>'317'!OSRRefP21_9x_0</vt:lpstr>
      <vt:lpstr>'320'!OSRRefP21_9x_0</vt:lpstr>
      <vt:lpstr>'321'!OSRRefP21_9x_0</vt:lpstr>
      <vt:lpstr>'322'!OSRRefP21_9x_0</vt:lpstr>
      <vt:lpstr>'325'!OSRRefP21_9x_0</vt:lpstr>
      <vt:lpstr>'326'!OSRRefP21_9x_0</vt:lpstr>
      <vt:lpstr>'330'!OSRRefP21_9x_0</vt:lpstr>
      <vt:lpstr>'331'!OSRRefP21_9x_0</vt:lpstr>
      <vt:lpstr>'332'!OSRRefP21_9x_0</vt:lpstr>
      <vt:lpstr>'335'!OSRRefP21_9x_0</vt:lpstr>
      <vt:lpstr>'405'!OSRRefP21_9x_0</vt:lpstr>
      <vt:lpstr>'406'!OSRRefP21_9x_0</vt:lpstr>
      <vt:lpstr>'411'!OSRRefP21_9x_0</vt:lpstr>
      <vt:lpstr>'412'!OSRRefP21_9x_0</vt:lpstr>
      <vt:lpstr>'413'!OSRRefP21_9x_0</vt:lpstr>
      <vt:lpstr>'414'!OSRRefP21_9x_0</vt:lpstr>
      <vt:lpstr>'415'!OSRRefP21_9x_0</vt:lpstr>
      <vt:lpstr>'418'!OSRRefP21_9x_0</vt:lpstr>
      <vt:lpstr>'423'!OSRRefP21_9x_0</vt:lpstr>
      <vt:lpstr>'424'!OSRRefP21_9x_0</vt:lpstr>
      <vt:lpstr>'425'!OSRRefP21_9x_0</vt:lpstr>
      <vt:lpstr>'430'!OSRRefP21_9x_0</vt:lpstr>
      <vt:lpstr>'433'!OSRRefP21_9x_0</vt:lpstr>
      <vt:lpstr>'435'!OSRRefP21_9x_0</vt:lpstr>
      <vt:lpstr>'444'!OSRRefP21_9x_0</vt:lpstr>
      <vt:lpstr>'445'!OSRRefP21_9x_0</vt:lpstr>
      <vt:lpstr>'450'!OSRRefP21_9x_0</vt:lpstr>
      <vt:lpstr>'491'!OSRRefP21_9x_0</vt:lpstr>
      <vt:lpstr>'492'!OSRRefP21_9x_0</vt:lpstr>
      <vt:lpstr>'501'!OSRRefP21_9x_0</vt:lpstr>
      <vt:lpstr>'Div 2'!OSRRefP21_9x_0</vt:lpstr>
      <vt:lpstr>'Div 3'!OSRRefP21_9x_0</vt:lpstr>
      <vt:lpstr>'Div 4'!OSRRefP21_9x_0</vt:lpstr>
      <vt:lpstr>'Div 5'!OSRRefP21_9x_0</vt:lpstr>
      <vt:lpstr>'Div 6'!OSRRefP21_9x_0</vt:lpstr>
      <vt:lpstr>Summary!OSRRefP21_9x_0</vt:lpstr>
      <vt:lpstr>'200'!OSRRefP21x_0</vt:lpstr>
      <vt:lpstr>'201'!OSRRefP21x_0</vt:lpstr>
      <vt:lpstr>'202'!OSRRefP21x_0</vt:lpstr>
      <vt:lpstr>'203'!OSRRefP21x_0</vt:lpstr>
      <vt:lpstr>'204'!OSRRefP21x_0</vt:lpstr>
      <vt:lpstr>'205'!OSRRefP21x_0</vt:lpstr>
      <vt:lpstr>'206'!OSRRefP21x_0</vt:lpstr>
      <vt:lpstr>'300'!OSRRefP21x_0</vt:lpstr>
      <vt:lpstr>'300 &amp; 317'!OSRRefP21x_0</vt:lpstr>
      <vt:lpstr>'301'!OSRRefP21x_0</vt:lpstr>
      <vt:lpstr>'306'!OSRRefP21x_0</vt:lpstr>
      <vt:lpstr>'307'!OSRRefP21x_0</vt:lpstr>
      <vt:lpstr>'308'!OSRRefP21x_0</vt:lpstr>
      <vt:lpstr>'309'!OSRRefP21x_0</vt:lpstr>
      <vt:lpstr>'310'!OSRRefP21x_0</vt:lpstr>
      <vt:lpstr>'310 &amp; 491'!OSRRefP21x_0</vt:lpstr>
      <vt:lpstr>'311'!OSRRefP21x_0</vt:lpstr>
      <vt:lpstr>'312'!OSRRefP21x_0</vt:lpstr>
      <vt:lpstr>'313'!OSRRefP21x_0</vt:lpstr>
      <vt:lpstr>'314'!OSRRefP21x_0</vt:lpstr>
      <vt:lpstr>'315'!OSRRefP21x_0</vt:lpstr>
      <vt:lpstr>'316'!OSRRefP21x_0</vt:lpstr>
      <vt:lpstr>'317'!OSRRefP21x_0</vt:lpstr>
      <vt:lpstr>'318'!OSRRefP21x_0</vt:lpstr>
      <vt:lpstr>'320'!OSRRefP21x_0</vt:lpstr>
      <vt:lpstr>'321'!OSRRefP21x_0</vt:lpstr>
      <vt:lpstr>'322'!OSRRefP21x_0</vt:lpstr>
      <vt:lpstr>'323'!OSRRefP21x_0</vt:lpstr>
      <vt:lpstr>'324'!OSRRefP21x_0</vt:lpstr>
      <vt:lpstr>'325'!OSRRefP21x_0</vt:lpstr>
      <vt:lpstr>'326'!OSRRefP21x_0</vt:lpstr>
      <vt:lpstr>'327'!OSRRefP21x_0</vt:lpstr>
      <vt:lpstr>'330'!OSRRefP21x_0</vt:lpstr>
      <vt:lpstr>'331'!OSRRefP21x_0</vt:lpstr>
      <vt:lpstr>'332'!OSRRefP21x_0</vt:lpstr>
      <vt:lpstr>'335'!OSRRefP21x_0</vt:lpstr>
      <vt:lpstr>'405'!OSRRefP21x_0</vt:lpstr>
      <vt:lpstr>'406'!OSRRefP21x_0</vt:lpstr>
      <vt:lpstr>'411'!OSRRefP21x_0</vt:lpstr>
      <vt:lpstr>'412'!OSRRefP21x_0</vt:lpstr>
      <vt:lpstr>'413'!OSRRefP21x_0</vt:lpstr>
      <vt:lpstr>'414'!OSRRefP21x_0</vt:lpstr>
      <vt:lpstr>'415'!OSRRefP21x_0</vt:lpstr>
      <vt:lpstr>'418'!OSRRefP21x_0</vt:lpstr>
      <vt:lpstr>'420'!OSRRefP21x_0</vt:lpstr>
      <vt:lpstr>'423'!OSRRefP21x_0</vt:lpstr>
      <vt:lpstr>'424'!OSRRefP21x_0</vt:lpstr>
      <vt:lpstr>'425'!OSRRefP21x_0</vt:lpstr>
      <vt:lpstr>'430'!OSRRefP21x_0</vt:lpstr>
      <vt:lpstr>'433'!OSRRefP21x_0</vt:lpstr>
      <vt:lpstr>'435'!OSRRefP21x_0</vt:lpstr>
      <vt:lpstr>'444'!OSRRefP21x_0</vt:lpstr>
      <vt:lpstr>'445'!OSRRefP21x_0</vt:lpstr>
      <vt:lpstr>'450'!OSRRefP21x_0</vt:lpstr>
      <vt:lpstr>'455'!OSRRefP21x_0</vt:lpstr>
      <vt:lpstr>'491'!OSRRefP21x_0</vt:lpstr>
      <vt:lpstr>'492'!OSRRefP21x_0</vt:lpstr>
      <vt:lpstr>'501'!OSRRefP21x_0</vt:lpstr>
      <vt:lpstr>'Div 2'!OSRRefP21x_0</vt:lpstr>
      <vt:lpstr>'Div 3'!OSRRefP21x_0</vt:lpstr>
      <vt:lpstr>'Div 4'!OSRRefP21x_0</vt:lpstr>
      <vt:lpstr>'Div 5'!OSRRefP21x_0</vt:lpstr>
      <vt:lpstr>'Div 6'!OSRRefP21x_0</vt:lpstr>
      <vt:lpstr>Summary!OSRRefP21x_0</vt:lpstr>
      <vt:lpstr>'202'!OSRRefP24x_0</vt:lpstr>
      <vt:lpstr>'300'!OSRRefP24x_0</vt:lpstr>
      <vt:lpstr>'300 &amp; 317'!OSRRefP24x_0</vt:lpstr>
      <vt:lpstr>'301'!OSRRefP24x_0</vt:lpstr>
      <vt:lpstr>'307'!OSRRefP24x_0</vt:lpstr>
      <vt:lpstr>'308'!OSRRefP24x_0</vt:lpstr>
      <vt:lpstr>'309'!OSRRefP24x_0</vt:lpstr>
      <vt:lpstr>'310'!OSRRefP24x_0</vt:lpstr>
      <vt:lpstr>'310 &amp; 491'!OSRRefP24x_0</vt:lpstr>
      <vt:lpstr>'311'!OSRRefP24x_0</vt:lpstr>
      <vt:lpstr>'312'!OSRRefP24x_0</vt:lpstr>
      <vt:lpstr>'314'!OSRRefP24x_0</vt:lpstr>
      <vt:lpstr>'315'!OSRRefP24x_0</vt:lpstr>
      <vt:lpstr>'316'!OSRRefP24x_0</vt:lpstr>
      <vt:lpstr>'317'!OSRRefP24x_0</vt:lpstr>
      <vt:lpstr>'320'!OSRRefP24x_0</vt:lpstr>
      <vt:lpstr>'330'!OSRRefP24x_0</vt:lpstr>
      <vt:lpstr>'331'!OSRRefP24x_0</vt:lpstr>
      <vt:lpstr>'332'!OSRRefP24x_0</vt:lpstr>
      <vt:lpstr>'411'!OSRRefP24x_0</vt:lpstr>
      <vt:lpstr>'413'!OSRRefP24x_0</vt:lpstr>
      <vt:lpstr>'415'!OSRRefP24x_0</vt:lpstr>
      <vt:lpstr>'418'!OSRRefP24x_0</vt:lpstr>
      <vt:lpstr>'423'!OSRRefP24x_0</vt:lpstr>
      <vt:lpstr>'424'!OSRRefP24x_0</vt:lpstr>
      <vt:lpstr>'425'!OSRRefP24x_0</vt:lpstr>
      <vt:lpstr>'455'!OSRRefP24x_0</vt:lpstr>
      <vt:lpstr>'491'!OSRRefP24x_0</vt:lpstr>
      <vt:lpstr>'501'!OSRRefP24x_0</vt:lpstr>
      <vt:lpstr>'Div 2'!OSRRefP24x_0</vt:lpstr>
      <vt:lpstr>'Div 3'!OSRRefP24x_0</vt:lpstr>
      <vt:lpstr>'Div 4'!OSRRefP24x_0</vt:lpstr>
      <vt:lpstr>'Div 5'!OSRRefP24x_0</vt:lpstr>
      <vt:lpstr>'Div 6'!OSRRefP24x_0</vt:lpstr>
      <vt:lpstr>Summary!OSRRefP24x_0</vt:lpstr>
      <vt:lpstr>'201'!OSRRefR11x_0</vt:lpstr>
      <vt:lpstr>'202'!OSRRefR11x_0</vt:lpstr>
      <vt:lpstr>'300'!OSRRefR11x_0</vt:lpstr>
      <vt:lpstr>'300 &amp; 317'!OSRRefR11x_0</vt:lpstr>
      <vt:lpstr>'307'!OSRRefR11x_0</vt:lpstr>
      <vt:lpstr>'308'!OSRRefR11x_0</vt:lpstr>
      <vt:lpstr>'309'!OSRRefR11x_0</vt:lpstr>
      <vt:lpstr>'310'!OSRRefR11x_0</vt:lpstr>
      <vt:lpstr>'310 &amp; 491'!OSRRefR11x_0</vt:lpstr>
      <vt:lpstr>'311'!OSRRefR11x_0</vt:lpstr>
      <vt:lpstr>'312'!OSRRefR11x_0</vt:lpstr>
      <vt:lpstr>'313'!OSRRefR11x_0</vt:lpstr>
      <vt:lpstr>'314'!OSRRefR11x_0</vt:lpstr>
      <vt:lpstr>'315'!OSRRefR11x_0</vt:lpstr>
      <vt:lpstr>'316'!OSRRefR11x_0</vt:lpstr>
      <vt:lpstr>'317'!OSRRefR11x_0</vt:lpstr>
      <vt:lpstr>'320'!OSRRefR11x_0</vt:lpstr>
      <vt:lpstr>'321'!OSRRefR11x_0</vt:lpstr>
      <vt:lpstr>'322'!OSRRefR11x_0</vt:lpstr>
      <vt:lpstr>'323'!OSRRefR11x_0</vt:lpstr>
      <vt:lpstr>'324'!OSRRefR11x_0</vt:lpstr>
      <vt:lpstr>'325'!OSRRefR11x_0</vt:lpstr>
      <vt:lpstr>'326'!OSRRefR11x_0</vt:lpstr>
      <vt:lpstr>'327'!OSRRefR11x_0</vt:lpstr>
      <vt:lpstr>'330'!OSRRefR11x_0</vt:lpstr>
      <vt:lpstr>'331'!OSRRefR11x_0</vt:lpstr>
      <vt:lpstr>'332'!OSRRefR11x_0</vt:lpstr>
      <vt:lpstr>'405'!OSRRefR11x_0</vt:lpstr>
      <vt:lpstr>'406'!OSRRefR11x_0</vt:lpstr>
      <vt:lpstr>'412'!OSRRefR11x_0</vt:lpstr>
      <vt:lpstr>'413'!OSRRefR11x_0</vt:lpstr>
      <vt:lpstr>'414'!OSRRefR11x_0</vt:lpstr>
      <vt:lpstr>'415'!OSRRefR11x_0</vt:lpstr>
      <vt:lpstr>'418'!OSRRefR11x_0</vt:lpstr>
      <vt:lpstr>'420'!OSRRefR11x_0</vt:lpstr>
      <vt:lpstr>'424'!OSRRefR11x_0</vt:lpstr>
      <vt:lpstr>'425'!OSRRefR11x_0</vt:lpstr>
      <vt:lpstr>'433'!OSRRefR11x_0</vt:lpstr>
      <vt:lpstr>'435'!OSRRefR11x_0</vt:lpstr>
      <vt:lpstr>'444'!OSRRefR11x_0</vt:lpstr>
      <vt:lpstr>'445'!OSRRefR11x_0</vt:lpstr>
      <vt:lpstr>'450'!OSRRefR11x_0</vt:lpstr>
      <vt:lpstr>'491'!OSRRefR11x_0</vt:lpstr>
      <vt:lpstr>'492'!OSRRefR11x_0</vt:lpstr>
      <vt:lpstr>'501'!OSRRefR11x_0</vt:lpstr>
      <vt:lpstr>'Div 2'!OSRRefR11x_0</vt:lpstr>
      <vt:lpstr>'Div 3'!OSRRefR11x_0</vt:lpstr>
      <vt:lpstr>'Div 4'!OSRRefR11x_0</vt:lpstr>
      <vt:lpstr>'Div 5'!OSRRefR11x_0</vt:lpstr>
      <vt:lpstr>'Div 6'!OSRRefR11x_0</vt:lpstr>
      <vt:lpstr>Summary!OSRRefR11x_0</vt:lpstr>
      <vt:lpstr>'300'!OSRRefR14x_0</vt:lpstr>
      <vt:lpstr>'300 &amp; 317'!OSRRefR14x_0</vt:lpstr>
      <vt:lpstr>'301'!OSRRefR14x_0</vt:lpstr>
      <vt:lpstr>'307'!OSRRefR14x_0</vt:lpstr>
      <vt:lpstr>'308'!OSRRefR14x_0</vt:lpstr>
      <vt:lpstr>'309'!OSRRefR14x_0</vt:lpstr>
      <vt:lpstr>'310'!OSRRefR14x_0</vt:lpstr>
      <vt:lpstr>'310 &amp; 491'!OSRRefR14x_0</vt:lpstr>
      <vt:lpstr>'311'!OSRRefR14x_0</vt:lpstr>
      <vt:lpstr>'312'!OSRRefR14x_0</vt:lpstr>
      <vt:lpstr>'313'!OSRRefR14x_0</vt:lpstr>
      <vt:lpstr>'314'!OSRRefR14x_0</vt:lpstr>
      <vt:lpstr>'315'!OSRRefR14x_0</vt:lpstr>
      <vt:lpstr>'316'!OSRRefR14x_0</vt:lpstr>
      <vt:lpstr>'317'!OSRRefR14x_0</vt:lpstr>
      <vt:lpstr>'320'!OSRRefR14x_0</vt:lpstr>
      <vt:lpstr>'321'!OSRRefR14x_0</vt:lpstr>
      <vt:lpstr>'322'!OSRRefR14x_0</vt:lpstr>
      <vt:lpstr>'324'!OSRRefR14x_0</vt:lpstr>
      <vt:lpstr>'325'!OSRRefR14x_0</vt:lpstr>
      <vt:lpstr>'326'!OSRRefR14x_0</vt:lpstr>
      <vt:lpstr>'327'!OSRRefR14x_0</vt:lpstr>
      <vt:lpstr>'330'!OSRRefR14x_0</vt:lpstr>
      <vt:lpstr>'331'!OSRRefR14x_0</vt:lpstr>
      <vt:lpstr>'332'!OSRRefR14x_0</vt:lpstr>
      <vt:lpstr>'405'!OSRRefR14x_0</vt:lpstr>
      <vt:lpstr>'406'!OSRRefR14x_0</vt:lpstr>
      <vt:lpstr>'412'!OSRRefR14x_0</vt:lpstr>
      <vt:lpstr>'413'!OSRRefR14x_0</vt:lpstr>
      <vt:lpstr>'414'!OSRRefR14x_0</vt:lpstr>
      <vt:lpstr>'415'!OSRRefR14x_0</vt:lpstr>
      <vt:lpstr>'418'!OSRRefR14x_0</vt:lpstr>
      <vt:lpstr>'420'!OSRRefR14x_0</vt:lpstr>
      <vt:lpstr>'423'!OSRRefR14x_0</vt:lpstr>
      <vt:lpstr>'424'!OSRRefR14x_0</vt:lpstr>
      <vt:lpstr>'425'!OSRRefR14x_0</vt:lpstr>
      <vt:lpstr>'433'!OSRRefR14x_0</vt:lpstr>
      <vt:lpstr>'435'!OSRRefR14x_0</vt:lpstr>
      <vt:lpstr>'444'!OSRRefR14x_0</vt:lpstr>
      <vt:lpstr>'445'!OSRRefR14x_0</vt:lpstr>
      <vt:lpstr>'450'!OSRRefR14x_0</vt:lpstr>
      <vt:lpstr>'491'!OSRRefR14x_0</vt:lpstr>
      <vt:lpstr>'492'!OSRRefR14x_0</vt:lpstr>
      <vt:lpstr>'Div 3'!OSRRefR14x_0</vt:lpstr>
      <vt:lpstr>'Div 4'!OSRRefR14x_0</vt:lpstr>
      <vt:lpstr>'Div 6'!OSRRefR14x_0</vt:lpstr>
      <vt:lpstr>Summary!OSRRefR14x_0</vt:lpstr>
      <vt:lpstr>'200'!OSRRefR21_0x_0</vt:lpstr>
      <vt:lpstr>'201'!OSRRefR21_0x_0</vt:lpstr>
      <vt:lpstr>'202'!OSRRefR21_0x_0</vt:lpstr>
      <vt:lpstr>'203'!OSRRefR21_0x_0</vt:lpstr>
      <vt:lpstr>'204'!OSRRefR21_0x_0</vt:lpstr>
      <vt:lpstr>'205'!OSRRefR21_0x_0</vt:lpstr>
      <vt:lpstr>'206'!OSRRefR21_0x_0</vt:lpstr>
      <vt:lpstr>'300'!OSRRefR21_0x_0</vt:lpstr>
      <vt:lpstr>'300 &amp; 317'!OSRRefR21_0x_0</vt:lpstr>
      <vt:lpstr>'301'!OSRRefR21_0x_0</vt:lpstr>
      <vt:lpstr>'306'!OSRRefR21_0x_0</vt:lpstr>
      <vt:lpstr>'307'!OSRRefR21_0x_0</vt:lpstr>
      <vt:lpstr>'308'!OSRRefR21_0x_0</vt:lpstr>
      <vt:lpstr>'309'!OSRRefR21_0x_0</vt:lpstr>
      <vt:lpstr>'310'!OSRRefR21_0x_0</vt:lpstr>
      <vt:lpstr>'310 &amp; 491'!OSRRefR21_0x_0</vt:lpstr>
      <vt:lpstr>'311'!OSRRefR21_0x_0</vt:lpstr>
      <vt:lpstr>'312'!OSRRefR21_0x_0</vt:lpstr>
      <vt:lpstr>'313'!OSRRefR21_0x_0</vt:lpstr>
      <vt:lpstr>'314'!OSRRefR21_0x_0</vt:lpstr>
      <vt:lpstr>'315'!OSRRefR21_0x_0</vt:lpstr>
      <vt:lpstr>'316'!OSRRefR21_0x_0</vt:lpstr>
      <vt:lpstr>'317'!OSRRefR21_0x_0</vt:lpstr>
      <vt:lpstr>'318'!OSRRefR21_0x_0</vt:lpstr>
      <vt:lpstr>'320'!OSRRefR21_0x_0</vt:lpstr>
      <vt:lpstr>'321'!OSRRefR21_0x_0</vt:lpstr>
      <vt:lpstr>'322'!OSRRefR21_0x_0</vt:lpstr>
      <vt:lpstr>'323'!OSRRefR21_0x_0</vt:lpstr>
      <vt:lpstr>'324'!OSRRefR21_0x_0</vt:lpstr>
      <vt:lpstr>'325'!OSRRefR21_0x_0</vt:lpstr>
      <vt:lpstr>'326'!OSRRefR21_0x_0</vt:lpstr>
      <vt:lpstr>'327'!OSRRefR21_0x_0</vt:lpstr>
      <vt:lpstr>'330'!OSRRefR21_0x_0</vt:lpstr>
      <vt:lpstr>'331'!OSRRefR21_0x_0</vt:lpstr>
      <vt:lpstr>'332'!OSRRefR21_0x_0</vt:lpstr>
      <vt:lpstr>'335'!OSRRefR21_0x_0</vt:lpstr>
      <vt:lpstr>'405'!OSRRefR21_0x_0</vt:lpstr>
      <vt:lpstr>'406'!OSRRefR21_0x_0</vt:lpstr>
      <vt:lpstr>'411'!OSRRefR21_0x_0</vt:lpstr>
      <vt:lpstr>'412'!OSRRefR21_0x_0</vt:lpstr>
      <vt:lpstr>'413'!OSRRefR21_0x_0</vt:lpstr>
      <vt:lpstr>'414'!OSRRefR21_0x_0</vt:lpstr>
      <vt:lpstr>'415'!OSRRefR21_0x_0</vt:lpstr>
      <vt:lpstr>'418'!OSRRefR21_0x_0</vt:lpstr>
      <vt:lpstr>'420'!OSRRefR21_0x_0</vt:lpstr>
      <vt:lpstr>'423'!OSRRefR21_0x_0</vt:lpstr>
      <vt:lpstr>'424'!OSRRefR21_0x_0</vt:lpstr>
      <vt:lpstr>'425'!OSRRefR21_0x_0</vt:lpstr>
      <vt:lpstr>'430'!OSRRefR21_0x_0</vt:lpstr>
      <vt:lpstr>'433'!OSRRefR21_0x_0</vt:lpstr>
      <vt:lpstr>'435'!OSRRefR21_0x_0</vt:lpstr>
      <vt:lpstr>'444'!OSRRefR21_0x_0</vt:lpstr>
      <vt:lpstr>'445'!OSRRefR21_0x_0</vt:lpstr>
      <vt:lpstr>'450'!OSRRefR21_0x_0</vt:lpstr>
      <vt:lpstr>'455'!OSRRefR21_0x_0</vt:lpstr>
      <vt:lpstr>'491'!OSRRefR21_0x_0</vt:lpstr>
      <vt:lpstr>'492'!OSRRefR21_0x_0</vt:lpstr>
      <vt:lpstr>'501'!OSRRefR21_0x_0</vt:lpstr>
      <vt:lpstr>'Div 2'!OSRRefR21_0x_0</vt:lpstr>
      <vt:lpstr>'Div 3'!OSRRefR21_0x_0</vt:lpstr>
      <vt:lpstr>'Div 4'!OSRRefR21_0x_0</vt:lpstr>
      <vt:lpstr>'Div 5'!OSRRefR21_0x_0</vt:lpstr>
      <vt:lpstr>'Div 6'!OSRRefR21_0x_0</vt:lpstr>
      <vt:lpstr>Summary!OSRRefR21_0x_0</vt:lpstr>
      <vt:lpstr>'201'!OSRRefR21_10x_0</vt:lpstr>
      <vt:lpstr>'202'!OSRRefR21_10x_0</vt:lpstr>
      <vt:lpstr>'203'!OSRRefR21_10x_0</vt:lpstr>
      <vt:lpstr>'204'!OSRRefR21_10x_0</vt:lpstr>
      <vt:lpstr>'206'!OSRRefR21_10x_0</vt:lpstr>
      <vt:lpstr>'300'!OSRRefR21_10x_0</vt:lpstr>
      <vt:lpstr>'300 &amp; 317'!OSRRefR21_10x_0</vt:lpstr>
      <vt:lpstr>'301'!OSRRefR21_10x_0</vt:lpstr>
      <vt:lpstr>'306'!OSRRefR21_10x_0</vt:lpstr>
      <vt:lpstr>'307'!OSRRefR21_10x_0</vt:lpstr>
      <vt:lpstr>'308'!OSRRefR21_10x_0</vt:lpstr>
      <vt:lpstr>'309'!OSRRefR21_10x_0</vt:lpstr>
      <vt:lpstr>'310'!OSRRefR21_10x_0</vt:lpstr>
      <vt:lpstr>'310 &amp; 491'!OSRRefR21_10x_0</vt:lpstr>
      <vt:lpstr>'311'!OSRRefR21_10x_0</vt:lpstr>
      <vt:lpstr>'313'!OSRRefR21_10x_0</vt:lpstr>
      <vt:lpstr>'314'!OSRRefR21_10x_0</vt:lpstr>
      <vt:lpstr>'315'!OSRRefR21_10x_0</vt:lpstr>
      <vt:lpstr>'316'!OSRRefR21_10x_0</vt:lpstr>
      <vt:lpstr>'317'!OSRRefR21_10x_0</vt:lpstr>
      <vt:lpstr>'320'!OSRRefR21_10x_0</vt:lpstr>
      <vt:lpstr>'321'!OSRRefR21_10x_0</vt:lpstr>
      <vt:lpstr>'322'!OSRRefR21_10x_0</vt:lpstr>
      <vt:lpstr>'325'!OSRRefR21_10x_0</vt:lpstr>
      <vt:lpstr>'326'!OSRRefR21_10x_0</vt:lpstr>
      <vt:lpstr>'330'!OSRRefR21_10x_0</vt:lpstr>
      <vt:lpstr>'331'!OSRRefR21_10x_0</vt:lpstr>
      <vt:lpstr>'332'!OSRRefR21_10x_0</vt:lpstr>
      <vt:lpstr>'405'!OSRRefR21_10x_0</vt:lpstr>
      <vt:lpstr>'406'!OSRRefR21_10x_0</vt:lpstr>
      <vt:lpstr>'411'!OSRRefR21_10x_0</vt:lpstr>
      <vt:lpstr>'412'!OSRRefR21_10x_0</vt:lpstr>
      <vt:lpstr>'413'!OSRRefR21_10x_0</vt:lpstr>
      <vt:lpstr>'414'!OSRRefR21_10x_0</vt:lpstr>
      <vt:lpstr>'415'!OSRRefR21_10x_0</vt:lpstr>
      <vt:lpstr>'418'!OSRRefR21_10x_0</vt:lpstr>
      <vt:lpstr>'423'!OSRRefR21_10x_0</vt:lpstr>
      <vt:lpstr>'424'!OSRRefR21_10x_0</vt:lpstr>
      <vt:lpstr>'425'!OSRRefR21_10x_0</vt:lpstr>
      <vt:lpstr>'430'!OSRRefR21_10x_0</vt:lpstr>
      <vt:lpstr>'433'!OSRRefR21_10x_0</vt:lpstr>
      <vt:lpstr>'435'!OSRRefR21_10x_0</vt:lpstr>
      <vt:lpstr>'444'!OSRRefR21_10x_0</vt:lpstr>
      <vt:lpstr>'445'!OSRRefR21_10x_0</vt:lpstr>
      <vt:lpstr>'450'!OSRRefR21_10x_0</vt:lpstr>
      <vt:lpstr>'491'!OSRRefR21_10x_0</vt:lpstr>
      <vt:lpstr>'492'!OSRRefR21_10x_0</vt:lpstr>
      <vt:lpstr>'501'!OSRRefR21_10x_0</vt:lpstr>
      <vt:lpstr>'Div 2'!OSRRefR21_10x_0</vt:lpstr>
      <vt:lpstr>'Div 3'!OSRRefR21_10x_0</vt:lpstr>
      <vt:lpstr>'Div 4'!OSRRefR21_10x_0</vt:lpstr>
      <vt:lpstr>'Div 5'!OSRRefR21_10x_0</vt:lpstr>
      <vt:lpstr>'Div 6'!OSRRefR21_10x_0</vt:lpstr>
      <vt:lpstr>Summary!OSRRefR21_10x_0</vt:lpstr>
      <vt:lpstr>'201'!OSRRefR21_11x_0</vt:lpstr>
      <vt:lpstr>'202'!OSRRefR21_11x_0</vt:lpstr>
      <vt:lpstr>'203'!OSRRefR21_11x_0</vt:lpstr>
      <vt:lpstr>'204'!OSRRefR21_11x_0</vt:lpstr>
      <vt:lpstr>'206'!OSRRefR21_11x_0</vt:lpstr>
      <vt:lpstr>'300'!OSRRefR21_11x_0</vt:lpstr>
      <vt:lpstr>'300 &amp; 317'!OSRRefR21_11x_0</vt:lpstr>
      <vt:lpstr>'301'!OSRRefR21_11x_0</vt:lpstr>
      <vt:lpstr>'306'!OSRRefR21_11x_0</vt:lpstr>
      <vt:lpstr>'307'!OSRRefR21_11x_0</vt:lpstr>
      <vt:lpstr>'308'!OSRRefR21_11x_0</vt:lpstr>
      <vt:lpstr>'309'!OSRRefR21_11x_0</vt:lpstr>
      <vt:lpstr>'310'!OSRRefR21_11x_0</vt:lpstr>
      <vt:lpstr>'310 &amp; 491'!OSRRefR21_11x_0</vt:lpstr>
      <vt:lpstr>'311'!OSRRefR21_11x_0</vt:lpstr>
      <vt:lpstr>'313'!OSRRefR21_11x_0</vt:lpstr>
      <vt:lpstr>'314'!OSRRefR21_11x_0</vt:lpstr>
      <vt:lpstr>'315'!OSRRefR21_11x_0</vt:lpstr>
      <vt:lpstr>'316'!OSRRefR21_11x_0</vt:lpstr>
      <vt:lpstr>'317'!OSRRefR21_11x_0</vt:lpstr>
      <vt:lpstr>'320'!OSRRefR21_11x_0</vt:lpstr>
      <vt:lpstr>'321'!OSRRefR21_11x_0</vt:lpstr>
      <vt:lpstr>'322'!OSRRefR21_11x_0</vt:lpstr>
      <vt:lpstr>'325'!OSRRefR21_11x_0</vt:lpstr>
      <vt:lpstr>'326'!OSRRefR21_11x_0</vt:lpstr>
      <vt:lpstr>'330'!OSRRefR21_11x_0</vt:lpstr>
      <vt:lpstr>'331'!OSRRefR21_11x_0</vt:lpstr>
      <vt:lpstr>'332'!OSRRefR21_11x_0</vt:lpstr>
      <vt:lpstr>'405'!OSRRefR21_11x_0</vt:lpstr>
      <vt:lpstr>'406'!OSRRefR21_11x_0</vt:lpstr>
      <vt:lpstr>'411'!OSRRefR21_11x_0</vt:lpstr>
      <vt:lpstr>'412'!OSRRefR21_11x_0</vt:lpstr>
      <vt:lpstr>'413'!OSRRefR21_11x_0</vt:lpstr>
      <vt:lpstr>'414'!OSRRefR21_11x_0</vt:lpstr>
      <vt:lpstr>'415'!OSRRefR21_11x_0</vt:lpstr>
      <vt:lpstr>'418'!OSRRefR21_11x_0</vt:lpstr>
      <vt:lpstr>'423'!OSRRefR21_11x_0</vt:lpstr>
      <vt:lpstr>'424'!OSRRefR21_11x_0</vt:lpstr>
      <vt:lpstr>'425'!OSRRefR21_11x_0</vt:lpstr>
      <vt:lpstr>'430'!OSRRefR21_11x_0</vt:lpstr>
      <vt:lpstr>'433'!OSRRefR21_11x_0</vt:lpstr>
      <vt:lpstr>'435'!OSRRefR21_11x_0</vt:lpstr>
      <vt:lpstr>'444'!OSRRefR21_11x_0</vt:lpstr>
      <vt:lpstr>'445'!OSRRefR21_11x_0</vt:lpstr>
      <vt:lpstr>'450'!OSRRefR21_11x_0</vt:lpstr>
      <vt:lpstr>'491'!OSRRefR21_11x_0</vt:lpstr>
      <vt:lpstr>'492'!OSRRefR21_11x_0</vt:lpstr>
      <vt:lpstr>'501'!OSRRefR21_11x_0</vt:lpstr>
      <vt:lpstr>'Div 2'!OSRRefR21_11x_0</vt:lpstr>
      <vt:lpstr>'Div 3'!OSRRefR21_11x_0</vt:lpstr>
      <vt:lpstr>'Div 4'!OSRRefR21_11x_0</vt:lpstr>
      <vt:lpstr>'Div 5'!OSRRefR21_11x_0</vt:lpstr>
      <vt:lpstr>'Div 6'!OSRRefR21_11x_0</vt:lpstr>
      <vt:lpstr>Summary!OSRRefR21_11x_0</vt:lpstr>
      <vt:lpstr>'201'!OSRRefR21_12x_0</vt:lpstr>
      <vt:lpstr>'202'!OSRRefR21_12x_0</vt:lpstr>
      <vt:lpstr>'203'!OSRRefR21_12x_0</vt:lpstr>
      <vt:lpstr>'204'!OSRRefR21_12x_0</vt:lpstr>
      <vt:lpstr>'206'!OSRRefR21_12x_0</vt:lpstr>
      <vt:lpstr>'300'!OSRRefR21_12x_0</vt:lpstr>
      <vt:lpstr>'300 &amp; 317'!OSRRefR21_12x_0</vt:lpstr>
      <vt:lpstr>'301'!OSRRefR21_12x_0</vt:lpstr>
      <vt:lpstr>'306'!OSRRefR21_12x_0</vt:lpstr>
      <vt:lpstr>'307'!OSRRefR21_12x_0</vt:lpstr>
      <vt:lpstr>'308'!OSRRefR21_12x_0</vt:lpstr>
      <vt:lpstr>'309'!OSRRefR21_12x_0</vt:lpstr>
      <vt:lpstr>'310'!OSRRefR21_12x_0</vt:lpstr>
      <vt:lpstr>'310 &amp; 491'!OSRRefR21_12x_0</vt:lpstr>
      <vt:lpstr>'311'!OSRRefR21_12x_0</vt:lpstr>
      <vt:lpstr>'313'!OSRRefR21_12x_0</vt:lpstr>
      <vt:lpstr>'314'!OSRRefR21_12x_0</vt:lpstr>
      <vt:lpstr>'315'!OSRRefR21_12x_0</vt:lpstr>
      <vt:lpstr>'316'!OSRRefR21_12x_0</vt:lpstr>
      <vt:lpstr>'317'!OSRRefR21_12x_0</vt:lpstr>
      <vt:lpstr>'320'!OSRRefR21_12x_0</vt:lpstr>
      <vt:lpstr>'321'!OSRRefR21_12x_0</vt:lpstr>
      <vt:lpstr>'322'!OSRRefR21_12x_0</vt:lpstr>
      <vt:lpstr>'325'!OSRRefR21_12x_0</vt:lpstr>
      <vt:lpstr>'326'!OSRRefR21_12x_0</vt:lpstr>
      <vt:lpstr>'330'!OSRRefR21_12x_0</vt:lpstr>
      <vt:lpstr>'331'!OSRRefR21_12x_0</vt:lpstr>
      <vt:lpstr>'332'!OSRRefR21_12x_0</vt:lpstr>
      <vt:lpstr>'405'!OSRRefR21_12x_0</vt:lpstr>
      <vt:lpstr>'406'!OSRRefR21_12x_0</vt:lpstr>
      <vt:lpstr>'411'!OSRRefR21_12x_0</vt:lpstr>
      <vt:lpstr>'412'!OSRRefR21_12x_0</vt:lpstr>
      <vt:lpstr>'413'!OSRRefR21_12x_0</vt:lpstr>
      <vt:lpstr>'414'!OSRRefR21_12x_0</vt:lpstr>
      <vt:lpstr>'415'!OSRRefR21_12x_0</vt:lpstr>
      <vt:lpstr>'418'!OSRRefR21_12x_0</vt:lpstr>
      <vt:lpstr>'423'!OSRRefR21_12x_0</vt:lpstr>
      <vt:lpstr>'424'!OSRRefR21_12x_0</vt:lpstr>
      <vt:lpstr>'425'!OSRRefR21_12x_0</vt:lpstr>
      <vt:lpstr>'433'!OSRRefR21_12x_0</vt:lpstr>
      <vt:lpstr>'435'!OSRRefR21_12x_0</vt:lpstr>
      <vt:lpstr>'444'!OSRRefR21_12x_0</vt:lpstr>
      <vt:lpstr>'445'!OSRRefR21_12x_0</vt:lpstr>
      <vt:lpstr>'450'!OSRRefR21_12x_0</vt:lpstr>
      <vt:lpstr>'491'!OSRRefR21_12x_0</vt:lpstr>
      <vt:lpstr>'492'!OSRRefR21_12x_0</vt:lpstr>
      <vt:lpstr>'501'!OSRRefR21_12x_0</vt:lpstr>
      <vt:lpstr>'Div 2'!OSRRefR21_12x_0</vt:lpstr>
      <vt:lpstr>'Div 3'!OSRRefR21_12x_0</vt:lpstr>
      <vt:lpstr>'Div 4'!OSRRefR21_12x_0</vt:lpstr>
      <vt:lpstr>'Div 5'!OSRRefR21_12x_0</vt:lpstr>
      <vt:lpstr>'Div 6'!OSRRefR21_12x_0</vt:lpstr>
      <vt:lpstr>Summary!OSRRefR21_12x_0</vt:lpstr>
      <vt:lpstr>'201'!OSRRefR21_13x_0</vt:lpstr>
      <vt:lpstr>'202'!OSRRefR21_13x_0</vt:lpstr>
      <vt:lpstr>'203'!OSRRefR21_13x_0</vt:lpstr>
      <vt:lpstr>'204'!OSRRefR21_13x_0</vt:lpstr>
      <vt:lpstr>'300'!OSRRefR21_13x_0</vt:lpstr>
      <vt:lpstr>'300 &amp; 317'!OSRRefR21_13x_0</vt:lpstr>
      <vt:lpstr>'301'!OSRRefR21_13x_0</vt:lpstr>
      <vt:lpstr>'307'!OSRRefR21_13x_0</vt:lpstr>
      <vt:lpstr>'308'!OSRRefR21_13x_0</vt:lpstr>
      <vt:lpstr>'309'!OSRRefR21_13x_0</vt:lpstr>
      <vt:lpstr>'310'!OSRRefR21_13x_0</vt:lpstr>
      <vt:lpstr>'310 &amp; 491'!OSRRefR21_13x_0</vt:lpstr>
      <vt:lpstr>'311'!OSRRefR21_13x_0</vt:lpstr>
      <vt:lpstr>'313'!OSRRefR21_13x_0</vt:lpstr>
      <vt:lpstr>'314'!OSRRefR21_13x_0</vt:lpstr>
      <vt:lpstr>'315'!OSRRefR21_13x_0</vt:lpstr>
      <vt:lpstr>'316'!OSRRefR21_13x_0</vt:lpstr>
      <vt:lpstr>'317'!OSRRefR21_13x_0</vt:lpstr>
      <vt:lpstr>'321'!OSRRefR21_13x_0</vt:lpstr>
      <vt:lpstr>'322'!OSRRefR21_13x_0</vt:lpstr>
      <vt:lpstr>'325'!OSRRefR21_13x_0</vt:lpstr>
      <vt:lpstr>'326'!OSRRefR21_13x_0</vt:lpstr>
      <vt:lpstr>'330'!OSRRefR21_13x_0</vt:lpstr>
      <vt:lpstr>'331'!OSRRefR21_13x_0</vt:lpstr>
      <vt:lpstr>'332'!OSRRefR21_13x_0</vt:lpstr>
      <vt:lpstr>'405'!OSRRefR21_13x_0</vt:lpstr>
      <vt:lpstr>'406'!OSRRefR21_13x_0</vt:lpstr>
      <vt:lpstr>'411'!OSRRefR21_13x_0</vt:lpstr>
      <vt:lpstr>'412'!OSRRefR21_13x_0</vt:lpstr>
      <vt:lpstr>'413'!OSRRefR21_13x_0</vt:lpstr>
      <vt:lpstr>'414'!OSRRefR21_13x_0</vt:lpstr>
      <vt:lpstr>'415'!OSRRefR21_13x_0</vt:lpstr>
      <vt:lpstr>'418'!OSRRefR21_13x_0</vt:lpstr>
      <vt:lpstr>'424'!OSRRefR21_13x_0</vt:lpstr>
      <vt:lpstr>'425'!OSRRefR21_13x_0</vt:lpstr>
      <vt:lpstr>'433'!OSRRefR21_13x_0</vt:lpstr>
      <vt:lpstr>'435'!OSRRefR21_13x_0</vt:lpstr>
      <vt:lpstr>'444'!OSRRefR21_13x_0</vt:lpstr>
      <vt:lpstr>'445'!OSRRefR21_13x_0</vt:lpstr>
      <vt:lpstr>'450'!OSRRefR21_13x_0</vt:lpstr>
      <vt:lpstr>'491'!OSRRefR21_13x_0</vt:lpstr>
      <vt:lpstr>'492'!OSRRefR21_13x_0</vt:lpstr>
      <vt:lpstr>'501'!OSRRefR21_13x_0</vt:lpstr>
      <vt:lpstr>'Div 2'!OSRRefR21_13x_0</vt:lpstr>
      <vt:lpstr>'Div 3'!OSRRefR21_13x_0</vt:lpstr>
      <vt:lpstr>'Div 4'!OSRRefR21_13x_0</vt:lpstr>
      <vt:lpstr>'Div 5'!OSRRefR21_13x_0</vt:lpstr>
      <vt:lpstr>'Div 6'!OSRRefR21_13x_0</vt:lpstr>
      <vt:lpstr>Summary!OSRRefR21_13x_0</vt:lpstr>
      <vt:lpstr>'201'!OSRRefR21_14x_0</vt:lpstr>
      <vt:lpstr>'202'!OSRRefR21_14x_0</vt:lpstr>
      <vt:lpstr>'203'!OSRRefR21_14x_0</vt:lpstr>
      <vt:lpstr>'300'!OSRRefR21_14x_0</vt:lpstr>
      <vt:lpstr>'300 &amp; 317'!OSRRefR21_14x_0</vt:lpstr>
      <vt:lpstr>'301'!OSRRefR21_14x_0</vt:lpstr>
      <vt:lpstr>'307'!OSRRefR21_14x_0</vt:lpstr>
      <vt:lpstr>'308'!OSRRefR21_14x_0</vt:lpstr>
      <vt:lpstr>'309'!OSRRefR21_14x_0</vt:lpstr>
      <vt:lpstr>'310'!OSRRefR21_14x_0</vt:lpstr>
      <vt:lpstr>'310 &amp; 491'!OSRRefR21_14x_0</vt:lpstr>
      <vt:lpstr>'311'!OSRRefR21_14x_0</vt:lpstr>
      <vt:lpstr>'313'!OSRRefR21_14x_0</vt:lpstr>
      <vt:lpstr>'315'!OSRRefR21_14x_0</vt:lpstr>
      <vt:lpstr>'316'!OSRRefR21_14x_0</vt:lpstr>
      <vt:lpstr>'317'!OSRRefR21_14x_0</vt:lpstr>
      <vt:lpstr>'321'!OSRRefR21_14x_0</vt:lpstr>
      <vt:lpstr>'322'!OSRRefR21_14x_0</vt:lpstr>
      <vt:lpstr>'325'!OSRRefR21_14x_0</vt:lpstr>
      <vt:lpstr>'326'!OSRRefR21_14x_0</vt:lpstr>
      <vt:lpstr>'330'!OSRRefR21_14x_0</vt:lpstr>
      <vt:lpstr>'331'!OSRRefR21_14x_0</vt:lpstr>
      <vt:lpstr>'332'!OSRRefR21_14x_0</vt:lpstr>
      <vt:lpstr>'405'!OSRRefR21_14x_0</vt:lpstr>
      <vt:lpstr>'406'!OSRRefR21_14x_0</vt:lpstr>
      <vt:lpstr>'411'!OSRRefR21_14x_0</vt:lpstr>
      <vt:lpstr>'412'!OSRRefR21_14x_0</vt:lpstr>
      <vt:lpstr>'414'!OSRRefR21_14x_0</vt:lpstr>
      <vt:lpstr>'415'!OSRRefR21_14x_0</vt:lpstr>
      <vt:lpstr>'418'!OSRRefR21_14x_0</vt:lpstr>
      <vt:lpstr>'425'!OSRRefR21_14x_0</vt:lpstr>
      <vt:lpstr>'433'!OSRRefR21_14x_0</vt:lpstr>
      <vt:lpstr>'444'!OSRRefR21_14x_0</vt:lpstr>
      <vt:lpstr>'450'!OSRRefR21_14x_0</vt:lpstr>
      <vt:lpstr>'491'!OSRRefR21_14x_0</vt:lpstr>
      <vt:lpstr>'492'!OSRRefR21_14x_0</vt:lpstr>
      <vt:lpstr>'501'!OSRRefR21_14x_0</vt:lpstr>
      <vt:lpstr>'Div 2'!OSRRefR21_14x_0</vt:lpstr>
      <vt:lpstr>'Div 3'!OSRRefR21_14x_0</vt:lpstr>
      <vt:lpstr>'Div 4'!OSRRefR21_14x_0</vt:lpstr>
      <vt:lpstr>'Div 5'!OSRRefR21_14x_0</vt:lpstr>
      <vt:lpstr>'Div 6'!OSRRefR21_14x_0</vt:lpstr>
      <vt:lpstr>Summary!OSRRefR21_14x_0</vt:lpstr>
      <vt:lpstr>'201'!OSRRefR21_15x_0</vt:lpstr>
      <vt:lpstr>'202'!OSRRefR21_15x_0</vt:lpstr>
      <vt:lpstr>'203'!OSRRefR21_15x_0</vt:lpstr>
      <vt:lpstr>'300'!OSRRefR21_15x_0</vt:lpstr>
      <vt:lpstr>'300 &amp; 317'!OSRRefR21_15x_0</vt:lpstr>
      <vt:lpstr>'301'!OSRRefR21_15x_0</vt:lpstr>
      <vt:lpstr>'307'!OSRRefR21_15x_0</vt:lpstr>
      <vt:lpstr>'308'!OSRRefR21_15x_0</vt:lpstr>
      <vt:lpstr>'309'!OSRRefR21_15x_0</vt:lpstr>
      <vt:lpstr>'310'!OSRRefR21_15x_0</vt:lpstr>
      <vt:lpstr>'310 &amp; 491'!OSRRefR21_15x_0</vt:lpstr>
      <vt:lpstr>'311'!OSRRefR21_15x_0</vt:lpstr>
      <vt:lpstr>'313'!OSRRefR21_15x_0</vt:lpstr>
      <vt:lpstr>'315'!OSRRefR21_15x_0</vt:lpstr>
      <vt:lpstr>'316'!OSRRefR21_15x_0</vt:lpstr>
      <vt:lpstr>'317'!OSRRefR21_15x_0</vt:lpstr>
      <vt:lpstr>'321'!OSRRefR21_15x_0</vt:lpstr>
      <vt:lpstr>'322'!OSRRefR21_15x_0</vt:lpstr>
      <vt:lpstr>'325'!OSRRefR21_15x_0</vt:lpstr>
      <vt:lpstr>'326'!OSRRefR21_15x_0</vt:lpstr>
      <vt:lpstr>'330'!OSRRefR21_15x_0</vt:lpstr>
      <vt:lpstr>'331'!OSRRefR21_15x_0</vt:lpstr>
      <vt:lpstr>'332'!OSRRefR21_15x_0</vt:lpstr>
      <vt:lpstr>'405'!OSRRefR21_15x_0</vt:lpstr>
      <vt:lpstr>'406'!OSRRefR21_15x_0</vt:lpstr>
      <vt:lpstr>'411'!OSRRefR21_15x_0</vt:lpstr>
      <vt:lpstr>'412'!OSRRefR21_15x_0</vt:lpstr>
      <vt:lpstr>'414'!OSRRefR21_15x_0</vt:lpstr>
      <vt:lpstr>'415'!OSRRefR21_15x_0</vt:lpstr>
      <vt:lpstr>'418'!OSRRefR21_15x_0</vt:lpstr>
      <vt:lpstr>'425'!OSRRefR21_15x_0</vt:lpstr>
      <vt:lpstr>'433'!OSRRefR21_15x_0</vt:lpstr>
      <vt:lpstr>'444'!OSRRefR21_15x_0</vt:lpstr>
      <vt:lpstr>'450'!OSRRefR21_15x_0</vt:lpstr>
      <vt:lpstr>'491'!OSRRefR21_15x_0</vt:lpstr>
      <vt:lpstr>'492'!OSRRefR21_15x_0</vt:lpstr>
      <vt:lpstr>'501'!OSRRefR21_15x_0</vt:lpstr>
      <vt:lpstr>'Div 2'!OSRRefR21_15x_0</vt:lpstr>
      <vt:lpstr>'Div 3'!OSRRefR21_15x_0</vt:lpstr>
      <vt:lpstr>'Div 4'!OSRRefR21_15x_0</vt:lpstr>
      <vt:lpstr>'Div 5'!OSRRefR21_15x_0</vt:lpstr>
      <vt:lpstr>'Div 6'!OSRRefR21_15x_0</vt:lpstr>
      <vt:lpstr>Summary!OSRRefR21_15x_0</vt:lpstr>
      <vt:lpstr>'201'!OSRRefR21_16x_0</vt:lpstr>
      <vt:lpstr>'202'!OSRRefR21_16x_0</vt:lpstr>
      <vt:lpstr>'300'!OSRRefR21_16x_0</vt:lpstr>
      <vt:lpstr>'300 &amp; 317'!OSRRefR21_16x_0</vt:lpstr>
      <vt:lpstr>'301'!OSRRefR21_16x_0</vt:lpstr>
      <vt:lpstr>'307'!OSRRefR21_16x_0</vt:lpstr>
      <vt:lpstr>'308'!OSRRefR21_16x_0</vt:lpstr>
      <vt:lpstr>'309'!OSRRefR21_16x_0</vt:lpstr>
      <vt:lpstr>'310'!OSRRefR21_16x_0</vt:lpstr>
      <vt:lpstr>'310 &amp; 491'!OSRRefR21_16x_0</vt:lpstr>
      <vt:lpstr>'311'!OSRRefR21_16x_0</vt:lpstr>
      <vt:lpstr>'313'!OSRRefR21_16x_0</vt:lpstr>
      <vt:lpstr>'315'!OSRRefR21_16x_0</vt:lpstr>
      <vt:lpstr>'321'!OSRRefR21_16x_0</vt:lpstr>
      <vt:lpstr>'322'!OSRRefR21_16x_0</vt:lpstr>
      <vt:lpstr>'325'!OSRRefR21_16x_0</vt:lpstr>
      <vt:lpstr>'326'!OSRRefR21_16x_0</vt:lpstr>
      <vt:lpstr>'330'!OSRRefR21_16x_0</vt:lpstr>
      <vt:lpstr>'331'!OSRRefR21_16x_0</vt:lpstr>
      <vt:lpstr>'332'!OSRRefR21_16x_0</vt:lpstr>
      <vt:lpstr>'405'!OSRRefR21_16x_0</vt:lpstr>
      <vt:lpstr>'406'!OSRRefR21_16x_0</vt:lpstr>
      <vt:lpstr>'411'!OSRRefR21_16x_0</vt:lpstr>
      <vt:lpstr>'412'!OSRRefR21_16x_0</vt:lpstr>
      <vt:lpstr>'414'!OSRRefR21_16x_0</vt:lpstr>
      <vt:lpstr>'415'!OSRRefR21_16x_0</vt:lpstr>
      <vt:lpstr>'418'!OSRRefR21_16x_0</vt:lpstr>
      <vt:lpstr>'425'!OSRRefR21_16x_0</vt:lpstr>
      <vt:lpstr>'433'!OSRRefR21_16x_0</vt:lpstr>
      <vt:lpstr>'444'!OSRRefR21_16x_0</vt:lpstr>
      <vt:lpstr>'450'!OSRRefR21_16x_0</vt:lpstr>
      <vt:lpstr>'491'!OSRRefR21_16x_0</vt:lpstr>
      <vt:lpstr>'492'!OSRRefR21_16x_0</vt:lpstr>
      <vt:lpstr>'501'!OSRRefR21_16x_0</vt:lpstr>
      <vt:lpstr>'Div 2'!OSRRefR21_16x_0</vt:lpstr>
      <vt:lpstr>'Div 3'!OSRRefR21_16x_0</vt:lpstr>
      <vt:lpstr>'Div 4'!OSRRefR21_16x_0</vt:lpstr>
      <vt:lpstr>'Div 5'!OSRRefR21_16x_0</vt:lpstr>
      <vt:lpstr>Summary!OSRRefR21_16x_0</vt:lpstr>
      <vt:lpstr>'201'!OSRRefR21_17x_0</vt:lpstr>
      <vt:lpstr>'300'!OSRRefR21_17x_0</vt:lpstr>
      <vt:lpstr>'300 &amp; 317'!OSRRefR21_17x_0</vt:lpstr>
      <vt:lpstr>'301'!OSRRefR21_17x_0</vt:lpstr>
      <vt:lpstr>'307'!OSRRefR21_17x_0</vt:lpstr>
      <vt:lpstr>'308'!OSRRefR21_17x_0</vt:lpstr>
      <vt:lpstr>'310'!OSRRefR21_17x_0</vt:lpstr>
      <vt:lpstr>'310 &amp; 491'!OSRRefR21_17x_0</vt:lpstr>
      <vt:lpstr>'311'!OSRRefR21_17x_0</vt:lpstr>
      <vt:lpstr>'315'!OSRRefR21_17x_0</vt:lpstr>
      <vt:lpstr>'321'!OSRRefR21_17x_0</vt:lpstr>
      <vt:lpstr>'322'!OSRRefR21_17x_0</vt:lpstr>
      <vt:lpstr>'325'!OSRRefR21_17x_0</vt:lpstr>
      <vt:lpstr>'326'!OSRRefR21_17x_0</vt:lpstr>
      <vt:lpstr>'330'!OSRRefR21_17x_0</vt:lpstr>
      <vt:lpstr>'331'!OSRRefR21_17x_0</vt:lpstr>
      <vt:lpstr>'405'!OSRRefR21_17x_0</vt:lpstr>
      <vt:lpstr>'411'!OSRRefR21_17x_0</vt:lpstr>
      <vt:lpstr>'412'!OSRRefR21_17x_0</vt:lpstr>
      <vt:lpstr>'414'!OSRRefR21_17x_0</vt:lpstr>
      <vt:lpstr>'415'!OSRRefR21_17x_0</vt:lpstr>
      <vt:lpstr>'418'!OSRRefR21_17x_0</vt:lpstr>
      <vt:lpstr>'433'!OSRRefR21_17x_0</vt:lpstr>
      <vt:lpstr>'444'!OSRRefR21_17x_0</vt:lpstr>
      <vt:lpstr>'450'!OSRRefR21_17x_0</vt:lpstr>
      <vt:lpstr>'491'!OSRRefR21_17x_0</vt:lpstr>
      <vt:lpstr>'492'!OSRRefR21_17x_0</vt:lpstr>
      <vt:lpstr>'Div 2'!OSRRefR21_17x_0</vt:lpstr>
      <vt:lpstr>'Div 3'!OSRRefR21_17x_0</vt:lpstr>
      <vt:lpstr>'Div 4'!OSRRefR21_17x_0</vt:lpstr>
      <vt:lpstr>Summary!OSRRefR21_17x_0</vt:lpstr>
      <vt:lpstr>'201'!OSRRefR21_18x_0</vt:lpstr>
      <vt:lpstr>'300'!OSRRefR21_18x_0</vt:lpstr>
      <vt:lpstr>'300 &amp; 317'!OSRRefR21_18x_0</vt:lpstr>
      <vt:lpstr>'301'!OSRRefR21_18x_0</vt:lpstr>
      <vt:lpstr>'307'!OSRRefR21_18x_0</vt:lpstr>
      <vt:lpstr>'310'!OSRRefR21_18x_0</vt:lpstr>
      <vt:lpstr>'310 &amp; 491'!OSRRefR21_18x_0</vt:lpstr>
      <vt:lpstr>'322'!OSRRefR21_18x_0</vt:lpstr>
      <vt:lpstr>'325'!OSRRefR21_18x_0</vt:lpstr>
      <vt:lpstr>'326'!OSRRefR21_18x_0</vt:lpstr>
      <vt:lpstr>'330'!OSRRefR21_18x_0</vt:lpstr>
      <vt:lpstr>'331'!OSRRefR21_18x_0</vt:lpstr>
      <vt:lpstr>'405'!OSRRefR21_18x_0</vt:lpstr>
      <vt:lpstr>'411'!OSRRefR21_18x_0</vt:lpstr>
      <vt:lpstr>'412'!OSRRefR21_18x_0</vt:lpstr>
      <vt:lpstr>'415'!OSRRefR21_18x_0</vt:lpstr>
      <vt:lpstr>'418'!OSRRefR21_18x_0</vt:lpstr>
      <vt:lpstr>'433'!OSRRefR21_18x_0</vt:lpstr>
      <vt:lpstr>'444'!OSRRefR21_18x_0</vt:lpstr>
      <vt:lpstr>'450'!OSRRefR21_18x_0</vt:lpstr>
      <vt:lpstr>'491'!OSRRefR21_18x_0</vt:lpstr>
      <vt:lpstr>'492'!OSRRefR21_18x_0</vt:lpstr>
      <vt:lpstr>'Div 2'!OSRRefR21_18x_0</vt:lpstr>
      <vt:lpstr>'Div 3'!OSRRefR21_18x_0</vt:lpstr>
      <vt:lpstr>'Div 4'!OSRRefR21_18x_0</vt:lpstr>
      <vt:lpstr>Summary!OSRRefR21_18x_0</vt:lpstr>
      <vt:lpstr>'201'!OSRRefR21_19x_0</vt:lpstr>
      <vt:lpstr>'300'!OSRRefR21_19x_0</vt:lpstr>
      <vt:lpstr>'300 &amp; 317'!OSRRefR21_19x_0</vt:lpstr>
      <vt:lpstr>'301'!OSRRefR21_19x_0</vt:lpstr>
      <vt:lpstr>'310'!OSRRefR21_19x_0</vt:lpstr>
      <vt:lpstr>'310 &amp; 491'!OSRRefR21_19x_0</vt:lpstr>
      <vt:lpstr>'322'!OSRRefR21_19x_0</vt:lpstr>
      <vt:lpstr>'325'!OSRRefR21_19x_0</vt:lpstr>
      <vt:lpstr>'326'!OSRRefR21_19x_0</vt:lpstr>
      <vt:lpstr>'331'!OSRRefR21_19x_0</vt:lpstr>
      <vt:lpstr>'411'!OSRRefR21_19x_0</vt:lpstr>
      <vt:lpstr>'415'!OSRRefR21_19x_0</vt:lpstr>
      <vt:lpstr>'418'!OSRRefR21_19x_0</vt:lpstr>
      <vt:lpstr>'433'!OSRRefR21_19x_0</vt:lpstr>
      <vt:lpstr>'444'!OSRRefR21_19x_0</vt:lpstr>
      <vt:lpstr>'491'!OSRRefR21_19x_0</vt:lpstr>
      <vt:lpstr>'492'!OSRRefR21_19x_0</vt:lpstr>
      <vt:lpstr>'Div 2'!OSRRefR21_19x_0</vt:lpstr>
      <vt:lpstr>'Div 3'!OSRRefR21_19x_0</vt:lpstr>
      <vt:lpstr>'Div 4'!OSRRefR21_19x_0</vt:lpstr>
      <vt:lpstr>Summary!OSRRefR21_19x_0</vt:lpstr>
      <vt:lpstr>'200'!OSRRefR21_1x_0</vt:lpstr>
      <vt:lpstr>'201'!OSRRefR21_1x_0</vt:lpstr>
      <vt:lpstr>'202'!OSRRefR21_1x_0</vt:lpstr>
      <vt:lpstr>'203'!OSRRefR21_1x_0</vt:lpstr>
      <vt:lpstr>'204'!OSRRefR21_1x_0</vt:lpstr>
      <vt:lpstr>'205'!OSRRefR21_1x_0</vt:lpstr>
      <vt:lpstr>'206'!OSRRefR21_1x_0</vt:lpstr>
      <vt:lpstr>'300'!OSRRefR21_1x_0</vt:lpstr>
      <vt:lpstr>'300 &amp; 317'!OSRRefR21_1x_0</vt:lpstr>
      <vt:lpstr>'301'!OSRRefR21_1x_0</vt:lpstr>
      <vt:lpstr>'306'!OSRRefR21_1x_0</vt:lpstr>
      <vt:lpstr>'307'!OSRRefR21_1x_0</vt:lpstr>
      <vt:lpstr>'308'!OSRRefR21_1x_0</vt:lpstr>
      <vt:lpstr>'309'!OSRRefR21_1x_0</vt:lpstr>
      <vt:lpstr>'310'!OSRRefR21_1x_0</vt:lpstr>
      <vt:lpstr>'310 &amp; 491'!OSRRefR21_1x_0</vt:lpstr>
      <vt:lpstr>'311'!OSRRefR21_1x_0</vt:lpstr>
      <vt:lpstr>'312'!OSRRefR21_1x_0</vt:lpstr>
      <vt:lpstr>'313'!OSRRefR21_1x_0</vt:lpstr>
      <vt:lpstr>'314'!OSRRefR21_1x_0</vt:lpstr>
      <vt:lpstr>'315'!OSRRefR21_1x_0</vt:lpstr>
      <vt:lpstr>'316'!OSRRefR21_1x_0</vt:lpstr>
      <vt:lpstr>'317'!OSRRefR21_1x_0</vt:lpstr>
      <vt:lpstr>'318'!OSRRefR21_1x_0</vt:lpstr>
      <vt:lpstr>'320'!OSRRefR21_1x_0</vt:lpstr>
      <vt:lpstr>'321'!OSRRefR21_1x_0</vt:lpstr>
      <vt:lpstr>'322'!OSRRefR21_1x_0</vt:lpstr>
      <vt:lpstr>'323'!OSRRefR21_1x_0</vt:lpstr>
      <vt:lpstr>'324'!OSRRefR21_1x_0</vt:lpstr>
      <vt:lpstr>'325'!OSRRefR21_1x_0</vt:lpstr>
      <vt:lpstr>'326'!OSRRefR21_1x_0</vt:lpstr>
      <vt:lpstr>'327'!OSRRefR21_1x_0</vt:lpstr>
      <vt:lpstr>'330'!OSRRefR21_1x_0</vt:lpstr>
      <vt:lpstr>'331'!OSRRefR21_1x_0</vt:lpstr>
      <vt:lpstr>'332'!OSRRefR21_1x_0</vt:lpstr>
      <vt:lpstr>'335'!OSRRefR21_1x_0</vt:lpstr>
      <vt:lpstr>'405'!OSRRefR21_1x_0</vt:lpstr>
      <vt:lpstr>'406'!OSRRefR21_1x_0</vt:lpstr>
      <vt:lpstr>'411'!OSRRefR21_1x_0</vt:lpstr>
      <vt:lpstr>'412'!OSRRefR21_1x_0</vt:lpstr>
      <vt:lpstr>'413'!OSRRefR21_1x_0</vt:lpstr>
      <vt:lpstr>'414'!OSRRefR21_1x_0</vt:lpstr>
      <vt:lpstr>'415'!OSRRefR21_1x_0</vt:lpstr>
      <vt:lpstr>'418'!OSRRefR21_1x_0</vt:lpstr>
      <vt:lpstr>'420'!OSRRefR21_1x_0</vt:lpstr>
      <vt:lpstr>'423'!OSRRefR21_1x_0</vt:lpstr>
      <vt:lpstr>'424'!OSRRefR21_1x_0</vt:lpstr>
      <vt:lpstr>'425'!OSRRefR21_1x_0</vt:lpstr>
      <vt:lpstr>'430'!OSRRefR21_1x_0</vt:lpstr>
      <vt:lpstr>'433'!OSRRefR21_1x_0</vt:lpstr>
      <vt:lpstr>'435'!OSRRefR21_1x_0</vt:lpstr>
      <vt:lpstr>'444'!OSRRefR21_1x_0</vt:lpstr>
      <vt:lpstr>'445'!OSRRefR21_1x_0</vt:lpstr>
      <vt:lpstr>'450'!OSRRefR21_1x_0</vt:lpstr>
      <vt:lpstr>'455'!OSRRefR21_1x_0</vt:lpstr>
      <vt:lpstr>'491'!OSRRefR21_1x_0</vt:lpstr>
      <vt:lpstr>'492'!OSRRefR21_1x_0</vt:lpstr>
      <vt:lpstr>'501'!OSRRefR21_1x_0</vt:lpstr>
      <vt:lpstr>'Div 2'!OSRRefR21_1x_0</vt:lpstr>
      <vt:lpstr>'Div 3'!OSRRefR21_1x_0</vt:lpstr>
      <vt:lpstr>'Div 4'!OSRRefR21_1x_0</vt:lpstr>
      <vt:lpstr>'Div 5'!OSRRefR21_1x_0</vt:lpstr>
      <vt:lpstr>'Div 6'!OSRRefR21_1x_0</vt:lpstr>
      <vt:lpstr>Summary!OSRRefR21_1x_0</vt:lpstr>
      <vt:lpstr>'300'!OSRRefR21_20x_0</vt:lpstr>
      <vt:lpstr>'300 &amp; 317'!OSRRefR21_20x_0</vt:lpstr>
      <vt:lpstr>'301'!OSRRefR21_20x_0</vt:lpstr>
      <vt:lpstr>'310'!OSRRefR21_20x_0</vt:lpstr>
      <vt:lpstr>'310 &amp; 491'!OSRRefR21_20x_0</vt:lpstr>
      <vt:lpstr>'326'!OSRRefR21_20x_0</vt:lpstr>
      <vt:lpstr>'331'!OSRRefR21_20x_0</vt:lpstr>
      <vt:lpstr>'411'!OSRRefR21_20x_0</vt:lpstr>
      <vt:lpstr>'433'!OSRRefR21_20x_0</vt:lpstr>
      <vt:lpstr>'444'!OSRRefR21_20x_0</vt:lpstr>
      <vt:lpstr>'491'!OSRRefR21_20x_0</vt:lpstr>
      <vt:lpstr>'492'!OSRRefR21_20x_0</vt:lpstr>
      <vt:lpstr>'Div 2'!OSRRefR21_20x_0</vt:lpstr>
      <vt:lpstr>'Div 3'!OSRRefR21_20x_0</vt:lpstr>
      <vt:lpstr>'Div 4'!OSRRefR21_20x_0</vt:lpstr>
      <vt:lpstr>Summary!OSRRefR21_20x_0</vt:lpstr>
      <vt:lpstr>'300'!OSRRefR21_21x_0</vt:lpstr>
      <vt:lpstr>'300 &amp; 317'!OSRRefR21_21x_0</vt:lpstr>
      <vt:lpstr>'301'!OSRRefR21_21x_0</vt:lpstr>
      <vt:lpstr>'310'!OSRRefR21_21x_0</vt:lpstr>
      <vt:lpstr>'310 &amp; 491'!OSRRefR21_21x_0</vt:lpstr>
      <vt:lpstr>'326'!OSRRefR21_21x_0</vt:lpstr>
      <vt:lpstr>'331'!OSRRefR21_21x_0</vt:lpstr>
      <vt:lpstr>'411'!OSRRefR21_21x_0</vt:lpstr>
      <vt:lpstr>'491'!OSRRefR21_21x_0</vt:lpstr>
      <vt:lpstr>'492'!OSRRefR21_21x_0</vt:lpstr>
      <vt:lpstr>'Div 2'!OSRRefR21_21x_0</vt:lpstr>
      <vt:lpstr>'Div 3'!OSRRefR21_21x_0</vt:lpstr>
      <vt:lpstr>'Div 4'!OSRRefR21_21x_0</vt:lpstr>
      <vt:lpstr>Summary!OSRRefR21_21x_0</vt:lpstr>
      <vt:lpstr>'300'!OSRRefR21_22x_0</vt:lpstr>
      <vt:lpstr>'300 &amp; 317'!OSRRefR21_22x_0</vt:lpstr>
      <vt:lpstr>'301'!OSRRefR21_22x_0</vt:lpstr>
      <vt:lpstr>'310'!OSRRefR21_22x_0</vt:lpstr>
      <vt:lpstr>'310 &amp; 491'!OSRRefR21_22x_0</vt:lpstr>
      <vt:lpstr>'331'!OSRRefR21_22x_0</vt:lpstr>
      <vt:lpstr>'411'!OSRRefR21_22x_0</vt:lpstr>
      <vt:lpstr>'491'!OSRRefR21_22x_0</vt:lpstr>
      <vt:lpstr>'492'!OSRRefR21_22x_0</vt:lpstr>
      <vt:lpstr>'Div 3'!OSRRefR21_22x_0</vt:lpstr>
      <vt:lpstr>'Div 4'!OSRRefR21_22x_0</vt:lpstr>
      <vt:lpstr>Summary!OSRRefR21_22x_0</vt:lpstr>
      <vt:lpstr>'300'!OSRRefR21_23x_0</vt:lpstr>
      <vt:lpstr>'300 &amp; 317'!OSRRefR21_23x_0</vt:lpstr>
      <vt:lpstr>'301'!OSRRefR21_23x_0</vt:lpstr>
      <vt:lpstr>'310'!OSRRefR21_23x_0</vt:lpstr>
      <vt:lpstr>'310 &amp; 491'!OSRRefR21_23x_0</vt:lpstr>
      <vt:lpstr>'491'!OSRRefR21_23x_0</vt:lpstr>
      <vt:lpstr>'Div 3'!OSRRefR21_23x_0</vt:lpstr>
      <vt:lpstr>'Div 4'!OSRRefR21_23x_0</vt:lpstr>
      <vt:lpstr>Summary!OSRRefR21_23x_0</vt:lpstr>
      <vt:lpstr>'300'!OSRRefR21_24x_0</vt:lpstr>
      <vt:lpstr>'300 &amp; 317'!OSRRefR21_24x_0</vt:lpstr>
      <vt:lpstr>'301'!OSRRefR21_24x_0</vt:lpstr>
      <vt:lpstr>'310 &amp; 491'!OSRRefR21_24x_0</vt:lpstr>
      <vt:lpstr>'491'!OSRRefR21_24x_0</vt:lpstr>
      <vt:lpstr>'Div 3'!OSRRefR21_24x_0</vt:lpstr>
      <vt:lpstr>'Div 4'!OSRRefR21_24x_0</vt:lpstr>
      <vt:lpstr>Summary!OSRRefR21_24x_0</vt:lpstr>
      <vt:lpstr>'310 &amp; 491'!OSRRefR21_25x_0</vt:lpstr>
      <vt:lpstr>'491'!OSRRefR21_25x_0</vt:lpstr>
      <vt:lpstr>'Div 3'!OSRRefR21_25x_0</vt:lpstr>
      <vt:lpstr>'Div 4'!OSRRefR21_25x_0</vt:lpstr>
      <vt:lpstr>Summary!OSRRefR21_25x_0</vt:lpstr>
      <vt:lpstr>Summary!OSRRefR21_26x_0</vt:lpstr>
      <vt:lpstr>'200'!OSRRefR21_2x_0</vt:lpstr>
      <vt:lpstr>'201'!OSRRefR21_2x_0</vt:lpstr>
      <vt:lpstr>'202'!OSRRefR21_2x_0</vt:lpstr>
      <vt:lpstr>'203'!OSRRefR21_2x_0</vt:lpstr>
      <vt:lpstr>'204'!OSRRefR21_2x_0</vt:lpstr>
      <vt:lpstr>'205'!OSRRefR21_2x_0</vt:lpstr>
      <vt:lpstr>'206'!OSRRefR21_2x_0</vt:lpstr>
      <vt:lpstr>'300'!OSRRefR21_2x_0</vt:lpstr>
      <vt:lpstr>'300 &amp; 317'!OSRRefR21_2x_0</vt:lpstr>
      <vt:lpstr>'301'!OSRRefR21_2x_0</vt:lpstr>
      <vt:lpstr>'306'!OSRRefR21_2x_0</vt:lpstr>
      <vt:lpstr>'307'!OSRRefR21_2x_0</vt:lpstr>
      <vt:lpstr>'308'!OSRRefR21_2x_0</vt:lpstr>
      <vt:lpstr>'309'!OSRRefR21_2x_0</vt:lpstr>
      <vt:lpstr>'310'!OSRRefR21_2x_0</vt:lpstr>
      <vt:lpstr>'310 &amp; 491'!OSRRefR21_2x_0</vt:lpstr>
      <vt:lpstr>'311'!OSRRefR21_2x_0</vt:lpstr>
      <vt:lpstr>'312'!OSRRefR21_2x_0</vt:lpstr>
      <vt:lpstr>'313'!OSRRefR21_2x_0</vt:lpstr>
      <vt:lpstr>'314'!OSRRefR21_2x_0</vt:lpstr>
      <vt:lpstr>'315'!OSRRefR21_2x_0</vt:lpstr>
      <vt:lpstr>'316'!OSRRefR21_2x_0</vt:lpstr>
      <vt:lpstr>'317'!OSRRefR21_2x_0</vt:lpstr>
      <vt:lpstr>'318'!OSRRefR21_2x_0</vt:lpstr>
      <vt:lpstr>'320'!OSRRefR21_2x_0</vt:lpstr>
      <vt:lpstr>'321'!OSRRefR21_2x_0</vt:lpstr>
      <vt:lpstr>'322'!OSRRefR21_2x_0</vt:lpstr>
      <vt:lpstr>'323'!OSRRefR21_2x_0</vt:lpstr>
      <vt:lpstr>'324'!OSRRefR21_2x_0</vt:lpstr>
      <vt:lpstr>'325'!OSRRefR21_2x_0</vt:lpstr>
      <vt:lpstr>'326'!OSRRefR21_2x_0</vt:lpstr>
      <vt:lpstr>'327'!OSRRefR21_2x_0</vt:lpstr>
      <vt:lpstr>'330'!OSRRefR21_2x_0</vt:lpstr>
      <vt:lpstr>'331'!OSRRefR21_2x_0</vt:lpstr>
      <vt:lpstr>'332'!OSRRefR21_2x_0</vt:lpstr>
      <vt:lpstr>'335'!OSRRefR21_2x_0</vt:lpstr>
      <vt:lpstr>'405'!OSRRefR21_2x_0</vt:lpstr>
      <vt:lpstr>'406'!OSRRefR21_2x_0</vt:lpstr>
      <vt:lpstr>'411'!OSRRefR21_2x_0</vt:lpstr>
      <vt:lpstr>'412'!OSRRefR21_2x_0</vt:lpstr>
      <vt:lpstr>'413'!OSRRefR21_2x_0</vt:lpstr>
      <vt:lpstr>'414'!OSRRefR21_2x_0</vt:lpstr>
      <vt:lpstr>'415'!OSRRefR21_2x_0</vt:lpstr>
      <vt:lpstr>'418'!OSRRefR21_2x_0</vt:lpstr>
      <vt:lpstr>'420'!OSRRefR21_2x_0</vt:lpstr>
      <vt:lpstr>'423'!OSRRefR21_2x_0</vt:lpstr>
      <vt:lpstr>'424'!OSRRefR21_2x_0</vt:lpstr>
      <vt:lpstr>'425'!OSRRefR21_2x_0</vt:lpstr>
      <vt:lpstr>'430'!OSRRefR21_2x_0</vt:lpstr>
      <vt:lpstr>'433'!OSRRefR21_2x_0</vt:lpstr>
      <vt:lpstr>'435'!OSRRefR21_2x_0</vt:lpstr>
      <vt:lpstr>'444'!OSRRefR21_2x_0</vt:lpstr>
      <vt:lpstr>'445'!OSRRefR21_2x_0</vt:lpstr>
      <vt:lpstr>'450'!OSRRefR21_2x_0</vt:lpstr>
      <vt:lpstr>'455'!OSRRefR21_2x_0</vt:lpstr>
      <vt:lpstr>'491'!OSRRefR21_2x_0</vt:lpstr>
      <vt:lpstr>'492'!OSRRefR21_2x_0</vt:lpstr>
      <vt:lpstr>'501'!OSRRefR21_2x_0</vt:lpstr>
      <vt:lpstr>'Div 2'!OSRRefR21_2x_0</vt:lpstr>
      <vt:lpstr>'Div 3'!OSRRefR21_2x_0</vt:lpstr>
      <vt:lpstr>'Div 4'!OSRRefR21_2x_0</vt:lpstr>
      <vt:lpstr>'Div 5'!OSRRefR21_2x_0</vt:lpstr>
      <vt:lpstr>'Div 6'!OSRRefR21_2x_0</vt:lpstr>
      <vt:lpstr>Summary!OSRRefR21_2x_0</vt:lpstr>
      <vt:lpstr>'200'!OSRRefR21_3x_0</vt:lpstr>
      <vt:lpstr>'201'!OSRRefR21_3x_0</vt:lpstr>
      <vt:lpstr>'202'!OSRRefR21_3x_0</vt:lpstr>
      <vt:lpstr>'203'!OSRRefR21_3x_0</vt:lpstr>
      <vt:lpstr>'204'!OSRRefR21_3x_0</vt:lpstr>
      <vt:lpstr>'205'!OSRRefR21_3x_0</vt:lpstr>
      <vt:lpstr>'206'!OSRRefR21_3x_0</vt:lpstr>
      <vt:lpstr>'300'!OSRRefR21_3x_0</vt:lpstr>
      <vt:lpstr>'300 &amp; 317'!OSRRefR21_3x_0</vt:lpstr>
      <vt:lpstr>'301'!OSRRefR21_3x_0</vt:lpstr>
      <vt:lpstr>'306'!OSRRefR21_3x_0</vt:lpstr>
      <vt:lpstr>'307'!OSRRefR21_3x_0</vt:lpstr>
      <vt:lpstr>'308'!OSRRefR21_3x_0</vt:lpstr>
      <vt:lpstr>'309'!OSRRefR21_3x_0</vt:lpstr>
      <vt:lpstr>'310'!OSRRefR21_3x_0</vt:lpstr>
      <vt:lpstr>'310 &amp; 491'!OSRRefR21_3x_0</vt:lpstr>
      <vt:lpstr>'311'!OSRRefR21_3x_0</vt:lpstr>
      <vt:lpstr>'312'!OSRRefR21_3x_0</vt:lpstr>
      <vt:lpstr>'313'!OSRRefR21_3x_0</vt:lpstr>
      <vt:lpstr>'314'!OSRRefR21_3x_0</vt:lpstr>
      <vt:lpstr>'315'!OSRRefR21_3x_0</vt:lpstr>
      <vt:lpstr>'316'!OSRRefR21_3x_0</vt:lpstr>
      <vt:lpstr>'317'!OSRRefR21_3x_0</vt:lpstr>
      <vt:lpstr>'318'!OSRRefR21_3x_0</vt:lpstr>
      <vt:lpstr>'320'!OSRRefR21_3x_0</vt:lpstr>
      <vt:lpstr>'321'!OSRRefR21_3x_0</vt:lpstr>
      <vt:lpstr>'322'!OSRRefR21_3x_0</vt:lpstr>
      <vt:lpstr>'323'!OSRRefR21_3x_0</vt:lpstr>
      <vt:lpstr>'324'!OSRRefR21_3x_0</vt:lpstr>
      <vt:lpstr>'325'!OSRRefR21_3x_0</vt:lpstr>
      <vt:lpstr>'326'!OSRRefR21_3x_0</vt:lpstr>
      <vt:lpstr>'330'!OSRRefR21_3x_0</vt:lpstr>
      <vt:lpstr>'331'!OSRRefR21_3x_0</vt:lpstr>
      <vt:lpstr>'332'!OSRRefR21_3x_0</vt:lpstr>
      <vt:lpstr>'335'!OSRRefR21_3x_0</vt:lpstr>
      <vt:lpstr>'405'!OSRRefR21_3x_0</vt:lpstr>
      <vt:lpstr>'406'!OSRRefR21_3x_0</vt:lpstr>
      <vt:lpstr>'411'!OSRRefR21_3x_0</vt:lpstr>
      <vt:lpstr>'412'!OSRRefR21_3x_0</vt:lpstr>
      <vt:lpstr>'413'!OSRRefR21_3x_0</vt:lpstr>
      <vt:lpstr>'414'!OSRRefR21_3x_0</vt:lpstr>
      <vt:lpstr>'415'!OSRRefR21_3x_0</vt:lpstr>
      <vt:lpstr>'418'!OSRRefR21_3x_0</vt:lpstr>
      <vt:lpstr>'420'!OSRRefR21_3x_0</vt:lpstr>
      <vt:lpstr>'423'!OSRRefR21_3x_0</vt:lpstr>
      <vt:lpstr>'424'!OSRRefR21_3x_0</vt:lpstr>
      <vt:lpstr>'425'!OSRRefR21_3x_0</vt:lpstr>
      <vt:lpstr>'430'!OSRRefR21_3x_0</vt:lpstr>
      <vt:lpstr>'433'!OSRRefR21_3x_0</vt:lpstr>
      <vt:lpstr>'435'!OSRRefR21_3x_0</vt:lpstr>
      <vt:lpstr>'444'!OSRRefR21_3x_0</vt:lpstr>
      <vt:lpstr>'445'!OSRRefR21_3x_0</vt:lpstr>
      <vt:lpstr>'450'!OSRRefR21_3x_0</vt:lpstr>
      <vt:lpstr>'455'!OSRRefR21_3x_0</vt:lpstr>
      <vt:lpstr>'491'!OSRRefR21_3x_0</vt:lpstr>
      <vt:lpstr>'492'!OSRRefR21_3x_0</vt:lpstr>
      <vt:lpstr>'501'!OSRRefR21_3x_0</vt:lpstr>
      <vt:lpstr>'Div 2'!OSRRefR21_3x_0</vt:lpstr>
      <vt:lpstr>'Div 3'!OSRRefR21_3x_0</vt:lpstr>
      <vt:lpstr>'Div 4'!OSRRefR21_3x_0</vt:lpstr>
      <vt:lpstr>'Div 5'!OSRRefR21_3x_0</vt:lpstr>
      <vt:lpstr>'Div 6'!OSRRefR21_3x_0</vt:lpstr>
      <vt:lpstr>Summary!OSRRefR21_3x_0</vt:lpstr>
      <vt:lpstr>'200'!OSRRefR21_4x_0</vt:lpstr>
      <vt:lpstr>'201'!OSRRefR21_4x_0</vt:lpstr>
      <vt:lpstr>'202'!OSRRefR21_4x_0</vt:lpstr>
      <vt:lpstr>'203'!OSRRefR21_4x_0</vt:lpstr>
      <vt:lpstr>'204'!OSRRefR21_4x_0</vt:lpstr>
      <vt:lpstr>'205'!OSRRefR21_4x_0</vt:lpstr>
      <vt:lpstr>'206'!OSRRefR21_4x_0</vt:lpstr>
      <vt:lpstr>'300'!OSRRefR21_4x_0</vt:lpstr>
      <vt:lpstr>'300 &amp; 317'!OSRRefR21_4x_0</vt:lpstr>
      <vt:lpstr>'301'!OSRRefR21_4x_0</vt:lpstr>
      <vt:lpstr>'306'!OSRRefR21_4x_0</vt:lpstr>
      <vt:lpstr>'307'!OSRRefR21_4x_0</vt:lpstr>
      <vt:lpstr>'308'!OSRRefR21_4x_0</vt:lpstr>
      <vt:lpstr>'309'!OSRRefR21_4x_0</vt:lpstr>
      <vt:lpstr>'310'!OSRRefR21_4x_0</vt:lpstr>
      <vt:lpstr>'310 &amp; 491'!OSRRefR21_4x_0</vt:lpstr>
      <vt:lpstr>'311'!OSRRefR21_4x_0</vt:lpstr>
      <vt:lpstr>'312'!OSRRefR21_4x_0</vt:lpstr>
      <vt:lpstr>'313'!OSRRefR21_4x_0</vt:lpstr>
      <vt:lpstr>'314'!OSRRefR21_4x_0</vt:lpstr>
      <vt:lpstr>'315'!OSRRefR21_4x_0</vt:lpstr>
      <vt:lpstr>'316'!OSRRefR21_4x_0</vt:lpstr>
      <vt:lpstr>'317'!OSRRefR21_4x_0</vt:lpstr>
      <vt:lpstr>'318'!OSRRefR21_4x_0</vt:lpstr>
      <vt:lpstr>'320'!OSRRefR21_4x_0</vt:lpstr>
      <vt:lpstr>'321'!OSRRefR21_4x_0</vt:lpstr>
      <vt:lpstr>'322'!OSRRefR21_4x_0</vt:lpstr>
      <vt:lpstr>'323'!OSRRefR21_4x_0</vt:lpstr>
      <vt:lpstr>'325'!OSRRefR21_4x_0</vt:lpstr>
      <vt:lpstr>'326'!OSRRefR21_4x_0</vt:lpstr>
      <vt:lpstr>'330'!OSRRefR21_4x_0</vt:lpstr>
      <vt:lpstr>'331'!OSRRefR21_4x_0</vt:lpstr>
      <vt:lpstr>'332'!OSRRefR21_4x_0</vt:lpstr>
      <vt:lpstr>'335'!OSRRefR21_4x_0</vt:lpstr>
      <vt:lpstr>'405'!OSRRefR21_4x_0</vt:lpstr>
      <vt:lpstr>'406'!OSRRefR21_4x_0</vt:lpstr>
      <vt:lpstr>'411'!OSRRefR21_4x_0</vt:lpstr>
      <vt:lpstr>'412'!OSRRefR21_4x_0</vt:lpstr>
      <vt:lpstr>'413'!OSRRefR21_4x_0</vt:lpstr>
      <vt:lpstr>'414'!OSRRefR21_4x_0</vt:lpstr>
      <vt:lpstr>'415'!OSRRefR21_4x_0</vt:lpstr>
      <vt:lpstr>'418'!OSRRefR21_4x_0</vt:lpstr>
      <vt:lpstr>'420'!OSRRefR21_4x_0</vt:lpstr>
      <vt:lpstr>'423'!OSRRefR21_4x_0</vt:lpstr>
      <vt:lpstr>'424'!OSRRefR21_4x_0</vt:lpstr>
      <vt:lpstr>'425'!OSRRefR21_4x_0</vt:lpstr>
      <vt:lpstr>'430'!OSRRefR21_4x_0</vt:lpstr>
      <vt:lpstr>'433'!OSRRefR21_4x_0</vt:lpstr>
      <vt:lpstr>'435'!OSRRefR21_4x_0</vt:lpstr>
      <vt:lpstr>'444'!OSRRefR21_4x_0</vt:lpstr>
      <vt:lpstr>'445'!OSRRefR21_4x_0</vt:lpstr>
      <vt:lpstr>'450'!OSRRefR21_4x_0</vt:lpstr>
      <vt:lpstr>'491'!OSRRefR21_4x_0</vt:lpstr>
      <vt:lpstr>'492'!OSRRefR21_4x_0</vt:lpstr>
      <vt:lpstr>'501'!OSRRefR21_4x_0</vt:lpstr>
      <vt:lpstr>'Div 2'!OSRRefR21_4x_0</vt:lpstr>
      <vt:lpstr>'Div 3'!OSRRefR21_4x_0</vt:lpstr>
      <vt:lpstr>'Div 4'!OSRRefR21_4x_0</vt:lpstr>
      <vt:lpstr>'Div 5'!OSRRefR21_4x_0</vt:lpstr>
      <vt:lpstr>'Div 6'!OSRRefR21_4x_0</vt:lpstr>
      <vt:lpstr>Summary!OSRRefR21_4x_0</vt:lpstr>
      <vt:lpstr>'200'!OSRRefR21_5x_0</vt:lpstr>
      <vt:lpstr>'201'!OSRRefR21_5x_0</vt:lpstr>
      <vt:lpstr>'202'!OSRRefR21_5x_0</vt:lpstr>
      <vt:lpstr>'203'!OSRRefR21_5x_0</vt:lpstr>
      <vt:lpstr>'204'!OSRRefR21_5x_0</vt:lpstr>
      <vt:lpstr>'205'!OSRRefR21_5x_0</vt:lpstr>
      <vt:lpstr>'206'!OSRRefR21_5x_0</vt:lpstr>
      <vt:lpstr>'300'!OSRRefR21_5x_0</vt:lpstr>
      <vt:lpstr>'300 &amp; 317'!OSRRefR21_5x_0</vt:lpstr>
      <vt:lpstr>'301'!OSRRefR21_5x_0</vt:lpstr>
      <vt:lpstr>'306'!OSRRefR21_5x_0</vt:lpstr>
      <vt:lpstr>'307'!OSRRefR21_5x_0</vt:lpstr>
      <vt:lpstr>'308'!OSRRefR21_5x_0</vt:lpstr>
      <vt:lpstr>'309'!OSRRefR21_5x_0</vt:lpstr>
      <vt:lpstr>'310'!OSRRefR21_5x_0</vt:lpstr>
      <vt:lpstr>'310 &amp; 491'!OSRRefR21_5x_0</vt:lpstr>
      <vt:lpstr>'311'!OSRRefR21_5x_0</vt:lpstr>
      <vt:lpstr>'312'!OSRRefR21_5x_0</vt:lpstr>
      <vt:lpstr>'313'!OSRRefR21_5x_0</vt:lpstr>
      <vt:lpstr>'314'!OSRRefR21_5x_0</vt:lpstr>
      <vt:lpstr>'315'!OSRRefR21_5x_0</vt:lpstr>
      <vt:lpstr>'316'!OSRRefR21_5x_0</vt:lpstr>
      <vt:lpstr>'317'!OSRRefR21_5x_0</vt:lpstr>
      <vt:lpstr>'318'!OSRRefR21_5x_0</vt:lpstr>
      <vt:lpstr>'320'!OSRRefR21_5x_0</vt:lpstr>
      <vt:lpstr>'321'!OSRRefR21_5x_0</vt:lpstr>
      <vt:lpstr>'322'!OSRRefR21_5x_0</vt:lpstr>
      <vt:lpstr>'323'!OSRRefR21_5x_0</vt:lpstr>
      <vt:lpstr>'325'!OSRRefR21_5x_0</vt:lpstr>
      <vt:lpstr>'326'!OSRRefR21_5x_0</vt:lpstr>
      <vt:lpstr>'330'!OSRRefR21_5x_0</vt:lpstr>
      <vt:lpstr>'331'!OSRRefR21_5x_0</vt:lpstr>
      <vt:lpstr>'332'!OSRRefR21_5x_0</vt:lpstr>
      <vt:lpstr>'335'!OSRRefR21_5x_0</vt:lpstr>
      <vt:lpstr>'405'!OSRRefR21_5x_0</vt:lpstr>
      <vt:lpstr>'406'!OSRRefR21_5x_0</vt:lpstr>
      <vt:lpstr>'411'!OSRRefR21_5x_0</vt:lpstr>
      <vt:lpstr>'412'!OSRRefR21_5x_0</vt:lpstr>
      <vt:lpstr>'413'!OSRRefR21_5x_0</vt:lpstr>
      <vt:lpstr>'414'!OSRRefR21_5x_0</vt:lpstr>
      <vt:lpstr>'415'!OSRRefR21_5x_0</vt:lpstr>
      <vt:lpstr>'418'!OSRRefR21_5x_0</vt:lpstr>
      <vt:lpstr>'420'!OSRRefR21_5x_0</vt:lpstr>
      <vt:lpstr>'423'!OSRRefR21_5x_0</vt:lpstr>
      <vt:lpstr>'424'!OSRRefR21_5x_0</vt:lpstr>
      <vt:lpstr>'425'!OSRRefR21_5x_0</vt:lpstr>
      <vt:lpstr>'430'!OSRRefR21_5x_0</vt:lpstr>
      <vt:lpstr>'433'!OSRRefR21_5x_0</vt:lpstr>
      <vt:lpstr>'435'!OSRRefR21_5x_0</vt:lpstr>
      <vt:lpstr>'444'!OSRRefR21_5x_0</vt:lpstr>
      <vt:lpstr>'445'!OSRRefR21_5x_0</vt:lpstr>
      <vt:lpstr>'450'!OSRRefR21_5x_0</vt:lpstr>
      <vt:lpstr>'491'!OSRRefR21_5x_0</vt:lpstr>
      <vt:lpstr>'492'!OSRRefR21_5x_0</vt:lpstr>
      <vt:lpstr>'501'!OSRRefR21_5x_0</vt:lpstr>
      <vt:lpstr>'Div 2'!OSRRefR21_5x_0</vt:lpstr>
      <vt:lpstr>'Div 3'!OSRRefR21_5x_0</vt:lpstr>
      <vt:lpstr>'Div 4'!OSRRefR21_5x_0</vt:lpstr>
      <vt:lpstr>'Div 5'!OSRRefR21_5x_0</vt:lpstr>
      <vt:lpstr>'Div 6'!OSRRefR21_5x_0</vt:lpstr>
      <vt:lpstr>Summary!OSRRefR21_5x_0</vt:lpstr>
      <vt:lpstr>'201'!OSRRefR21_6x_0</vt:lpstr>
      <vt:lpstr>'202'!OSRRefR21_6x_0</vt:lpstr>
      <vt:lpstr>'203'!OSRRefR21_6x_0</vt:lpstr>
      <vt:lpstr>'204'!OSRRefR21_6x_0</vt:lpstr>
      <vt:lpstr>'205'!OSRRefR21_6x_0</vt:lpstr>
      <vt:lpstr>'206'!OSRRefR21_6x_0</vt:lpstr>
      <vt:lpstr>'300'!OSRRefR21_6x_0</vt:lpstr>
      <vt:lpstr>'300 &amp; 317'!OSRRefR21_6x_0</vt:lpstr>
      <vt:lpstr>'301'!OSRRefR21_6x_0</vt:lpstr>
      <vt:lpstr>'306'!OSRRefR21_6x_0</vt:lpstr>
      <vt:lpstr>'307'!OSRRefR21_6x_0</vt:lpstr>
      <vt:lpstr>'308'!OSRRefR21_6x_0</vt:lpstr>
      <vt:lpstr>'309'!OSRRefR21_6x_0</vt:lpstr>
      <vt:lpstr>'310'!OSRRefR21_6x_0</vt:lpstr>
      <vt:lpstr>'310 &amp; 491'!OSRRefR21_6x_0</vt:lpstr>
      <vt:lpstr>'311'!OSRRefR21_6x_0</vt:lpstr>
      <vt:lpstr>'312'!OSRRefR21_6x_0</vt:lpstr>
      <vt:lpstr>'313'!OSRRefR21_6x_0</vt:lpstr>
      <vt:lpstr>'314'!OSRRefR21_6x_0</vt:lpstr>
      <vt:lpstr>'315'!OSRRefR21_6x_0</vt:lpstr>
      <vt:lpstr>'316'!OSRRefR21_6x_0</vt:lpstr>
      <vt:lpstr>'317'!OSRRefR21_6x_0</vt:lpstr>
      <vt:lpstr>'318'!OSRRefR21_6x_0</vt:lpstr>
      <vt:lpstr>'320'!OSRRefR21_6x_0</vt:lpstr>
      <vt:lpstr>'321'!OSRRefR21_6x_0</vt:lpstr>
      <vt:lpstr>'322'!OSRRefR21_6x_0</vt:lpstr>
      <vt:lpstr>'323'!OSRRefR21_6x_0</vt:lpstr>
      <vt:lpstr>'325'!OSRRefR21_6x_0</vt:lpstr>
      <vt:lpstr>'326'!OSRRefR21_6x_0</vt:lpstr>
      <vt:lpstr>'330'!OSRRefR21_6x_0</vt:lpstr>
      <vt:lpstr>'331'!OSRRefR21_6x_0</vt:lpstr>
      <vt:lpstr>'332'!OSRRefR21_6x_0</vt:lpstr>
      <vt:lpstr>'335'!OSRRefR21_6x_0</vt:lpstr>
      <vt:lpstr>'405'!OSRRefR21_6x_0</vt:lpstr>
      <vt:lpstr>'406'!OSRRefR21_6x_0</vt:lpstr>
      <vt:lpstr>'411'!OSRRefR21_6x_0</vt:lpstr>
      <vt:lpstr>'412'!OSRRefR21_6x_0</vt:lpstr>
      <vt:lpstr>'413'!OSRRefR21_6x_0</vt:lpstr>
      <vt:lpstr>'414'!OSRRefR21_6x_0</vt:lpstr>
      <vt:lpstr>'415'!OSRRefR21_6x_0</vt:lpstr>
      <vt:lpstr>'418'!OSRRefR21_6x_0</vt:lpstr>
      <vt:lpstr>'420'!OSRRefR21_6x_0</vt:lpstr>
      <vt:lpstr>'423'!OSRRefR21_6x_0</vt:lpstr>
      <vt:lpstr>'424'!OSRRefR21_6x_0</vt:lpstr>
      <vt:lpstr>'425'!OSRRefR21_6x_0</vt:lpstr>
      <vt:lpstr>'430'!OSRRefR21_6x_0</vt:lpstr>
      <vt:lpstr>'433'!OSRRefR21_6x_0</vt:lpstr>
      <vt:lpstr>'435'!OSRRefR21_6x_0</vt:lpstr>
      <vt:lpstr>'444'!OSRRefR21_6x_0</vt:lpstr>
      <vt:lpstr>'445'!OSRRefR21_6x_0</vt:lpstr>
      <vt:lpstr>'450'!OSRRefR21_6x_0</vt:lpstr>
      <vt:lpstr>'491'!OSRRefR21_6x_0</vt:lpstr>
      <vt:lpstr>'492'!OSRRefR21_6x_0</vt:lpstr>
      <vt:lpstr>'501'!OSRRefR21_6x_0</vt:lpstr>
      <vt:lpstr>'Div 2'!OSRRefR21_6x_0</vt:lpstr>
      <vt:lpstr>'Div 3'!OSRRefR21_6x_0</vt:lpstr>
      <vt:lpstr>'Div 4'!OSRRefR21_6x_0</vt:lpstr>
      <vt:lpstr>'Div 5'!OSRRefR21_6x_0</vt:lpstr>
      <vt:lpstr>'Div 6'!OSRRefR21_6x_0</vt:lpstr>
      <vt:lpstr>Summary!OSRRefR21_6x_0</vt:lpstr>
      <vt:lpstr>'201'!OSRRefR21_7x_0</vt:lpstr>
      <vt:lpstr>'202'!OSRRefR21_7x_0</vt:lpstr>
      <vt:lpstr>'203'!OSRRefR21_7x_0</vt:lpstr>
      <vt:lpstr>'204'!OSRRefR21_7x_0</vt:lpstr>
      <vt:lpstr>'205'!OSRRefR21_7x_0</vt:lpstr>
      <vt:lpstr>'206'!OSRRefR21_7x_0</vt:lpstr>
      <vt:lpstr>'300'!OSRRefR21_7x_0</vt:lpstr>
      <vt:lpstr>'300 &amp; 317'!OSRRefR21_7x_0</vt:lpstr>
      <vt:lpstr>'301'!OSRRefR21_7x_0</vt:lpstr>
      <vt:lpstr>'306'!OSRRefR21_7x_0</vt:lpstr>
      <vt:lpstr>'307'!OSRRefR21_7x_0</vt:lpstr>
      <vt:lpstr>'308'!OSRRefR21_7x_0</vt:lpstr>
      <vt:lpstr>'309'!OSRRefR21_7x_0</vt:lpstr>
      <vt:lpstr>'310'!OSRRefR21_7x_0</vt:lpstr>
      <vt:lpstr>'310 &amp; 491'!OSRRefR21_7x_0</vt:lpstr>
      <vt:lpstr>'311'!OSRRefR21_7x_0</vt:lpstr>
      <vt:lpstr>'312'!OSRRefR21_7x_0</vt:lpstr>
      <vt:lpstr>'313'!OSRRefR21_7x_0</vt:lpstr>
      <vt:lpstr>'314'!OSRRefR21_7x_0</vt:lpstr>
      <vt:lpstr>'315'!OSRRefR21_7x_0</vt:lpstr>
      <vt:lpstr>'316'!OSRRefR21_7x_0</vt:lpstr>
      <vt:lpstr>'317'!OSRRefR21_7x_0</vt:lpstr>
      <vt:lpstr>'318'!OSRRefR21_7x_0</vt:lpstr>
      <vt:lpstr>'320'!OSRRefR21_7x_0</vt:lpstr>
      <vt:lpstr>'321'!OSRRefR21_7x_0</vt:lpstr>
      <vt:lpstr>'322'!OSRRefR21_7x_0</vt:lpstr>
      <vt:lpstr>'323'!OSRRefR21_7x_0</vt:lpstr>
      <vt:lpstr>'325'!OSRRefR21_7x_0</vt:lpstr>
      <vt:lpstr>'326'!OSRRefR21_7x_0</vt:lpstr>
      <vt:lpstr>'330'!OSRRefR21_7x_0</vt:lpstr>
      <vt:lpstr>'331'!OSRRefR21_7x_0</vt:lpstr>
      <vt:lpstr>'332'!OSRRefR21_7x_0</vt:lpstr>
      <vt:lpstr>'335'!OSRRefR21_7x_0</vt:lpstr>
      <vt:lpstr>'405'!OSRRefR21_7x_0</vt:lpstr>
      <vt:lpstr>'406'!OSRRefR21_7x_0</vt:lpstr>
      <vt:lpstr>'411'!OSRRefR21_7x_0</vt:lpstr>
      <vt:lpstr>'412'!OSRRefR21_7x_0</vt:lpstr>
      <vt:lpstr>'413'!OSRRefR21_7x_0</vt:lpstr>
      <vt:lpstr>'414'!OSRRefR21_7x_0</vt:lpstr>
      <vt:lpstr>'415'!OSRRefR21_7x_0</vt:lpstr>
      <vt:lpstr>'418'!OSRRefR21_7x_0</vt:lpstr>
      <vt:lpstr>'420'!OSRRefR21_7x_0</vt:lpstr>
      <vt:lpstr>'423'!OSRRefR21_7x_0</vt:lpstr>
      <vt:lpstr>'424'!OSRRefR21_7x_0</vt:lpstr>
      <vt:lpstr>'425'!OSRRefR21_7x_0</vt:lpstr>
      <vt:lpstr>'430'!OSRRefR21_7x_0</vt:lpstr>
      <vt:lpstr>'433'!OSRRefR21_7x_0</vt:lpstr>
      <vt:lpstr>'435'!OSRRefR21_7x_0</vt:lpstr>
      <vt:lpstr>'444'!OSRRefR21_7x_0</vt:lpstr>
      <vt:lpstr>'445'!OSRRefR21_7x_0</vt:lpstr>
      <vt:lpstr>'450'!OSRRefR21_7x_0</vt:lpstr>
      <vt:lpstr>'491'!OSRRefR21_7x_0</vt:lpstr>
      <vt:lpstr>'492'!OSRRefR21_7x_0</vt:lpstr>
      <vt:lpstr>'501'!OSRRefR21_7x_0</vt:lpstr>
      <vt:lpstr>'Div 2'!OSRRefR21_7x_0</vt:lpstr>
      <vt:lpstr>'Div 3'!OSRRefR21_7x_0</vt:lpstr>
      <vt:lpstr>'Div 4'!OSRRefR21_7x_0</vt:lpstr>
      <vt:lpstr>'Div 5'!OSRRefR21_7x_0</vt:lpstr>
      <vt:lpstr>'Div 6'!OSRRefR21_7x_0</vt:lpstr>
      <vt:lpstr>Summary!OSRRefR21_7x_0</vt:lpstr>
      <vt:lpstr>'201'!OSRRefR21_8x_0</vt:lpstr>
      <vt:lpstr>'202'!OSRRefR21_8x_0</vt:lpstr>
      <vt:lpstr>'203'!OSRRefR21_8x_0</vt:lpstr>
      <vt:lpstr>'204'!OSRRefR21_8x_0</vt:lpstr>
      <vt:lpstr>'205'!OSRRefR21_8x_0</vt:lpstr>
      <vt:lpstr>'206'!OSRRefR21_8x_0</vt:lpstr>
      <vt:lpstr>'300'!OSRRefR21_8x_0</vt:lpstr>
      <vt:lpstr>'300 &amp; 317'!OSRRefR21_8x_0</vt:lpstr>
      <vt:lpstr>'301'!OSRRefR21_8x_0</vt:lpstr>
      <vt:lpstr>'306'!OSRRefR21_8x_0</vt:lpstr>
      <vt:lpstr>'307'!OSRRefR21_8x_0</vt:lpstr>
      <vt:lpstr>'308'!OSRRefR21_8x_0</vt:lpstr>
      <vt:lpstr>'309'!OSRRefR21_8x_0</vt:lpstr>
      <vt:lpstr>'310'!OSRRefR21_8x_0</vt:lpstr>
      <vt:lpstr>'310 &amp; 491'!OSRRefR21_8x_0</vt:lpstr>
      <vt:lpstr>'311'!OSRRefR21_8x_0</vt:lpstr>
      <vt:lpstr>'312'!OSRRefR21_8x_0</vt:lpstr>
      <vt:lpstr>'313'!OSRRefR21_8x_0</vt:lpstr>
      <vt:lpstr>'314'!OSRRefR21_8x_0</vt:lpstr>
      <vt:lpstr>'315'!OSRRefR21_8x_0</vt:lpstr>
      <vt:lpstr>'316'!OSRRefR21_8x_0</vt:lpstr>
      <vt:lpstr>'317'!OSRRefR21_8x_0</vt:lpstr>
      <vt:lpstr>'318'!OSRRefR21_8x_0</vt:lpstr>
      <vt:lpstr>'320'!OSRRefR21_8x_0</vt:lpstr>
      <vt:lpstr>'321'!OSRRefR21_8x_0</vt:lpstr>
      <vt:lpstr>'322'!OSRRefR21_8x_0</vt:lpstr>
      <vt:lpstr>'325'!OSRRefR21_8x_0</vt:lpstr>
      <vt:lpstr>'326'!OSRRefR21_8x_0</vt:lpstr>
      <vt:lpstr>'330'!OSRRefR21_8x_0</vt:lpstr>
      <vt:lpstr>'331'!OSRRefR21_8x_0</vt:lpstr>
      <vt:lpstr>'332'!OSRRefR21_8x_0</vt:lpstr>
      <vt:lpstr>'335'!OSRRefR21_8x_0</vt:lpstr>
      <vt:lpstr>'405'!OSRRefR21_8x_0</vt:lpstr>
      <vt:lpstr>'406'!OSRRefR21_8x_0</vt:lpstr>
      <vt:lpstr>'411'!OSRRefR21_8x_0</vt:lpstr>
      <vt:lpstr>'412'!OSRRefR21_8x_0</vt:lpstr>
      <vt:lpstr>'413'!OSRRefR21_8x_0</vt:lpstr>
      <vt:lpstr>'414'!OSRRefR21_8x_0</vt:lpstr>
      <vt:lpstr>'415'!OSRRefR21_8x_0</vt:lpstr>
      <vt:lpstr>'418'!OSRRefR21_8x_0</vt:lpstr>
      <vt:lpstr>'420'!OSRRefR21_8x_0</vt:lpstr>
      <vt:lpstr>'423'!OSRRefR21_8x_0</vt:lpstr>
      <vt:lpstr>'424'!OSRRefR21_8x_0</vt:lpstr>
      <vt:lpstr>'425'!OSRRefR21_8x_0</vt:lpstr>
      <vt:lpstr>'430'!OSRRefR21_8x_0</vt:lpstr>
      <vt:lpstr>'433'!OSRRefR21_8x_0</vt:lpstr>
      <vt:lpstr>'435'!OSRRefR21_8x_0</vt:lpstr>
      <vt:lpstr>'444'!OSRRefR21_8x_0</vt:lpstr>
      <vt:lpstr>'445'!OSRRefR21_8x_0</vt:lpstr>
      <vt:lpstr>'450'!OSRRefR21_8x_0</vt:lpstr>
      <vt:lpstr>'491'!OSRRefR21_8x_0</vt:lpstr>
      <vt:lpstr>'492'!OSRRefR21_8x_0</vt:lpstr>
      <vt:lpstr>'501'!OSRRefR21_8x_0</vt:lpstr>
      <vt:lpstr>'Div 2'!OSRRefR21_8x_0</vt:lpstr>
      <vt:lpstr>'Div 3'!OSRRefR21_8x_0</vt:lpstr>
      <vt:lpstr>'Div 4'!OSRRefR21_8x_0</vt:lpstr>
      <vt:lpstr>'Div 5'!OSRRefR21_8x_0</vt:lpstr>
      <vt:lpstr>'Div 6'!OSRRefR21_8x_0</vt:lpstr>
      <vt:lpstr>Summary!OSRRefR21_8x_0</vt:lpstr>
      <vt:lpstr>'201'!OSRRefR21_9x_0</vt:lpstr>
      <vt:lpstr>'202'!OSRRefR21_9x_0</vt:lpstr>
      <vt:lpstr>'203'!OSRRefR21_9x_0</vt:lpstr>
      <vt:lpstr>'204'!OSRRefR21_9x_0</vt:lpstr>
      <vt:lpstr>'206'!OSRRefR21_9x_0</vt:lpstr>
      <vt:lpstr>'300'!OSRRefR21_9x_0</vt:lpstr>
      <vt:lpstr>'300 &amp; 317'!OSRRefR21_9x_0</vt:lpstr>
      <vt:lpstr>'301'!OSRRefR21_9x_0</vt:lpstr>
      <vt:lpstr>'306'!OSRRefR21_9x_0</vt:lpstr>
      <vt:lpstr>'307'!OSRRefR21_9x_0</vt:lpstr>
      <vt:lpstr>'308'!OSRRefR21_9x_0</vt:lpstr>
      <vt:lpstr>'309'!OSRRefR21_9x_0</vt:lpstr>
      <vt:lpstr>'310'!OSRRefR21_9x_0</vt:lpstr>
      <vt:lpstr>'310 &amp; 491'!OSRRefR21_9x_0</vt:lpstr>
      <vt:lpstr>'311'!OSRRefR21_9x_0</vt:lpstr>
      <vt:lpstr>'312'!OSRRefR21_9x_0</vt:lpstr>
      <vt:lpstr>'313'!OSRRefR21_9x_0</vt:lpstr>
      <vt:lpstr>'314'!OSRRefR21_9x_0</vt:lpstr>
      <vt:lpstr>'315'!OSRRefR21_9x_0</vt:lpstr>
      <vt:lpstr>'316'!OSRRefR21_9x_0</vt:lpstr>
      <vt:lpstr>'317'!OSRRefR21_9x_0</vt:lpstr>
      <vt:lpstr>'320'!OSRRefR21_9x_0</vt:lpstr>
      <vt:lpstr>'321'!OSRRefR21_9x_0</vt:lpstr>
      <vt:lpstr>'322'!OSRRefR21_9x_0</vt:lpstr>
      <vt:lpstr>'325'!OSRRefR21_9x_0</vt:lpstr>
      <vt:lpstr>'326'!OSRRefR21_9x_0</vt:lpstr>
      <vt:lpstr>'330'!OSRRefR21_9x_0</vt:lpstr>
      <vt:lpstr>'331'!OSRRefR21_9x_0</vt:lpstr>
      <vt:lpstr>'332'!OSRRefR21_9x_0</vt:lpstr>
      <vt:lpstr>'335'!OSRRefR21_9x_0</vt:lpstr>
      <vt:lpstr>'405'!OSRRefR21_9x_0</vt:lpstr>
      <vt:lpstr>'406'!OSRRefR21_9x_0</vt:lpstr>
      <vt:lpstr>'411'!OSRRefR21_9x_0</vt:lpstr>
      <vt:lpstr>'412'!OSRRefR21_9x_0</vt:lpstr>
      <vt:lpstr>'413'!OSRRefR21_9x_0</vt:lpstr>
      <vt:lpstr>'414'!OSRRefR21_9x_0</vt:lpstr>
      <vt:lpstr>'415'!OSRRefR21_9x_0</vt:lpstr>
      <vt:lpstr>'418'!OSRRefR21_9x_0</vt:lpstr>
      <vt:lpstr>'423'!OSRRefR21_9x_0</vt:lpstr>
      <vt:lpstr>'424'!OSRRefR21_9x_0</vt:lpstr>
      <vt:lpstr>'425'!OSRRefR21_9x_0</vt:lpstr>
      <vt:lpstr>'430'!OSRRefR21_9x_0</vt:lpstr>
      <vt:lpstr>'433'!OSRRefR21_9x_0</vt:lpstr>
      <vt:lpstr>'435'!OSRRefR21_9x_0</vt:lpstr>
      <vt:lpstr>'444'!OSRRefR21_9x_0</vt:lpstr>
      <vt:lpstr>'445'!OSRRefR21_9x_0</vt:lpstr>
      <vt:lpstr>'450'!OSRRefR21_9x_0</vt:lpstr>
      <vt:lpstr>'491'!OSRRefR21_9x_0</vt:lpstr>
      <vt:lpstr>'492'!OSRRefR21_9x_0</vt:lpstr>
      <vt:lpstr>'501'!OSRRefR21_9x_0</vt:lpstr>
      <vt:lpstr>'Div 2'!OSRRefR21_9x_0</vt:lpstr>
      <vt:lpstr>'Div 3'!OSRRefR21_9x_0</vt:lpstr>
      <vt:lpstr>'Div 4'!OSRRefR21_9x_0</vt:lpstr>
      <vt:lpstr>'Div 5'!OSRRefR21_9x_0</vt:lpstr>
      <vt:lpstr>'Div 6'!OSRRefR21_9x_0</vt:lpstr>
      <vt:lpstr>Summary!OSRRefR21_9x_0</vt:lpstr>
      <vt:lpstr>'200'!OSRRefR21x_0</vt:lpstr>
      <vt:lpstr>'201'!OSRRefR21x_0</vt:lpstr>
      <vt:lpstr>'202'!OSRRefR21x_0</vt:lpstr>
      <vt:lpstr>'203'!OSRRefR21x_0</vt:lpstr>
      <vt:lpstr>'204'!OSRRefR21x_0</vt:lpstr>
      <vt:lpstr>'205'!OSRRefR21x_0</vt:lpstr>
      <vt:lpstr>'206'!OSRRefR21x_0</vt:lpstr>
      <vt:lpstr>'300'!OSRRefR21x_0</vt:lpstr>
      <vt:lpstr>'300 &amp; 317'!OSRRefR21x_0</vt:lpstr>
      <vt:lpstr>'301'!OSRRefR21x_0</vt:lpstr>
      <vt:lpstr>'306'!OSRRefR21x_0</vt:lpstr>
      <vt:lpstr>'307'!OSRRefR21x_0</vt:lpstr>
      <vt:lpstr>'308'!OSRRefR21x_0</vt:lpstr>
      <vt:lpstr>'309'!OSRRefR21x_0</vt:lpstr>
      <vt:lpstr>'310'!OSRRefR21x_0</vt:lpstr>
      <vt:lpstr>'310 &amp; 491'!OSRRefR21x_0</vt:lpstr>
      <vt:lpstr>'311'!OSRRefR21x_0</vt:lpstr>
      <vt:lpstr>'312'!OSRRefR21x_0</vt:lpstr>
      <vt:lpstr>'313'!OSRRefR21x_0</vt:lpstr>
      <vt:lpstr>'314'!OSRRefR21x_0</vt:lpstr>
      <vt:lpstr>'315'!OSRRefR21x_0</vt:lpstr>
      <vt:lpstr>'316'!OSRRefR21x_0</vt:lpstr>
      <vt:lpstr>'317'!OSRRefR21x_0</vt:lpstr>
      <vt:lpstr>'318'!OSRRefR21x_0</vt:lpstr>
      <vt:lpstr>'320'!OSRRefR21x_0</vt:lpstr>
      <vt:lpstr>'321'!OSRRefR21x_0</vt:lpstr>
      <vt:lpstr>'322'!OSRRefR21x_0</vt:lpstr>
      <vt:lpstr>'323'!OSRRefR21x_0</vt:lpstr>
      <vt:lpstr>'324'!OSRRefR21x_0</vt:lpstr>
      <vt:lpstr>'325'!OSRRefR21x_0</vt:lpstr>
      <vt:lpstr>'326'!OSRRefR21x_0</vt:lpstr>
      <vt:lpstr>'327'!OSRRefR21x_0</vt:lpstr>
      <vt:lpstr>'330'!OSRRefR21x_0</vt:lpstr>
      <vt:lpstr>'331'!OSRRefR21x_0</vt:lpstr>
      <vt:lpstr>'332'!OSRRefR21x_0</vt:lpstr>
      <vt:lpstr>'335'!OSRRefR21x_0</vt:lpstr>
      <vt:lpstr>'405'!OSRRefR21x_0</vt:lpstr>
      <vt:lpstr>'406'!OSRRefR21x_0</vt:lpstr>
      <vt:lpstr>'411'!OSRRefR21x_0</vt:lpstr>
      <vt:lpstr>'412'!OSRRefR21x_0</vt:lpstr>
      <vt:lpstr>'413'!OSRRefR21x_0</vt:lpstr>
      <vt:lpstr>'414'!OSRRefR21x_0</vt:lpstr>
      <vt:lpstr>'415'!OSRRefR21x_0</vt:lpstr>
      <vt:lpstr>'418'!OSRRefR21x_0</vt:lpstr>
      <vt:lpstr>'420'!OSRRefR21x_0</vt:lpstr>
      <vt:lpstr>'423'!OSRRefR21x_0</vt:lpstr>
      <vt:lpstr>'424'!OSRRefR21x_0</vt:lpstr>
      <vt:lpstr>'425'!OSRRefR21x_0</vt:lpstr>
      <vt:lpstr>'430'!OSRRefR21x_0</vt:lpstr>
      <vt:lpstr>'433'!OSRRefR21x_0</vt:lpstr>
      <vt:lpstr>'435'!OSRRefR21x_0</vt:lpstr>
      <vt:lpstr>'444'!OSRRefR21x_0</vt:lpstr>
      <vt:lpstr>'445'!OSRRefR21x_0</vt:lpstr>
      <vt:lpstr>'450'!OSRRefR21x_0</vt:lpstr>
      <vt:lpstr>'455'!OSRRefR21x_0</vt:lpstr>
      <vt:lpstr>'491'!OSRRefR21x_0</vt:lpstr>
      <vt:lpstr>'492'!OSRRefR21x_0</vt:lpstr>
      <vt:lpstr>'501'!OSRRefR21x_0</vt:lpstr>
      <vt:lpstr>'Div 2'!OSRRefR21x_0</vt:lpstr>
      <vt:lpstr>'Div 3'!OSRRefR21x_0</vt:lpstr>
      <vt:lpstr>'Div 4'!OSRRefR21x_0</vt:lpstr>
      <vt:lpstr>'Div 5'!OSRRefR21x_0</vt:lpstr>
      <vt:lpstr>'Div 6'!OSRRefR21x_0</vt:lpstr>
      <vt:lpstr>Summary!OSRRefR21x_0</vt:lpstr>
      <vt:lpstr>'202'!OSRRefR24x_0</vt:lpstr>
      <vt:lpstr>'300'!OSRRefR24x_0</vt:lpstr>
      <vt:lpstr>'300 &amp; 317'!OSRRefR24x_0</vt:lpstr>
      <vt:lpstr>'301'!OSRRefR24x_0</vt:lpstr>
      <vt:lpstr>'307'!OSRRefR24x_0</vt:lpstr>
      <vt:lpstr>'308'!OSRRefR24x_0</vt:lpstr>
      <vt:lpstr>'309'!OSRRefR24x_0</vt:lpstr>
      <vt:lpstr>'310'!OSRRefR24x_0</vt:lpstr>
      <vt:lpstr>'310 &amp; 491'!OSRRefR24x_0</vt:lpstr>
      <vt:lpstr>'311'!OSRRefR24x_0</vt:lpstr>
      <vt:lpstr>'312'!OSRRefR24x_0</vt:lpstr>
      <vt:lpstr>'314'!OSRRefR24x_0</vt:lpstr>
      <vt:lpstr>'315'!OSRRefR24x_0</vt:lpstr>
      <vt:lpstr>'316'!OSRRefR24x_0</vt:lpstr>
      <vt:lpstr>'317'!OSRRefR24x_0</vt:lpstr>
      <vt:lpstr>'320'!OSRRefR24x_0</vt:lpstr>
      <vt:lpstr>'330'!OSRRefR24x_0</vt:lpstr>
      <vt:lpstr>'331'!OSRRefR24x_0</vt:lpstr>
      <vt:lpstr>'332'!OSRRefR24x_0</vt:lpstr>
      <vt:lpstr>'411'!OSRRefR24x_0</vt:lpstr>
      <vt:lpstr>'413'!OSRRefR24x_0</vt:lpstr>
      <vt:lpstr>'415'!OSRRefR24x_0</vt:lpstr>
      <vt:lpstr>'418'!OSRRefR24x_0</vt:lpstr>
      <vt:lpstr>'423'!OSRRefR24x_0</vt:lpstr>
      <vt:lpstr>'424'!OSRRefR24x_0</vt:lpstr>
      <vt:lpstr>'425'!OSRRefR24x_0</vt:lpstr>
      <vt:lpstr>'455'!OSRRefR24x_0</vt:lpstr>
      <vt:lpstr>'491'!OSRRefR24x_0</vt:lpstr>
      <vt:lpstr>'501'!OSRRefR24x_0</vt:lpstr>
      <vt:lpstr>'Div 2'!OSRRefR24x_0</vt:lpstr>
      <vt:lpstr>'Div 3'!OSRRefR24x_0</vt:lpstr>
      <vt:lpstr>'Div 4'!OSRRefR24x_0</vt:lpstr>
      <vt:lpstr>'Div 5'!OSRRefR24x_0</vt:lpstr>
      <vt:lpstr>'Div 6'!OSRRefR24x_0</vt:lpstr>
      <vt:lpstr>Summary!OSRRefR24x_0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Dewit</dc:creator>
  <cp:lastModifiedBy>Robert Dewit</cp:lastModifiedBy>
  <dcterms:created xsi:type="dcterms:W3CDTF">2021-05-03T21:14:57Z</dcterms:created>
  <dcterms:modified xsi:type="dcterms:W3CDTF">2021-05-03T21:14:58Z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